
<file path=[Content_Types].xml><?xml version="1.0" encoding="utf-8"?>
<Types xmlns:ct="http://schemas.openxmlformats.org/package/2006/content-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externalLink+xml" PartName="/xl/externalLinks/externalLink2.xml"/>
  <Override ContentType="application/vnd.openxmlformats-officedocument.spreadsheetml.externalLink+xml" PartName="/xl/externalLinks/externalLink20.xml"/>
  <Override ContentType="application/vnd.openxmlformats-officedocument.spreadsheetml.externalLink+xml" PartName="/xl/externalLinks/externalLink21.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rel="http://schemas.openxmlformats.org/package/2006/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120" yWindow="615" windowWidth="9720" windowHeight="4800" tabRatio="834" firstSheet="27" activeTab="32"/>
  </bookViews>
  <sheets>
    <sheet name="Phụ lục số 1" sheetId="1" state="hidden" r:id="rId1"/>
    <sheet name="Phụ lục số 2" sheetId="2" state="hidden" r:id="rId2"/>
    <sheet name="Phụ lục số 3" sheetId="61" state="hidden" r:id="rId3"/>
    <sheet name="Phụ lục số 5" sheetId="63" state="hidden" r:id="rId4"/>
    <sheet name="Phụ lục số 3_2" sheetId="73" state="hidden" r:id="rId5"/>
    <sheet name="Phụ lục số 4" sheetId="84" state="hidden" r:id="rId6"/>
    <sheet name="Phụ lục số 6" sheetId="64" state="hidden" r:id="rId7"/>
    <sheet name="Phụ lục số 7" sheetId="65" state="hidden" r:id="rId8"/>
    <sheet name="Phụ lục số 8" sheetId="66" state="hidden" r:id="rId9"/>
    <sheet name="Chi NSH" sheetId="75" state="hidden" r:id="rId10"/>
    <sheet name="Thu NSH" sheetId="74" state="hidden" r:id="rId11"/>
    <sheet name="TLTT nam 2015-huyen" sheetId="77" state="hidden" r:id="rId12"/>
    <sheet name="10% tiết kiệm tăng thêm 2013" sheetId="79" state="hidden" r:id="rId13"/>
    <sheet name="Phụ lục số 1- HĐND" sheetId="69" state="hidden" r:id="rId14"/>
    <sheet name="Bố trí" sheetId="86" state="hidden" r:id="rId15"/>
    <sheet name="Phụ lục số 2- HĐND" sheetId="70" state="hidden" r:id="rId16"/>
    <sheet name="Phụ lục số 3- HĐND" sheetId="71" state="hidden" r:id="rId17"/>
    <sheet name="Phụ lục số 4- HĐND" sheetId="72" state="hidden" r:id="rId18"/>
    <sheet name="SNGD" sheetId="78" state="hidden" r:id="rId19"/>
    <sheet name="Phụ lục số 5 -HĐND" sheetId="103" state="hidden" r:id="rId20"/>
    <sheet name="Phụ lục số 6-HĐND" sheetId="104" state="hidden" r:id="rId21"/>
    <sheet name="Phụ lục số 7-HĐND" sheetId="105" state="hidden" r:id="rId22"/>
    <sheet name="Phụ lục số 1-KQPB" sheetId="87" state="hidden" r:id="rId23"/>
    <sheet name="Phụ lục số 2- KQPB" sheetId="88" state="hidden" r:id="rId24"/>
    <sheet name="Phụ lục số 3- KQPB" sheetId="90" state="hidden" r:id="rId25"/>
    <sheet name="Phụ lục số 4-KQPB" sheetId="89" state="hidden" r:id="rId26"/>
    <sheet name="Phụ lục số 5-KQPB" sheetId="91" state="hidden" r:id="rId27"/>
    <sheet name="M10" sheetId="92" r:id="rId28"/>
    <sheet name="M11" sheetId="93" r:id="rId29"/>
    <sheet name="M 12" sheetId="94" r:id="rId30"/>
    <sheet name="M 13" sheetId="95" r:id="rId31"/>
    <sheet name="M15" sheetId="96" r:id="rId32"/>
    <sheet name="M17" sheetId="97" r:id="rId33"/>
    <sheet name="M18" sheetId="98" r:id="rId34"/>
    <sheet name="M19" sheetId="67" r:id="rId35"/>
    <sheet name="M20" sheetId="68" r:id="rId36"/>
    <sheet name="TLTT 8 tháng" sheetId="60" state="hidden" r:id="rId37"/>
    <sheet name="Sheet1" sheetId="101" state="hidden" r:id="rId38"/>
    <sheet name="Sheet2" sheetId="102"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Print_Area" localSheetId="14">'Bố trí'!$A$2:$C$19</definedName>
    <definedName name="_xlnm.Print_Area" localSheetId="9">'Chi NSH'!$A$1:$DB$25</definedName>
    <definedName name="_xlnm.Print_Area" localSheetId="29">'M 12'!$A$1:$C$34</definedName>
    <definedName name="_xlnm.Print_Area" localSheetId="30">'M 13'!$A$1:$E$26</definedName>
    <definedName name="_xlnm.Print_Area" localSheetId="27">'M10'!$A$1:$C$27</definedName>
    <definedName name="_xlnm.Print_Area" localSheetId="28">'M11'!$A$1:$C$28</definedName>
    <definedName name="_xlnm.Print_Area" localSheetId="32">'M17'!$A$1:$E$11</definedName>
    <definedName name="_xlnm.Print_Area" localSheetId="33">'M18'!$A$1:$J$21</definedName>
    <definedName name="_xlnm.Print_Area" localSheetId="0">'Phụ lục số 1'!$A$5:$S$66</definedName>
    <definedName name="_xlnm.Print_Area" localSheetId="13">'Phụ lục số 1- HĐND'!$A$1:$C$32</definedName>
    <definedName name="_xlnm.Print_Area" localSheetId="22">'Phụ lục số 1-KQPB'!$A$1:$C$32</definedName>
    <definedName name="_xlnm.Print_Area" localSheetId="1">'Phụ lục số 2'!$A$5:$O$43</definedName>
    <definedName name="_xlnm.Print_Area" localSheetId="15">'Phụ lục số 2- HĐND'!$A$1:$C$65</definedName>
    <definedName name="_xlnm.Print_Area" localSheetId="23">'Phụ lục số 2- KQPB'!$A$1:$C$38</definedName>
    <definedName name="_xlnm.Print_Area" localSheetId="2">'Phụ lục số 3'!$A$1:$K$36</definedName>
    <definedName name="_xlnm.Print_Area" localSheetId="16">'Phụ lục số 3- HĐND'!$A$1:$C$38</definedName>
    <definedName name="_xlnm.Print_Area" localSheetId="24">'Phụ lục số 3- KQPB'!$A$1:$E$37</definedName>
    <definedName name="_xlnm.Print_Area" localSheetId="4">'Phụ lục số 3_2'!$A$1:$K$36</definedName>
    <definedName name="_xlnm.Print_Area" localSheetId="5">'Phụ lục số 4'!$A$1:$Y$95</definedName>
    <definedName name="_xlnm.Print_Area" localSheetId="17">'Phụ lục số 4- HĐND'!$A$1:$E$37</definedName>
    <definedName name="_xlnm.Print_Area" localSheetId="25">'Phụ lục số 4-KQPB'!$A$3:$E$59</definedName>
    <definedName name="_xlnm.Print_Area" localSheetId="3">'Phụ lục số 5'!$A$1:$AO$33</definedName>
    <definedName name="_xlnm.Print_Area" localSheetId="19">'Phụ lục số 5 -HĐND'!$A$1:$AO$33</definedName>
    <definedName name="_xlnm.Print_Area" localSheetId="6">'Phụ lục số 6'!$A$1:$O$30</definedName>
    <definedName name="_xlnm.Print_Area" localSheetId="20">'Phụ lục số 6-HĐND'!$A$1:$O$30</definedName>
    <definedName name="_xlnm.Print_Area" localSheetId="7">'Phụ lục số 7'!$A$1:$Q$20</definedName>
    <definedName name="_xlnm.Print_Area" localSheetId="21">'Phụ lục số 7-HĐND'!$A$1:$Y$95</definedName>
    <definedName name="_xlnm.Print_Area" localSheetId="8">'Phụ lục số 8'!$A$3:$E$66</definedName>
    <definedName name="_xlnm.Print_Area" localSheetId="18">SNGD!$A$1:$M$19</definedName>
    <definedName name="_xlnm.Print_Area" localSheetId="10">'Thu NSH'!$A$1:$FB$33</definedName>
    <definedName name="_xlnm.Print_Titles" localSheetId="9">'Chi NSH'!$A:$B,'Chi NSH'!$2:$6</definedName>
    <definedName name="_xlnm.Print_Titles" localSheetId="31">'M15'!$4:$8</definedName>
    <definedName name="_xlnm.Print_Titles" localSheetId="35">'M20'!$5:$7</definedName>
    <definedName name="_xlnm.Print_Titles" localSheetId="0">'Phụ lục số 1'!$A:$B,'Phụ lục số 1'!$7:$11</definedName>
    <definedName name="_xlnm.Print_Titles" localSheetId="1">'Phụ lục số 2'!$A:$B,'Phụ lục số 2'!$7:$10</definedName>
    <definedName name="_xlnm.Print_Titles" localSheetId="5">'Phụ lục số 4'!$A:$B,'Phụ lục số 4'!$2:$8</definedName>
    <definedName name="_xlnm.Print_Titles" localSheetId="3">'Phụ lục số 5'!$A:$B,'Phụ lục số 5'!$2:$4</definedName>
    <definedName name="_xlnm.Print_Titles" localSheetId="19">'Phụ lục số 5 -HĐND'!$A:$B,'Phụ lục số 5 -HĐND'!$2:$4</definedName>
    <definedName name="_xlnm.Print_Titles" localSheetId="6">'Phụ lục số 6'!$A:$B</definedName>
    <definedName name="_xlnm.Print_Titles" localSheetId="20">'Phụ lục số 6-HĐND'!$A:$B</definedName>
    <definedName name="_xlnm.Print_Titles" localSheetId="21">'Phụ lục số 7-HĐND'!$A:$B,'Phụ lục số 7-HĐND'!$2:$8</definedName>
    <definedName name="_xlnm.Print_Titles" localSheetId="10">'Thu NSH'!$A:$B,'Thu NSH'!$2:$7</definedName>
  </definedNames>
  <calcPr calcId="125725"/>
</workbook>
</file>

<file path=xl/calcChain.xml><?xml version="1.0" encoding="utf-8"?>
<calcChain xmlns="http://schemas.openxmlformats.org/spreadsheetml/2006/main">
  <c r="C17" i="93"/>
  <c r="F21" i="98"/>
  <c r="H21"/>
  <c r="J21"/>
  <c r="C21"/>
  <c r="G11"/>
  <c r="G12"/>
  <c r="D12" s="1"/>
  <c r="G13"/>
  <c r="D13" s="1"/>
  <c r="G15"/>
  <c r="D15" s="1"/>
  <c r="G16"/>
  <c r="D16" s="1"/>
  <c r="G17"/>
  <c r="D17" s="1"/>
  <c r="G18"/>
  <c r="D18" s="1"/>
  <c r="G19"/>
  <c r="D19" s="1"/>
  <c r="G20"/>
  <c r="D20" s="1"/>
  <c r="G14"/>
  <c r="D14" s="1"/>
  <c r="G9"/>
  <c r="E21"/>
  <c r="E7" i="97"/>
  <c r="E11" s="1"/>
  <c r="D7"/>
  <c r="D11" s="1"/>
  <c r="C10"/>
  <c r="C9"/>
  <c r="C8"/>
  <c r="E8" i="95"/>
  <c r="D8"/>
  <c r="C8" s="1"/>
  <c r="C16"/>
  <c r="C17"/>
  <c r="C18"/>
  <c r="C19"/>
  <c r="C20"/>
  <c r="C21"/>
  <c r="C15"/>
  <c r="C13"/>
  <c r="C12"/>
  <c r="C11"/>
  <c r="C9"/>
  <c r="C30" i="94"/>
  <c r="C27"/>
  <c r="C26" s="1"/>
  <c r="C8"/>
  <c r="C9"/>
  <c r="C25" i="93"/>
  <c r="C16" s="1"/>
  <c r="C10"/>
  <c r="C7"/>
  <c r="C6" s="1"/>
  <c r="C21" i="92"/>
  <c r="C20" s="1"/>
  <c r="C14"/>
  <c r="C11"/>
  <c r="C10" s="1"/>
  <c r="C6"/>
  <c r="U64" i="84"/>
  <c r="T64"/>
  <c r="S64"/>
  <c r="R64"/>
  <c r="Q64"/>
  <c r="P64"/>
  <c r="O64"/>
  <c r="N64"/>
  <c r="M64"/>
  <c r="L64"/>
  <c r="K64"/>
  <c r="I64"/>
  <c r="H64"/>
  <c r="G64"/>
  <c r="F64"/>
  <c r="E64"/>
  <c r="D64"/>
  <c r="U63"/>
  <c r="J63" s="1"/>
  <c r="C63" s="1"/>
  <c r="U62"/>
  <c r="J62" s="1"/>
  <c r="C62" s="1"/>
  <c r="W61"/>
  <c r="W60" s="1"/>
  <c r="U61"/>
  <c r="Y60"/>
  <c r="X60"/>
  <c r="V60"/>
  <c r="T60"/>
  <c r="S60"/>
  <c r="R60"/>
  <c r="Q60"/>
  <c r="P60"/>
  <c r="O60"/>
  <c r="N60"/>
  <c r="M60"/>
  <c r="L60"/>
  <c r="K60"/>
  <c r="I60"/>
  <c r="H60"/>
  <c r="G60"/>
  <c r="F60"/>
  <c r="E60"/>
  <c r="D60"/>
  <c r="J59"/>
  <c r="C59" s="1"/>
  <c r="J58"/>
  <c r="C58" s="1"/>
  <c r="J57"/>
  <c r="C57" s="1"/>
  <c r="J56"/>
  <c r="C56" s="1"/>
  <c r="T55"/>
  <c r="J55" s="1"/>
  <c r="C55" s="1"/>
  <c r="Y54"/>
  <c r="Y52" s="1"/>
  <c r="J54"/>
  <c r="J53"/>
  <c r="C53"/>
  <c r="X52"/>
  <c r="W52"/>
  <c r="V52"/>
  <c r="U52"/>
  <c r="S52"/>
  <c r="R52"/>
  <c r="Q52"/>
  <c r="P52"/>
  <c r="O52"/>
  <c r="N52"/>
  <c r="M52"/>
  <c r="L52"/>
  <c r="K52"/>
  <c r="I52"/>
  <c r="H52"/>
  <c r="G52"/>
  <c r="F52"/>
  <c r="E52"/>
  <c r="D52"/>
  <c r="J51"/>
  <c r="C51" s="1"/>
  <c r="J50"/>
  <c r="C50" s="1"/>
  <c r="J49"/>
  <c r="C49" s="1"/>
  <c r="J48"/>
  <c r="C48" s="1"/>
  <c r="I48"/>
  <c r="I46" s="1"/>
  <c r="I45" s="1"/>
  <c r="H48"/>
  <c r="H46" s="1"/>
  <c r="H45" s="1"/>
  <c r="G48"/>
  <c r="G46" s="1"/>
  <c r="G45" s="1"/>
  <c r="F48"/>
  <c r="F46" s="1"/>
  <c r="F45" s="1"/>
  <c r="E48"/>
  <c r="E46" s="1"/>
  <c r="E45" s="1"/>
  <c r="D48"/>
  <c r="D46" s="1"/>
  <c r="D45" s="1"/>
  <c r="J47"/>
  <c r="C47" s="1"/>
  <c r="Y46"/>
  <c r="Y45" s="1"/>
  <c r="X46"/>
  <c r="X45" s="1"/>
  <c r="W46"/>
  <c r="W45" s="1"/>
  <c r="V46"/>
  <c r="U46"/>
  <c r="T46"/>
  <c r="S46"/>
  <c r="R46"/>
  <c r="Q46"/>
  <c r="P46"/>
  <c r="P45" s="1"/>
  <c r="O46"/>
  <c r="N46"/>
  <c r="M46"/>
  <c r="M45" s="1"/>
  <c r="L46"/>
  <c r="K46"/>
  <c r="O45"/>
  <c r="O44" s="1"/>
  <c r="O43" s="1"/>
  <c r="L45"/>
  <c r="Y43"/>
  <c r="X43"/>
  <c r="X10" s="1"/>
  <c r="W43"/>
  <c r="I43"/>
  <c r="H43"/>
  <c r="G43"/>
  <c r="F43"/>
  <c r="E43"/>
  <c r="D43"/>
  <c r="J42"/>
  <c r="C42" s="1"/>
  <c r="J41"/>
  <c r="C41" s="1"/>
  <c r="J40"/>
  <c r="C40" s="1"/>
  <c r="K39"/>
  <c r="J39" s="1"/>
  <c r="C39" s="1"/>
  <c r="J38"/>
  <c r="C38" s="1"/>
  <c r="J37"/>
  <c r="C37" s="1"/>
  <c r="J36"/>
  <c r="C36" s="1"/>
  <c r="J35"/>
  <c r="C35" s="1"/>
  <c r="J34"/>
  <c r="C34" s="1"/>
  <c r="I34"/>
  <c r="H34"/>
  <c r="G34"/>
  <c r="F34"/>
  <c r="E34"/>
  <c r="D34"/>
  <c r="J33"/>
  <c r="C33" s="1"/>
  <c r="T32"/>
  <c r="J32" s="1"/>
  <c r="C32" s="1"/>
  <c r="I32"/>
  <c r="H32"/>
  <c r="G32"/>
  <c r="F32"/>
  <c r="E32"/>
  <c r="D32"/>
  <c r="J31"/>
  <c r="C31" s="1"/>
  <c r="J30"/>
  <c r="C30" s="1"/>
  <c r="J29"/>
  <c r="C29" s="1"/>
  <c r="T28"/>
  <c r="J28" s="1"/>
  <c r="C28" s="1"/>
  <c r="Y27"/>
  <c r="J27"/>
  <c r="I27"/>
  <c r="H27"/>
  <c r="G27"/>
  <c r="F27"/>
  <c r="E27"/>
  <c r="D27"/>
  <c r="C27"/>
  <c r="J26"/>
  <c r="I26"/>
  <c r="H26"/>
  <c r="G26"/>
  <c r="F26"/>
  <c r="E26"/>
  <c r="D26"/>
  <c r="C26"/>
  <c r="J25"/>
  <c r="I25"/>
  <c r="H25"/>
  <c r="G25"/>
  <c r="F25"/>
  <c r="E25"/>
  <c r="D25"/>
  <c r="C25"/>
  <c r="J24"/>
  <c r="I24"/>
  <c r="H24"/>
  <c r="G24"/>
  <c r="F24"/>
  <c r="E24"/>
  <c r="D24"/>
  <c r="C24"/>
  <c r="Y23"/>
  <c r="J23"/>
  <c r="C23" s="1"/>
  <c r="I23"/>
  <c r="H23"/>
  <c r="G23"/>
  <c r="F23"/>
  <c r="E23"/>
  <c r="D23"/>
  <c r="J22"/>
  <c r="C22" s="1"/>
  <c r="I22"/>
  <c r="H22"/>
  <c r="G22"/>
  <c r="F22"/>
  <c r="E22"/>
  <c r="D22"/>
  <c r="J21"/>
  <c r="C21" s="1"/>
  <c r="I21"/>
  <c r="H21"/>
  <c r="G21"/>
  <c r="F21"/>
  <c r="E21"/>
  <c r="D21"/>
  <c r="T20"/>
  <c r="J20" s="1"/>
  <c r="C20" s="1"/>
  <c r="I20"/>
  <c r="H20"/>
  <c r="G20"/>
  <c r="F20"/>
  <c r="E20"/>
  <c r="D20"/>
  <c r="T19"/>
  <c r="J19" s="1"/>
  <c r="C19" s="1"/>
  <c r="I19"/>
  <c r="H19"/>
  <c r="G19"/>
  <c r="F19"/>
  <c r="E19"/>
  <c r="D19"/>
  <c r="T18"/>
  <c r="J18" s="1"/>
  <c r="C18" s="1"/>
  <c r="I18"/>
  <c r="H18"/>
  <c r="G18"/>
  <c r="F18"/>
  <c r="E18"/>
  <c r="D18"/>
  <c r="J17"/>
  <c r="C17" s="1"/>
  <c r="I17"/>
  <c r="H17"/>
  <c r="G17"/>
  <c r="F17"/>
  <c r="E17"/>
  <c r="D17"/>
  <c r="J16"/>
  <c r="C16" s="1"/>
  <c r="I16"/>
  <c r="H16"/>
  <c r="G16"/>
  <c r="F16"/>
  <c r="E16"/>
  <c r="D16"/>
  <c r="J15"/>
  <c r="C15" s="1"/>
  <c r="I15"/>
  <c r="H15"/>
  <c r="G15"/>
  <c r="F15"/>
  <c r="E15"/>
  <c r="D15"/>
  <c r="T14"/>
  <c r="J14" s="1"/>
  <c r="C14" s="1"/>
  <c r="K13"/>
  <c r="J13" s="1"/>
  <c r="C13" s="1"/>
  <c r="I13"/>
  <c r="H13"/>
  <c r="G13"/>
  <c r="F13"/>
  <c r="E13"/>
  <c r="D13"/>
  <c r="Y12"/>
  <c r="J12"/>
  <c r="I12"/>
  <c r="I10" s="1"/>
  <c r="I9" s="1"/>
  <c r="H12"/>
  <c r="G12"/>
  <c r="G10" s="1"/>
  <c r="G9" s="1"/>
  <c r="F12"/>
  <c r="F10" s="1"/>
  <c r="F9" s="1"/>
  <c r="E12"/>
  <c r="E10" s="1"/>
  <c r="E9" s="1"/>
  <c r="D12"/>
  <c r="T11"/>
  <c r="J11" s="1"/>
  <c r="C11" s="1"/>
  <c r="W10"/>
  <c r="H10"/>
  <c r="H9" s="1"/>
  <c r="D10"/>
  <c r="D9" s="1"/>
  <c r="K40" i="2"/>
  <c r="Y12" i="105"/>
  <c r="U64"/>
  <c r="T64"/>
  <c r="S64"/>
  <c r="R64"/>
  <c r="Q64"/>
  <c r="P64"/>
  <c r="O64"/>
  <c r="N64"/>
  <c r="M64"/>
  <c r="L64"/>
  <c r="K64"/>
  <c r="I64"/>
  <c r="H64"/>
  <c r="G64"/>
  <c r="F64"/>
  <c r="E64"/>
  <c r="D64"/>
  <c r="U63"/>
  <c r="J63" s="1"/>
  <c r="C63" s="1"/>
  <c r="U62"/>
  <c r="J62" s="1"/>
  <c r="C62" s="1"/>
  <c r="W61"/>
  <c r="W60" s="1"/>
  <c r="U61"/>
  <c r="J61" s="1"/>
  <c r="Y60"/>
  <c r="X60"/>
  <c r="V60"/>
  <c r="T60"/>
  <c r="S60"/>
  <c r="R60"/>
  <c r="Q60"/>
  <c r="P60"/>
  <c r="O60"/>
  <c r="N60"/>
  <c r="M60"/>
  <c r="L60"/>
  <c r="K60"/>
  <c r="I60"/>
  <c r="H60"/>
  <c r="G60"/>
  <c r="F60"/>
  <c r="E60"/>
  <c r="D60"/>
  <c r="J59"/>
  <c r="C59"/>
  <c r="J58"/>
  <c r="C58" s="1"/>
  <c r="J57"/>
  <c r="C57" s="1"/>
  <c r="J56"/>
  <c r="C56" s="1"/>
  <c r="T55"/>
  <c r="J55" s="1"/>
  <c r="Y54"/>
  <c r="Y52" s="1"/>
  <c r="J54"/>
  <c r="J53"/>
  <c r="C53" s="1"/>
  <c r="X52"/>
  <c r="W52"/>
  <c r="V52"/>
  <c r="U52"/>
  <c r="S52"/>
  <c r="R52"/>
  <c r="Q52"/>
  <c r="P52"/>
  <c r="O52"/>
  <c r="N52"/>
  <c r="M52"/>
  <c r="L52"/>
  <c r="K52"/>
  <c r="I52"/>
  <c r="H52"/>
  <c r="G52"/>
  <c r="F52"/>
  <c r="E52"/>
  <c r="D52"/>
  <c r="J51"/>
  <c r="C51" s="1"/>
  <c r="J50"/>
  <c r="C50" s="1"/>
  <c r="J49"/>
  <c r="C49" s="1"/>
  <c r="J48"/>
  <c r="C48" s="1"/>
  <c r="I48"/>
  <c r="I46" s="1"/>
  <c r="H48"/>
  <c r="H46" s="1"/>
  <c r="H45" s="1"/>
  <c r="G48"/>
  <c r="F48"/>
  <c r="F46" s="1"/>
  <c r="F45" s="1"/>
  <c r="E48"/>
  <c r="D48"/>
  <c r="D46" s="1"/>
  <c r="D45" s="1"/>
  <c r="J47"/>
  <c r="C47" s="1"/>
  <c r="Y46"/>
  <c r="Y45" s="1"/>
  <c r="X46"/>
  <c r="W46"/>
  <c r="W45" s="1"/>
  <c r="V46"/>
  <c r="U46"/>
  <c r="T46"/>
  <c r="S46"/>
  <c r="S45" s="1"/>
  <c r="R46"/>
  <c r="Q46"/>
  <c r="Q45" s="1"/>
  <c r="P46"/>
  <c r="P45" s="1"/>
  <c r="P44" s="1"/>
  <c r="P43" s="1"/>
  <c r="O46"/>
  <c r="O45" s="1"/>
  <c r="N46"/>
  <c r="M46"/>
  <c r="M45" s="1"/>
  <c r="M44" s="1"/>
  <c r="M43" s="1"/>
  <c r="M10" s="1"/>
  <c r="M9" s="1"/>
  <c r="L46"/>
  <c r="K46"/>
  <c r="K45" s="1"/>
  <c r="G46"/>
  <c r="G45" s="1"/>
  <c r="E46"/>
  <c r="E45" s="1"/>
  <c r="R45"/>
  <c r="R44" s="1"/>
  <c r="N45"/>
  <c r="N44" s="1"/>
  <c r="N43" s="1"/>
  <c r="I45"/>
  <c r="Y43"/>
  <c r="X43"/>
  <c r="W43"/>
  <c r="W10" s="1"/>
  <c r="I43"/>
  <c r="H43"/>
  <c r="G43"/>
  <c r="F43"/>
  <c r="E43"/>
  <c r="D43"/>
  <c r="J42"/>
  <c r="C42" s="1"/>
  <c r="J41"/>
  <c r="C41" s="1"/>
  <c r="J40"/>
  <c r="C40" s="1"/>
  <c r="K39"/>
  <c r="J39" s="1"/>
  <c r="C39" s="1"/>
  <c r="J38"/>
  <c r="C38" s="1"/>
  <c r="J37"/>
  <c r="C37" s="1"/>
  <c r="J36"/>
  <c r="C36" s="1"/>
  <c r="J35"/>
  <c r="C35" s="1"/>
  <c r="J34"/>
  <c r="I34"/>
  <c r="H34"/>
  <c r="G34"/>
  <c r="F34"/>
  <c r="E34"/>
  <c r="D34"/>
  <c r="C34"/>
  <c r="J33"/>
  <c r="C33" s="1"/>
  <c r="T32"/>
  <c r="J32"/>
  <c r="C32" s="1"/>
  <c r="I32"/>
  <c r="H32"/>
  <c r="G32"/>
  <c r="F32"/>
  <c r="E32"/>
  <c r="D32"/>
  <c r="J31"/>
  <c r="C31" s="1"/>
  <c r="J30"/>
  <c r="C30" s="1"/>
  <c r="J29"/>
  <c r="C29" s="1"/>
  <c r="T28"/>
  <c r="J28" s="1"/>
  <c r="C28" s="1"/>
  <c r="Y27"/>
  <c r="J27"/>
  <c r="C27" s="1"/>
  <c r="I27"/>
  <c r="H27"/>
  <c r="G27"/>
  <c r="F27"/>
  <c r="E27"/>
  <c r="D27"/>
  <c r="J26"/>
  <c r="C26" s="1"/>
  <c r="I26"/>
  <c r="H26"/>
  <c r="G26"/>
  <c r="F26"/>
  <c r="E26"/>
  <c r="D26"/>
  <c r="J25"/>
  <c r="C25" s="1"/>
  <c r="I25"/>
  <c r="H25"/>
  <c r="G25"/>
  <c r="F25"/>
  <c r="E25"/>
  <c r="D25"/>
  <c r="J24"/>
  <c r="C24" s="1"/>
  <c r="I24"/>
  <c r="H24"/>
  <c r="G24"/>
  <c r="F24"/>
  <c r="E24"/>
  <c r="D24"/>
  <c r="Y23"/>
  <c r="C23" s="1"/>
  <c r="J23"/>
  <c r="I23"/>
  <c r="H23"/>
  <c r="G23"/>
  <c r="F23"/>
  <c r="E23"/>
  <c r="D23"/>
  <c r="J22"/>
  <c r="C22" s="1"/>
  <c r="I22"/>
  <c r="H22"/>
  <c r="G22"/>
  <c r="F22"/>
  <c r="E22"/>
  <c r="D22"/>
  <c r="J21"/>
  <c r="C21" s="1"/>
  <c r="I21"/>
  <c r="H21"/>
  <c r="G21"/>
  <c r="F21"/>
  <c r="E21"/>
  <c r="D21"/>
  <c r="T20"/>
  <c r="J20" s="1"/>
  <c r="C20" s="1"/>
  <c r="I20"/>
  <c r="H20"/>
  <c r="G20"/>
  <c r="F20"/>
  <c r="E20"/>
  <c r="D20"/>
  <c r="T19"/>
  <c r="J19" s="1"/>
  <c r="C19" s="1"/>
  <c r="I19"/>
  <c r="H19"/>
  <c r="G19"/>
  <c r="F19"/>
  <c r="E19"/>
  <c r="D19"/>
  <c r="T18"/>
  <c r="J18" s="1"/>
  <c r="C18" s="1"/>
  <c r="I18"/>
  <c r="H18"/>
  <c r="G18"/>
  <c r="F18"/>
  <c r="E18"/>
  <c r="D18"/>
  <c r="J17"/>
  <c r="C17" s="1"/>
  <c r="I17"/>
  <c r="H17"/>
  <c r="G17"/>
  <c r="F17"/>
  <c r="E17"/>
  <c r="D17"/>
  <c r="J16"/>
  <c r="C16" s="1"/>
  <c r="I16"/>
  <c r="H16"/>
  <c r="G16"/>
  <c r="F16"/>
  <c r="E16"/>
  <c r="D16"/>
  <c r="J15"/>
  <c r="C15" s="1"/>
  <c r="I15"/>
  <c r="H15"/>
  <c r="G15"/>
  <c r="F15"/>
  <c r="E15"/>
  <c r="D15"/>
  <c r="T14"/>
  <c r="J14" s="1"/>
  <c r="C14" s="1"/>
  <c r="K13"/>
  <c r="I13"/>
  <c r="H13"/>
  <c r="G13"/>
  <c r="F13"/>
  <c r="E13"/>
  <c r="D13"/>
  <c r="J12"/>
  <c r="C12" s="1"/>
  <c r="I12"/>
  <c r="I10" s="1"/>
  <c r="I9" s="1"/>
  <c r="H12"/>
  <c r="G12"/>
  <c r="G10" s="1"/>
  <c r="G9" s="1"/>
  <c r="F12"/>
  <c r="F10" s="1"/>
  <c r="F9" s="1"/>
  <c r="E12"/>
  <c r="E10" s="1"/>
  <c r="E9" s="1"/>
  <c r="D12"/>
  <c r="D10" s="1"/>
  <c r="D9" s="1"/>
  <c r="T11"/>
  <c r="J11" s="1"/>
  <c r="C11" s="1"/>
  <c r="X10"/>
  <c r="H10"/>
  <c r="H9" s="1"/>
  <c r="N112" i="84"/>
  <c r="I42" i="2"/>
  <c r="J95" i="105"/>
  <c r="J94"/>
  <c r="C94" s="1"/>
  <c r="J93"/>
  <c r="C93" s="1"/>
  <c r="J92"/>
  <c r="C92" s="1"/>
  <c r="V91"/>
  <c r="J90"/>
  <c r="C90" s="1"/>
  <c r="J89"/>
  <c r="C89" s="1"/>
  <c r="J88"/>
  <c r="C88" s="1"/>
  <c r="J87"/>
  <c r="C87" s="1"/>
  <c r="J86"/>
  <c r="C86" s="1"/>
  <c r="J85"/>
  <c r="C85" s="1"/>
  <c r="J84"/>
  <c r="C84" s="1"/>
  <c r="J83"/>
  <c r="C83" s="1"/>
  <c r="J82"/>
  <c r="C82" s="1"/>
  <c r="J81"/>
  <c r="C81" s="1"/>
  <c r="J80"/>
  <c r="C80" s="1"/>
  <c r="J79"/>
  <c r="C79" s="1"/>
  <c r="J78"/>
  <c r="C78" s="1"/>
  <c r="J77"/>
  <c r="C77" s="1"/>
  <c r="J76"/>
  <c r="C76" s="1"/>
  <c r="J75"/>
  <c r="C75" s="1"/>
  <c r="J74"/>
  <c r="C74" s="1"/>
  <c r="J73"/>
  <c r="C73" s="1"/>
  <c r="J72"/>
  <c r="C72" s="1"/>
  <c r="J71"/>
  <c r="C71" s="1"/>
  <c r="J70"/>
  <c r="C70" s="1"/>
  <c r="J69"/>
  <c r="C69" s="1"/>
  <c r="J68"/>
  <c r="C68" s="1"/>
  <c r="J67"/>
  <c r="C67" s="1"/>
  <c r="J66"/>
  <c r="C66" s="1"/>
  <c r="J65"/>
  <c r="C65" s="1"/>
  <c r="AF46"/>
  <c r="AB44"/>
  <c r="AD44" s="1"/>
  <c r="AD46" s="1"/>
  <c r="E32" i="104"/>
  <c r="O30"/>
  <c r="N30"/>
  <c r="M30"/>
  <c r="L30"/>
  <c r="K30"/>
  <c r="J30"/>
  <c r="I30"/>
  <c r="H30"/>
  <c r="G30"/>
  <c r="F30"/>
  <c r="E30"/>
  <c r="D30"/>
  <c r="C29"/>
  <c r="C28"/>
  <c r="O24"/>
  <c r="N24"/>
  <c r="M24"/>
  <c r="L24"/>
  <c r="K24"/>
  <c r="J24"/>
  <c r="I24"/>
  <c r="H24"/>
  <c r="G24"/>
  <c r="D24"/>
  <c r="C9"/>
  <c r="C6"/>
  <c r="K32" i="103"/>
  <c r="AO31"/>
  <c r="AL31"/>
  <c r="AI31"/>
  <c r="AF31"/>
  <c r="AC31"/>
  <c r="Z31"/>
  <c r="W31"/>
  <c r="T31"/>
  <c r="Q31"/>
  <c r="N31"/>
  <c r="K31"/>
  <c r="H31"/>
  <c r="C31"/>
  <c r="AM30"/>
  <c r="AJ30"/>
  <c r="AG30"/>
  <c r="AI30" s="1"/>
  <c r="AD30"/>
  <c r="AF30" s="1"/>
  <c r="AA30"/>
  <c r="AC30" s="1"/>
  <c r="X30"/>
  <c r="Z30" s="1"/>
  <c r="U30"/>
  <c r="W30" s="1"/>
  <c r="R30"/>
  <c r="O30"/>
  <c r="Q30" s="1"/>
  <c r="L30"/>
  <c r="I30"/>
  <c r="K30" s="1"/>
  <c r="F30"/>
  <c r="H30"/>
  <c r="AM29"/>
  <c r="AO29" s="1"/>
  <c r="AJ29"/>
  <c r="AL29" s="1"/>
  <c r="AG29"/>
  <c r="AI29" s="1"/>
  <c r="AD29"/>
  <c r="AF29" s="1"/>
  <c r="AA29"/>
  <c r="AC29" s="1"/>
  <c r="X29"/>
  <c r="U29"/>
  <c r="W29" s="1"/>
  <c r="R29"/>
  <c r="O29"/>
  <c r="L29"/>
  <c r="I29"/>
  <c r="K29" s="1"/>
  <c r="F29"/>
  <c r="H29" s="1"/>
  <c r="AM21"/>
  <c r="AO21" s="1"/>
  <c r="AJ21"/>
  <c r="AL21" s="1"/>
  <c r="AG21"/>
  <c r="AI21" s="1"/>
  <c r="AD21"/>
  <c r="AF21" s="1"/>
  <c r="AA21"/>
  <c r="AC21" s="1"/>
  <c r="X21"/>
  <c r="Z21" s="1"/>
  <c r="U21"/>
  <c r="W21" s="1"/>
  <c r="R21"/>
  <c r="T21" s="1"/>
  <c r="O21"/>
  <c r="Q21" s="1"/>
  <c r="L21"/>
  <c r="N21" s="1"/>
  <c r="I21"/>
  <c r="K21" s="1"/>
  <c r="F21"/>
  <c r="AM20"/>
  <c r="AO20" s="1"/>
  <c r="AJ20"/>
  <c r="AL20" s="1"/>
  <c r="AG20"/>
  <c r="AI20" s="1"/>
  <c r="AD20"/>
  <c r="AF20" s="1"/>
  <c r="AA20"/>
  <c r="AC20" s="1"/>
  <c r="X20"/>
  <c r="Z20" s="1"/>
  <c r="U20"/>
  <c r="W20" s="1"/>
  <c r="R20"/>
  <c r="T20" s="1"/>
  <c r="O20"/>
  <c r="Q20" s="1"/>
  <c r="L20"/>
  <c r="N20" s="1"/>
  <c r="I20"/>
  <c r="K20" s="1"/>
  <c r="F20"/>
  <c r="AM19"/>
  <c r="AO19" s="1"/>
  <c r="AG19"/>
  <c r="AI19" s="1"/>
  <c r="AD19"/>
  <c r="AF19" s="1"/>
  <c r="X19"/>
  <c r="Z19" s="1"/>
  <c r="U19"/>
  <c r="W19" s="1"/>
  <c r="R19"/>
  <c r="T19" s="1"/>
  <c r="O19"/>
  <c r="Q19" s="1"/>
  <c r="N19"/>
  <c r="L19"/>
  <c r="I19"/>
  <c r="K19" s="1"/>
  <c r="F19"/>
  <c r="H19" s="1"/>
  <c r="AM18"/>
  <c r="AO18" s="1"/>
  <c r="AJ18"/>
  <c r="AL18" s="1"/>
  <c r="AG18"/>
  <c r="AI18" s="1"/>
  <c r="AD18"/>
  <c r="AF18" s="1"/>
  <c r="AA18"/>
  <c r="AC18" s="1"/>
  <c r="X18"/>
  <c r="Z18" s="1"/>
  <c r="U18"/>
  <c r="W18" s="1"/>
  <c r="R18"/>
  <c r="T18" s="1"/>
  <c r="O18"/>
  <c r="Q18" s="1"/>
  <c r="L18"/>
  <c r="N18" s="1"/>
  <c r="I18"/>
  <c r="K18" s="1"/>
  <c r="F18"/>
  <c r="H18" s="1"/>
  <c r="AM17"/>
  <c r="AO17" s="1"/>
  <c r="AJ17"/>
  <c r="AL17" s="1"/>
  <c r="AG17"/>
  <c r="AI17" s="1"/>
  <c r="AD17"/>
  <c r="AF17" s="1"/>
  <c r="AA17"/>
  <c r="AC17" s="1"/>
  <c r="X17"/>
  <c r="Z17" s="1"/>
  <c r="W17"/>
  <c r="R17"/>
  <c r="T17" s="1"/>
  <c r="Q17"/>
  <c r="L17"/>
  <c r="N17" s="1"/>
  <c r="I17"/>
  <c r="K17" s="1"/>
  <c r="F17"/>
  <c r="H17" s="1"/>
  <c r="AM16"/>
  <c r="AO16" s="1"/>
  <c r="AJ16"/>
  <c r="AL16" s="1"/>
  <c r="AG16"/>
  <c r="AI16" s="1"/>
  <c r="AD16"/>
  <c r="AF16" s="1"/>
  <c r="AA16"/>
  <c r="AC16" s="1"/>
  <c r="X16"/>
  <c r="Z16" s="1"/>
  <c r="U16"/>
  <c r="W16" s="1"/>
  <c r="R16"/>
  <c r="T16" s="1"/>
  <c r="O16"/>
  <c r="Q16" s="1"/>
  <c r="L16"/>
  <c r="N16" s="1"/>
  <c r="I16"/>
  <c r="K16" s="1"/>
  <c r="F16"/>
  <c r="H16" s="1"/>
  <c r="AM15"/>
  <c r="AO15" s="1"/>
  <c r="AJ15"/>
  <c r="AL15" s="1"/>
  <c r="AG15"/>
  <c r="AI15" s="1"/>
  <c r="AD15"/>
  <c r="AF15" s="1"/>
  <c r="AA15"/>
  <c r="AC15" s="1"/>
  <c r="X15"/>
  <c r="Z15" s="1"/>
  <c r="U15"/>
  <c r="W15" s="1"/>
  <c r="R15"/>
  <c r="T15" s="1"/>
  <c r="O15"/>
  <c r="Q15" s="1"/>
  <c r="L15"/>
  <c r="N15" s="1"/>
  <c r="I15"/>
  <c r="K15" s="1"/>
  <c r="F15"/>
  <c r="H15" s="1"/>
  <c r="AM14"/>
  <c r="AO14" s="1"/>
  <c r="AJ14"/>
  <c r="AL14" s="1"/>
  <c r="AG14"/>
  <c r="AI14" s="1"/>
  <c r="AD14"/>
  <c r="AF14" s="1"/>
  <c r="AA14"/>
  <c r="AC14" s="1"/>
  <c r="X14"/>
  <c r="Z14" s="1"/>
  <c r="U14"/>
  <c r="W14" s="1"/>
  <c r="R14"/>
  <c r="T14" s="1"/>
  <c r="O14"/>
  <c r="Q14" s="1"/>
  <c r="L14"/>
  <c r="N14" s="1"/>
  <c r="I14"/>
  <c r="K14" s="1"/>
  <c r="F14"/>
  <c r="AM13"/>
  <c r="AO13" s="1"/>
  <c r="AJ13"/>
  <c r="AL13" s="1"/>
  <c r="AG13"/>
  <c r="AI13" s="1"/>
  <c r="AD13"/>
  <c r="AF13" s="1"/>
  <c r="AA13"/>
  <c r="AC13" s="1"/>
  <c r="X13"/>
  <c r="Z13" s="1"/>
  <c r="U13"/>
  <c r="W13" s="1"/>
  <c r="R13"/>
  <c r="T13" s="1"/>
  <c r="O13"/>
  <c r="Q13" s="1"/>
  <c r="L13"/>
  <c r="N13" s="1"/>
  <c r="I13"/>
  <c r="K13" s="1"/>
  <c r="F13"/>
  <c r="H13" s="1"/>
  <c r="AM12"/>
  <c r="AO12" s="1"/>
  <c r="AJ12"/>
  <c r="AL12" s="1"/>
  <c r="AG12"/>
  <c r="AI12" s="1"/>
  <c r="AD12"/>
  <c r="AF12" s="1"/>
  <c r="AA12"/>
  <c r="AC12" s="1"/>
  <c r="X12"/>
  <c r="Z12" s="1"/>
  <c r="U12"/>
  <c r="W12" s="1"/>
  <c r="R12"/>
  <c r="T12" s="1"/>
  <c r="O12"/>
  <c r="Q12" s="1"/>
  <c r="L12"/>
  <c r="N12" s="1"/>
  <c r="I12"/>
  <c r="K12" s="1"/>
  <c r="F12"/>
  <c r="AM11"/>
  <c r="AO11" s="1"/>
  <c r="AJ11"/>
  <c r="AL11" s="1"/>
  <c r="AG11"/>
  <c r="AI11" s="1"/>
  <c r="AD11"/>
  <c r="AF11" s="1"/>
  <c r="AA11"/>
  <c r="AC11" s="1"/>
  <c r="X11"/>
  <c r="Z11" s="1"/>
  <c r="U11"/>
  <c r="W11" s="1"/>
  <c r="R11"/>
  <c r="T11" s="1"/>
  <c r="O11"/>
  <c r="Q11" s="1"/>
  <c r="L11"/>
  <c r="N11" s="1"/>
  <c r="I11"/>
  <c r="K11" s="1"/>
  <c r="F11"/>
  <c r="H11" s="1"/>
  <c r="AO10"/>
  <c r="E10" s="1"/>
  <c r="D10" s="1"/>
  <c r="AM10"/>
  <c r="AJ10"/>
  <c r="AG10"/>
  <c r="AD10"/>
  <c r="AA10"/>
  <c r="X10"/>
  <c r="U10"/>
  <c r="R10"/>
  <c r="O10"/>
  <c r="L10"/>
  <c r="I10"/>
  <c r="F10"/>
  <c r="AM9"/>
  <c r="AO9" s="1"/>
  <c r="AJ9"/>
  <c r="AL9" s="1"/>
  <c r="AG9"/>
  <c r="AI9" s="1"/>
  <c r="AD9"/>
  <c r="AF9" s="1"/>
  <c r="AA9"/>
  <c r="AC9" s="1"/>
  <c r="X9"/>
  <c r="Z9" s="1"/>
  <c r="U9"/>
  <c r="W9" s="1"/>
  <c r="R9"/>
  <c r="T9" s="1"/>
  <c r="O9"/>
  <c r="Q9" s="1"/>
  <c r="L9"/>
  <c r="N9" s="1"/>
  <c r="I9"/>
  <c r="K9" s="1"/>
  <c r="F9"/>
  <c r="AM8"/>
  <c r="AO8" s="1"/>
  <c r="AJ8"/>
  <c r="AL8" s="1"/>
  <c r="AG8"/>
  <c r="AI8" s="1"/>
  <c r="AD8"/>
  <c r="AF8" s="1"/>
  <c r="AA8"/>
  <c r="AC8"/>
  <c r="X8"/>
  <c r="Z8" s="1"/>
  <c r="U8"/>
  <c r="W8" s="1"/>
  <c r="R8"/>
  <c r="O8"/>
  <c r="Q8" s="1"/>
  <c r="L8"/>
  <c r="N8" s="1"/>
  <c r="I8"/>
  <c r="K8" s="1"/>
  <c r="F8"/>
  <c r="AM7"/>
  <c r="AJ7"/>
  <c r="AL7" s="1"/>
  <c r="AG7"/>
  <c r="AD7"/>
  <c r="AF7" s="1"/>
  <c r="AA7"/>
  <c r="AA6" s="1"/>
  <c r="X7"/>
  <c r="Z7" s="1"/>
  <c r="U7"/>
  <c r="R7"/>
  <c r="T7" s="1"/>
  <c r="O7"/>
  <c r="L7"/>
  <c r="N7" s="1"/>
  <c r="I7"/>
  <c r="I6" s="1"/>
  <c r="F7"/>
  <c r="H7" s="1"/>
  <c r="D5" i="60"/>
  <c r="E5"/>
  <c r="C6"/>
  <c r="C7"/>
  <c r="C8"/>
  <c r="C9"/>
  <c r="C10"/>
  <c r="C11"/>
  <c r="C12"/>
  <c r="C13"/>
  <c r="C14"/>
  <c r="C7" i="78"/>
  <c r="E7"/>
  <c r="F7" s="1"/>
  <c r="G7"/>
  <c r="H7" s="1"/>
  <c r="Q7"/>
  <c r="Q19" s="1"/>
  <c r="C8"/>
  <c r="E8"/>
  <c r="F8" s="1"/>
  <c r="G8"/>
  <c r="H8" s="1"/>
  <c r="I8" s="1"/>
  <c r="Q8"/>
  <c r="C9"/>
  <c r="E9" s="1"/>
  <c r="F9" s="1"/>
  <c r="G9"/>
  <c r="G25" s="1"/>
  <c r="I9"/>
  <c r="Q9"/>
  <c r="C10"/>
  <c r="E10" s="1"/>
  <c r="F10" s="1"/>
  <c r="G10"/>
  <c r="G27" s="1"/>
  <c r="I10"/>
  <c r="Q10"/>
  <c r="C11"/>
  <c r="E11" s="1"/>
  <c r="F11" s="1"/>
  <c r="G11"/>
  <c r="G29" s="1"/>
  <c r="I11"/>
  <c r="Q11"/>
  <c r="C12"/>
  <c r="E12" s="1"/>
  <c r="F12" s="1"/>
  <c r="K12" s="1"/>
  <c r="G12"/>
  <c r="G31" s="1"/>
  <c r="Q12"/>
  <c r="C13"/>
  <c r="E13" s="1"/>
  <c r="F13" s="1"/>
  <c r="G13"/>
  <c r="G33" s="1"/>
  <c r="I13"/>
  <c r="Q13"/>
  <c r="C14"/>
  <c r="E14" s="1"/>
  <c r="F14" s="1"/>
  <c r="G14"/>
  <c r="H14" s="1"/>
  <c r="I14" s="1"/>
  <c r="Q14"/>
  <c r="C15"/>
  <c r="D15"/>
  <c r="D19" s="1"/>
  <c r="G15"/>
  <c r="Q15"/>
  <c r="C16"/>
  <c r="E16" s="1"/>
  <c r="F16" s="1"/>
  <c r="G16"/>
  <c r="H16" s="1"/>
  <c r="I16" s="1"/>
  <c r="Q16"/>
  <c r="C17"/>
  <c r="E17" s="1"/>
  <c r="F17" s="1"/>
  <c r="G17"/>
  <c r="H17" s="1"/>
  <c r="I17" s="1"/>
  <c r="Q17"/>
  <c r="C18"/>
  <c r="E18" s="1"/>
  <c r="F18" s="1"/>
  <c r="K18" s="1"/>
  <c r="N18" s="1"/>
  <c r="O18" s="1"/>
  <c r="P18" s="1"/>
  <c r="R18" s="1"/>
  <c r="G18"/>
  <c r="H18" s="1"/>
  <c r="I18" s="1"/>
  <c r="Q18"/>
  <c r="J19"/>
  <c r="H21"/>
  <c r="I21" s="1"/>
  <c r="I22" s="1"/>
  <c r="G23"/>
  <c r="H23"/>
  <c r="I23" s="1"/>
  <c r="I24" s="1"/>
  <c r="H25"/>
  <c r="I25" s="1"/>
  <c r="I26" s="1"/>
  <c r="J25"/>
  <c r="H27"/>
  <c r="I27" s="1"/>
  <c r="I28" s="1"/>
  <c r="H29"/>
  <c r="I29" s="1"/>
  <c r="I30" s="1"/>
  <c r="H31"/>
  <c r="H33"/>
  <c r="I33" s="1"/>
  <c r="I34" s="1"/>
  <c r="H35"/>
  <c r="I35" s="1"/>
  <c r="I36" s="1"/>
  <c r="H37"/>
  <c r="I37" s="1"/>
  <c r="I38" s="1"/>
  <c r="H39"/>
  <c r="H41"/>
  <c r="H43"/>
  <c r="C19" i="91"/>
  <c r="B21"/>
  <c r="B19" s="1"/>
  <c r="D21"/>
  <c r="D19" s="1"/>
  <c r="D23"/>
  <c r="B26"/>
  <c r="B27"/>
  <c r="D7" i="89"/>
  <c r="E7"/>
  <c r="C8"/>
  <c r="C9"/>
  <c r="C10"/>
  <c r="C11"/>
  <c r="C12"/>
  <c r="C13"/>
  <c r="C14"/>
  <c r="C15"/>
  <c r="C16"/>
  <c r="C17"/>
  <c r="C18"/>
  <c r="C19"/>
  <c r="C20"/>
  <c r="C21"/>
  <c r="C22"/>
  <c r="C23"/>
  <c r="D25"/>
  <c r="E25"/>
  <c r="C26"/>
  <c r="C27"/>
  <c r="C28"/>
  <c r="C29"/>
  <c r="C30"/>
  <c r="C31"/>
  <c r="C32"/>
  <c r="C33"/>
  <c r="C34"/>
  <c r="C35"/>
  <c r="C36"/>
  <c r="C37"/>
  <c r="C38"/>
  <c r="D39"/>
  <c r="C40"/>
  <c r="C41"/>
  <c r="C42"/>
  <c r="C43"/>
  <c r="E45"/>
  <c r="C45" s="1"/>
  <c r="E46"/>
  <c r="C46" s="1"/>
  <c r="C47"/>
  <c r="C48"/>
  <c r="C49"/>
  <c r="C50"/>
  <c r="C51"/>
  <c r="C52"/>
  <c r="C53"/>
  <c r="C54"/>
  <c r="C55"/>
  <c r="C56"/>
  <c r="C57"/>
  <c r="C58"/>
  <c r="C59"/>
  <c r="C60"/>
  <c r="C61"/>
  <c r="C62"/>
  <c r="C63"/>
  <c r="C64"/>
  <c r="C65"/>
  <c r="C12" i="90"/>
  <c r="C13"/>
  <c r="D14"/>
  <c r="D23"/>
  <c r="D26"/>
  <c r="E26"/>
  <c r="C18" i="88"/>
  <c r="C19"/>
  <c r="C21"/>
  <c r="C23"/>
  <c r="C28" i="87"/>
  <c r="C32"/>
  <c r="D13" i="72"/>
  <c r="C22" i="70" s="1"/>
  <c r="D14" i="72"/>
  <c r="D23"/>
  <c r="D26"/>
  <c r="E26"/>
  <c r="C18" i="71"/>
  <c r="C19"/>
  <c r="C21"/>
  <c r="C23"/>
  <c r="C17" i="70"/>
  <c r="C38"/>
  <c r="C42"/>
  <c r="C51"/>
  <c r="C52"/>
  <c r="C56"/>
  <c r="C57"/>
  <c r="C65"/>
  <c r="D8" i="86"/>
  <c r="E10"/>
  <c r="G11"/>
  <c r="C18"/>
  <c r="E21"/>
  <c r="E27"/>
  <c r="E28"/>
  <c r="F35"/>
  <c r="C28" i="69"/>
  <c r="C32"/>
  <c r="C9" i="77"/>
  <c r="C10"/>
  <c r="C11"/>
  <c r="C12"/>
  <c r="C13"/>
  <c r="C14"/>
  <c r="D15"/>
  <c r="G15"/>
  <c r="N15"/>
  <c r="C16"/>
  <c r="C17"/>
  <c r="C18"/>
  <c r="C19"/>
  <c r="D20"/>
  <c r="E20"/>
  <c r="F20"/>
  <c r="G20"/>
  <c r="H20"/>
  <c r="I20"/>
  <c r="J20"/>
  <c r="K20"/>
  <c r="L20"/>
  <c r="M20"/>
  <c r="N20"/>
  <c r="O20"/>
  <c r="C21"/>
  <c r="D23"/>
  <c r="D31" s="1"/>
  <c r="E23"/>
  <c r="E27" s="1"/>
  <c r="F23"/>
  <c r="F27" s="1"/>
  <c r="G23"/>
  <c r="G27" s="1"/>
  <c r="H23"/>
  <c r="H27" s="1"/>
  <c r="I23"/>
  <c r="I27" s="1"/>
  <c r="J23"/>
  <c r="J31" s="1"/>
  <c r="K23"/>
  <c r="K27" s="1"/>
  <c r="L23"/>
  <c r="L31" s="1"/>
  <c r="M23"/>
  <c r="M27" s="1"/>
  <c r="N23"/>
  <c r="N31" s="1"/>
  <c r="O23"/>
  <c r="O27" s="1"/>
  <c r="D27"/>
  <c r="L27"/>
  <c r="L29" s="1"/>
  <c r="L33" s="1"/>
  <c r="N27"/>
  <c r="N29" s="1"/>
  <c r="N33" s="1"/>
  <c r="D28"/>
  <c r="E28"/>
  <c r="F28"/>
  <c r="G28"/>
  <c r="H28"/>
  <c r="I28"/>
  <c r="J28"/>
  <c r="K28"/>
  <c r="K29" s="1"/>
  <c r="K33" s="1"/>
  <c r="L28"/>
  <c r="M28"/>
  <c r="N28"/>
  <c r="O28"/>
  <c r="K31"/>
  <c r="O10" i="74"/>
  <c r="O8" s="1"/>
  <c r="O9" s="1"/>
  <c r="Q10"/>
  <c r="Q8" s="1"/>
  <c r="Q9" s="1"/>
  <c r="S10"/>
  <c r="U10"/>
  <c r="U8" s="1"/>
  <c r="AA10"/>
  <c r="AA8" s="1"/>
  <c r="AA9" s="1"/>
  <c r="AC10"/>
  <c r="AC8" s="1"/>
  <c r="AC9" s="1"/>
  <c r="AE10"/>
  <c r="AG10"/>
  <c r="AM10"/>
  <c r="AM8" s="1"/>
  <c r="AM9" s="1"/>
  <c r="AO10"/>
  <c r="AO8" s="1"/>
  <c r="AO9" s="1"/>
  <c r="AQ10"/>
  <c r="AS10"/>
  <c r="AS8" s="1"/>
  <c r="AU10"/>
  <c r="AY10"/>
  <c r="AY8" s="1"/>
  <c r="AY9" s="1"/>
  <c r="BA10"/>
  <c r="BA8" s="1"/>
  <c r="BA9" s="1"/>
  <c r="BC10"/>
  <c r="BE10"/>
  <c r="BK10"/>
  <c r="BK8" s="1"/>
  <c r="BK9" s="1"/>
  <c r="BM10"/>
  <c r="BM8" s="1"/>
  <c r="BM9" s="1"/>
  <c r="BO10"/>
  <c r="BQ10"/>
  <c r="BQ8" s="1"/>
  <c r="BW10"/>
  <c r="BW8" s="1"/>
  <c r="BW9" s="1"/>
  <c r="BY10"/>
  <c r="BY8" s="1"/>
  <c r="BY9" s="1"/>
  <c r="CA10"/>
  <c r="CC10"/>
  <c r="CI10"/>
  <c r="CI8" s="1"/>
  <c r="CI9" s="1"/>
  <c r="CK10"/>
  <c r="CK8" s="1"/>
  <c r="CK9" s="1"/>
  <c r="CM10"/>
  <c r="CM8" s="1"/>
  <c r="CO10"/>
  <c r="CO8" s="1"/>
  <c r="CU10"/>
  <c r="CU8" s="1"/>
  <c r="CU9" s="1"/>
  <c r="CW10"/>
  <c r="CW8" s="1"/>
  <c r="CW9" s="1"/>
  <c r="CY10"/>
  <c r="DA10"/>
  <c r="DC10" s="1"/>
  <c r="DG10"/>
  <c r="DG8" s="1"/>
  <c r="DG9" s="1"/>
  <c r="DI10"/>
  <c r="DI8" s="1"/>
  <c r="DI9" s="1"/>
  <c r="DK10"/>
  <c r="DM10"/>
  <c r="DM8" s="1"/>
  <c r="DS10"/>
  <c r="DS8" s="1"/>
  <c r="DS9" s="1"/>
  <c r="DU10"/>
  <c r="DU8" s="1"/>
  <c r="DU9" s="1"/>
  <c r="DW10"/>
  <c r="DY10"/>
  <c r="EE10"/>
  <c r="EE8" s="1"/>
  <c r="EE9" s="1"/>
  <c r="EG10"/>
  <c r="EI10"/>
  <c r="EK10"/>
  <c r="EM10"/>
  <c r="EQ10"/>
  <c r="EQ8" s="1"/>
  <c r="EQ9" s="1"/>
  <c r="ES10"/>
  <c r="EU10"/>
  <c r="EW10"/>
  <c r="C11"/>
  <c r="E11"/>
  <c r="G11"/>
  <c r="I11"/>
  <c r="P11"/>
  <c r="R11"/>
  <c r="T11"/>
  <c r="V11"/>
  <c r="W11"/>
  <c r="X11"/>
  <c r="Y11"/>
  <c r="Z11"/>
  <c r="AB11"/>
  <c r="AD11"/>
  <c r="AF11"/>
  <c r="AH11"/>
  <c r="AI11"/>
  <c r="AJ11"/>
  <c r="AK11"/>
  <c r="AL11"/>
  <c r="AN11"/>
  <c r="AP11"/>
  <c r="AR11"/>
  <c r="AT11"/>
  <c r="AU11"/>
  <c r="AV11"/>
  <c r="AW11"/>
  <c r="AX11"/>
  <c r="AZ11"/>
  <c r="BB11"/>
  <c r="BD11"/>
  <c r="BF11"/>
  <c r="BG11"/>
  <c r="BH11"/>
  <c r="BI11"/>
  <c r="BJ11"/>
  <c r="BL11"/>
  <c r="BN11"/>
  <c r="BP11"/>
  <c r="BR11"/>
  <c r="BS11"/>
  <c r="BT11"/>
  <c r="BU11"/>
  <c r="BV11"/>
  <c r="BX11"/>
  <c r="BZ11"/>
  <c r="CB11"/>
  <c r="CD11"/>
  <c r="CE11"/>
  <c r="CF11"/>
  <c r="CG11"/>
  <c r="CH11"/>
  <c r="CJ11"/>
  <c r="CL11"/>
  <c r="CN11"/>
  <c r="CP11"/>
  <c r="CQ11"/>
  <c r="CR11"/>
  <c r="CS11"/>
  <c r="CT11"/>
  <c r="CV11"/>
  <c r="CX11"/>
  <c r="CZ11"/>
  <c r="DB11"/>
  <c r="DC11"/>
  <c r="DD11"/>
  <c r="DE11"/>
  <c r="DF11"/>
  <c r="DH11"/>
  <c r="DJ11"/>
  <c r="DL11"/>
  <c r="DN11"/>
  <c r="DO11"/>
  <c r="DP11"/>
  <c r="DQ11"/>
  <c r="DR11"/>
  <c r="DT11"/>
  <c r="DV11"/>
  <c r="DX11"/>
  <c r="DZ11"/>
  <c r="EA11"/>
  <c r="EB11"/>
  <c r="EC11"/>
  <c r="ED11"/>
  <c r="EF11"/>
  <c r="EH11"/>
  <c r="EJ11"/>
  <c r="EL11"/>
  <c r="EM11"/>
  <c r="EN11"/>
  <c r="EO11"/>
  <c r="EP11"/>
  <c r="ER11"/>
  <c r="ET11"/>
  <c r="EV11"/>
  <c r="EX11"/>
  <c r="EY11"/>
  <c r="EZ11"/>
  <c r="FA11"/>
  <c r="FB11"/>
  <c r="C12"/>
  <c r="E12"/>
  <c r="G12"/>
  <c r="I12"/>
  <c r="P12"/>
  <c r="R12"/>
  <c r="T12"/>
  <c r="V12"/>
  <c r="W12"/>
  <c r="X12"/>
  <c r="Y12"/>
  <c r="Z12"/>
  <c r="AB12"/>
  <c r="AD12"/>
  <c r="AF12"/>
  <c r="AH12"/>
  <c r="AI12"/>
  <c r="AJ12"/>
  <c r="AK12"/>
  <c r="AL12"/>
  <c r="AN12"/>
  <c r="AP12"/>
  <c r="AR12"/>
  <c r="AT12"/>
  <c r="AU12"/>
  <c r="AV12"/>
  <c r="AW12"/>
  <c r="AX12"/>
  <c r="AZ12"/>
  <c r="BB12"/>
  <c r="BD12"/>
  <c r="BF12"/>
  <c r="BG12"/>
  <c r="BH12"/>
  <c r="BI12"/>
  <c r="BJ12"/>
  <c r="BL12"/>
  <c r="BN12"/>
  <c r="BP12"/>
  <c r="BR12"/>
  <c r="BS12"/>
  <c r="BT12"/>
  <c r="BU12"/>
  <c r="BV12"/>
  <c r="BX12"/>
  <c r="BZ12"/>
  <c r="CB12"/>
  <c r="CD12"/>
  <c r="CE12"/>
  <c r="CF12"/>
  <c r="CG12"/>
  <c r="CH12"/>
  <c r="CJ12"/>
  <c r="CL12"/>
  <c r="CN12"/>
  <c r="CP12"/>
  <c r="CQ12"/>
  <c r="CR12"/>
  <c r="CS12"/>
  <c r="CT12"/>
  <c r="CV12"/>
  <c r="CX12"/>
  <c r="CZ12"/>
  <c r="DB12"/>
  <c r="DC12"/>
  <c r="DD12"/>
  <c r="DE12"/>
  <c r="DF12"/>
  <c r="DH12"/>
  <c r="DJ12"/>
  <c r="DL12"/>
  <c r="DN12"/>
  <c r="DO12"/>
  <c r="DP12"/>
  <c r="DQ12"/>
  <c r="DR12"/>
  <c r="DT12"/>
  <c r="DV12"/>
  <c r="DX12"/>
  <c r="DZ12"/>
  <c r="EA12"/>
  <c r="EB12"/>
  <c r="EC12"/>
  <c r="ED12"/>
  <c r="EF12"/>
  <c r="EH12"/>
  <c r="EJ12"/>
  <c r="EL12"/>
  <c r="EM12"/>
  <c r="EN12"/>
  <c r="EO12"/>
  <c r="EP12"/>
  <c r="ER12"/>
  <c r="ET12"/>
  <c r="EV12"/>
  <c r="EX12"/>
  <c r="EY12"/>
  <c r="EZ12"/>
  <c r="FA12"/>
  <c r="FB12"/>
  <c r="C13"/>
  <c r="D13"/>
  <c r="E13"/>
  <c r="F13"/>
  <c r="G13"/>
  <c r="N13" s="1"/>
  <c r="H13"/>
  <c r="I13"/>
  <c r="N37" i="1" s="1"/>
  <c r="Q37" s="1"/>
  <c r="J13" i="74"/>
  <c r="W13"/>
  <c r="Y13"/>
  <c r="AI13"/>
  <c r="AK13"/>
  <c r="AU13"/>
  <c r="AW13"/>
  <c r="BG13"/>
  <c r="BI13"/>
  <c r="BS13"/>
  <c r="BU13"/>
  <c r="CE13"/>
  <c r="CF13"/>
  <c r="CG13"/>
  <c r="CH13"/>
  <c r="CQ13"/>
  <c r="CS13"/>
  <c r="DC13"/>
  <c r="DD13"/>
  <c r="DE13"/>
  <c r="DF13"/>
  <c r="DO13"/>
  <c r="DP13"/>
  <c r="DQ13"/>
  <c r="DR13"/>
  <c r="EA13"/>
  <c r="EC13"/>
  <c r="EM13"/>
  <c r="EN13"/>
  <c r="EO13"/>
  <c r="EP13"/>
  <c r="EY13"/>
  <c r="FA13"/>
  <c r="C14"/>
  <c r="D14"/>
  <c r="E14"/>
  <c r="F14"/>
  <c r="G14"/>
  <c r="N14" s="1"/>
  <c r="H14"/>
  <c r="I14"/>
  <c r="K14" s="1"/>
  <c r="J14"/>
  <c r="S38" i="1" s="1"/>
  <c r="W14" i="74"/>
  <c r="X14"/>
  <c r="Y14"/>
  <c r="Z14"/>
  <c r="AI14"/>
  <c r="AK14"/>
  <c r="AL14"/>
  <c r="AU14"/>
  <c r="AV14"/>
  <c r="AW14"/>
  <c r="AX14"/>
  <c r="BG14"/>
  <c r="BH14"/>
  <c r="BI14"/>
  <c r="BJ14"/>
  <c r="BS14"/>
  <c r="BU14"/>
  <c r="CE14"/>
  <c r="CF14"/>
  <c r="CG14"/>
  <c r="CH14"/>
  <c r="CQ14"/>
  <c r="CR14"/>
  <c r="CS14"/>
  <c r="CT14"/>
  <c r="DC14"/>
  <c r="DD14"/>
  <c r="DE14"/>
  <c r="DF14"/>
  <c r="DO14"/>
  <c r="DP14"/>
  <c r="DQ14"/>
  <c r="DR14"/>
  <c r="EA14"/>
  <c r="EC14"/>
  <c r="EM14"/>
  <c r="EN14"/>
  <c r="EO14"/>
  <c r="EP14"/>
  <c r="EY14"/>
  <c r="FA14"/>
  <c r="C15"/>
  <c r="E15"/>
  <c r="G15"/>
  <c r="K15" s="1"/>
  <c r="I15"/>
  <c r="P15"/>
  <c r="R15"/>
  <c r="T15"/>
  <c r="V15"/>
  <c r="W15"/>
  <c r="X15"/>
  <c r="Y15"/>
  <c r="Z15"/>
  <c r="AB15"/>
  <c r="AD15"/>
  <c r="AF15"/>
  <c r="AH15"/>
  <c r="AI15"/>
  <c r="AJ15"/>
  <c r="AK15"/>
  <c r="AL15"/>
  <c r="AN15"/>
  <c r="AP15"/>
  <c r="AR15"/>
  <c r="AT15"/>
  <c r="AU15"/>
  <c r="AV15"/>
  <c r="AW15"/>
  <c r="AX15"/>
  <c r="AZ15"/>
  <c r="BB15"/>
  <c r="BD15"/>
  <c r="BF15"/>
  <c r="BG15"/>
  <c r="BH15"/>
  <c r="BI15"/>
  <c r="BJ15"/>
  <c r="BL15"/>
  <c r="BN15"/>
  <c r="BP15"/>
  <c r="BR15"/>
  <c r="BS15"/>
  <c r="BT15"/>
  <c r="BU15"/>
  <c r="BV15"/>
  <c r="BX15"/>
  <c r="BZ15"/>
  <c r="CB15"/>
  <c r="CD15"/>
  <c r="CE15"/>
  <c r="CF15"/>
  <c r="CG15"/>
  <c r="CH15"/>
  <c r="CJ15"/>
  <c r="CL15"/>
  <c r="CN15"/>
  <c r="CP15"/>
  <c r="CQ15"/>
  <c r="CR15"/>
  <c r="CS15"/>
  <c r="CT15"/>
  <c r="CV15"/>
  <c r="CX15"/>
  <c r="CZ15"/>
  <c r="DB15"/>
  <c r="DC15"/>
  <c r="DD15"/>
  <c r="DE15"/>
  <c r="DF15"/>
  <c r="DH15"/>
  <c r="DJ15"/>
  <c r="DL15"/>
  <c r="DN15"/>
  <c r="DO15"/>
  <c r="DP15"/>
  <c r="DQ15"/>
  <c r="DR15"/>
  <c r="DT15"/>
  <c r="DV15"/>
  <c r="DX15"/>
  <c r="DZ15"/>
  <c r="EA15"/>
  <c r="EB15"/>
  <c r="EC15"/>
  <c r="ED15"/>
  <c r="EF15"/>
  <c r="EH15"/>
  <c r="EJ15"/>
  <c r="EL15"/>
  <c r="EM15"/>
  <c r="EN15"/>
  <c r="EO15"/>
  <c r="EP15"/>
  <c r="ER15"/>
  <c r="ET15"/>
  <c r="EV15"/>
  <c r="EX15"/>
  <c r="EY15"/>
  <c r="EZ15"/>
  <c r="FA15"/>
  <c r="FB15"/>
  <c r="C16"/>
  <c r="E16"/>
  <c r="G16"/>
  <c r="I16"/>
  <c r="K16" s="1"/>
  <c r="P16"/>
  <c r="R16"/>
  <c r="T16"/>
  <c r="V16"/>
  <c r="W16"/>
  <c r="X16"/>
  <c r="Y16"/>
  <c r="Z16"/>
  <c r="AB16"/>
  <c r="AD16"/>
  <c r="AF16"/>
  <c r="AH16"/>
  <c r="AI16"/>
  <c r="AJ16"/>
  <c r="AK16"/>
  <c r="AL16"/>
  <c r="AN16"/>
  <c r="AP16"/>
  <c r="AR16"/>
  <c r="AT16"/>
  <c r="AU16"/>
  <c r="AV16"/>
  <c r="AW16"/>
  <c r="AX16"/>
  <c r="AZ16"/>
  <c r="BB16"/>
  <c r="BD16"/>
  <c r="BF16"/>
  <c r="BG16"/>
  <c r="BH16"/>
  <c r="BI16"/>
  <c r="BJ16"/>
  <c r="BL16"/>
  <c r="BN16"/>
  <c r="BP16"/>
  <c r="BR16"/>
  <c r="BS16"/>
  <c r="BU16"/>
  <c r="BX16"/>
  <c r="BZ16"/>
  <c r="CB16"/>
  <c r="CD16"/>
  <c r="CE16"/>
  <c r="CF16"/>
  <c r="CG16"/>
  <c r="CH16"/>
  <c r="CJ16"/>
  <c r="CL16"/>
  <c r="CN16"/>
  <c r="CP16"/>
  <c r="CQ16"/>
  <c r="CR16"/>
  <c r="CS16"/>
  <c r="CT16"/>
  <c r="CV16"/>
  <c r="CX16"/>
  <c r="CZ16"/>
  <c r="DB16"/>
  <c r="DC16"/>
  <c r="DD16"/>
  <c r="DE16"/>
  <c r="DF16"/>
  <c r="DH16"/>
  <c r="DJ16"/>
  <c r="DL16"/>
  <c r="DN16"/>
  <c r="DO16"/>
  <c r="DP16"/>
  <c r="DQ16"/>
  <c r="DR16"/>
  <c r="DT16"/>
  <c r="DV16"/>
  <c r="DX16"/>
  <c r="DZ16"/>
  <c r="EA16"/>
  <c r="EC16"/>
  <c r="ED16"/>
  <c r="EF16"/>
  <c r="EH16"/>
  <c r="EJ16"/>
  <c r="EL16"/>
  <c r="EM16"/>
  <c r="EN16"/>
  <c r="EO16"/>
  <c r="EP16"/>
  <c r="ER16"/>
  <c r="ET16"/>
  <c r="EV16"/>
  <c r="EX16"/>
  <c r="EY16"/>
  <c r="FA16"/>
  <c r="FB16"/>
  <c r="C17"/>
  <c r="D17"/>
  <c r="E17"/>
  <c r="F17"/>
  <c r="G17"/>
  <c r="M17" s="1"/>
  <c r="H17"/>
  <c r="I17"/>
  <c r="J17"/>
  <c r="W17"/>
  <c r="X17"/>
  <c r="Y17"/>
  <c r="Z17"/>
  <c r="AI17"/>
  <c r="AJ17"/>
  <c r="AK17"/>
  <c r="AL17"/>
  <c r="AU17"/>
  <c r="AV17"/>
  <c r="AW17"/>
  <c r="AX17"/>
  <c r="BG17"/>
  <c r="BH17"/>
  <c r="BI17"/>
  <c r="BJ17"/>
  <c r="BS17"/>
  <c r="BU17"/>
  <c r="CE17"/>
  <c r="CF17"/>
  <c r="CG17"/>
  <c r="CH17"/>
  <c r="CQ17"/>
  <c r="CR17"/>
  <c r="CS17"/>
  <c r="CT17"/>
  <c r="DC17"/>
  <c r="DD17"/>
  <c r="DE17"/>
  <c r="DF17"/>
  <c r="DO17"/>
  <c r="DP17"/>
  <c r="DQ17"/>
  <c r="DR17"/>
  <c r="EA17"/>
  <c r="EC17"/>
  <c r="EM17"/>
  <c r="EN17"/>
  <c r="EO17"/>
  <c r="EP17"/>
  <c r="EY17"/>
  <c r="FA17"/>
  <c r="FB17"/>
  <c r="C18"/>
  <c r="E18"/>
  <c r="G18"/>
  <c r="I18"/>
  <c r="P18"/>
  <c r="R18"/>
  <c r="T18"/>
  <c r="H18" s="1"/>
  <c r="V18"/>
  <c r="W18"/>
  <c r="X18"/>
  <c r="Y18"/>
  <c r="Z18"/>
  <c r="AB18"/>
  <c r="AD18"/>
  <c r="AF18"/>
  <c r="AH18"/>
  <c r="AI18"/>
  <c r="AJ18"/>
  <c r="AK18"/>
  <c r="AL18"/>
  <c r="AN18"/>
  <c r="AP18"/>
  <c r="AR18"/>
  <c r="AT18"/>
  <c r="AU18"/>
  <c r="AV18"/>
  <c r="AW18"/>
  <c r="AX18"/>
  <c r="AZ18"/>
  <c r="BB18"/>
  <c r="BD18"/>
  <c r="BF18"/>
  <c r="BG18"/>
  <c r="BH18"/>
  <c r="BI18"/>
  <c r="BJ18"/>
  <c r="BL18"/>
  <c r="BN18"/>
  <c r="BP18"/>
  <c r="BR18"/>
  <c r="BS18"/>
  <c r="BT18"/>
  <c r="BU18"/>
  <c r="BV18"/>
  <c r="BX18"/>
  <c r="BZ18"/>
  <c r="CB18"/>
  <c r="CD18"/>
  <c r="CE18"/>
  <c r="CF18"/>
  <c r="CG18"/>
  <c r="CH18"/>
  <c r="CJ18"/>
  <c r="CL18"/>
  <c r="CN18"/>
  <c r="CP18"/>
  <c r="CQ18"/>
  <c r="CR18"/>
  <c r="CS18"/>
  <c r="CT18"/>
  <c r="CV18"/>
  <c r="CX18"/>
  <c r="CZ18"/>
  <c r="DB18"/>
  <c r="DC18"/>
  <c r="DD18"/>
  <c r="DE18"/>
  <c r="DF18"/>
  <c r="DH18"/>
  <c r="DJ18"/>
  <c r="DL18"/>
  <c r="DN18"/>
  <c r="DO18"/>
  <c r="DP18"/>
  <c r="DQ18"/>
  <c r="DR18"/>
  <c r="DT18"/>
  <c r="DV18"/>
  <c r="DX18"/>
  <c r="DZ18"/>
  <c r="EA18"/>
  <c r="EB18"/>
  <c r="EC18"/>
  <c r="ED18"/>
  <c r="EF18"/>
  <c r="EH18"/>
  <c r="EJ18"/>
  <c r="EL18"/>
  <c r="EM18"/>
  <c r="EN18"/>
  <c r="EO18"/>
  <c r="EP18"/>
  <c r="ER18"/>
  <c r="ET18"/>
  <c r="EV18"/>
  <c r="EX18"/>
  <c r="EY18"/>
  <c r="EZ18"/>
  <c r="FA18"/>
  <c r="FB18"/>
  <c r="C19"/>
  <c r="E19"/>
  <c r="I19"/>
  <c r="P19"/>
  <c r="R19"/>
  <c r="S19"/>
  <c r="T19" s="1"/>
  <c r="V19"/>
  <c r="AB19"/>
  <c r="AD19"/>
  <c r="AE19"/>
  <c r="AI19" s="1"/>
  <c r="AH19"/>
  <c r="AN19"/>
  <c r="AP19"/>
  <c r="AR19"/>
  <c r="AT19"/>
  <c r="AU19"/>
  <c r="AV19"/>
  <c r="AW19"/>
  <c r="AZ19"/>
  <c r="BB19"/>
  <c r="BD19"/>
  <c r="BF19"/>
  <c r="BG19"/>
  <c r="BH19"/>
  <c r="BI19"/>
  <c r="BL19"/>
  <c r="BN19"/>
  <c r="BP19"/>
  <c r="BR19"/>
  <c r="BS19"/>
  <c r="BT19"/>
  <c r="BU19"/>
  <c r="BX19"/>
  <c r="BZ19"/>
  <c r="CA19"/>
  <c r="CD19"/>
  <c r="CJ19"/>
  <c r="CL19"/>
  <c r="CN19"/>
  <c r="CP19"/>
  <c r="CQ19"/>
  <c r="CR19"/>
  <c r="CS19"/>
  <c r="CV19"/>
  <c r="CX19"/>
  <c r="CZ19"/>
  <c r="DB19"/>
  <c r="DC19"/>
  <c r="DD19"/>
  <c r="DE19"/>
  <c r="DH19"/>
  <c r="DJ19"/>
  <c r="DL19"/>
  <c r="DN19"/>
  <c r="DO19"/>
  <c r="DQ19"/>
  <c r="DT19"/>
  <c r="DV19"/>
  <c r="DX19"/>
  <c r="DZ19"/>
  <c r="EA19"/>
  <c r="EC19"/>
  <c r="EF19"/>
  <c r="EH19"/>
  <c r="EJ19"/>
  <c r="EL19"/>
  <c r="EM19"/>
  <c r="EO19"/>
  <c r="ER19"/>
  <c r="ET19"/>
  <c r="EV19"/>
  <c r="EX19"/>
  <c r="EY19"/>
  <c r="FA19"/>
  <c r="C20"/>
  <c r="E20"/>
  <c r="G20"/>
  <c r="N20" s="1"/>
  <c r="I20"/>
  <c r="P20"/>
  <c r="R20"/>
  <c r="T20"/>
  <c r="V20"/>
  <c r="W20"/>
  <c r="X20"/>
  <c r="Y20"/>
  <c r="AB20"/>
  <c r="AD20"/>
  <c r="AF20"/>
  <c r="AH20"/>
  <c r="AI20"/>
  <c r="AJ20"/>
  <c r="AK20"/>
  <c r="AN20"/>
  <c r="AP20"/>
  <c r="AR20"/>
  <c r="AT20"/>
  <c r="AU20"/>
  <c r="AV20"/>
  <c r="AW20"/>
  <c r="AX20"/>
  <c r="AZ20"/>
  <c r="BB20"/>
  <c r="BD20"/>
  <c r="BF20"/>
  <c r="BG20"/>
  <c r="BH20"/>
  <c r="BI20"/>
  <c r="BJ20"/>
  <c r="BL20"/>
  <c r="BN20"/>
  <c r="BP20"/>
  <c r="BR20"/>
  <c r="BS20"/>
  <c r="BT20"/>
  <c r="BU20"/>
  <c r="BV20"/>
  <c r="BX20"/>
  <c r="BZ20"/>
  <c r="CB20"/>
  <c r="CD20"/>
  <c r="CE20"/>
  <c r="CF20"/>
  <c r="CG20"/>
  <c r="CH20"/>
  <c r="CJ20"/>
  <c r="CL20"/>
  <c r="CN20"/>
  <c r="CP20"/>
  <c r="CQ20"/>
  <c r="CR20"/>
  <c r="CS20"/>
  <c r="CT20"/>
  <c r="CV20"/>
  <c r="CX20"/>
  <c r="CZ20"/>
  <c r="DB20"/>
  <c r="DC20"/>
  <c r="DD20"/>
  <c r="DE20"/>
  <c r="DF20"/>
  <c r="DH20"/>
  <c r="DJ20"/>
  <c r="DL20"/>
  <c r="DN20"/>
  <c r="DO20"/>
  <c r="DP20"/>
  <c r="DQ20"/>
  <c r="DR20"/>
  <c r="DT20"/>
  <c r="DV20"/>
  <c r="DX20"/>
  <c r="DZ20"/>
  <c r="EA20"/>
  <c r="EB20"/>
  <c r="EC20"/>
  <c r="ED20"/>
  <c r="EF20"/>
  <c r="EH20"/>
  <c r="EJ20"/>
  <c r="EL20"/>
  <c r="EM20"/>
  <c r="EN20"/>
  <c r="EO20"/>
  <c r="EP20"/>
  <c r="ER20"/>
  <c r="ET20"/>
  <c r="EV20"/>
  <c r="EX20"/>
  <c r="EY20"/>
  <c r="EZ20"/>
  <c r="FA20"/>
  <c r="FB20"/>
  <c r="C21"/>
  <c r="E21"/>
  <c r="G21"/>
  <c r="I21"/>
  <c r="P21"/>
  <c r="R21"/>
  <c r="T21"/>
  <c r="H21" s="1"/>
  <c r="M46" i="1" s="1"/>
  <c r="V21" i="74"/>
  <c r="W21"/>
  <c r="X21"/>
  <c r="Y21"/>
  <c r="Z21"/>
  <c r="AB21"/>
  <c r="AD21"/>
  <c r="AF21"/>
  <c r="AH21"/>
  <c r="AI21"/>
  <c r="AJ21"/>
  <c r="AK21"/>
  <c r="AL21"/>
  <c r="AN21"/>
  <c r="AP21"/>
  <c r="AR21"/>
  <c r="AT21"/>
  <c r="AU21"/>
  <c r="AV21"/>
  <c r="AW21"/>
  <c r="AX21"/>
  <c r="AZ21"/>
  <c r="BB21"/>
  <c r="BD21"/>
  <c r="BF21"/>
  <c r="BG21"/>
  <c r="BH21"/>
  <c r="BI21"/>
  <c r="BJ21"/>
  <c r="BL21"/>
  <c r="BN21"/>
  <c r="BP21"/>
  <c r="BR21"/>
  <c r="BS21"/>
  <c r="BT21"/>
  <c r="BU21"/>
  <c r="BV21"/>
  <c r="BX21"/>
  <c r="BZ21"/>
  <c r="CB21"/>
  <c r="CD21"/>
  <c r="CE21"/>
  <c r="CF21"/>
  <c r="CG21"/>
  <c r="CH21"/>
  <c r="CJ21"/>
  <c r="CL21"/>
  <c r="CN21"/>
  <c r="CP21"/>
  <c r="CQ21"/>
  <c r="CR21"/>
  <c r="CS21"/>
  <c r="CT21"/>
  <c r="CV21"/>
  <c r="CX21"/>
  <c r="CZ21"/>
  <c r="DB21"/>
  <c r="DC21"/>
  <c r="DD21"/>
  <c r="DE21"/>
  <c r="DF21"/>
  <c r="DH21"/>
  <c r="DJ21"/>
  <c r="DL21"/>
  <c r="DN21"/>
  <c r="DO21"/>
  <c r="DP21"/>
  <c r="DQ21"/>
  <c r="DR21"/>
  <c r="DT21"/>
  <c r="DV21"/>
  <c r="DX21"/>
  <c r="DZ21"/>
  <c r="EA21"/>
  <c r="EB21"/>
  <c r="EC21"/>
  <c r="ED21"/>
  <c r="EF21"/>
  <c r="EH21"/>
  <c r="EJ21"/>
  <c r="EL21"/>
  <c r="EM21"/>
  <c r="EN21"/>
  <c r="EO21"/>
  <c r="EP21"/>
  <c r="ER21"/>
  <c r="ET21"/>
  <c r="EV21"/>
  <c r="EX21"/>
  <c r="EY21"/>
  <c r="EZ21"/>
  <c r="FA21"/>
  <c r="FB21"/>
  <c r="C22"/>
  <c r="E22"/>
  <c r="G22"/>
  <c r="I22"/>
  <c r="P22"/>
  <c r="R22"/>
  <c r="T22"/>
  <c r="V22"/>
  <c r="W22"/>
  <c r="X22"/>
  <c r="Y22"/>
  <c r="AB22"/>
  <c r="AD22"/>
  <c r="AF22"/>
  <c r="AH22"/>
  <c r="AI22"/>
  <c r="AJ22"/>
  <c r="AK22"/>
  <c r="AN22"/>
  <c r="AP22"/>
  <c r="AR22"/>
  <c r="AT22"/>
  <c r="AU22"/>
  <c r="AV22"/>
  <c r="AW22"/>
  <c r="AX22"/>
  <c r="AZ22"/>
  <c r="BB22"/>
  <c r="BD22"/>
  <c r="BF22"/>
  <c r="BG22"/>
  <c r="BH22"/>
  <c r="BI22"/>
  <c r="BJ22"/>
  <c r="BL22"/>
  <c r="BN22"/>
  <c r="BP22"/>
  <c r="BR22"/>
  <c r="BS22"/>
  <c r="BT22"/>
  <c r="BU22"/>
  <c r="BX22"/>
  <c r="BZ22"/>
  <c r="CB22"/>
  <c r="CD22"/>
  <c r="CE22"/>
  <c r="CF22"/>
  <c r="CG22"/>
  <c r="CH22"/>
  <c r="CJ22"/>
  <c r="CL22"/>
  <c r="CN22"/>
  <c r="CP22"/>
  <c r="CQ22"/>
  <c r="CR22"/>
  <c r="CS22"/>
  <c r="CT22"/>
  <c r="CV22"/>
  <c r="CX22"/>
  <c r="CZ22"/>
  <c r="DB22"/>
  <c r="DC22"/>
  <c r="DD22"/>
  <c r="DE22"/>
  <c r="DF22"/>
  <c r="DH22"/>
  <c r="DJ22"/>
  <c r="DL22"/>
  <c r="DN22"/>
  <c r="DO22"/>
  <c r="DP22"/>
  <c r="DQ22"/>
  <c r="DR22"/>
  <c r="DT22"/>
  <c r="DV22"/>
  <c r="DX22"/>
  <c r="DZ22"/>
  <c r="EA22"/>
  <c r="EB22"/>
  <c r="EC22"/>
  <c r="EF22"/>
  <c r="EH22"/>
  <c r="EJ22"/>
  <c r="EL22"/>
  <c r="EM22"/>
  <c r="EN22"/>
  <c r="EO22"/>
  <c r="EP22"/>
  <c r="ER22"/>
  <c r="ET22"/>
  <c r="EV22"/>
  <c r="EX22"/>
  <c r="EY22"/>
  <c r="EZ22"/>
  <c r="FA22"/>
  <c r="FB22"/>
  <c r="C23"/>
  <c r="E23"/>
  <c r="G23"/>
  <c r="P23"/>
  <c r="P28" s="1"/>
  <c r="R23"/>
  <c r="T23"/>
  <c r="V23"/>
  <c r="V28" s="1"/>
  <c r="W23"/>
  <c r="X23"/>
  <c r="Y23"/>
  <c r="Z23"/>
  <c r="AB23"/>
  <c r="AB28" s="1"/>
  <c r="AD23"/>
  <c r="AF23"/>
  <c r="AH23"/>
  <c r="V18" i="75" s="1"/>
  <c r="Y18" s="1"/>
  <c r="AI23" i="74"/>
  <c r="AJ23"/>
  <c r="AK23"/>
  <c r="AL23"/>
  <c r="AN23"/>
  <c r="AN28" s="1"/>
  <c r="AP23"/>
  <c r="AR23"/>
  <c r="AT23"/>
  <c r="AT28" s="1"/>
  <c r="AU23"/>
  <c r="AV23"/>
  <c r="AW23"/>
  <c r="AX23"/>
  <c r="AZ23"/>
  <c r="BB23"/>
  <c r="BD23"/>
  <c r="BF23"/>
  <c r="BF28" s="1"/>
  <c r="BG23"/>
  <c r="BH23"/>
  <c r="BI23"/>
  <c r="BJ23"/>
  <c r="BL23"/>
  <c r="BL28" s="1"/>
  <c r="BN23"/>
  <c r="BP23"/>
  <c r="BR23"/>
  <c r="BR28" s="1"/>
  <c r="BS23"/>
  <c r="BT23"/>
  <c r="BU23"/>
  <c r="BV23"/>
  <c r="BX23"/>
  <c r="BZ23"/>
  <c r="CB23"/>
  <c r="CD23"/>
  <c r="BB18" i="75" s="1"/>
  <c r="BE18" s="1"/>
  <c r="CE23" i="74"/>
  <c r="CF23"/>
  <c r="CG23"/>
  <c r="CH23"/>
  <c r="CJ23"/>
  <c r="CJ28" s="1"/>
  <c r="CL23"/>
  <c r="CN23"/>
  <c r="CP23"/>
  <c r="CP28" s="1"/>
  <c r="CQ23"/>
  <c r="CR23"/>
  <c r="CS23"/>
  <c r="CT23"/>
  <c r="CV23"/>
  <c r="CX23"/>
  <c r="CZ23"/>
  <c r="DA23"/>
  <c r="DE23"/>
  <c r="DF23"/>
  <c r="DH23"/>
  <c r="DJ23"/>
  <c r="DL23"/>
  <c r="DN23"/>
  <c r="DN28" s="1"/>
  <c r="DO23"/>
  <c r="DP23"/>
  <c r="DQ23"/>
  <c r="DR23"/>
  <c r="DT23"/>
  <c r="DV23"/>
  <c r="DX23"/>
  <c r="DX28" s="1"/>
  <c r="DZ23"/>
  <c r="EA23"/>
  <c r="EB23"/>
  <c r="EC23"/>
  <c r="ED23"/>
  <c r="EF23"/>
  <c r="EH23"/>
  <c r="EJ23"/>
  <c r="EK23"/>
  <c r="EO23"/>
  <c r="EP23"/>
  <c r="ER23"/>
  <c r="ER28" s="1"/>
  <c r="ET23"/>
  <c r="EV23"/>
  <c r="EX23"/>
  <c r="EX28" s="1"/>
  <c r="EY23"/>
  <c r="EZ23"/>
  <c r="FA23"/>
  <c r="FB23"/>
  <c r="C24"/>
  <c r="G24"/>
  <c r="I24"/>
  <c r="P24"/>
  <c r="R24"/>
  <c r="T24"/>
  <c r="V24"/>
  <c r="W24"/>
  <c r="X24"/>
  <c r="Y24"/>
  <c r="Z24"/>
  <c r="AB24"/>
  <c r="AD24"/>
  <c r="AF24"/>
  <c r="AH24"/>
  <c r="AI24"/>
  <c r="AJ24"/>
  <c r="AK24"/>
  <c r="AL24"/>
  <c r="AN24"/>
  <c r="AP24"/>
  <c r="AR24"/>
  <c r="AT24"/>
  <c r="AU24"/>
  <c r="AV24"/>
  <c r="AW24"/>
  <c r="AX24"/>
  <c r="AZ24"/>
  <c r="BB24"/>
  <c r="BD24"/>
  <c r="BF24"/>
  <c r="BG24"/>
  <c r="BH24"/>
  <c r="BI24"/>
  <c r="BJ24"/>
  <c r="BL24"/>
  <c r="BN24"/>
  <c r="BP24"/>
  <c r="BR24"/>
  <c r="BS24"/>
  <c r="BT24"/>
  <c r="BU24"/>
  <c r="BV24"/>
  <c r="BX24"/>
  <c r="BZ24"/>
  <c r="CD24"/>
  <c r="CE24"/>
  <c r="CF24"/>
  <c r="CG24"/>
  <c r="CH24"/>
  <c r="CJ24"/>
  <c r="CL24"/>
  <c r="CN24"/>
  <c r="CP24"/>
  <c r="CQ24"/>
  <c r="CR24"/>
  <c r="CS24"/>
  <c r="CT24"/>
  <c r="CV24"/>
  <c r="CX24"/>
  <c r="CZ24"/>
  <c r="DB24"/>
  <c r="DC24"/>
  <c r="DD24"/>
  <c r="DE24"/>
  <c r="DF24"/>
  <c r="DH24"/>
  <c r="DJ24"/>
  <c r="DL24"/>
  <c r="DN24"/>
  <c r="DO24"/>
  <c r="DP24"/>
  <c r="DQ24"/>
  <c r="DR24"/>
  <c r="DT24"/>
  <c r="DV24"/>
  <c r="DX24"/>
  <c r="DZ24"/>
  <c r="EA24"/>
  <c r="EB24"/>
  <c r="EC24"/>
  <c r="ED24"/>
  <c r="EF24"/>
  <c r="EG24"/>
  <c r="EH24" s="1"/>
  <c r="EJ24"/>
  <c r="EL24"/>
  <c r="EM24"/>
  <c r="EN24"/>
  <c r="EO24"/>
  <c r="EP24"/>
  <c r="ER24"/>
  <c r="ES24"/>
  <c r="ET24" s="1"/>
  <c r="EV24"/>
  <c r="EX24"/>
  <c r="EY24"/>
  <c r="EZ24"/>
  <c r="FA24"/>
  <c r="FB24"/>
  <c r="C25"/>
  <c r="E25"/>
  <c r="G25"/>
  <c r="M25" s="1"/>
  <c r="I25"/>
  <c r="P25"/>
  <c r="R25"/>
  <c r="T25"/>
  <c r="V25"/>
  <c r="W25"/>
  <c r="X25"/>
  <c r="Y25"/>
  <c r="Z25"/>
  <c r="AB25"/>
  <c r="AD25"/>
  <c r="AF25"/>
  <c r="AH25"/>
  <c r="AI25"/>
  <c r="AJ25"/>
  <c r="AK25"/>
  <c r="AN25"/>
  <c r="AP25"/>
  <c r="AR25"/>
  <c r="AT25"/>
  <c r="AU25"/>
  <c r="AV25"/>
  <c r="AW25"/>
  <c r="AX25"/>
  <c r="AZ25"/>
  <c r="BB25"/>
  <c r="BD25"/>
  <c r="BF25"/>
  <c r="BG25"/>
  <c r="BH25"/>
  <c r="BI25"/>
  <c r="BJ25"/>
  <c r="BL25"/>
  <c r="BN25"/>
  <c r="BP25"/>
  <c r="BR25"/>
  <c r="BS25"/>
  <c r="BT25"/>
  <c r="BU25"/>
  <c r="BV25"/>
  <c r="BX25"/>
  <c r="BZ25"/>
  <c r="CD25"/>
  <c r="CE25"/>
  <c r="CF25"/>
  <c r="CG25"/>
  <c r="CH25"/>
  <c r="CJ25"/>
  <c r="CL25"/>
  <c r="CN25"/>
  <c r="CP25"/>
  <c r="CQ25"/>
  <c r="CR25"/>
  <c r="CS25"/>
  <c r="CT25"/>
  <c r="CV25"/>
  <c r="CX25"/>
  <c r="CZ25"/>
  <c r="DB25"/>
  <c r="DC25"/>
  <c r="DD25"/>
  <c r="DE25"/>
  <c r="DF25"/>
  <c r="DH25"/>
  <c r="DJ25"/>
  <c r="DL25"/>
  <c r="DN25"/>
  <c r="DO25"/>
  <c r="DP25"/>
  <c r="DQ25"/>
  <c r="DR25"/>
  <c r="DT25"/>
  <c r="DV25"/>
  <c r="DX25"/>
  <c r="DZ25"/>
  <c r="EA25"/>
  <c r="EB25"/>
  <c r="EC25"/>
  <c r="ED25"/>
  <c r="EF25"/>
  <c r="EH25"/>
  <c r="EJ25"/>
  <c r="EL25"/>
  <c r="EM25"/>
  <c r="EN25"/>
  <c r="EO25"/>
  <c r="EP25"/>
  <c r="ER25"/>
  <c r="ET25"/>
  <c r="EV25"/>
  <c r="EX25"/>
  <c r="EY25"/>
  <c r="EZ25"/>
  <c r="FA25"/>
  <c r="FB25"/>
  <c r="T28"/>
  <c r="AF28"/>
  <c r="AR28"/>
  <c r="AZ28"/>
  <c r="BD28"/>
  <c r="BP28"/>
  <c r="BX28"/>
  <c r="CB28"/>
  <c r="CN28"/>
  <c r="CV28"/>
  <c r="CZ28"/>
  <c r="DH28"/>
  <c r="DL28"/>
  <c r="DT28"/>
  <c r="DZ28"/>
  <c r="EF28"/>
  <c r="EJ28"/>
  <c r="U35"/>
  <c r="E70"/>
  <c r="D6" i="75"/>
  <c r="L6"/>
  <c r="T6"/>
  <c r="AB6"/>
  <c r="AJ6"/>
  <c r="AR6"/>
  <c r="AZ6"/>
  <c r="BH6"/>
  <c r="BP6"/>
  <c r="BX6"/>
  <c r="CF6"/>
  <c r="CN6"/>
  <c r="CV6"/>
  <c r="G8"/>
  <c r="C9"/>
  <c r="G9"/>
  <c r="M9"/>
  <c r="N9"/>
  <c r="R9" s="1"/>
  <c r="Q9"/>
  <c r="U9"/>
  <c r="V9"/>
  <c r="X9" s="1"/>
  <c r="AC9"/>
  <c r="AD9"/>
  <c r="AH9" s="1"/>
  <c r="AK9"/>
  <c r="AL9"/>
  <c r="AO9" s="1"/>
  <c r="AN9"/>
  <c r="AS9"/>
  <c r="AT9"/>
  <c r="AW9" s="1"/>
  <c r="BA9"/>
  <c r="BB9"/>
  <c r="BE9"/>
  <c r="BI9"/>
  <c r="BJ9"/>
  <c r="BN9" s="1"/>
  <c r="BQ9"/>
  <c r="BR9"/>
  <c r="BU9" s="1"/>
  <c r="BY9"/>
  <c r="BZ9"/>
  <c r="CC9" s="1"/>
  <c r="CG9"/>
  <c r="CH9"/>
  <c r="CJ9" s="1"/>
  <c r="CO9"/>
  <c r="CP9"/>
  <c r="CR9" s="1"/>
  <c r="AJ23" i="103" s="1"/>
  <c r="AL23" s="1"/>
  <c r="CS9" i="75"/>
  <c r="CT9"/>
  <c r="CW9"/>
  <c r="CX9"/>
  <c r="CZ9"/>
  <c r="AM23" i="103" s="1"/>
  <c r="AO23" s="1"/>
  <c r="DA9" i="75"/>
  <c r="DB9"/>
  <c r="G10"/>
  <c r="K10"/>
  <c r="R10" s="1"/>
  <c r="P10"/>
  <c r="F25" i="103" s="1"/>
  <c r="S10" i="75"/>
  <c r="U10" s="1"/>
  <c r="V10"/>
  <c r="X10"/>
  <c r="I25" i="103" s="1"/>
  <c r="K25" s="1"/>
  <c r="AA10" i="75"/>
  <c r="AC10"/>
  <c r="AD10"/>
  <c r="AF10"/>
  <c r="AI10"/>
  <c r="AK10" s="1"/>
  <c r="AL10"/>
  <c r="AN10" s="1"/>
  <c r="AQ10"/>
  <c r="AS10"/>
  <c r="AT10"/>
  <c r="AX10"/>
  <c r="AY10"/>
  <c r="BA10" s="1"/>
  <c r="BB10"/>
  <c r="BD10" s="1"/>
  <c r="BG10"/>
  <c r="BI10" s="1"/>
  <c r="BJ10"/>
  <c r="BL10" s="1"/>
  <c r="BO10"/>
  <c r="BQ10" s="1"/>
  <c r="BR10"/>
  <c r="BT10" s="1"/>
  <c r="AA25" i="103" s="1"/>
  <c r="AC25" s="1"/>
  <c r="BW10" i="75"/>
  <c r="BY10" s="1"/>
  <c r="BZ10"/>
  <c r="CE10"/>
  <c r="CG10" s="1"/>
  <c r="CH10"/>
  <c r="CJ10" s="1"/>
  <c r="AG25" i="103" s="1"/>
  <c r="AI25" s="1"/>
  <c r="CM10" i="75"/>
  <c r="CP10"/>
  <c r="CR10" s="1"/>
  <c r="CU10"/>
  <c r="CW10" s="1"/>
  <c r="CX10"/>
  <c r="CZ10" s="1"/>
  <c r="G11"/>
  <c r="K11"/>
  <c r="M11" s="1"/>
  <c r="N11"/>
  <c r="U11"/>
  <c r="V11"/>
  <c r="Z11" s="1"/>
  <c r="AA11"/>
  <c r="AC11" s="1"/>
  <c r="AD11"/>
  <c r="AF11" s="1"/>
  <c r="L26" i="103" s="1"/>
  <c r="N26" s="1"/>
  <c r="AI11" i="75"/>
  <c r="AL11"/>
  <c r="AN11" s="1"/>
  <c r="AS11"/>
  <c r="AT11"/>
  <c r="AW11" s="1"/>
  <c r="AY11"/>
  <c r="BA11" s="1"/>
  <c r="BB11"/>
  <c r="BG11"/>
  <c r="BI11" s="1"/>
  <c r="BJ11"/>
  <c r="BL11" s="1"/>
  <c r="BO11"/>
  <c r="BQ11" s="1"/>
  <c r="BR11"/>
  <c r="BY11"/>
  <c r="BZ11"/>
  <c r="CC11" s="1"/>
  <c r="CG11"/>
  <c r="CH11"/>
  <c r="CK11"/>
  <c r="CM11"/>
  <c r="CO11" s="1"/>
  <c r="CP11"/>
  <c r="CU11"/>
  <c r="CW11" s="1"/>
  <c r="CX11"/>
  <c r="CZ11" s="1"/>
  <c r="C12"/>
  <c r="G12"/>
  <c r="M12"/>
  <c r="U12"/>
  <c r="AC12"/>
  <c r="AK12"/>
  <c r="AS12"/>
  <c r="BA12"/>
  <c r="BI12"/>
  <c r="BQ12"/>
  <c r="BY12"/>
  <c r="CG12"/>
  <c r="CO12"/>
  <c r="CS12"/>
  <c r="CW12"/>
  <c r="C13"/>
  <c r="G13"/>
  <c r="Y13"/>
  <c r="AW13"/>
  <c r="CC13"/>
  <c r="CK13"/>
  <c r="C14"/>
  <c r="G14"/>
  <c r="M14"/>
  <c r="N14"/>
  <c r="P14" s="1"/>
  <c r="Q14"/>
  <c r="U14"/>
  <c r="V14"/>
  <c r="X14" s="1"/>
  <c r="H9" i="65" s="1"/>
  <c r="Y14" i="75"/>
  <c r="AC14"/>
  <c r="AD14"/>
  <c r="AG14"/>
  <c r="AK14"/>
  <c r="AL14"/>
  <c r="AO14"/>
  <c r="AS14"/>
  <c r="AT14"/>
  <c r="AV14" s="1"/>
  <c r="AW14"/>
  <c r="BA14"/>
  <c r="BB14"/>
  <c r="BF14" s="1"/>
  <c r="BE14"/>
  <c r="BI14"/>
  <c r="BJ14"/>
  <c r="BN14" s="1"/>
  <c r="BM14"/>
  <c r="BQ14"/>
  <c r="BR14"/>
  <c r="BT14" s="1"/>
  <c r="BU14"/>
  <c r="BY14"/>
  <c r="BZ14"/>
  <c r="CD14" s="1"/>
  <c r="CC14"/>
  <c r="CG14"/>
  <c r="CH14"/>
  <c r="CK14"/>
  <c r="CO14"/>
  <c r="CP14"/>
  <c r="CT14" s="1"/>
  <c r="CW14"/>
  <c r="CX14"/>
  <c r="CZ14" s="1"/>
  <c r="H19" i="65" s="1"/>
  <c r="DA14" i="75"/>
  <c r="T15"/>
  <c r="AJ15"/>
  <c r="AR15"/>
  <c r="BH15"/>
  <c r="BP15"/>
  <c r="CF15"/>
  <c r="CN15"/>
  <c r="CV15"/>
  <c r="K16"/>
  <c r="S16"/>
  <c r="AA16"/>
  <c r="AI16"/>
  <c r="AQ16"/>
  <c r="AY16"/>
  <c r="BG16"/>
  <c r="BO16"/>
  <c r="BW16"/>
  <c r="CE16"/>
  <c r="CM16"/>
  <c r="CU16"/>
  <c r="C17"/>
  <c r="M17"/>
  <c r="N17"/>
  <c r="Q17" s="1"/>
  <c r="P17"/>
  <c r="U17"/>
  <c r="V17"/>
  <c r="Z17" s="1"/>
  <c r="AC17"/>
  <c r="AD17"/>
  <c r="AG17" s="1"/>
  <c r="AK17"/>
  <c r="AL17"/>
  <c r="AO17"/>
  <c r="AS17"/>
  <c r="AT17"/>
  <c r="AV17" s="1"/>
  <c r="BA17"/>
  <c r="BB17"/>
  <c r="BF17" s="1"/>
  <c r="BI17"/>
  <c r="BJ17"/>
  <c r="BM17" s="1"/>
  <c r="BN17"/>
  <c r="BQ17"/>
  <c r="BR17"/>
  <c r="BU17"/>
  <c r="BY17"/>
  <c r="BZ17"/>
  <c r="CB17" s="1"/>
  <c r="CC17"/>
  <c r="CG17"/>
  <c r="CH17"/>
  <c r="CL17" s="1"/>
  <c r="CO17"/>
  <c r="CP17"/>
  <c r="CS17" s="1"/>
  <c r="CT17"/>
  <c r="CW17"/>
  <c r="CX17"/>
  <c r="DA17"/>
  <c r="C18"/>
  <c r="M18"/>
  <c r="U18"/>
  <c r="X18"/>
  <c r="AC18"/>
  <c r="AK18"/>
  <c r="AL18"/>
  <c r="AP18" s="1"/>
  <c r="AS18"/>
  <c r="BA18"/>
  <c r="BD18"/>
  <c r="BF18"/>
  <c r="BI18"/>
  <c r="BQ18"/>
  <c r="BY18"/>
  <c r="BZ18"/>
  <c r="CH18"/>
  <c r="CK18" s="1"/>
  <c r="CJ18"/>
  <c r="CO18"/>
  <c r="CW18"/>
  <c r="CX18"/>
  <c r="DB18" s="1"/>
  <c r="D19"/>
  <c r="D15" s="1"/>
  <c r="C20"/>
  <c r="L20"/>
  <c r="N20"/>
  <c r="R20" s="1"/>
  <c r="O20"/>
  <c r="P20" s="1"/>
  <c r="U20"/>
  <c r="V20"/>
  <c r="W20"/>
  <c r="AB20"/>
  <c r="AC20" s="1"/>
  <c r="AD20"/>
  <c r="AH20" s="1"/>
  <c r="AJ20"/>
  <c r="AL20"/>
  <c r="AM20"/>
  <c r="J24" i="78" s="1"/>
  <c r="AR20" i="75"/>
  <c r="AS20" s="1"/>
  <c r="AT20"/>
  <c r="AU20"/>
  <c r="AZ20"/>
  <c r="BA20" s="1"/>
  <c r="BB20"/>
  <c r="BC20"/>
  <c r="BH20"/>
  <c r="BI20" s="1"/>
  <c r="BJ20"/>
  <c r="BK20"/>
  <c r="BP20"/>
  <c r="BP23" s="1"/>
  <c r="BR20"/>
  <c r="BV20" s="1"/>
  <c r="BS20"/>
  <c r="BX20"/>
  <c r="BX23" s="1"/>
  <c r="BY20"/>
  <c r="BZ20"/>
  <c r="CC20" s="1"/>
  <c r="CA20"/>
  <c r="CF20"/>
  <c r="CG20" s="1"/>
  <c r="CH20"/>
  <c r="I39" i="78" s="1"/>
  <c r="I40" s="1"/>
  <c r="CI20" i="75"/>
  <c r="CO20"/>
  <c r="CP20"/>
  <c r="CT20" s="1"/>
  <c r="CQ20"/>
  <c r="CV20"/>
  <c r="CW20"/>
  <c r="CX20"/>
  <c r="DA20" s="1"/>
  <c r="CY20"/>
  <c r="C21"/>
  <c r="D21"/>
  <c r="G21"/>
  <c r="M21"/>
  <c r="N21"/>
  <c r="Q21"/>
  <c r="U21"/>
  <c r="V21"/>
  <c r="Z21" s="1"/>
  <c r="X21"/>
  <c r="E13" i="104" s="1"/>
  <c r="Y21" i="75"/>
  <c r="AC21"/>
  <c r="AD21"/>
  <c r="AH21" s="1"/>
  <c r="AK21"/>
  <c r="AL21"/>
  <c r="AO21" s="1"/>
  <c r="AS21"/>
  <c r="AT21"/>
  <c r="AW21"/>
  <c r="BA21"/>
  <c r="BB21"/>
  <c r="BF21" s="1"/>
  <c r="BD21"/>
  <c r="I13" i="104" s="1"/>
  <c r="BI21" i="75"/>
  <c r="BJ21"/>
  <c r="BN21" s="1"/>
  <c r="BQ21"/>
  <c r="BR21"/>
  <c r="BU21" s="1"/>
  <c r="BV21"/>
  <c r="BY21"/>
  <c r="BZ21"/>
  <c r="CC21"/>
  <c r="CG21"/>
  <c r="CH21"/>
  <c r="CL21" s="1"/>
  <c r="CO21"/>
  <c r="CP21"/>
  <c r="CT21" s="1"/>
  <c r="CW21"/>
  <c r="CX21"/>
  <c r="DA21" s="1"/>
  <c r="DB21"/>
  <c r="C22"/>
  <c r="D22"/>
  <c r="G22"/>
  <c r="M22"/>
  <c r="N22"/>
  <c r="P22" s="1"/>
  <c r="Q22"/>
  <c r="U22"/>
  <c r="V22"/>
  <c r="Y22"/>
  <c r="AC22"/>
  <c r="AD22"/>
  <c r="AH22" s="1"/>
  <c r="AK22"/>
  <c r="AL22"/>
  <c r="AS22"/>
  <c r="AT22"/>
  <c r="AW22" s="1"/>
  <c r="AX22"/>
  <c r="BA22"/>
  <c r="BB22"/>
  <c r="BI22"/>
  <c r="BJ22"/>
  <c r="BN22" s="1"/>
  <c r="BQ22"/>
  <c r="BR22"/>
  <c r="BY22"/>
  <c r="BZ22"/>
  <c r="CD22" s="1"/>
  <c r="CB22"/>
  <c r="CG22"/>
  <c r="CH22"/>
  <c r="CO22"/>
  <c r="CP22"/>
  <c r="CT22" s="1"/>
  <c r="CW22"/>
  <c r="CX22"/>
  <c r="G23"/>
  <c r="T23"/>
  <c r="AR23"/>
  <c r="AZ23"/>
  <c r="BH23"/>
  <c r="CN23"/>
  <c r="G24"/>
  <c r="M24"/>
  <c r="N24"/>
  <c r="U24"/>
  <c r="V24"/>
  <c r="Z24" s="1"/>
  <c r="AC24"/>
  <c r="AD24"/>
  <c r="AG24" s="1"/>
  <c r="AK24"/>
  <c r="AL24"/>
  <c r="AP24" s="1"/>
  <c r="AQ24"/>
  <c r="C24" s="1"/>
  <c r="BA24"/>
  <c r="BB24"/>
  <c r="BF24" s="1"/>
  <c r="BI24"/>
  <c r="BJ24"/>
  <c r="BQ24"/>
  <c r="BR24"/>
  <c r="BU24" s="1"/>
  <c r="BY24"/>
  <c r="BZ24"/>
  <c r="CC24" s="1"/>
  <c r="CG24"/>
  <c r="CH24"/>
  <c r="CL24" s="1"/>
  <c r="CJ24"/>
  <c r="CO24"/>
  <c r="CP24"/>
  <c r="CW24"/>
  <c r="CX24"/>
  <c r="DA24" s="1"/>
  <c r="C25"/>
  <c r="I25" s="1"/>
  <c r="G25"/>
  <c r="Q25"/>
  <c r="Y25"/>
  <c r="AG25"/>
  <c r="AH25"/>
  <c r="AK25"/>
  <c r="AO25"/>
  <c r="AP25"/>
  <c r="AW25"/>
  <c r="AX25"/>
  <c r="BE25"/>
  <c r="BF25"/>
  <c r="BM25"/>
  <c r="BN25"/>
  <c r="BQ25"/>
  <c r="BU25"/>
  <c r="BV25"/>
  <c r="CC25"/>
  <c r="CD25"/>
  <c r="CK25"/>
  <c r="CL25"/>
  <c r="CP25"/>
  <c r="F25" s="1"/>
  <c r="CS25"/>
  <c r="DA25"/>
  <c r="DB25"/>
  <c r="D7" i="66"/>
  <c r="E7"/>
  <c r="C8"/>
  <c r="C9"/>
  <c r="C10"/>
  <c r="C11"/>
  <c r="C12"/>
  <c r="C13"/>
  <c r="C14"/>
  <c r="C15"/>
  <c r="C16"/>
  <c r="C17"/>
  <c r="C18"/>
  <c r="C19"/>
  <c r="C20"/>
  <c r="C21"/>
  <c r="C22"/>
  <c r="C23"/>
  <c r="D25"/>
  <c r="E25"/>
  <c r="C26"/>
  <c r="C27"/>
  <c r="C28"/>
  <c r="C29"/>
  <c r="C30"/>
  <c r="C31"/>
  <c r="C32"/>
  <c r="C33"/>
  <c r="C34"/>
  <c r="C35"/>
  <c r="C36"/>
  <c r="C37"/>
  <c r="C38"/>
  <c r="D39"/>
  <c r="C40"/>
  <c r="C41"/>
  <c r="C42"/>
  <c r="C43"/>
  <c r="E45"/>
  <c r="C45" s="1"/>
  <c r="E46"/>
  <c r="C46" s="1"/>
  <c r="C47"/>
  <c r="C48"/>
  <c r="C49"/>
  <c r="C50"/>
  <c r="C51"/>
  <c r="C52"/>
  <c r="C53"/>
  <c r="C54"/>
  <c r="C55"/>
  <c r="C56"/>
  <c r="C57"/>
  <c r="C58"/>
  <c r="C59"/>
  <c r="C60"/>
  <c r="C61"/>
  <c r="C62"/>
  <c r="C63"/>
  <c r="C64"/>
  <c r="C65"/>
  <c r="H8" i="65"/>
  <c r="H15"/>
  <c r="C6" i="64"/>
  <c r="C9"/>
  <c r="D24"/>
  <c r="G24"/>
  <c r="H24"/>
  <c r="I24"/>
  <c r="J24"/>
  <c r="K24"/>
  <c r="L24"/>
  <c r="M24"/>
  <c r="N24"/>
  <c r="O24"/>
  <c r="C28"/>
  <c r="C29"/>
  <c r="O38" i="2" s="1"/>
  <c r="D30" i="64"/>
  <c r="E30"/>
  <c r="F30"/>
  <c r="G30"/>
  <c r="H30"/>
  <c r="I30"/>
  <c r="J30"/>
  <c r="K30"/>
  <c r="L30"/>
  <c r="M30"/>
  <c r="N30"/>
  <c r="O30"/>
  <c r="E32"/>
  <c r="F7" i="63"/>
  <c r="H7" s="1"/>
  <c r="I7"/>
  <c r="L7"/>
  <c r="N7" s="1"/>
  <c r="O7"/>
  <c r="R7"/>
  <c r="T7" s="1"/>
  <c r="U7"/>
  <c r="X7"/>
  <c r="Z7" s="1"/>
  <c r="AA7"/>
  <c r="AD7"/>
  <c r="AF7" s="1"/>
  <c r="AG7"/>
  <c r="AJ7"/>
  <c r="AL7" s="1"/>
  <c r="AM7"/>
  <c r="F8"/>
  <c r="I8"/>
  <c r="K8" s="1"/>
  <c r="L8"/>
  <c r="N8" s="1"/>
  <c r="O8"/>
  <c r="Q8" s="1"/>
  <c r="R8"/>
  <c r="T8" s="1"/>
  <c r="U8"/>
  <c r="W8" s="1"/>
  <c r="X8"/>
  <c r="Z8" s="1"/>
  <c r="G14" i="65" s="1"/>
  <c r="AA8" i="63"/>
  <c r="AC8" s="1"/>
  <c r="AD8"/>
  <c r="AF8" s="1"/>
  <c r="AG8"/>
  <c r="AI8" s="1"/>
  <c r="AJ8"/>
  <c r="AL8" s="1"/>
  <c r="AM8"/>
  <c r="AO8" s="1"/>
  <c r="F9"/>
  <c r="H9"/>
  <c r="I9"/>
  <c r="K9" s="1"/>
  <c r="L9"/>
  <c r="N9"/>
  <c r="O9"/>
  <c r="Q9" s="1"/>
  <c r="R9"/>
  <c r="T9" s="1"/>
  <c r="U9"/>
  <c r="W9" s="1"/>
  <c r="X9"/>
  <c r="Z9" s="1"/>
  <c r="AA9"/>
  <c r="AC9" s="1"/>
  <c r="AD9"/>
  <c r="AF9"/>
  <c r="AG9"/>
  <c r="AI9" s="1"/>
  <c r="AJ9"/>
  <c r="AL9" s="1"/>
  <c r="AM9"/>
  <c r="AO9" s="1"/>
  <c r="F10"/>
  <c r="I10"/>
  <c r="L10"/>
  <c r="O10"/>
  <c r="R10"/>
  <c r="U10"/>
  <c r="X10"/>
  <c r="AA10"/>
  <c r="AD10"/>
  <c r="AG10"/>
  <c r="AJ10"/>
  <c r="AM10"/>
  <c r="AO10" s="1"/>
  <c r="E10" s="1"/>
  <c r="D10" s="1"/>
  <c r="F11"/>
  <c r="H11" s="1"/>
  <c r="I11"/>
  <c r="K11" s="1"/>
  <c r="L11"/>
  <c r="N11" s="1"/>
  <c r="O11"/>
  <c r="Q11" s="1"/>
  <c r="R11"/>
  <c r="T11" s="1"/>
  <c r="U11"/>
  <c r="W11" s="1"/>
  <c r="X11"/>
  <c r="Z11" s="1"/>
  <c r="AA11"/>
  <c r="AC11" s="1"/>
  <c r="AD11"/>
  <c r="AF11"/>
  <c r="AG11"/>
  <c r="AI11" s="1"/>
  <c r="AJ11"/>
  <c r="AL11" s="1"/>
  <c r="AM11"/>
  <c r="AO11" s="1"/>
  <c r="F12"/>
  <c r="H12" s="1"/>
  <c r="I12"/>
  <c r="K12" s="1"/>
  <c r="L12"/>
  <c r="N12"/>
  <c r="O12"/>
  <c r="Q12" s="1"/>
  <c r="R12"/>
  <c r="T12" s="1"/>
  <c r="U12"/>
  <c r="W12" s="1"/>
  <c r="X12"/>
  <c r="Z12" s="1"/>
  <c r="AA12"/>
  <c r="AC12" s="1"/>
  <c r="AD12"/>
  <c r="AF12" s="1"/>
  <c r="AG12"/>
  <c r="AI12" s="1"/>
  <c r="AJ12"/>
  <c r="AL12"/>
  <c r="AM12"/>
  <c r="AO12" s="1"/>
  <c r="F13"/>
  <c r="I13"/>
  <c r="K13" s="1"/>
  <c r="L13"/>
  <c r="N13" s="1"/>
  <c r="O13"/>
  <c r="Q13" s="1"/>
  <c r="R13"/>
  <c r="T13" s="1"/>
  <c r="U13"/>
  <c r="W13" s="1"/>
  <c r="X13"/>
  <c r="Z13" s="1"/>
  <c r="AA13"/>
  <c r="AC13" s="1"/>
  <c r="AD13"/>
  <c r="AF13" s="1"/>
  <c r="AG13"/>
  <c r="AI13" s="1"/>
  <c r="AJ13"/>
  <c r="AL13" s="1"/>
  <c r="AM13"/>
  <c r="AO13" s="1"/>
  <c r="F14"/>
  <c r="I14"/>
  <c r="K14" s="1"/>
  <c r="L14"/>
  <c r="N14" s="1"/>
  <c r="O14"/>
  <c r="Q14" s="1"/>
  <c r="R14"/>
  <c r="T14" s="1"/>
  <c r="U14"/>
  <c r="W14" s="1"/>
  <c r="X14"/>
  <c r="Z14" s="1"/>
  <c r="AA14"/>
  <c r="AC14"/>
  <c r="AD14"/>
  <c r="AF14" s="1"/>
  <c r="AG14"/>
  <c r="AI14" s="1"/>
  <c r="AJ14"/>
  <c r="AL14" s="1"/>
  <c r="AM14"/>
  <c r="AO14" s="1"/>
  <c r="F15"/>
  <c r="H15" s="1"/>
  <c r="I15"/>
  <c r="K15" s="1"/>
  <c r="L15"/>
  <c r="N15" s="1"/>
  <c r="O15"/>
  <c r="Q15" s="1"/>
  <c r="R15"/>
  <c r="T15" s="1"/>
  <c r="U15"/>
  <c r="W15" s="1"/>
  <c r="X15"/>
  <c r="Z15" s="1"/>
  <c r="AA15"/>
  <c r="AC15" s="1"/>
  <c r="AD15"/>
  <c r="AF15" s="1"/>
  <c r="AG15"/>
  <c r="AI15" s="1"/>
  <c r="AJ15"/>
  <c r="AL15" s="1"/>
  <c r="AM15"/>
  <c r="AO15" s="1"/>
  <c r="F16"/>
  <c r="I16"/>
  <c r="K16" s="1"/>
  <c r="L16"/>
  <c r="N16" s="1"/>
  <c r="O16"/>
  <c r="Q16" s="1"/>
  <c r="R16"/>
  <c r="T16" s="1"/>
  <c r="U16"/>
  <c r="W16" s="1"/>
  <c r="X16"/>
  <c r="Z16"/>
  <c r="AA16"/>
  <c r="AC16" s="1"/>
  <c r="AD16"/>
  <c r="AF16" s="1"/>
  <c r="AG16"/>
  <c r="AI16" s="1"/>
  <c r="AJ16"/>
  <c r="AL16" s="1"/>
  <c r="AM16"/>
  <c r="AO16" s="1"/>
  <c r="F17"/>
  <c r="I17"/>
  <c r="K17" s="1"/>
  <c r="L17"/>
  <c r="N17" s="1"/>
  <c r="Q17"/>
  <c r="R17"/>
  <c r="T17" s="1"/>
  <c r="W17"/>
  <c r="X17"/>
  <c r="Z17" s="1"/>
  <c r="AA17"/>
  <c r="AC17" s="1"/>
  <c r="AD17"/>
  <c r="AF17" s="1"/>
  <c r="AG17"/>
  <c r="AI17" s="1"/>
  <c r="AJ17"/>
  <c r="AL17" s="1"/>
  <c r="AM17"/>
  <c r="AO17" s="1"/>
  <c r="F18"/>
  <c r="H18" s="1"/>
  <c r="I18"/>
  <c r="K18" s="1"/>
  <c r="L18"/>
  <c r="N18" s="1"/>
  <c r="O18"/>
  <c r="R18"/>
  <c r="T18" s="1"/>
  <c r="U18"/>
  <c r="W18" s="1"/>
  <c r="X18"/>
  <c r="Z18" s="1"/>
  <c r="AA18"/>
  <c r="AC18" s="1"/>
  <c r="AD18"/>
  <c r="AF18" s="1"/>
  <c r="AG18"/>
  <c r="AI18" s="1"/>
  <c r="AJ18"/>
  <c r="AL18" s="1"/>
  <c r="AM18"/>
  <c r="AO18" s="1"/>
  <c r="F19"/>
  <c r="I19"/>
  <c r="K19" s="1"/>
  <c r="L19"/>
  <c r="N19" s="1"/>
  <c r="O19"/>
  <c r="Q19" s="1"/>
  <c r="R19"/>
  <c r="T19" s="1"/>
  <c r="U19"/>
  <c r="W19" s="1"/>
  <c r="X19"/>
  <c r="Z19" s="1"/>
  <c r="AA19"/>
  <c r="AC19" s="1"/>
  <c r="AD19"/>
  <c r="AF19" s="1"/>
  <c r="AG19"/>
  <c r="AI19" s="1"/>
  <c r="AJ19"/>
  <c r="AL19" s="1"/>
  <c r="AM19"/>
  <c r="AO19" s="1"/>
  <c r="F20"/>
  <c r="H20" s="1"/>
  <c r="I20"/>
  <c r="K20" s="1"/>
  <c r="L20"/>
  <c r="N20" s="1"/>
  <c r="O20"/>
  <c r="R20"/>
  <c r="T20" s="1"/>
  <c r="U20"/>
  <c r="W20" s="1"/>
  <c r="X20"/>
  <c r="Z20" s="1"/>
  <c r="AA20"/>
  <c r="AC20" s="1"/>
  <c r="AD20"/>
  <c r="AF20" s="1"/>
  <c r="AG20"/>
  <c r="AI20" s="1"/>
  <c r="AJ20"/>
  <c r="AL20" s="1"/>
  <c r="AM20"/>
  <c r="AO20" s="1"/>
  <c r="F21"/>
  <c r="H21" s="1"/>
  <c r="I21"/>
  <c r="K21" s="1"/>
  <c r="L21"/>
  <c r="N21" s="1"/>
  <c r="O21"/>
  <c r="R21"/>
  <c r="T21" s="1"/>
  <c r="U21"/>
  <c r="W21" s="1"/>
  <c r="X21"/>
  <c r="Z21" s="1"/>
  <c r="AA21"/>
  <c r="AC21" s="1"/>
  <c r="AD21"/>
  <c r="AF21" s="1"/>
  <c r="AG21"/>
  <c r="AI21" s="1"/>
  <c r="AJ21"/>
  <c r="AL21"/>
  <c r="AM21"/>
  <c r="AO21" s="1"/>
  <c r="AM23"/>
  <c r="AO23" s="1"/>
  <c r="F25"/>
  <c r="I25"/>
  <c r="K25" s="1"/>
  <c r="AA25"/>
  <c r="AC25" s="1"/>
  <c r="F29"/>
  <c r="I29"/>
  <c r="K29" s="1"/>
  <c r="L29"/>
  <c r="F26" i="104" s="1"/>
  <c r="O29" i="63"/>
  <c r="R29"/>
  <c r="U29"/>
  <c r="I26" i="64" s="1"/>
  <c r="X29" i="63"/>
  <c r="J26" i="64" s="1"/>
  <c r="AA29" i="63"/>
  <c r="AD29"/>
  <c r="AG29"/>
  <c r="AJ29"/>
  <c r="N26" i="64" s="1"/>
  <c r="AM29" i="63"/>
  <c r="O26" i="104" s="1"/>
  <c r="F30" i="63"/>
  <c r="I30"/>
  <c r="E27" i="104" s="1"/>
  <c r="L30" i="63"/>
  <c r="O30"/>
  <c r="R30"/>
  <c r="U30"/>
  <c r="X30"/>
  <c r="Z30" s="1"/>
  <c r="AA30"/>
  <c r="AD30"/>
  <c r="AF30" s="1"/>
  <c r="AG30"/>
  <c r="AJ30"/>
  <c r="AM30"/>
  <c r="O27" i="64" s="1"/>
  <c r="C31" i="63"/>
  <c r="H31"/>
  <c r="K31"/>
  <c r="N31"/>
  <c r="Q31"/>
  <c r="T31"/>
  <c r="W31"/>
  <c r="Z31"/>
  <c r="AC31"/>
  <c r="AF31"/>
  <c r="AI31"/>
  <c r="AL31"/>
  <c r="AO31"/>
  <c r="F32"/>
  <c r="H32" s="1"/>
  <c r="K32"/>
  <c r="AA32"/>
  <c r="AC32" s="1"/>
  <c r="AM32"/>
  <c r="AO32" s="1"/>
  <c r="AB44" i="84"/>
  <c r="AD44" s="1"/>
  <c r="AD46" s="1"/>
  <c r="AF46"/>
  <c r="J65"/>
  <c r="C65" s="1"/>
  <c r="J66"/>
  <c r="C66" s="1"/>
  <c r="J67"/>
  <c r="C67" s="1"/>
  <c r="J68"/>
  <c r="C68" s="1"/>
  <c r="J69"/>
  <c r="C69" s="1"/>
  <c r="J70"/>
  <c r="C70" s="1"/>
  <c r="J71"/>
  <c r="C71" s="1"/>
  <c r="J72"/>
  <c r="C72" s="1"/>
  <c r="J73"/>
  <c r="C73" s="1"/>
  <c r="J74"/>
  <c r="C74" s="1"/>
  <c r="J75"/>
  <c r="C75" s="1"/>
  <c r="J76"/>
  <c r="C76" s="1"/>
  <c r="J77"/>
  <c r="C77" s="1"/>
  <c r="J78"/>
  <c r="C78" s="1"/>
  <c r="J79"/>
  <c r="C79" s="1"/>
  <c r="J80"/>
  <c r="C80" s="1"/>
  <c r="J81"/>
  <c r="C81" s="1"/>
  <c r="J82"/>
  <c r="C82" s="1"/>
  <c r="J83"/>
  <c r="C83" s="1"/>
  <c r="J84"/>
  <c r="C84" s="1"/>
  <c r="J85"/>
  <c r="C85" s="1"/>
  <c r="J86"/>
  <c r="C86" s="1"/>
  <c r="J87"/>
  <c r="C87" s="1"/>
  <c r="J88"/>
  <c r="C88" s="1"/>
  <c r="J89"/>
  <c r="C89" s="1"/>
  <c r="J90"/>
  <c r="C90" s="1"/>
  <c r="V91"/>
  <c r="V64" s="1"/>
  <c r="J92"/>
  <c r="C92" s="1"/>
  <c r="J93"/>
  <c r="C93" s="1"/>
  <c r="J94"/>
  <c r="C94" s="1"/>
  <c r="J95"/>
  <c r="E5" i="73"/>
  <c r="H5"/>
  <c r="K5"/>
  <c r="D8"/>
  <c r="E11"/>
  <c r="H11"/>
  <c r="K11"/>
  <c r="C13"/>
  <c r="F13"/>
  <c r="I13"/>
  <c r="H14"/>
  <c r="K14"/>
  <c r="D15"/>
  <c r="E15"/>
  <c r="G15"/>
  <c r="H15"/>
  <c r="D16"/>
  <c r="E16"/>
  <c r="G16"/>
  <c r="H16"/>
  <c r="J16"/>
  <c r="K16"/>
  <c r="L16"/>
  <c r="J18"/>
  <c r="D19"/>
  <c r="D20"/>
  <c r="E20"/>
  <c r="G20"/>
  <c r="H20"/>
  <c r="J20"/>
  <c r="K20"/>
  <c r="D21"/>
  <c r="E21"/>
  <c r="H21"/>
  <c r="J21"/>
  <c r="K21"/>
  <c r="D23"/>
  <c r="E23"/>
  <c r="D24"/>
  <c r="E24"/>
  <c r="D25"/>
  <c r="C25" s="1"/>
  <c r="E25"/>
  <c r="D27"/>
  <c r="E27"/>
  <c r="C27" s="1"/>
  <c r="G27"/>
  <c r="F27" s="1"/>
  <c r="H27"/>
  <c r="J27"/>
  <c r="K27"/>
  <c r="D28"/>
  <c r="C28" s="1"/>
  <c r="E28"/>
  <c r="G28"/>
  <c r="H28"/>
  <c r="F28" s="1"/>
  <c r="J28"/>
  <c r="D29"/>
  <c r="E29"/>
  <c r="G29"/>
  <c r="F29" s="1"/>
  <c r="H29"/>
  <c r="J29"/>
  <c r="K29"/>
  <c r="D30"/>
  <c r="C30" s="1"/>
  <c r="E30"/>
  <c r="H30"/>
  <c r="D31"/>
  <c r="E31"/>
  <c r="G31"/>
  <c r="H31"/>
  <c r="D33"/>
  <c r="E33"/>
  <c r="G33"/>
  <c r="D34"/>
  <c r="E34"/>
  <c r="G34"/>
  <c r="F34" s="1"/>
  <c r="H34"/>
  <c r="J34"/>
  <c r="K34"/>
  <c r="C35"/>
  <c r="D35"/>
  <c r="G35"/>
  <c r="F35" s="1"/>
  <c r="J35"/>
  <c r="I35" s="1"/>
  <c r="H38"/>
  <c r="F43"/>
  <c r="G44" s="1"/>
  <c r="G49"/>
  <c r="H50"/>
  <c r="I50"/>
  <c r="H51"/>
  <c r="H53"/>
  <c r="J55"/>
  <c r="L55"/>
  <c r="D62"/>
  <c r="C63"/>
  <c r="I64"/>
  <c r="I66" s="1"/>
  <c r="J68"/>
  <c r="I71"/>
  <c r="I75"/>
  <c r="J75" s="1"/>
  <c r="E5" i="61"/>
  <c r="H5"/>
  <c r="K5"/>
  <c r="D8"/>
  <c r="E10"/>
  <c r="D35" s="1"/>
  <c r="C35" s="1"/>
  <c r="H10"/>
  <c r="G35" s="1"/>
  <c r="F35" s="1"/>
  <c r="E11"/>
  <c r="H11"/>
  <c r="K11"/>
  <c r="C13"/>
  <c r="G13"/>
  <c r="F13" s="1"/>
  <c r="J13"/>
  <c r="I13" s="1"/>
  <c r="H14"/>
  <c r="K14"/>
  <c r="D15"/>
  <c r="E15"/>
  <c r="G15"/>
  <c r="H15"/>
  <c r="D16"/>
  <c r="E16"/>
  <c r="G16"/>
  <c r="H16"/>
  <c r="J16"/>
  <c r="K16"/>
  <c r="J18"/>
  <c r="D19"/>
  <c r="D20"/>
  <c r="E20"/>
  <c r="G20"/>
  <c r="H20"/>
  <c r="J20"/>
  <c r="K20"/>
  <c r="D21"/>
  <c r="E21"/>
  <c r="H21"/>
  <c r="J21"/>
  <c r="K21"/>
  <c r="D23"/>
  <c r="E23"/>
  <c r="D24"/>
  <c r="E24"/>
  <c r="D25"/>
  <c r="E25"/>
  <c r="D27"/>
  <c r="E27"/>
  <c r="G27"/>
  <c r="H27"/>
  <c r="J27"/>
  <c r="D28"/>
  <c r="C28" s="1"/>
  <c r="G28"/>
  <c r="H28"/>
  <c r="J28"/>
  <c r="K28"/>
  <c r="D29"/>
  <c r="C29" s="1"/>
  <c r="E29"/>
  <c r="G29"/>
  <c r="H29"/>
  <c r="J29"/>
  <c r="K29"/>
  <c r="D30"/>
  <c r="E30"/>
  <c r="H30"/>
  <c r="D31"/>
  <c r="E31"/>
  <c r="G31"/>
  <c r="H31"/>
  <c r="D33"/>
  <c r="E33"/>
  <c r="G33"/>
  <c r="D34"/>
  <c r="E34"/>
  <c r="G34"/>
  <c r="H34"/>
  <c r="J34"/>
  <c r="K34"/>
  <c r="D14" i="2"/>
  <c r="D18" i="73" s="1"/>
  <c r="E14" i="2"/>
  <c r="C15"/>
  <c r="C16"/>
  <c r="F16"/>
  <c r="K16"/>
  <c r="W16"/>
  <c r="C17"/>
  <c r="I17"/>
  <c r="G21" i="61" s="1"/>
  <c r="K17" i="2"/>
  <c r="W17"/>
  <c r="S18"/>
  <c r="C19"/>
  <c r="I19"/>
  <c r="J19"/>
  <c r="O19"/>
  <c r="C20"/>
  <c r="I20"/>
  <c r="G25" i="73" s="1"/>
  <c r="J20" i="2"/>
  <c r="H25" i="73" s="1"/>
  <c r="D21" i="2"/>
  <c r="D18" s="1"/>
  <c r="E21"/>
  <c r="E18" s="1"/>
  <c r="C22"/>
  <c r="I22"/>
  <c r="G24" i="61" s="1"/>
  <c r="J22" i="2"/>
  <c r="C23"/>
  <c r="I23"/>
  <c r="G23" i="61" s="1"/>
  <c r="J23" i="2"/>
  <c r="H23" i="61" s="1"/>
  <c r="C24" i="2"/>
  <c r="I24"/>
  <c r="J24"/>
  <c r="O24"/>
  <c r="C25"/>
  <c r="I25"/>
  <c r="J25"/>
  <c r="O25"/>
  <c r="C26"/>
  <c r="I26"/>
  <c r="J26"/>
  <c r="O26"/>
  <c r="C27"/>
  <c r="I27"/>
  <c r="J27"/>
  <c r="O27"/>
  <c r="C28"/>
  <c r="I28"/>
  <c r="J28"/>
  <c r="O28"/>
  <c r="C29"/>
  <c r="I29"/>
  <c r="J29"/>
  <c r="O29"/>
  <c r="C30"/>
  <c r="I30"/>
  <c r="J30"/>
  <c r="O30"/>
  <c r="C31"/>
  <c r="I31"/>
  <c r="J31"/>
  <c r="O31"/>
  <c r="C32"/>
  <c r="M32" s="1"/>
  <c r="I32"/>
  <c r="K32"/>
  <c r="N32"/>
  <c r="J30" i="61" s="1"/>
  <c r="O32" i="2"/>
  <c r="K30" i="73" s="1"/>
  <c r="C33" i="2"/>
  <c r="F33"/>
  <c r="C34"/>
  <c r="F34"/>
  <c r="V34"/>
  <c r="W34"/>
  <c r="C35"/>
  <c r="F35"/>
  <c r="K35"/>
  <c r="V35"/>
  <c r="W35"/>
  <c r="C36"/>
  <c r="F36"/>
  <c r="K36"/>
  <c r="V36"/>
  <c r="W36"/>
  <c r="D37"/>
  <c r="D32" i="73" s="1"/>
  <c r="E37" i="2"/>
  <c r="E32" i="73" s="1"/>
  <c r="C38" i="2"/>
  <c r="I38"/>
  <c r="J38"/>
  <c r="C39"/>
  <c r="I39"/>
  <c r="F39" s="1"/>
  <c r="J39"/>
  <c r="C40"/>
  <c r="I40"/>
  <c r="J40"/>
  <c r="C41"/>
  <c r="F41"/>
  <c r="N41"/>
  <c r="W41" s="1"/>
  <c r="C42"/>
  <c r="J42"/>
  <c r="H33" i="73" s="1"/>
  <c r="W43" i="2"/>
  <c r="Y12" i="1"/>
  <c r="AA12"/>
  <c r="AC12"/>
  <c r="AE12"/>
  <c r="X13"/>
  <c r="G14"/>
  <c r="M14"/>
  <c r="N14"/>
  <c r="S14"/>
  <c r="C15"/>
  <c r="H15"/>
  <c r="K15" s="1"/>
  <c r="L15" s="1"/>
  <c r="Q15"/>
  <c r="R15" s="1"/>
  <c r="E16"/>
  <c r="F16" s="1"/>
  <c r="K16"/>
  <c r="L16" s="1"/>
  <c r="Q16"/>
  <c r="R16" s="1"/>
  <c r="E17"/>
  <c r="F17" s="1"/>
  <c r="K17"/>
  <c r="L17" s="1"/>
  <c r="Q17"/>
  <c r="R17" s="1"/>
  <c r="E18"/>
  <c r="F18" s="1"/>
  <c r="H18"/>
  <c r="Q18"/>
  <c r="R18" s="1"/>
  <c r="E19"/>
  <c r="F19" s="1"/>
  <c r="K19"/>
  <c r="L19" s="1"/>
  <c r="Q19"/>
  <c r="R19" s="1"/>
  <c r="D20"/>
  <c r="J20"/>
  <c r="J14" s="1"/>
  <c r="P20"/>
  <c r="P14" s="1"/>
  <c r="Q20"/>
  <c r="R20" s="1"/>
  <c r="C21"/>
  <c r="D21"/>
  <c r="G21"/>
  <c r="H21"/>
  <c r="J21"/>
  <c r="M21"/>
  <c r="N21"/>
  <c r="P21"/>
  <c r="S21"/>
  <c r="E22"/>
  <c r="K22"/>
  <c r="L22" s="1"/>
  <c r="Q22"/>
  <c r="E23"/>
  <c r="F23" s="1"/>
  <c r="K23"/>
  <c r="Q23"/>
  <c r="R23" s="1"/>
  <c r="E24"/>
  <c r="F24" s="1"/>
  <c r="K24"/>
  <c r="L24" s="1"/>
  <c r="Q24"/>
  <c r="R24" s="1"/>
  <c r="E25"/>
  <c r="F25" s="1"/>
  <c r="K25"/>
  <c r="L25" s="1"/>
  <c r="Q25"/>
  <c r="R25"/>
  <c r="E26"/>
  <c r="F26" s="1"/>
  <c r="K26"/>
  <c r="L26" s="1"/>
  <c r="Q26"/>
  <c r="R26" s="1"/>
  <c r="E27"/>
  <c r="F27" s="1"/>
  <c r="K27"/>
  <c r="L27" s="1"/>
  <c r="Q27"/>
  <c r="R27" s="1"/>
  <c r="C28"/>
  <c r="G28"/>
  <c r="M28"/>
  <c r="P28"/>
  <c r="S28"/>
  <c r="Y28"/>
  <c r="AA28"/>
  <c r="AC28"/>
  <c r="AE34" s="1"/>
  <c r="AE28"/>
  <c r="E29"/>
  <c r="F29" s="1"/>
  <c r="J29"/>
  <c r="K29" s="1"/>
  <c r="Q29"/>
  <c r="R29" s="1"/>
  <c r="E30"/>
  <c r="J30"/>
  <c r="K30" s="1"/>
  <c r="L30" s="1"/>
  <c r="Q30"/>
  <c r="R30" s="1"/>
  <c r="K31"/>
  <c r="L31" s="1"/>
  <c r="Q31"/>
  <c r="R31"/>
  <c r="E32"/>
  <c r="F32" s="1"/>
  <c r="J32"/>
  <c r="K32" s="1"/>
  <c r="L32" s="1"/>
  <c r="Q32"/>
  <c r="R32" s="1"/>
  <c r="D33"/>
  <c r="H33"/>
  <c r="H28" s="1"/>
  <c r="J33"/>
  <c r="N33"/>
  <c r="N28" s="1"/>
  <c r="D34"/>
  <c r="P34"/>
  <c r="C35"/>
  <c r="C34" s="1"/>
  <c r="H35"/>
  <c r="J35"/>
  <c r="N35"/>
  <c r="E36"/>
  <c r="F36" s="1"/>
  <c r="H36"/>
  <c r="J36"/>
  <c r="N36"/>
  <c r="Q36" s="1"/>
  <c r="E37"/>
  <c r="F37" s="1"/>
  <c r="H37"/>
  <c r="K37" s="1"/>
  <c r="L37" s="1"/>
  <c r="S37"/>
  <c r="E38"/>
  <c r="F38" s="1"/>
  <c r="H38"/>
  <c r="K38" s="1"/>
  <c r="L38" s="1"/>
  <c r="N38"/>
  <c r="Q38" s="1"/>
  <c r="R38" s="1"/>
  <c r="E39"/>
  <c r="G39" s="1"/>
  <c r="H39"/>
  <c r="K39" s="1"/>
  <c r="N39"/>
  <c r="Q39" s="1"/>
  <c r="E40"/>
  <c r="H40"/>
  <c r="M40" s="1"/>
  <c r="N40"/>
  <c r="Q40" s="1"/>
  <c r="E41"/>
  <c r="G41" s="1"/>
  <c r="H41"/>
  <c r="J41"/>
  <c r="N41"/>
  <c r="S41" s="1"/>
  <c r="P41"/>
  <c r="E42"/>
  <c r="G42" s="1"/>
  <c r="J42"/>
  <c r="N42"/>
  <c r="S42" s="1"/>
  <c r="P42"/>
  <c r="E43"/>
  <c r="G43" s="1"/>
  <c r="H43"/>
  <c r="I43" s="1"/>
  <c r="J43"/>
  <c r="N43"/>
  <c r="P43"/>
  <c r="E44"/>
  <c r="F44" s="1"/>
  <c r="I44"/>
  <c r="J44"/>
  <c r="K44" s="1"/>
  <c r="L44" s="1"/>
  <c r="O44"/>
  <c r="P44"/>
  <c r="Q44" s="1"/>
  <c r="R44" s="1"/>
  <c r="E45"/>
  <c r="F45" s="1"/>
  <c r="I45"/>
  <c r="J45"/>
  <c r="K45" s="1"/>
  <c r="L45" s="1"/>
  <c r="O45"/>
  <c r="P45"/>
  <c r="Q45" s="1"/>
  <c r="R45" s="1"/>
  <c r="C46"/>
  <c r="E46" s="1"/>
  <c r="F46" s="1"/>
  <c r="H46"/>
  <c r="N46"/>
  <c r="J47"/>
  <c r="K47" s="1"/>
  <c r="M47"/>
  <c r="P47"/>
  <c r="Q47" s="1"/>
  <c r="S47"/>
  <c r="G48"/>
  <c r="I48"/>
  <c r="J48"/>
  <c r="K48" s="1"/>
  <c r="O48"/>
  <c r="P48"/>
  <c r="Q48" s="1"/>
  <c r="E49"/>
  <c r="G49" s="1"/>
  <c r="H49"/>
  <c r="K49" s="1"/>
  <c r="J49"/>
  <c r="N49"/>
  <c r="S49" s="1"/>
  <c r="P49"/>
  <c r="K50"/>
  <c r="L50" s="1"/>
  <c r="O50"/>
  <c r="P50"/>
  <c r="Q50" s="1"/>
  <c r="R50" s="1"/>
  <c r="C51"/>
  <c r="I51" s="1"/>
  <c r="J51"/>
  <c r="K51" s="1"/>
  <c r="O51"/>
  <c r="P51"/>
  <c r="Q51" s="1"/>
  <c r="G52"/>
  <c r="E52" s="1"/>
  <c r="H52"/>
  <c r="J52"/>
  <c r="N52"/>
  <c r="S52" s="1"/>
  <c r="P52"/>
  <c r="C53"/>
  <c r="E53"/>
  <c r="F53"/>
  <c r="H53"/>
  <c r="D54"/>
  <c r="J54"/>
  <c r="O54"/>
  <c r="P54"/>
  <c r="D55"/>
  <c r="J55"/>
  <c r="N55"/>
  <c r="P55" s="1"/>
  <c r="C57"/>
  <c r="E57"/>
  <c r="K57"/>
  <c r="L57" s="1"/>
  <c r="G11" i="61" s="1"/>
  <c r="F11" s="1"/>
  <c r="N57" i="1"/>
  <c r="Q57" s="1"/>
  <c r="D58"/>
  <c r="D56" s="1"/>
  <c r="G58"/>
  <c r="G56" s="1"/>
  <c r="G55" s="1"/>
  <c r="G53" s="1"/>
  <c r="J58"/>
  <c r="J56" s="1"/>
  <c r="M58"/>
  <c r="M56" s="1"/>
  <c r="P58"/>
  <c r="P56" s="1"/>
  <c r="S58"/>
  <c r="K12" i="61" s="1"/>
  <c r="F59" i="1"/>
  <c r="H59"/>
  <c r="K59" s="1"/>
  <c r="L59" s="1"/>
  <c r="F60"/>
  <c r="E60" s="1"/>
  <c r="H60"/>
  <c r="K60" s="1"/>
  <c r="L60" s="1"/>
  <c r="F61"/>
  <c r="E61" s="1"/>
  <c r="H61"/>
  <c r="K61" s="1"/>
  <c r="L61" s="1"/>
  <c r="C62"/>
  <c r="H62" s="1"/>
  <c r="N62"/>
  <c r="Q62" s="1"/>
  <c r="R62" s="1"/>
  <c r="C63"/>
  <c r="I63" s="1"/>
  <c r="F63"/>
  <c r="K63"/>
  <c r="L63" s="1"/>
  <c r="G14" i="73" s="1"/>
  <c r="F14" s="1"/>
  <c r="N63" i="1"/>
  <c r="E64"/>
  <c r="C64" s="1"/>
  <c r="K64"/>
  <c r="H64" s="1"/>
  <c r="R64"/>
  <c r="C65"/>
  <c r="E65"/>
  <c r="H65"/>
  <c r="K65"/>
  <c r="Q65"/>
  <c r="P106" i="105"/>
  <c r="E11" i="103"/>
  <c r="K7"/>
  <c r="Q7"/>
  <c r="W7"/>
  <c r="W6" s="1"/>
  <c r="AC7"/>
  <c r="AC6" s="1"/>
  <c r="AI7"/>
  <c r="AO7"/>
  <c r="H8"/>
  <c r="C13"/>
  <c r="C11"/>
  <c r="C15"/>
  <c r="C18"/>
  <c r="H21"/>
  <c r="C21"/>
  <c r="H25"/>
  <c r="Q30" i="63"/>
  <c r="P8" i="65"/>
  <c r="T29" i="63"/>
  <c r="F33" i="73"/>
  <c r="AL30" i="103"/>
  <c r="L27" i="64"/>
  <c r="D26"/>
  <c r="O27" i="104"/>
  <c r="O25" s="1"/>
  <c r="H26"/>
  <c r="H26" i="64"/>
  <c r="E26"/>
  <c r="L27" i="104"/>
  <c r="E26"/>
  <c r="J46" i="105"/>
  <c r="T52"/>
  <c r="T45" s="1"/>
  <c r="T44" s="1"/>
  <c r="T43" s="1"/>
  <c r="T10" s="1"/>
  <c r="T9" s="1"/>
  <c r="U60"/>
  <c r="J13"/>
  <c r="C13" s="1"/>
  <c r="Z29" i="103"/>
  <c r="W29" i="63"/>
  <c r="P16" i="65"/>
  <c r="L26" i="64"/>
  <c r="G27" i="104"/>
  <c r="G27" i="64"/>
  <c r="H29" i="63"/>
  <c r="D26" i="104"/>
  <c r="L26"/>
  <c r="L25" s="1"/>
  <c r="AF29" i="63"/>
  <c r="I26" i="104"/>
  <c r="Q29" i="103"/>
  <c r="D24" i="89"/>
  <c r="D66" s="1"/>
  <c r="N40" i="2"/>
  <c r="V40" s="1"/>
  <c r="C10" i="86"/>
  <c r="E29"/>
  <c r="J27" i="64"/>
  <c r="N27" i="104"/>
  <c r="P19" i="65"/>
  <c r="J27" i="104"/>
  <c r="F27"/>
  <c r="P14" i="65"/>
  <c r="G26" i="104"/>
  <c r="AO29" i="63"/>
  <c r="F27" i="64"/>
  <c r="O26"/>
  <c r="N27"/>
  <c r="Z29" i="63"/>
  <c r="N29"/>
  <c r="AO30"/>
  <c r="C50" i="70"/>
  <c r="G39" i="78"/>
  <c r="G35"/>
  <c r="G21"/>
  <c r="F26" i="64"/>
  <c r="K27" i="104"/>
  <c r="E27" i="64"/>
  <c r="P18" i="65"/>
  <c r="AS24" i="75"/>
  <c r="E24" s="1"/>
  <c r="N29" i="103"/>
  <c r="P9" i="65"/>
  <c r="AL29" i="63"/>
  <c r="K30"/>
  <c r="G37" i="78"/>
  <c r="P10" i="105"/>
  <c r="P9" s="1"/>
  <c r="P97"/>
  <c r="G41" i="78"/>
  <c r="C19"/>
  <c r="AT24" i="75"/>
  <c r="AX24" s="1"/>
  <c r="I41" i="78"/>
  <c r="I42" s="1"/>
  <c r="J52" i="84"/>
  <c r="J46"/>
  <c r="T52"/>
  <c r="T45" s="1"/>
  <c r="C46" i="105"/>
  <c r="L45"/>
  <c r="L44" s="1"/>
  <c r="L43" s="1"/>
  <c r="L10" s="1"/>
  <c r="L9" s="1"/>
  <c r="R43"/>
  <c r="R97" s="1"/>
  <c r="R106"/>
  <c r="Y10"/>
  <c r="Y95" s="1"/>
  <c r="W40" i="2"/>
  <c r="D24" i="66"/>
  <c r="D66" s="1"/>
  <c r="I7" i="78"/>
  <c r="K14"/>
  <c r="M14" s="1"/>
  <c r="M12"/>
  <c r="N12"/>
  <c r="O12" s="1"/>
  <c r="P12" s="1"/>
  <c r="R12" s="1"/>
  <c r="L12"/>
  <c r="G43"/>
  <c r="E29" i="77"/>
  <c r="E33" s="1"/>
  <c r="T30" i="103"/>
  <c r="J26" i="104"/>
  <c r="N30" i="103"/>
  <c r="H27" i="64"/>
  <c r="H27" i="104"/>
  <c r="H25" s="1"/>
  <c r="T30" i="63"/>
  <c r="P12" i="65"/>
  <c r="I21" i="98" l="1"/>
  <c r="C61" i="105"/>
  <c r="J60"/>
  <c r="I23" i="103"/>
  <c r="K23" s="1"/>
  <c r="I23" i="63"/>
  <c r="K23" s="1"/>
  <c r="L47" i="1"/>
  <c r="E25" i="104"/>
  <c r="BE24" i="75"/>
  <c r="L18" i="74"/>
  <c r="M18"/>
  <c r="O31" i="77"/>
  <c r="G31"/>
  <c r="X45" i="105"/>
  <c r="V45" i="84"/>
  <c r="C7" i="97"/>
  <c r="D11" i="98"/>
  <c r="G10"/>
  <c r="G21" s="1"/>
  <c r="O55" i="1"/>
  <c r="N53"/>
  <c r="Q33"/>
  <c r="R33" s="1"/>
  <c r="F20" i="61"/>
  <c r="C23" i="73"/>
  <c r="C16"/>
  <c r="G12" i="65"/>
  <c r="Z14" i="75"/>
  <c r="AO11"/>
  <c r="X11"/>
  <c r="BT9"/>
  <c r="P9"/>
  <c r="F23" i="63" s="1"/>
  <c r="H23" s="1"/>
  <c r="I31" i="77"/>
  <c r="F29"/>
  <c r="F33" s="1"/>
  <c r="K44" i="105"/>
  <c r="K43" s="1"/>
  <c r="AE14" i="1"/>
  <c r="AE21" s="1"/>
  <c r="I14" i="2"/>
  <c r="G18" i="61" s="1"/>
  <c r="C12" i="84"/>
  <c r="K20" i="1"/>
  <c r="L20" s="1"/>
  <c r="E51"/>
  <c r="F51" s="1"/>
  <c r="F40" i="2"/>
  <c r="F30"/>
  <c r="H30" s="1"/>
  <c r="F26"/>
  <c r="F19"/>
  <c r="W14"/>
  <c r="D18" i="61"/>
  <c r="I29" i="73"/>
  <c r="BD24" i="75"/>
  <c r="R22"/>
  <c r="CK21"/>
  <c r="AF20"/>
  <c r="F12" i="104" s="1"/>
  <c r="CG18" i="75"/>
  <c r="CG16" s="1"/>
  <c r="AT18"/>
  <c r="AD18"/>
  <c r="AG18" s="1"/>
  <c r="N18"/>
  <c r="CB11"/>
  <c r="BF11"/>
  <c r="AG10"/>
  <c r="L21" i="74"/>
  <c r="L17"/>
  <c r="W10"/>
  <c r="M31" i="77"/>
  <c r="E31"/>
  <c r="D17" i="91"/>
  <c r="K16" i="78"/>
  <c r="N16" s="1"/>
  <c r="O16" s="1"/>
  <c r="P16" s="1"/>
  <c r="R16" s="1"/>
  <c r="V45" i="105"/>
  <c r="C54"/>
  <c r="D9" i="98"/>
  <c r="C11" i="97"/>
  <c r="AM26" i="103"/>
  <c r="AO26" s="1"/>
  <c r="AM26" i="63"/>
  <c r="AO26" s="1"/>
  <c r="N10" i="105"/>
  <c r="N9" s="1"/>
  <c r="N97"/>
  <c r="D14" i="104"/>
  <c r="D14" i="64"/>
  <c r="J52" i="105"/>
  <c r="C55"/>
  <c r="F17" i="2"/>
  <c r="K6" i="103"/>
  <c r="K5" s="1"/>
  <c r="K45" i="84"/>
  <c r="N45"/>
  <c r="N44" s="1"/>
  <c r="N43" s="1"/>
  <c r="R45"/>
  <c r="R44" s="1"/>
  <c r="C46"/>
  <c r="L18" i="78"/>
  <c r="DB24" i="75"/>
  <c r="X24"/>
  <c r="CC22"/>
  <c r="AP21"/>
  <c r="CJ20"/>
  <c r="BU20"/>
  <c r="Q20"/>
  <c r="BQ16"/>
  <c r="AH17"/>
  <c r="CB14"/>
  <c r="AD32" i="63" s="1"/>
  <c r="AF32" s="1"/>
  <c r="BD14" i="75"/>
  <c r="CD11"/>
  <c r="Y11"/>
  <c r="R11"/>
  <c r="AW10"/>
  <c r="N24" i="74"/>
  <c r="D23"/>
  <c r="D28" s="1"/>
  <c r="H22"/>
  <c r="AF19"/>
  <c r="K13"/>
  <c r="AL10"/>
  <c r="H31" i="77"/>
  <c r="J27"/>
  <c r="G19" i="78"/>
  <c r="K13"/>
  <c r="AW24" i="75"/>
  <c r="S12" i="78"/>
  <c r="J45" i="84"/>
  <c r="F25" i="64"/>
  <c r="G25" i="104"/>
  <c r="K43" i="1"/>
  <c r="I28"/>
  <c r="I21"/>
  <c r="V41" i="2"/>
  <c r="C32" i="73"/>
  <c r="H33" i="2"/>
  <c r="F29"/>
  <c r="H29" s="1"/>
  <c r="F28"/>
  <c r="H28" s="1"/>
  <c r="F25"/>
  <c r="H25" s="1"/>
  <c r="F24"/>
  <c r="F34" i="61"/>
  <c r="F31"/>
  <c r="F27"/>
  <c r="C25"/>
  <c r="I20"/>
  <c r="C20"/>
  <c r="H54" i="73"/>
  <c r="F31"/>
  <c r="E31" i="63"/>
  <c r="P17" i="65"/>
  <c r="C25" i="66"/>
  <c r="N60" i="1" s="1"/>
  <c r="BV24" i="75"/>
  <c r="Y24"/>
  <c r="AV22"/>
  <c r="CJ21"/>
  <c r="M13" i="104" s="1"/>
  <c r="DB20" i="75"/>
  <c r="BQ20"/>
  <c r="CO16"/>
  <c r="BI16"/>
  <c r="BV14"/>
  <c r="BM10"/>
  <c r="AV10"/>
  <c r="R25" i="103" s="1"/>
  <c r="T25" s="1"/>
  <c r="CD28" i="74"/>
  <c r="H23"/>
  <c r="F15"/>
  <c r="ED10"/>
  <c r="DR10"/>
  <c r="DF10"/>
  <c r="CH10"/>
  <c r="BV10"/>
  <c r="I29" i="77"/>
  <c r="I33" s="1"/>
  <c r="E15" i="78"/>
  <c r="F15" s="1"/>
  <c r="F19" s="1"/>
  <c r="K11"/>
  <c r="K8"/>
  <c r="L8" s="1"/>
  <c r="E16" i="103"/>
  <c r="E31"/>
  <c r="R10" i="105"/>
  <c r="R9" s="1"/>
  <c r="J45"/>
  <c r="R47" i="1"/>
  <c r="AE41"/>
  <c r="AE42" s="1"/>
  <c r="J34"/>
  <c r="AA41"/>
  <c r="AA42" s="1"/>
  <c r="H26" i="2"/>
  <c r="F23" i="61"/>
  <c r="C34"/>
  <c r="I21"/>
  <c r="F16"/>
  <c r="H52" i="73"/>
  <c r="C33"/>
  <c r="C24"/>
  <c r="F15"/>
  <c r="J91" i="84"/>
  <c r="C91" s="1"/>
  <c r="AK19" i="74"/>
  <c r="F31" i="77"/>
  <c r="C5" i="60"/>
  <c r="AL6" i="103"/>
  <c r="C54" i="84"/>
  <c r="C52" s="1"/>
  <c r="C45" s="1"/>
  <c r="E12" i="63"/>
  <c r="CL18" i="75"/>
  <c r="E25" i="64"/>
  <c r="D11" i="103"/>
  <c r="AO6"/>
  <c r="AO5" s="1"/>
  <c r="Q6"/>
  <c r="Q5" s="1"/>
  <c r="M43" i="1"/>
  <c r="L43" s="1"/>
  <c r="C33" i="61"/>
  <c r="I28"/>
  <c r="C27"/>
  <c r="C21"/>
  <c r="C29" i="73"/>
  <c r="C20"/>
  <c r="R25" i="63"/>
  <c r="AJ23"/>
  <c r="AL23" s="1"/>
  <c r="AC16" i="75"/>
  <c r="DB14"/>
  <c r="R14"/>
  <c r="Y10" i="84"/>
  <c r="Y95" s="1"/>
  <c r="Y64" s="1"/>
  <c r="Y9" s="1"/>
  <c r="W5" i="103"/>
  <c r="C30" i="61"/>
  <c r="C23"/>
  <c r="I16"/>
  <c r="C16"/>
  <c r="I34" i="73"/>
  <c r="C34"/>
  <c r="C31"/>
  <c r="I27"/>
  <c r="C21"/>
  <c r="C15"/>
  <c r="C17" i="63"/>
  <c r="R6"/>
  <c r="BA16" i="75"/>
  <c r="AI6" i="103"/>
  <c r="AI5" s="1"/>
  <c r="F6"/>
  <c r="F5" s="1"/>
  <c r="E13"/>
  <c r="D13" s="1"/>
  <c r="E18"/>
  <c r="D18" s="1"/>
  <c r="Q60" i="1"/>
  <c r="R60" s="1"/>
  <c r="K39" i="2"/>
  <c r="AN20" i="75"/>
  <c r="G12" i="64" s="1"/>
  <c r="AP20" i="75"/>
  <c r="AO20"/>
  <c r="D20"/>
  <c r="L23"/>
  <c r="U25" i="103"/>
  <c r="W25" s="1"/>
  <c r="U25" i="63"/>
  <c r="W25" s="1"/>
  <c r="N8" i="78"/>
  <c r="O8" s="1"/>
  <c r="P8" s="1"/>
  <c r="R8" s="1"/>
  <c r="I52" i="1"/>
  <c r="O52"/>
  <c r="K52"/>
  <c r="E18" i="73"/>
  <c r="J14" i="2"/>
  <c r="H18" i="73" s="1"/>
  <c r="G26" i="64"/>
  <c r="G25" s="1"/>
  <c r="P11" i="65"/>
  <c r="Q29" i="63"/>
  <c r="C29"/>
  <c r="BF22" i="75"/>
  <c r="BD22"/>
  <c r="BE22"/>
  <c r="AW20"/>
  <c r="AX20"/>
  <c r="E8" i="104"/>
  <c r="E8" i="64"/>
  <c r="U32" i="63"/>
  <c r="W32" s="1"/>
  <c r="H13" i="65"/>
  <c r="AM25" i="103"/>
  <c r="AO25" s="1"/>
  <c r="AM25" i="63"/>
  <c r="AO25" s="1"/>
  <c r="T25"/>
  <c r="L14" i="104"/>
  <c r="L14" i="64"/>
  <c r="AW18" i="75"/>
  <c r="AX18"/>
  <c r="D15" i="74"/>
  <c r="D12"/>
  <c r="ER10"/>
  <c r="EF10"/>
  <c r="DT10"/>
  <c r="K7" i="78"/>
  <c r="L7" s="1"/>
  <c r="I53" i="1"/>
  <c r="J53"/>
  <c r="O43"/>
  <c r="S43"/>
  <c r="K41"/>
  <c r="I41"/>
  <c r="M41"/>
  <c r="CB10" i="75"/>
  <c r="CD10"/>
  <c r="AC29" i="63"/>
  <c r="K26" i="64"/>
  <c r="K26" i="104"/>
  <c r="CL14" i="75"/>
  <c r="CJ14"/>
  <c r="H12" i="65"/>
  <c r="R32" i="63"/>
  <c r="T32" s="1"/>
  <c r="X26" i="103"/>
  <c r="Z26" s="1"/>
  <c r="X26" i="63"/>
  <c r="CO10" i="75"/>
  <c r="CS10"/>
  <c r="N25" i="64"/>
  <c r="L26" i="63"/>
  <c r="CL22" i="75"/>
  <c r="CJ22"/>
  <c r="CK22"/>
  <c r="I31" i="78"/>
  <c r="I32" s="1"/>
  <c r="BF20" i="75"/>
  <c r="H25" i="74"/>
  <c r="M52" i="1"/>
  <c r="Q35"/>
  <c r="Q34" s="1"/>
  <c r="N34"/>
  <c r="AA34"/>
  <c r="H24" i="61"/>
  <c r="F22" i="2"/>
  <c r="H22" s="1"/>
  <c r="H16" i="65"/>
  <c r="BM20" i="75"/>
  <c r="BN20"/>
  <c r="BL20"/>
  <c r="J12" i="104" s="1"/>
  <c r="AG23" i="103"/>
  <c r="AI23" s="1"/>
  <c r="AG23" i="63"/>
  <c r="AI23" s="1"/>
  <c r="O23" i="103"/>
  <c r="Q23" s="1"/>
  <c r="O23" i="63"/>
  <c r="Q23" s="1"/>
  <c r="E9" i="75"/>
  <c r="DH10" i="74"/>
  <c r="CV10"/>
  <c r="CJ10"/>
  <c r="BL10"/>
  <c r="AZ10"/>
  <c r="AZ8" s="1"/>
  <c r="C10"/>
  <c r="L11" i="78"/>
  <c r="E19"/>
  <c r="R107" i="105"/>
  <c r="C14" i="1"/>
  <c r="C13" s="1"/>
  <c r="E15"/>
  <c r="F15" s="1"/>
  <c r="I37" i="2"/>
  <c r="G32" i="61" s="1"/>
  <c r="F38" i="2"/>
  <c r="F37" s="1"/>
  <c r="G30" i="61"/>
  <c r="F30" s="1"/>
  <c r="F32" i="2"/>
  <c r="H32" s="1"/>
  <c r="K30" i="61"/>
  <c r="I30" s="1"/>
  <c r="G30" i="73"/>
  <c r="F30" s="1"/>
  <c r="AH18" i="75"/>
  <c r="AF18"/>
  <c r="O25" i="103"/>
  <c r="Q25" s="1"/>
  <c r="O25" i="63"/>
  <c r="Q25" s="1"/>
  <c r="I45" i="78"/>
  <c r="R98" i="105"/>
  <c r="R100" s="1"/>
  <c r="C17" i="103"/>
  <c r="S56" i="1"/>
  <c r="AA14"/>
  <c r="AA21" s="1"/>
  <c r="AC13"/>
  <c r="AO22" i="75"/>
  <c r="AP22"/>
  <c r="AX21"/>
  <c r="AV21"/>
  <c r="P21"/>
  <c r="R21"/>
  <c r="CC18"/>
  <c r="CD18"/>
  <c r="I8" i="104"/>
  <c r="I8" i="64"/>
  <c r="Q18" i="75"/>
  <c r="R18"/>
  <c r="DB17"/>
  <c r="CZ17"/>
  <c r="L7" i="104"/>
  <c r="L7" i="64"/>
  <c r="BT17" i="75"/>
  <c r="BV17"/>
  <c r="AH14"/>
  <c r="AF14"/>
  <c r="AD26" i="103"/>
  <c r="AF26" s="1"/>
  <c r="AD26" i="63"/>
  <c r="O26" i="103"/>
  <c r="Q26" s="1"/>
  <c r="O26" i="63"/>
  <c r="Q26" s="1"/>
  <c r="AJ25" i="103"/>
  <c r="AL25" s="1"/>
  <c r="AJ25" i="63"/>
  <c r="L18" i="65" s="1"/>
  <c r="X25" i="103"/>
  <c r="X25" i="63"/>
  <c r="G7" i="75"/>
  <c r="AA19" i="103"/>
  <c r="DB23" i="74"/>
  <c r="DC23"/>
  <c r="J21"/>
  <c r="S46" i="1" s="1"/>
  <c r="R46" s="1"/>
  <c r="Q46" s="1"/>
  <c r="F20" i="74"/>
  <c r="J20"/>
  <c r="M16"/>
  <c r="N16"/>
  <c r="H15"/>
  <c r="R37" i="1"/>
  <c r="H12" i="74"/>
  <c r="M36" i="1" s="1"/>
  <c r="N12" i="74"/>
  <c r="H11"/>
  <c r="M35" i="1" s="1"/>
  <c r="N11" i="74"/>
  <c r="DY8"/>
  <c r="EA10"/>
  <c r="DO10"/>
  <c r="C8" i="103"/>
  <c r="T8"/>
  <c r="E8" s="1"/>
  <c r="R6"/>
  <c r="R5" s="1"/>
  <c r="BX10" i="74"/>
  <c r="BX8" s="1"/>
  <c r="AN10"/>
  <c r="AB10"/>
  <c r="AB8" s="1"/>
  <c r="P10"/>
  <c r="C9" i="103"/>
  <c r="H9"/>
  <c r="R28" i="1"/>
  <c r="Q24" i="75"/>
  <c r="R24"/>
  <c r="E22"/>
  <c r="AJ23"/>
  <c r="AK20"/>
  <c r="H7" i="104"/>
  <c r="H7" i="64"/>
  <c r="AP17" i="75"/>
  <c r="AN17"/>
  <c r="D7" i="104"/>
  <c r="D7" i="64"/>
  <c r="AG8" i="74"/>
  <c r="AI10"/>
  <c r="C7" i="103"/>
  <c r="H45" i="78"/>
  <c r="N26" i="104"/>
  <c r="N25" s="1"/>
  <c r="D28" i="1"/>
  <c r="E33"/>
  <c r="F33" s="1"/>
  <c r="Q21"/>
  <c r="AA13"/>
  <c r="C19" i="63"/>
  <c r="C10"/>
  <c r="AH24" i="75"/>
  <c r="AF24"/>
  <c r="D12" i="104"/>
  <c r="D12" i="64"/>
  <c r="M97" i="105"/>
  <c r="M98" s="1"/>
  <c r="M100" s="1"/>
  <c r="N98"/>
  <c r="N100" s="1"/>
  <c r="H15" i="78"/>
  <c r="K25" i="104"/>
  <c r="F25"/>
  <c r="E21" i="103"/>
  <c r="D21" s="1"/>
  <c r="C16"/>
  <c r="D16" s="1"/>
  <c r="K33" i="1"/>
  <c r="L33" s="1"/>
  <c r="H24" i="2"/>
  <c r="AG25" i="63"/>
  <c r="AI25" s="1"/>
  <c r="H25"/>
  <c r="L8" i="65"/>
  <c r="C16" i="63"/>
  <c r="H16"/>
  <c r="G10" i="65"/>
  <c r="CD24" i="75"/>
  <c r="CB24"/>
  <c r="DA22"/>
  <c r="DB22"/>
  <c r="BU22"/>
  <c r="BV22"/>
  <c r="Z22"/>
  <c r="X22"/>
  <c r="CB21"/>
  <c r="CD21"/>
  <c r="M8" i="104"/>
  <c r="M8" i="64"/>
  <c r="BJ18" i="75"/>
  <c r="BJ16" s="1"/>
  <c r="Z18"/>
  <c r="U16"/>
  <c r="AP14"/>
  <c r="AN14"/>
  <c r="CL11"/>
  <c r="CJ11"/>
  <c r="AX11"/>
  <c r="AV11"/>
  <c r="CC10"/>
  <c r="L25" i="103"/>
  <c r="N25" s="1"/>
  <c r="L25" i="63"/>
  <c r="BF9" i="75"/>
  <c r="BD9"/>
  <c r="AH28" i="74"/>
  <c r="CC8"/>
  <c r="CE10"/>
  <c r="BS10"/>
  <c r="Z10"/>
  <c r="G29" i="77"/>
  <c r="G33" s="1"/>
  <c r="C7" i="91"/>
  <c r="AD6" i="103"/>
  <c r="AD5" s="1"/>
  <c r="K21" i="1"/>
  <c r="H14"/>
  <c r="O14" s="1"/>
  <c r="AE13"/>
  <c r="J37" i="2"/>
  <c r="F31"/>
  <c r="H31" s="1"/>
  <c r="C21"/>
  <c r="C18" s="1"/>
  <c r="C31" i="61"/>
  <c r="F29"/>
  <c r="F28"/>
  <c r="C24"/>
  <c r="C15"/>
  <c r="G21" i="73"/>
  <c r="F21" s="1"/>
  <c r="F20"/>
  <c r="I16"/>
  <c r="C21" i="63"/>
  <c r="C9"/>
  <c r="E21" i="75"/>
  <c r="CR20"/>
  <c r="N12" i="64" s="1"/>
  <c r="G20" i="75"/>
  <c r="G19" s="1"/>
  <c r="G15" s="1"/>
  <c r="F20"/>
  <c r="J20" s="1"/>
  <c r="BY16"/>
  <c r="E18"/>
  <c r="AT16"/>
  <c r="C16"/>
  <c r="F10"/>
  <c r="CD9"/>
  <c r="CB9"/>
  <c r="AX9"/>
  <c r="AV9"/>
  <c r="F24" i="74"/>
  <c r="CE19"/>
  <c r="CB19"/>
  <c r="H19" s="1"/>
  <c r="CG19"/>
  <c r="D18"/>
  <c r="BP10"/>
  <c r="BD10"/>
  <c r="BD8" s="1"/>
  <c r="AR10"/>
  <c r="AF10"/>
  <c r="AF8" s="1"/>
  <c r="T10"/>
  <c r="K12"/>
  <c r="I10"/>
  <c r="K11"/>
  <c r="EW8"/>
  <c r="EY10"/>
  <c r="BE8"/>
  <c r="BG10"/>
  <c r="N6" i="103"/>
  <c r="N5" s="1"/>
  <c r="AG6"/>
  <c r="AG5" s="1"/>
  <c r="H14"/>
  <c r="E14" s="1"/>
  <c r="C14"/>
  <c r="J61" i="84"/>
  <c r="C36" i="70"/>
  <c r="K36" i="1"/>
  <c r="L36" s="1"/>
  <c r="Q28"/>
  <c r="E21"/>
  <c r="C37" i="2"/>
  <c r="W32"/>
  <c r="F27"/>
  <c r="H27" s="1"/>
  <c r="J21"/>
  <c r="J18" s="1"/>
  <c r="F24" i="61"/>
  <c r="F21"/>
  <c r="I34"/>
  <c r="I29"/>
  <c r="F15"/>
  <c r="G24" i="73"/>
  <c r="I21"/>
  <c r="I20"/>
  <c r="F16"/>
  <c r="C20" i="63"/>
  <c r="C18"/>
  <c r="C14"/>
  <c r="J25" i="75"/>
  <c r="CK24"/>
  <c r="BE21"/>
  <c r="CS20"/>
  <c r="CL20"/>
  <c r="CD20"/>
  <c r="BT20"/>
  <c r="K12" i="64" s="1"/>
  <c r="AG20" i="75"/>
  <c r="Z20"/>
  <c r="AS16"/>
  <c r="CW16"/>
  <c r="BZ16"/>
  <c r="CD16" s="1"/>
  <c r="AW17"/>
  <c r="AK16"/>
  <c r="N16"/>
  <c r="E12"/>
  <c r="BV11"/>
  <c r="BN11"/>
  <c r="C11"/>
  <c r="AH10"/>
  <c r="BV9"/>
  <c r="AP9"/>
  <c r="L25" i="74"/>
  <c r="K25"/>
  <c r="M24"/>
  <c r="M20"/>
  <c r="K17"/>
  <c r="DX10"/>
  <c r="DX8" s="1"/>
  <c r="DL10"/>
  <c r="CZ10"/>
  <c r="CZ8" s="1"/>
  <c r="CN10"/>
  <c r="CB10"/>
  <c r="CB8" s="1"/>
  <c r="D16"/>
  <c r="M15"/>
  <c r="N15"/>
  <c r="EP10"/>
  <c r="CQ10"/>
  <c r="AX10"/>
  <c r="O29" i="77"/>
  <c r="O33" s="1"/>
  <c r="C20"/>
  <c r="I5" i="103"/>
  <c r="U6"/>
  <c r="U5" s="1"/>
  <c r="AF6"/>
  <c r="AF5" s="1"/>
  <c r="D25" i="74"/>
  <c r="J24"/>
  <c r="S51" i="1" s="1"/>
  <c r="R51" s="1"/>
  <c r="H20" i="74"/>
  <c r="D19"/>
  <c r="J18"/>
  <c r="N18"/>
  <c r="EV10"/>
  <c r="EJ10"/>
  <c r="F16"/>
  <c r="J16"/>
  <c r="S40" i="1" s="1"/>
  <c r="R40" s="1"/>
  <c r="L15" i="74"/>
  <c r="J12"/>
  <c r="S36" i="1" s="1"/>
  <c r="R36" s="1"/>
  <c r="ET10" i="74"/>
  <c r="EH10"/>
  <c r="DV10"/>
  <c r="DJ10"/>
  <c r="CX10"/>
  <c r="CL10"/>
  <c r="BZ10"/>
  <c r="BN10"/>
  <c r="BB10"/>
  <c r="AP10"/>
  <c r="AD10"/>
  <c r="R10"/>
  <c r="EG8"/>
  <c r="EG9" s="1"/>
  <c r="C15" i="77"/>
  <c r="C26" i="72"/>
  <c r="B23" i="91"/>
  <c r="B17" s="1"/>
  <c r="E17" i="103"/>
  <c r="V64" i="105"/>
  <c r="J91"/>
  <c r="S44"/>
  <c r="S43" s="1"/>
  <c r="S10" s="1"/>
  <c r="S9" s="1"/>
  <c r="E24" i="74"/>
  <c r="D22"/>
  <c r="D21"/>
  <c r="K18"/>
  <c r="L16"/>
  <c r="J15"/>
  <c r="S39" i="1" s="1"/>
  <c r="R39" s="1"/>
  <c r="F12" i="74"/>
  <c r="EX10"/>
  <c r="EL10"/>
  <c r="DZ10"/>
  <c r="DZ8" s="1"/>
  <c r="DN10"/>
  <c r="DB10"/>
  <c r="DB8" s="1"/>
  <c r="CP10"/>
  <c r="CD10"/>
  <c r="CD8" s="1"/>
  <c r="BR10"/>
  <c r="BF10"/>
  <c r="BF8" s="1"/>
  <c r="AT10"/>
  <c r="AH10"/>
  <c r="AH8" s="1"/>
  <c r="V10"/>
  <c r="E10"/>
  <c r="FB10"/>
  <c r="BJ10"/>
  <c r="C7" i="89"/>
  <c r="Z6" i="103"/>
  <c r="Z5" s="1"/>
  <c r="O44" i="105"/>
  <c r="Q44"/>
  <c r="C60"/>
  <c r="U45"/>
  <c r="U44" s="1"/>
  <c r="U45" i="84"/>
  <c r="C20" i="103"/>
  <c r="S45" i="84"/>
  <c r="S44" s="1"/>
  <c r="S43" s="1"/>
  <c r="S10" s="1"/>
  <c r="S9" s="1"/>
  <c r="N28" i="2" s="1"/>
  <c r="C33" i="70" s="1"/>
  <c r="Q45" i="84"/>
  <c r="K62" i="1"/>
  <c r="L62" s="1"/>
  <c r="H58"/>
  <c r="N7" i="78"/>
  <c r="P107" i="105"/>
  <c r="P98"/>
  <c r="P100" s="1"/>
  <c r="M16" i="78"/>
  <c r="S16" s="1"/>
  <c r="M18"/>
  <c r="S18" s="1"/>
  <c r="L14"/>
  <c r="Y64" i="105"/>
  <c r="Y9" s="1"/>
  <c r="F24" i="75"/>
  <c r="L97" i="105"/>
  <c r="L98" s="1"/>
  <c r="L100" s="1"/>
  <c r="K97"/>
  <c r="C15" i="70"/>
  <c r="J15" i="73"/>
  <c r="J15" i="61"/>
  <c r="E59" i="1"/>
  <c r="C25" i="88"/>
  <c r="C25" i="71"/>
  <c r="C10" i="87"/>
  <c r="C10" i="69"/>
  <c r="P53" i="1"/>
  <c r="Q53" s="1"/>
  <c r="R53" s="1"/>
  <c r="Q49"/>
  <c r="R49" s="1"/>
  <c r="I49"/>
  <c r="M49"/>
  <c r="L49" s="1"/>
  <c r="E48"/>
  <c r="E8" i="73"/>
  <c r="E19" s="1"/>
  <c r="C19" s="1"/>
  <c r="E8" i="61"/>
  <c r="E19" s="1"/>
  <c r="C19" s="1"/>
  <c r="C15" i="71"/>
  <c r="C15" i="88"/>
  <c r="Q41" i="1"/>
  <c r="R41" s="1"/>
  <c r="M39"/>
  <c r="K28"/>
  <c r="L29"/>
  <c r="L28" s="1"/>
  <c r="AC34"/>
  <c r="AC41"/>
  <c r="AC42" s="1"/>
  <c r="J28"/>
  <c r="D14"/>
  <c r="D13" s="1"/>
  <c r="E20"/>
  <c r="G32" i="73"/>
  <c r="E22"/>
  <c r="E26" s="1"/>
  <c r="E22" i="61"/>
  <c r="E26" s="1"/>
  <c r="C58" i="1"/>
  <c r="F62"/>
  <c r="E62" s="1"/>
  <c r="C17" i="69"/>
  <c r="C17" i="87"/>
  <c r="R57" i="1"/>
  <c r="D53"/>
  <c r="G40"/>
  <c r="F40" s="1"/>
  <c r="L39"/>
  <c r="C14" i="71"/>
  <c r="C14" i="88"/>
  <c r="P13" i="1"/>
  <c r="H37" i="2"/>
  <c r="D22" i="73"/>
  <c r="D17" s="1"/>
  <c r="D22" i="61"/>
  <c r="C18" i="73"/>
  <c r="J25" i="64"/>
  <c r="J18" i="65"/>
  <c r="K10" i="105"/>
  <c r="K9" s="1"/>
  <c r="X95"/>
  <c r="X64" s="1"/>
  <c r="X9" s="1"/>
  <c r="C27" i="88"/>
  <c r="C37" s="1"/>
  <c r="C27" i="71"/>
  <c r="C37" s="1"/>
  <c r="K42" i="2"/>
  <c r="R63" i="1"/>
  <c r="E63"/>
  <c r="D14" i="73"/>
  <c r="C14" s="1"/>
  <c r="D14" i="61"/>
  <c r="C14" s="1"/>
  <c r="D11" i="73"/>
  <c r="C11" s="1"/>
  <c r="C56" i="1"/>
  <c r="D11" i="61"/>
  <c r="C11" s="1"/>
  <c r="C16" i="88"/>
  <c r="C16" i="71"/>
  <c r="Q42" i="1"/>
  <c r="R42" s="1"/>
  <c r="F39"/>
  <c r="G34"/>
  <c r="G13" s="1"/>
  <c r="G12" s="1"/>
  <c r="C13" i="88"/>
  <c r="C13" i="71"/>
  <c r="O28" i="1"/>
  <c r="J13"/>
  <c r="J12" s="1"/>
  <c r="J66" s="1"/>
  <c r="O25" i="64"/>
  <c r="J8" i="65"/>
  <c r="N14" i="78"/>
  <c r="O14" s="1"/>
  <c r="P14" s="1"/>
  <c r="R14" s="1"/>
  <c r="L16"/>
  <c r="AV24" i="75"/>
  <c r="L25" i="64"/>
  <c r="H25"/>
  <c r="X95" i="84"/>
  <c r="X64" s="1"/>
  <c r="X9" s="1"/>
  <c r="E7" i="103"/>
  <c r="C22" i="87"/>
  <c r="C22" i="69"/>
  <c r="N65" i="1"/>
  <c r="E12" i="61"/>
  <c r="H12" i="73"/>
  <c r="E12"/>
  <c r="H12" i="61"/>
  <c r="O53" i="1"/>
  <c r="K53"/>
  <c r="L53" s="1"/>
  <c r="C24" i="71"/>
  <c r="C24" i="88"/>
  <c r="Q52" i="1"/>
  <c r="R52" s="1"/>
  <c r="O49"/>
  <c r="K46"/>
  <c r="L46" s="1"/>
  <c r="O46"/>
  <c r="I46"/>
  <c r="C17" i="88"/>
  <c r="C17" i="71"/>
  <c r="Q43" i="1"/>
  <c r="R43" s="1"/>
  <c r="O41"/>
  <c r="K40"/>
  <c r="L40" s="1"/>
  <c r="H34"/>
  <c r="I34" s="1"/>
  <c r="K35"/>
  <c r="C12" i="88"/>
  <c r="C12" i="71"/>
  <c r="O21" i="1"/>
  <c r="R14"/>
  <c r="Q14"/>
  <c r="I14"/>
  <c r="H32" i="73"/>
  <c r="H32" i="61"/>
  <c r="F25" i="73"/>
  <c r="E16" i="63"/>
  <c r="D16" s="1"/>
  <c r="C20" i="71"/>
  <c r="C20" i="88"/>
  <c r="E35" i="1"/>
  <c r="F30"/>
  <c r="L23"/>
  <c r="L21" s="1"/>
  <c r="R22"/>
  <c r="R21" s="1"/>
  <c r="F22"/>
  <c r="F21" s="1"/>
  <c r="K18"/>
  <c r="L18" s="1"/>
  <c r="L14" s="1"/>
  <c r="F42" i="2"/>
  <c r="E21" i="90"/>
  <c r="E21" i="72"/>
  <c r="E16" i="86"/>
  <c r="F23" i="2"/>
  <c r="F21"/>
  <c r="F20"/>
  <c r="C14"/>
  <c r="C13" s="1"/>
  <c r="E32" i="61"/>
  <c r="H25"/>
  <c r="E18"/>
  <c r="I76" i="73"/>
  <c r="G45"/>
  <c r="H23"/>
  <c r="G18"/>
  <c r="G11"/>
  <c r="F11" s="1"/>
  <c r="M19" i="65"/>
  <c r="M11"/>
  <c r="Q20" i="63"/>
  <c r="E20" s="1"/>
  <c r="H19"/>
  <c r="E19" s="1"/>
  <c r="D19" s="1"/>
  <c r="H17"/>
  <c r="E17" s="1"/>
  <c r="C12"/>
  <c r="C11"/>
  <c r="AM6"/>
  <c r="AM5" s="1"/>
  <c r="AO7"/>
  <c r="AF6"/>
  <c r="AF5" s="1"/>
  <c r="O6"/>
  <c r="O5" s="1"/>
  <c r="Q7"/>
  <c r="AJ6"/>
  <c r="AJ5" s="1"/>
  <c r="X6"/>
  <c r="X5" s="1"/>
  <c r="L6"/>
  <c r="L5" s="1"/>
  <c r="G16" i="65"/>
  <c r="M14"/>
  <c r="J9"/>
  <c r="E39" i="66"/>
  <c r="I23" i="104"/>
  <c r="I23" i="64"/>
  <c r="C15" i="69"/>
  <c r="AC14" i="1"/>
  <c r="AC21" s="1"/>
  <c r="C11" i="88"/>
  <c r="C11" i="71"/>
  <c r="N13" i="1"/>
  <c r="D21" i="90"/>
  <c r="D21" i="72"/>
  <c r="C40" i="70"/>
  <c r="D16" i="86"/>
  <c r="H19" i="2"/>
  <c r="F14"/>
  <c r="D32" i="61"/>
  <c r="C32" s="1"/>
  <c r="G25"/>
  <c r="H18"/>
  <c r="H24" i="73"/>
  <c r="G23"/>
  <c r="K12"/>
  <c r="AF26" i="63"/>
  <c r="Z26"/>
  <c r="Q21"/>
  <c r="E21" s="1"/>
  <c r="D21" s="1"/>
  <c r="Q18"/>
  <c r="E18" s="1"/>
  <c r="D18" s="1"/>
  <c r="H14"/>
  <c r="E14" s="1"/>
  <c r="C13"/>
  <c r="H13"/>
  <c r="E13" s="1"/>
  <c r="D13" s="1"/>
  <c r="E11"/>
  <c r="AL6"/>
  <c r="AL5" s="1"/>
  <c r="U6"/>
  <c r="U5" s="1"/>
  <c r="W7"/>
  <c r="N6"/>
  <c r="N5" s="1"/>
  <c r="E12" i="72"/>
  <c r="D12" s="1"/>
  <c r="E12" i="90"/>
  <c r="D12" s="1"/>
  <c r="G18" i="65"/>
  <c r="BN24" i="75"/>
  <c r="BL24"/>
  <c r="BM24"/>
  <c r="K12" i="104"/>
  <c r="Q16" i="75"/>
  <c r="R16"/>
  <c r="AA32" i="103"/>
  <c r="AC32" s="1"/>
  <c r="I21" i="2"/>
  <c r="I18" s="1"/>
  <c r="E13"/>
  <c r="E12" s="1"/>
  <c r="E11" s="1"/>
  <c r="H33" i="61"/>
  <c r="F33" s="1"/>
  <c r="G14"/>
  <c r="F14" s="1"/>
  <c r="L19" i="65"/>
  <c r="L17"/>
  <c r="L15"/>
  <c r="L13"/>
  <c r="L9"/>
  <c r="C15" i="63"/>
  <c r="E9"/>
  <c r="D9" s="1"/>
  <c r="C8"/>
  <c r="H8"/>
  <c r="E8" s="1"/>
  <c r="AA6"/>
  <c r="AA5" s="1"/>
  <c r="AC7"/>
  <c r="T6"/>
  <c r="T5" s="1"/>
  <c r="C7"/>
  <c r="AD6"/>
  <c r="AD5" s="1"/>
  <c r="R5"/>
  <c r="F6"/>
  <c r="M23" i="104"/>
  <c r="M23" i="64"/>
  <c r="M12" i="104"/>
  <c r="M12" i="64"/>
  <c r="G12" i="104"/>
  <c r="AM32" i="103"/>
  <c r="AO32" s="1"/>
  <c r="C22" i="88"/>
  <c r="C22" i="71"/>
  <c r="V32" i="2"/>
  <c r="C27" i="69"/>
  <c r="C27" i="87"/>
  <c r="D13" i="2"/>
  <c r="D12" s="1"/>
  <c r="D11" s="1"/>
  <c r="J30" i="73"/>
  <c r="I30" s="1"/>
  <c r="E15" i="63"/>
  <c r="AG6"/>
  <c r="AG5" s="1"/>
  <c r="AI7"/>
  <c r="Z6"/>
  <c r="Z5" s="1"/>
  <c r="I6"/>
  <c r="I5" s="1"/>
  <c r="K7"/>
  <c r="C30" i="64"/>
  <c r="O39" i="2" s="1"/>
  <c r="O37" s="1"/>
  <c r="J19" i="65"/>
  <c r="L12"/>
  <c r="C7" i="66"/>
  <c r="CT24" i="75"/>
  <c r="CR24"/>
  <c r="CS24"/>
  <c r="N12" i="104"/>
  <c r="I20" i="75"/>
  <c r="AW16"/>
  <c r="AX16"/>
  <c r="CZ24"/>
  <c r="BT24"/>
  <c r="AO24"/>
  <c r="P24"/>
  <c r="AB23"/>
  <c r="CZ22"/>
  <c r="CS22"/>
  <c r="BT22"/>
  <c r="BM22"/>
  <c r="AN22"/>
  <c r="AG22"/>
  <c r="CZ21"/>
  <c r="CS21"/>
  <c r="BT21"/>
  <c r="BM21"/>
  <c r="AN21"/>
  <c r="AG21"/>
  <c r="CZ20"/>
  <c r="CK20"/>
  <c r="CB20"/>
  <c r="BE20"/>
  <c r="AV20"/>
  <c r="X20"/>
  <c r="DA18"/>
  <c r="CB18"/>
  <c r="AV18"/>
  <c r="AV16" s="1"/>
  <c r="AO18"/>
  <c r="P18"/>
  <c r="P16" s="1"/>
  <c r="CR17"/>
  <c r="CK17"/>
  <c r="CD17"/>
  <c r="BL17"/>
  <c r="BE17"/>
  <c r="AX17"/>
  <c r="AF17"/>
  <c r="Y17"/>
  <c r="R17"/>
  <c r="F17"/>
  <c r="AD16"/>
  <c r="CS14"/>
  <c r="BL14"/>
  <c r="AX14"/>
  <c r="F32" i="103"/>
  <c r="CS11" i="75"/>
  <c r="CR11"/>
  <c r="BM11"/>
  <c r="AP11"/>
  <c r="AK11"/>
  <c r="E11" s="1"/>
  <c r="Q11"/>
  <c r="F11"/>
  <c r="J11" s="1"/>
  <c r="P11"/>
  <c r="CT10"/>
  <c r="BN10"/>
  <c r="AN24"/>
  <c r="CR22"/>
  <c r="BL22"/>
  <c r="AF22"/>
  <c r="CR21"/>
  <c r="BL21"/>
  <c r="AF21"/>
  <c r="H21" s="1"/>
  <c r="BD20"/>
  <c r="M20"/>
  <c r="CZ18"/>
  <c r="AN18"/>
  <c r="CJ17"/>
  <c r="BD17"/>
  <c r="X17"/>
  <c r="E17"/>
  <c r="M16"/>
  <c r="CR14"/>
  <c r="H14" s="1"/>
  <c r="S64" i="1" s="1"/>
  <c r="U32" i="103"/>
  <c r="W32" s="1"/>
  <c r="E14" i="75"/>
  <c r="F14"/>
  <c r="J14" s="1"/>
  <c r="DB11"/>
  <c r="BU11"/>
  <c r="BT11"/>
  <c r="BE11"/>
  <c r="BD11"/>
  <c r="DB10"/>
  <c r="DA10"/>
  <c r="BV10"/>
  <c r="BU10"/>
  <c r="AP10"/>
  <c r="AO10"/>
  <c r="C10"/>
  <c r="I10" s="1"/>
  <c r="M10"/>
  <c r="E10" s="1"/>
  <c r="F23" i="103"/>
  <c r="F22" i="75"/>
  <c r="J22" s="1"/>
  <c r="F21"/>
  <c r="I21" s="1"/>
  <c r="CX16"/>
  <c r="CH16"/>
  <c r="BB16"/>
  <c r="AL16"/>
  <c r="V16"/>
  <c r="AG32" i="103"/>
  <c r="AI32" s="1"/>
  <c r="R32"/>
  <c r="T32" s="1"/>
  <c r="O32"/>
  <c r="Q32" s="1"/>
  <c r="L32"/>
  <c r="N32" s="1"/>
  <c r="Z9" i="75"/>
  <c r="Y9"/>
  <c r="M13" i="64"/>
  <c r="I13"/>
  <c r="E13"/>
  <c r="J12"/>
  <c r="F12"/>
  <c r="CT25" i="75"/>
  <c r="Y20"/>
  <c r="CB16"/>
  <c r="AD32" i="103"/>
  <c r="AF32" s="1"/>
  <c r="DA11" i="75"/>
  <c r="CT11"/>
  <c r="AH11"/>
  <c r="AG11"/>
  <c r="CL10"/>
  <c r="CK10"/>
  <c r="BF10"/>
  <c r="BE10"/>
  <c r="Z10"/>
  <c r="Y10"/>
  <c r="Q10"/>
  <c r="CL9"/>
  <c r="CK9"/>
  <c r="BM9"/>
  <c r="BL9"/>
  <c r="AG9"/>
  <c r="AF9"/>
  <c r="F9"/>
  <c r="H10"/>
  <c r="EV28" i="74"/>
  <c r="N25"/>
  <c r="L24"/>
  <c r="K24"/>
  <c r="AJ19" i="103"/>
  <c r="AL19" s="1"/>
  <c r="EN23" i="74"/>
  <c r="EM23"/>
  <c r="BP8"/>
  <c r="AR8"/>
  <c r="T8"/>
  <c r="ER8"/>
  <c r="EF8"/>
  <c r="DT8"/>
  <c r="DH8"/>
  <c r="CV8"/>
  <c r="CJ8"/>
  <c r="BL8"/>
  <c r="AN8"/>
  <c r="P8"/>
  <c r="EW9"/>
  <c r="F25"/>
  <c r="D24"/>
  <c r="F22"/>
  <c r="N21"/>
  <c r="M21"/>
  <c r="G19"/>
  <c r="K19" s="1"/>
  <c r="W19"/>
  <c r="F18"/>
  <c r="EX8"/>
  <c r="DN8"/>
  <c r="CP8"/>
  <c r="BR8"/>
  <c r="AT8"/>
  <c r="V8"/>
  <c r="EK8"/>
  <c r="H24"/>
  <c r="M51" i="1" s="1"/>
  <c r="L51" s="1"/>
  <c r="F23" i="74"/>
  <c r="K21"/>
  <c r="L20"/>
  <c r="K20"/>
  <c r="Y19"/>
  <c r="F19"/>
  <c r="DL8"/>
  <c r="CN8"/>
  <c r="C8"/>
  <c r="C9" s="1"/>
  <c r="ES8"/>
  <c r="ES9" s="1"/>
  <c r="DY9"/>
  <c r="CS8"/>
  <c r="CS9" s="1"/>
  <c r="CT8"/>
  <c r="CM9"/>
  <c r="CT9" s="1"/>
  <c r="CC9"/>
  <c r="Z25" i="103"/>
  <c r="J25" i="74"/>
  <c r="EL23"/>
  <c r="N23"/>
  <c r="M23"/>
  <c r="J22"/>
  <c r="F21"/>
  <c r="D20"/>
  <c r="J19"/>
  <c r="EV8"/>
  <c r="EJ8"/>
  <c r="ET8"/>
  <c r="ET9" s="1"/>
  <c r="EH8"/>
  <c r="EH9" s="1"/>
  <c r="DV8"/>
  <c r="DV9" s="1"/>
  <c r="DJ8"/>
  <c r="DJ9" s="1"/>
  <c r="CX8"/>
  <c r="CX9" s="1"/>
  <c r="CL8"/>
  <c r="CL9" s="1"/>
  <c r="BZ8"/>
  <c r="BZ9" s="1"/>
  <c r="BN8"/>
  <c r="BN9" s="1"/>
  <c r="BB8"/>
  <c r="BB9" s="1"/>
  <c r="AP8"/>
  <c r="AP9" s="1"/>
  <c r="AD8"/>
  <c r="AD9" s="1"/>
  <c r="R8"/>
  <c r="R9" s="1"/>
  <c r="DM9"/>
  <c r="BQ9"/>
  <c r="CQ8"/>
  <c r="CQ9" s="1"/>
  <c r="DD23"/>
  <c r="I23"/>
  <c r="I8" s="1"/>
  <c r="H16"/>
  <c r="H10" s="1"/>
  <c r="M14"/>
  <c r="M13"/>
  <c r="M12"/>
  <c r="M11"/>
  <c r="FA10"/>
  <c r="EO10"/>
  <c r="EC10"/>
  <c r="DQ10"/>
  <c r="DE10"/>
  <c r="CS10"/>
  <c r="CG10"/>
  <c r="BU10"/>
  <c r="BI10"/>
  <c r="AW10"/>
  <c r="AK10"/>
  <c r="Y10"/>
  <c r="CO9"/>
  <c r="BE9"/>
  <c r="AS9"/>
  <c r="AG9"/>
  <c r="U9"/>
  <c r="CA8"/>
  <c r="BC8"/>
  <c r="BH8" s="1"/>
  <c r="AE8"/>
  <c r="AJ8" s="1"/>
  <c r="C23" i="77"/>
  <c r="C35" s="1"/>
  <c r="I43" i="78"/>
  <c r="I44" s="1"/>
  <c r="L14" i="74"/>
  <c r="L13"/>
  <c r="L12"/>
  <c r="L11"/>
  <c r="D11"/>
  <c r="D10" s="1"/>
  <c r="EZ10"/>
  <c r="EN10"/>
  <c r="EB10"/>
  <c r="DP10"/>
  <c r="DD10"/>
  <c r="CR10"/>
  <c r="CF10"/>
  <c r="BT10"/>
  <c r="BH10"/>
  <c r="AV10"/>
  <c r="AJ10"/>
  <c r="X10"/>
  <c r="DK8"/>
  <c r="DO8" s="1"/>
  <c r="DO9" s="1"/>
  <c r="DA8"/>
  <c r="BO8"/>
  <c r="BS8" s="1"/>
  <c r="BS9" s="1"/>
  <c r="G10"/>
  <c r="K10" s="1"/>
  <c r="EU8"/>
  <c r="EY8" s="1"/>
  <c r="EI8"/>
  <c r="DW8"/>
  <c r="EA8" s="1"/>
  <c r="EA9" s="1"/>
  <c r="CY8"/>
  <c r="CR8"/>
  <c r="AQ8"/>
  <c r="S8"/>
  <c r="X8" s="1"/>
  <c r="C25" i="89"/>
  <c r="AC19" i="103"/>
  <c r="AC5" s="1"/>
  <c r="J11" i="74"/>
  <c r="F11"/>
  <c r="F10" s="1"/>
  <c r="CT10"/>
  <c r="D29" i="77"/>
  <c r="D33" s="1"/>
  <c r="M29"/>
  <c r="M33" s="1"/>
  <c r="C26" i="90"/>
  <c r="D13"/>
  <c r="C8" i="91"/>
  <c r="K10" i="78"/>
  <c r="J29" i="77"/>
  <c r="J33" s="1"/>
  <c r="C27" i="91"/>
  <c r="C23" s="1"/>
  <c r="C17" s="1"/>
  <c r="K17" i="78"/>
  <c r="E39" i="89"/>
  <c r="K9" i="78"/>
  <c r="O6" i="103"/>
  <c r="O5" s="1"/>
  <c r="AM6"/>
  <c r="AM5" s="1"/>
  <c r="C10"/>
  <c r="H20"/>
  <c r="E20" s="1"/>
  <c r="L6"/>
  <c r="X6"/>
  <c r="X5" s="1"/>
  <c r="AJ6"/>
  <c r="E9"/>
  <c r="D9" s="1"/>
  <c r="E15"/>
  <c r="D15" s="1"/>
  <c r="AL5"/>
  <c r="AA5"/>
  <c r="H12"/>
  <c r="C12"/>
  <c r="C30"/>
  <c r="C30" i="104"/>
  <c r="C52" i="105"/>
  <c r="C45" s="1"/>
  <c r="V44"/>
  <c r="V44" i="84"/>
  <c r="J60"/>
  <c r="C61"/>
  <c r="C60" s="1"/>
  <c r="K44"/>
  <c r="K43" s="1"/>
  <c r="L44"/>
  <c r="L43" s="1"/>
  <c r="L97" s="1"/>
  <c r="P44"/>
  <c r="P106" s="1"/>
  <c r="T44"/>
  <c r="T43" s="1"/>
  <c r="T10" s="1"/>
  <c r="T9" s="1"/>
  <c r="N29" i="2" s="1"/>
  <c r="K29" s="1"/>
  <c r="M29" s="1"/>
  <c r="M44" i="84"/>
  <c r="M43" s="1"/>
  <c r="M97" s="1"/>
  <c r="Q44"/>
  <c r="Q106" s="1"/>
  <c r="U60"/>
  <c r="U44" s="1"/>
  <c r="N97"/>
  <c r="N10"/>
  <c r="N9" s="1"/>
  <c r="N23" i="2" s="1"/>
  <c r="V28"/>
  <c r="O106" i="84"/>
  <c r="L10"/>
  <c r="L9" s="1"/>
  <c r="N20" i="2" s="1"/>
  <c r="J25" i="73" s="1"/>
  <c r="O97" i="84"/>
  <c r="O10"/>
  <c r="O9" s="1"/>
  <c r="J64"/>
  <c r="K28" i="2"/>
  <c r="J25" i="104"/>
  <c r="N30" i="63"/>
  <c r="P10" i="65"/>
  <c r="AI29" i="63"/>
  <c r="E29" s="1"/>
  <c r="M26" i="104"/>
  <c r="M26" i="64"/>
  <c r="AO30" i="103"/>
  <c r="E30" s="1"/>
  <c r="W30" i="63"/>
  <c r="I27" i="104"/>
  <c r="I25" s="1"/>
  <c r="I27" i="64"/>
  <c r="I25" s="1"/>
  <c r="P13" i="65"/>
  <c r="T29" i="103"/>
  <c r="C29"/>
  <c r="C30" i="63"/>
  <c r="AC30"/>
  <c r="P15" i="65"/>
  <c r="K27" i="64"/>
  <c r="K25" s="1"/>
  <c r="H29" i="77"/>
  <c r="H33" s="1"/>
  <c r="C27"/>
  <c r="M27" i="64"/>
  <c r="AI30" i="63"/>
  <c r="M27" i="104"/>
  <c r="D27"/>
  <c r="D27" i="64"/>
  <c r="H30" i="63"/>
  <c r="E29" i="103"/>
  <c r="AL30" i="63"/>
  <c r="AA23" i="103" l="1"/>
  <c r="AC23" s="1"/>
  <c r="AA23" i="63"/>
  <c r="AC23" s="1"/>
  <c r="J15" i="65" s="1"/>
  <c r="P43" i="84"/>
  <c r="D14" i="63"/>
  <c r="M8" i="78"/>
  <c r="S8" s="1"/>
  <c r="C31" i="77"/>
  <c r="D10" i="98"/>
  <c r="D21" s="1"/>
  <c r="I26" i="103"/>
  <c r="K26" s="1"/>
  <c r="I26" i="63"/>
  <c r="N11" i="78"/>
  <c r="O11" s="1"/>
  <c r="P11" s="1"/>
  <c r="R11" s="1"/>
  <c r="M11"/>
  <c r="H14" i="104"/>
  <c r="H14" i="64"/>
  <c r="E23" i="104"/>
  <c r="E23" i="64"/>
  <c r="R43" i="84"/>
  <c r="R106"/>
  <c r="W8" i="74"/>
  <c r="W9" s="1"/>
  <c r="E8"/>
  <c r="E9" s="1"/>
  <c r="EB8"/>
  <c r="C12" i="2"/>
  <c r="C11" s="1"/>
  <c r="C19" i="103"/>
  <c r="H28" i="74"/>
  <c r="M48" i="1"/>
  <c r="D36" i="72"/>
  <c r="D36" i="90"/>
  <c r="L13" i="78"/>
  <c r="N13"/>
  <c r="O13" s="1"/>
  <c r="M13"/>
  <c r="I14" i="75"/>
  <c r="L11" i="65"/>
  <c r="C21" i="72"/>
  <c r="M34" i="1"/>
  <c r="M16" i="65"/>
  <c r="F23" i="73"/>
  <c r="C8" i="61"/>
  <c r="CC16" i="75"/>
  <c r="D11" i="63"/>
  <c r="D12"/>
  <c r="U43" i="84"/>
  <c r="U106"/>
  <c r="U106" i="105"/>
  <c r="U43"/>
  <c r="U10" s="1"/>
  <c r="U9" s="1"/>
  <c r="D8" i="74"/>
  <c r="D9" s="1"/>
  <c r="Q43" i="105"/>
  <c r="Q106"/>
  <c r="C91"/>
  <c r="J64"/>
  <c r="AG26" i="103"/>
  <c r="AI26" s="1"/>
  <c r="AG26" i="63"/>
  <c r="F23" i="104"/>
  <c r="F23" i="64"/>
  <c r="T6" i="103"/>
  <c r="T5" s="1"/>
  <c r="DB28" i="74"/>
  <c r="BR18" i="75"/>
  <c r="J17" i="65"/>
  <c r="M14" i="104"/>
  <c r="M14" i="64"/>
  <c r="L41" i="1"/>
  <c r="I14" i="104"/>
  <c r="I14" i="64"/>
  <c r="C26" i="104"/>
  <c r="N98" i="84"/>
  <c r="N100" s="1"/>
  <c r="J44" i="105"/>
  <c r="C44" s="1"/>
  <c r="E16" i="75"/>
  <c r="H20"/>
  <c r="H22"/>
  <c r="D23"/>
  <c r="D15" i="63"/>
  <c r="N26"/>
  <c r="C16" i="86"/>
  <c r="C15" i="87"/>
  <c r="K14" i="1"/>
  <c r="M7" i="78"/>
  <c r="O43" i="105"/>
  <c r="O106"/>
  <c r="D14" i="103"/>
  <c r="R23"/>
  <c r="T23" s="1"/>
  <c r="R23" i="63"/>
  <c r="T23" s="1"/>
  <c r="U23" i="103"/>
  <c r="W23" s="1"/>
  <c r="U23" i="63"/>
  <c r="W23" s="1"/>
  <c r="L23" i="104"/>
  <c r="L23" i="64"/>
  <c r="AL25" i="63"/>
  <c r="O7" i="104"/>
  <c r="O7" i="64"/>
  <c r="F8" i="104"/>
  <c r="F8" i="64"/>
  <c r="AD25" i="103"/>
  <c r="AF25" s="1"/>
  <c r="E25" s="1"/>
  <c r="AD25" i="63"/>
  <c r="L52" i="1"/>
  <c r="E64" i="74"/>
  <c r="E67"/>
  <c r="CB9"/>
  <c r="CB27"/>
  <c r="CB29" s="1"/>
  <c r="BA8" i="75"/>
  <c r="R26" i="103"/>
  <c r="T26" s="1"/>
  <c r="R26" i="63"/>
  <c r="H11" i="65"/>
  <c r="O32" i="63"/>
  <c r="Q32" s="1"/>
  <c r="BN18" i="75"/>
  <c r="BL18"/>
  <c r="BM18"/>
  <c r="L13" i="104"/>
  <c r="L13" i="64"/>
  <c r="K7" i="104"/>
  <c r="K7" i="64"/>
  <c r="D13" i="104"/>
  <c r="D13" i="64"/>
  <c r="J11" i="65"/>
  <c r="M10" i="84"/>
  <c r="M9" s="1"/>
  <c r="N22" i="2" s="1"/>
  <c r="C27" i="70" s="1"/>
  <c r="W28" i="2"/>
  <c r="J44" i="84"/>
  <c r="C44" s="1"/>
  <c r="AJ5" i="103"/>
  <c r="H8" i="74"/>
  <c r="H9" s="1"/>
  <c r="J23"/>
  <c r="G8" i="65"/>
  <c r="M10"/>
  <c r="E7" i="63"/>
  <c r="F24" i="73"/>
  <c r="F28" i="1"/>
  <c r="E28"/>
  <c r="AD23" i="103"/>
  <c r="AF23" s="1"/>
  <c r="AD23" i="63"/>
  <c r="AF23" s="1"/>
  <c r="L10" i="65"/>
  <c r="N25" i="63"/>
  <c r="E14" i="104"/>
  <c r="E14" i="64"/>
  <c r="I15" i="78"/>
  <c r="H19"/>
  <c r="G7" i="104"/>
  <c r="G7" i="64"/>
  <c r="L14" i="65"/>
  <c r="Z25" i="63"/>
  <c r="H10" i="65"/>
  <c r="L32" i="63"/>
  <c r="N32" s="1"/>
  <c r="H13" i="104"/>
  <c r="H13" i="64"/>
  <c r="H17" i="65"/>
  <c r="AG32" i="63"/>
  <c r="AI32" s="1"/>
  <c r="E7" i="73"/>
  <c r="E7" i="61"/>
  <c r="G66" i="1"/>
  <c r="G22" i="61"/>
  <c r="G22" i="73"/>
  <c r="V29" i="2"/>
  <c r="W29"/>
  <c r="Q43" i="84"/>
  <c r="E24" i="89"/>
  <c r="C39"/>
  <c r="N10" i="78"/>
  <c r="O10" s="1"/>
  <c r="P10" s="1"/>
  <c r="R10" s="1"/>
  <c r="L10"/>
  <c r="M10"/>
  <c r="J10" i="74"/>
  <c r="J8" s="1"/>
  <c r="J40"/>
  <c r="S35" i="1"/>
  <c r="AW8" i="74"/>
  <c r="AW9" s="1"/>
  <c r="AX8"/>
  <c r="AQ9"/>
  <c r="AX9" s="1"/>
  <c r="EP8"/>
  <c r="EI9"/>
  <c r="EO8"/>
  <c r="DD8"/>
  <c r="DC8"/>
  <c r="DC9" s="1"/>
  <c r="DA9"/>
  <c r="AU8"/>
  <c r="AU9" s="1"/>
  <c r="AV8"/>
  <c r="EJ9"/>
  <c r="EJ27"/>
  <c r="EJ29" s="1"/>
  <c r="CO8" i="75"/>
  <c r="EL28" i="74"/>
  <c r="CP18" i="75"/>
  <c r="L10" i="74"/>
  <c r="CZ9"/>
  <c r="CZ27"/>
  <c r="CZ29" s="1"/>
  <c r="BQ8" i="75"/>
  <c r="BF9" i="74"/>
  <c r="AL8" i="75"/>
  <c r="BF27" i="74"/>
  <c r="BF29" s="1"/>
  <c r="DB9"/>
  <c r="BR8" i="75"/>
  <c r="DB27" i="74"/>
  <c r="DB29" s="1"/>
  <c r="EX9"/>
  <c r="CX8" i="75"/>
  <c r="EX27" i="74"/>
  <c r="EX29" s="1"/>
  <c r="AZ9"/>
  <c r="AZ27"/>
  <c r="AZ29" s="1"/>
  <c r="AI8" i="75"/>
  <c r="CV9" i="74"/>
  <c r="CV27"/>
  <c r="CV29" s="1"/>
  <c r="BO8" i="75"/>
  <c r="ER9" i="74"/>
  <c r="ER27"/>
  <c r="ER29" s="1"/>
  <c r="CU8" i="75"/>
  <c r="BD9" i="74"/>
  <c r="BD27"/>
  <c r="BD29" s="1"/>
  <c r="AK8" i="75"/>
  <c r="L23" i="103"/>
  <c r="N23" s="1"/>
  <c r="L23" i="63"/>
  <c r="U26" i="103"/>
  <c r="U26" i="63"/>
  <c r="E7" i="104"/>
  <c r="X16" i="75"/>
  <c r="E7" i="64"/>
  <c r="J13" i="104"/>
  <c r="J13" i="64"/>
  <c r="N14" i="104"/>
  <c r="N14" i="64"/>
  <c r="F26" i="103"/>
  <c r="H11" i="75"/>
  <c r="F26" i="63"/>
  <c r="I17" i="75"/>
  <c r="J17"/>
  <c r="H8" i="104"/>
  <c r="H5" s="1"/>
  <c r="H8" i="64"/>
  <c r="H5" s="1"/>
  <c r="E12" i="104"/>
  <c r="E12" i="64"/>
  <c r="G13" i="104"/>
  <c r="G13" i="64"/>
  <c r="O13" i="104"/>
  <c r="O13" i="64"/>
  <c r="O23" i="104"/>
  <c r="O23" i="64"/>
  <c r="G9" i="65"/>
  <c r="K6" i="63"/>
  <c r="K5" s="1"/>
  <c r="G17" i="65"/>
  <c r="AI6" i="63"/>
  <c r="AI5" s="1"/>
  <c r="C15" i="65"/>
  <c r="I22" i="75"/>
  <c r="C13" i="65"/>
  <c r="C21" i="90"/>
  <c r="C10" i="71"/>
  <c r="C9" s="1"/>
  <c r="C32"/>
  <c r="C32" i="88"/>
  <c r="C11" i="65"/>
  <c r="C19"/>
  <c r="H42" i="2"/>
  <c r="Q13" i="1"/>
  <c r="Q12" s="1"/>
  <c r="H23" i="64"/>
  <c r="H23" i="104"/>
  <c r="C16" i="70"/>
  <c r="J14" i="73"/>
  <c r="I14" s="1"/>
  <c r="J14" i="61"/>
  <c r="I14" s="1"/>
  <c r="Q63" i="1"/>
  <c r="C34" i="88"/>
  <c r="C34" i="71"/>
  <c r="C5" i="61"/>
  <c r="D5" s="1"/>
  <c r="C12" i="1"/>
  <c r="C66" s="1"/>
  <c r="C5" i="73"/>
  <c r="D5" s="1"/>
  <c r="U97" i="105"/>
  <c r="V43" i="84"/>
  <c r="V110"/>
  <c r="V106"/>
  <c r="E19" i="103"/>
  <c r="D19" s="1"/>
  <c r="N17" i="78"/>
  <c r="O17" s="1"/>
  <c r="P17" s="1"/>
  <c r="R17" s="1"/>
  <c r="L17"/>
  <c r="M17"/>
  <c r="FB8" i="74"/>
  <c r="EU9"/>
  <c r="FA8"/>
  <c r="DR8"/>
  <c r="DK9"/>
  <c r="DR9" s="1"/>
  <c r="DQ8"/>
  <c r="DQ9" s="1"/>
  <c r="BI8"/>
  <c r="BI9" s="1"/>
  <c r="BG8"/>
  <c r="BG9" s="1"/>
  <c r="BC9"/>
  <c r="BJ9" s="1"/>
  <c r="BJ8"/>
  <c r="AV9"/>
  <c r="K23"/>
  <c r="L23"/>
  <c r="DP8"/>
  <c r="EV9"/>
  <c r="EV27"/>
  <c r="EV29" s="1"/>
  <c r="CW8" i="75"/>
  <c r="DL9" i="74"/>
  <c r="DL27"/>
  <c r="DL29" s="1"/>
  <c r="BY8" i="75"/>
  <c r="V9" i="74"/>
  <c r="V27"/>
  <c r="V29" s="1"/>
  <c r="N8" i="75"/>
  <c r="BR9" i="74"/>
  <c r="BR27"/>
  <c r="BR29" s="1"/>
  <c r="AT8" i="75"/>
  <c r="DN9" i="74"/>
  <c r="DN27"/>
  <c r="DN29" s="1"/>
  <c r="BZ8" i="75"/>
  <c r="P9" i="74"/>
  <c r="K8" i="75"/>
  <c r="P27" i="74"/>
  <c r="P29" s="1"/>
  <c r="BL9"/>
  <c r="AQ8" i="75"/>
  <c r="BL27" i="74"/>
  <c r="BL29" s="1"/>
  <c r="DH9"/>
  <c r="BW8" i="75"/>
  <c r="DH27" i="74"/>
  <c r="DH29" s="1"/>
  <c r="T9"/>
  <c r="T27"/>
  <c r="T29" s="1"/>
  <c r="T30" s="1"/>
  <c r="M8" i="75"/>
  <c r="BP9" i="74"/>
  <c r="BP27"/>
  <c r="BP29" s="1"/>
  <c r="BP30" s="1"/>
  <c r="AS8" i="75"/>
  <c r="K15" i="73"/>
  <c r="I15" s="1"/>
  <c r="K15" i="61"/>
  <c r="I15" s="1"/>
  <c r="Q64" i="1"/>
  <c r="Z16" i="75"/>
  <c r="Y16"/>
  <c r="CL16"/>
  <c r="CK16"/>
  <c r="AJ32" i="103"/>
  <c r="AL32" s="1"/>
  <c r="H18" i="65"/>
  <c r="AJ32" i="63"/>
  <c r="AL32" s="1"/>
  <c r="I7" i="104"/>
  <c r="I5" s="1"/>
  <c r="I31" s="1"/>
  <c r="BD16" i="75"/>
  <c r="I7" i="64"/>
  <c r="I5" s="1"/>
  <c r="I31" s="1"/>
  <c r="O8" i="104"/>
  <c r="O8" i="64"/>
  <c r="CZ16" i="75"/>
  <c r="E20"/>
  <c r="N13" i="104"/>
  <c r="N13" i="64"/>
  <c r="G23" i="104"/>
  <c r="G23" i="64"/>
  <c r="H32" i="103"/>
  <c r="AG16" i="75"/>
  <c r="AH16"/>
  <c r="N7" i="104"/>
  <c r="N7" i="64"/>
  <c r="H12" i="104"/>
  <c r="H12" i="64"/>
  <c r="O12" i="104"/>
  <c r="O12" i="64"/>
  <c r="K14" i="104"/>
  <c r="K14" i="64"/>
  <c r="D23" i="104"/>
  <c r="D23" i="64"/>
  <c r="H24" i="75"/>
  <c r="J10"/>
  <c r="N23" i="104"/>
  <c r="N23" i="64"/>
  <c r="C9" i="65"/>
  <c r="C17"/>
  <c r="F5" i="63"/>
  <c r="C6"/>
  <c r="E12" i="65"/>
  <c r="F12" s="1"/>
  <c r="I11" i="75"/>
  <c r="C21" i="70"/>
  <c r="E10" i="65"/>
  <c r="F10" s="1"/>
  <c r="E18"/>
  <c r="F25" i="61"/>
  <c r="C10" i="88"/>
  <c r="C9" s="1"/>
  <c r="C10" i="65"/>
  <c r="H6" i="63"/>
  <c r="E16" i="65"/>
  <c r="F16" s="1"/>
  <c r="F18" i="73"/>
  <c r="E17" i="61"/>
  <c r="C18"/>
  <c r="H20" i="2"/>
  <c r="F18" i="61"/>
  <c r="C28" i="88"/>
  <c r="C38" s="1"/>
  <c r="C28" i="71"/>
  <c r="C38" s="1"/>
  <c r="H22" i="73"/>
  <c r="H26" s="1"/>
  <c r="H22" i="61"/>
  <c r="H26" s="1"/>
  <c r="C10" i="91"/>
  <c r="C31" i="87"/>
  <c r="C31" i="69"/>
  <c r="M42" i="2"/>
  <c r="C8" i="73"/>
  <c r="O34" i="1"/>
  <c r="E17" i="73"/>
  <c r="F32" i="61"/>
  <c r="K98" i="105"/>
  <c r="K100" s="1"/>
  <c r="O7" i="78"/>
  <c r="N39" i="2"/>
  <c r="DE8" i="74"/>
  <c r="DE9" s="1"/>
  <c r="CY9"/>
  <c r="DF9" s="1"/>
  <c r="DF8"/>
  <c r="N10"/>
  <c r="G8"/>
  <c r="L8" s="1"/>
  <c r="M10"/>
  <c r="CH8"/>
  <c r="CA9"/>
  <c r="CH9" s="1"/>
  <c r="CG8"/>
  <c r="CG9" s="1"/>
  <c r="CE8"/>
  <c r="CE9" s="1"/>
  <c r="I9"/>
  <c r="DX9"/>
  <c r="DX27"/>
  <c r="DX29" s="1"/>
  <c r="CG8" i="75"/>
  <c r="AH9" i="74"/>
  <c r="V8" i="75"/>
  <c r="AH27" i="74"/>
  <c r="AH29" s="1"/>
  <c r="CD9"/>
  <c r="BB8" i="75"/>
  <c r="CD27" i="74"/>
  <c r="CD29" s="1"/>
  <c r="DZ9"/>
  <c r="CH8" i="75"/>
  <c r="DZ27" i="74"/>
  <c r="DZ29" s="1"/>
  <c r="EY9"/>
  <c r="EZ9"/>
  <c r="AB9"/>
  <c r="AB27"/>
  <c r="S8" i="75"/>
  <c r="BX9" i="74"/>
  <c r="BX27"/>
  <c r="BX29" s="1"/>
  <c r="CB30" s="1"/>
  <c r="AY8" i="75"/>
  <c r="DT9" i="74"/>
  <c r="DT27"/>
  <c r="DT29" s="1"/>
  <c r="CE8" i="75"/>
  <c r="AF9" i="74"/>
  <c r="AF27"/>
  <c r="U8" i="75"/>
  <c r="J28" i="74"/>
  <c r="S48" i="1"/>
  <c r="X23" i="103"/>
  <c r="X23" i="63"/>
  <c r="Z23" s="1"/>
  <c r="AP16" i="75"/>
  <c r="AO16"/>
  <c r="DB16"/>
  <c r="DA16"/>
  <c r="H9"/>
  <c r="AA26" i="103"/>
  <c r="AA26" i="63"/>
  <c r="M7" i="104"/>
  <c r="M5" s="1"/>
  <c r="M31" s="1"/>
  <c r="CJ16" i="75"/>
  <c r="M7" i="64"/>
  <c r="M5" s="1"/>
  <c r="M31" s="1"/>
  <c r="I12" i="104"/>
  <c r="I12" i="64"/>
  <c r="F14" i="104"/>
  <c r="F14" i="64"/>
  <c r="AJ26" i="103"/>
  <c r="AJ26" i="63"/>
  <c r="BM16" i="75"/>
  <c r="BN16"/>
  <c r="J7" i="104"/>
  <c r="J7" i="64"/>
  <c r="D8" i="104"/>
  <c r="D8" i="64"/>
  <c r="L8" i="104"/>
  <c r="L5" s="1"/>
  <c r="L8" i="64"/>
  <c r="L5" s="1"/>
  <c r="L31" s="1"/>
  <c r="K13" i="104"/>
  <c r="K13" i="64"/>
  <c r="E14" i="65"/>
  <c r="F14" s="1"/>
  <c r="C12"/>
  <c r="J23" i="104"/>
  <c r="J23" i="64"/>
  <c r="E24" i="66"/>
  <c r="C39"/>
  <c r="N61" i="1" s="1"/>
  <c r="Q61" s="1"/>
  <c r="R61" s="1"/>
  <c r="C14" i="65"/>
  <c r="H21" i="2"/>
  <c r="E34" i="1"/>
  <c r="F35"/>
  <c r="F34" s="1"/>
  <c r="L35"/>
  <c r="L34" s="1"/>
  <c r="K34"/>
  <c r="C22" i="61"/>
  <c r="D26"/>
  <c r="C26" s="1"/>
  <c r="C13" i="70"/>
  <c r="J11" i="61"/>
  <c r="J11" i="73"/>
  <c r="F18" i="2"/>
  <c r="F32" i="73"/>
  <c r="F20" i="1"/>
  <c r="F14" s="1"/>
  <c r="E14"/>
  <c r="E13" s="1"/>
  <c r="E12" s="1"/>
  <c r="F58"/>
  <c r="F56" s="1"/>
  <c r="N64"/>
  <c r="I24" i="75"/>
  <c r="J24"/>
  <c r="V43" i="105"/>
  <c r="J43" s="1"/>
  <c r="V106"/>
  <c r="V110"/>
  <c r="C6" i="103"/>
  <c r="L5"/>
  <c r="C5" s="1"/>
  <c r="E30" i="63"/>
  <c r="D35" i="72" s="1"/>
  <c r="C34" i="70"/>
  <c r="E12" i="103"/>
  <c r="D12" s="1"/>
  <c r="H6"/>
  <c r="M9" i="78"/>
  <c r="N9"/>
  <c r="O9" s="1"/>
  <c r="P9" s="1"/>
  <c r="R9" s="1"/>
  <c r="L9"/>
  <c r="F8" i="74"/>
  <c r="F9" s="1"/>
  <c r="Y8"/>
  <c r="Y9" s="1"/>
  <c r="Z8"/>
  <c r="S9"/>
  <c r="Z9" s="1"/>
  <c r="ED8"/>
  <c r="DW9"/>
  <c r="ED9" s="1"/>
  <c r="EC8"/>
  <c r="EC9" s="1"/>
  <c r="BO9"/>
  <c r="BV9" s="1"/>
  <c r="BU8"/>
  <c r="BU9" s="1"/>
  <c r="BV8"/>
  <c r="AK8"/>
  <c r="AK9" s="1"/>
  <c r="AI8"/>
  <c r="AI9" s="1"/>
  <c r="AE9"/>
  <c r="AL9" s="1"/>
  <c r="AL8"/>
  <c r="CR9"/>
  <c r="BT8"/>
  <c r="CF8"/>
  <c r="CN9"/>
  <c r="CN27"/>
  <c r="CN29" s="1"/>
  <c r="BI8" i="75"/>
  <c r="EM8" i="74"/>
  <c r="EN8"/>
  <c r="EK9"/>
  <c r="AT9"/>
  <c r="AT27"/>
  <c r="AT29" s="1"/>
  <c r="AD8" i="75"/>
  <c r="CP9" i="74"/>
  <c r="CP27"/>
  <c r="CP29" s="1"/>
  <c r="BJ8" i="75"/>
  <c r="EL8" i="74"/>
  <c r="L19"/>
  <c r="M19"/>
  <c r="H42" i="1"/>
  <c r="EZ8" i="74"/>
  <c r="AN9"/>
  <c r="AN27"/>
  <c r="AN29" s="1"/>
  <c r="AA8" i="75"/>
  <c r="CJ9" i="74"/>
  <c r="CJ27"/>
  <c r="CJ29" s="1"/>
  <c r="BG8" i="75"/>
  <c r="EF9" i="74"/>
  <c r="EF27"/>
  <c r="EF29" s="1"/>
  <c r="CM8" i="75"/>
  <c r="AR9" i="74"/>
  <c r="AR27"/>
  <c r="AR29" s="1"/>
  <c r="AC8" i="75"/>
  <c r="I9"/>
  <c r="J9"/>
  <c r="H17"/>
  <c r="BF16"/>
  <c r="BE16"/>
  <c r="J21"/>
  <c r="H23" i="103"/>
  <c r="G8" i="104"/>
  <c r="G8" i="64"/>
  <c r="G5" s="1"/>
  <c r="G31" s="1"/>
  <c r="AN16" i="75"/>
  <c r="F13" i="104"/>
  <c r="F13" i="64"/>
  <c r="J14" i="104"/>
  <c r="J14" i="64"/>
  <c r="X32" i="103"/>
  <c r="Z32" s="1"/>
  <c r="H14" i="65"/>
  <c r="X32" i="63"/>
  <c r="F7" i="104"/>
  <c r="F5" s="1"/>
  <c r="AF16" i="75"/>
  <c r="F7" i="64"/>
  <c r="F5" s="1"/>
  <c r="L12" i="104"/>
  <c r="L12" i="64"/>
  <c r="G14" i="104"/>
  <c r="G14" i="64"/>
  <c r="O14" i="104"/>
  <c r="O14" i="64"/>
  <c r="K23" i="104"/>
  <c r="K23" i="64"/>
  <c r="N38" i="2"/>
  <c r="N59" i="1"/>
  <c r="E24" i="72"/>
  <c r="K32" i="73"/>
  <c r="E24" i="90"/>
  <c r="K32" i="61"/>
  <c r="C16" i="65"/>
  <c r="G15"/>
  <c r="AC6" i="63"/>
  <c r="AC5" s="1"/>
  <c r="G13" i="65"/>
  <c r="W6" i="63"/>
  <c r="W5" s="1"/>
  <c r="H14" i="2"/>
  <c r="C9" i="87"/>
  <c r="C8" s="1"/>
  <c r="C9" i="69"/>
  <c r="C8" s="1"/>
  <c r="I5" i="61"/>
  <c r="J5" s="1"/>
  <c r="N12" i="1"/>
  <c r="I5" i="73"/>
  <c r="J5" s="1"/>
  <c r="U13" i="1"/>
  <c r="C18" i="65"/>
  <c r="G11"/>
  <c r="Q6" i="63"/>
  <c r="Q5" s="1"/>
  <c r="G19" i="65"/>
  <c r="AO6" i="63"/>
  <c r="AO5" s="1"/>
  <c r="H23" i="2"/>
  <c r="D26" i="73"/>
  <c r="C26" s="1"/>
  <c r="C22"/>
  <c r="C17" s="1"/>
  <c r="P12" i="1"/>
  <c r="P66" s="1"/>
  <c r="D12" i="73"/>
  <c r="C12" s="1"/>
  <c r="D12" i="61"/>
  <c r="C12" s="1"/>
  <c r="D17"/>
  <c r="D12" i="1"/>
  <c r="D66" s="1"/>
  <c r="E58"/>
  <c r="E56" s="1"/>
  <c r="S7" i="78"/>
  <c r="S14"/>
  <c r="K58" i="1"/>
  <c r="H56"/>
  <c r="I56" s="1"/>
  <c r="Q10" i="84"/>
  <c r="Q9" s="1"/>
  <c r="L98"/>
  <c r="L100" s="1"/>
  <c r="U97"/>
  <c r="U10"/>
  <c r="U9" s="1"/>
  <c r="V20" i="2"/>
  <c r="D20" i="90"/>
  <c r="D14" i="86"/>
  <c r="W20" i="2"/>
  <c r="C25" i="70"/>
  <c r="J25" i="61"/>
  <c r="D20" i="72"/>
  <c r="D19"/>
  <c r="J24" i="73"/>
  <c r="V22" i="2"/>
  <c r="W22"/>
  <c r="J24" i="61"/>
  <c r="O98" i="84"/>
  <c r="O100" s="1"/>
  <c r="J23" i="73"/>
  <c r="D12" i="86"/>
  <c r="J23" i="61"/>
  <c r="V23" i="2"/>
  <c r="W23"/>
  <c r="D18" i="90"/>
  <c r="D18" i="72"/>
  <c r="C28" i="70"/>
  <c r="M28" i="2"/>
  <c r="N24"/>
  <c r="O107" i="84"/>
  <c r="P10"/>
  <c r="P9" s="1"/>
  <c r="N25" i="2" s="1"/>
  <c r="P97" i="84"/>
  <c r="K10"/>
  <c r="K9" s="1"/>
  <c r="N19" i="2" s="1"/>
  <c r="K97" i="84"/>
  <c r="D25" i="64"/>
  <c r="C27"/>
  <c r="O42" i="2" s="1"/>
  <c r="M25" i="64"/>
  <c r="C29" i="77"/>
  <c r="D34" i="90"/>
  <c r="D34" i="72"/>
  <c r="D25" i="104"/>
  <c r="C27"/>
  <c r="C26" i="64"/>
  <c r="M25" i="104"/>
  <c r="P20" i="65"/>
  <c r="D35" i="90"/>
  <c r="O5" i="64" l="1"/>
  <c r="K26" i="63"/>
  <c r="M9" i="65"/>
  <c r="O5" i="104"/>
  <c r="U107" i="105"/>
  <c r="S11" i="78"/>
  <c r="DN32" i="74"/>
  <c r="DN33" s="1"/>
  <c r="S13" i="78"/>
  <c r="P13"/>
  <c r="R13" s="1"/>
  <c r="H8" i="61"/>
  <c r="H8" i="73"/>
  <c r="L48" i="1"/>
  <c r="J15" i="2"/>
  <c r="J13" s="1"/>
  <c r="J12" s="1"/>
  <c r="J11" s="1"/>
  <c r="R10" i="84"/>
  <c r="R9" s="1"/>
  <c r="N27" i="2" s="1"/>
  <c r="R97" i="84"/>
  <c r="CZ30" i="74"/>
  <c r="G20" i="65"/>
  <c r="J43" i="84"/>
  <c r="H20" i="65"/>
  <c r="C23" i="103"/>
  <c r="C25"/>
  <c r="CD32" i="74"/>
  <c r="CD33" s="1"/>
  <c r="I22" i="77" s="1"/>
  <c r="I8" s="1"/>
  <c r="U98" i="105"/>
  <c r="U100" s="1"/>
  <c r="EJ30" i="74"/>
  <c r="K15" i="78"/>
  <c r="I19"/>
  <c r="J8" i="104"/>
  <c r="J5" s="1"/>
  <c r="J31" s="1"/>
  <c r="J8" i="64"/>
  <c r="M12" i="65"/>
  <c r="T26" i="63"/>
  <c r="AF25"/>
  <c r="L16" i="65"/>
  <c r="L20" s="1"/>
  <c r="C25" i="63"/>
  <c r="J12" i="65"/>
  <c r="O10" i="105"/>
  <c r="O9" s="1"/>
  <c r="O107" s="1"/>
  <c r="O97"/>
  <c r="BV18" i="75"/>
  <c r="BU18"/>
  <c r="BT18"/>
  <c r="BR16"/>
  <c r="M98" i="84"/>
  <c r="M100" s="1"/>
  <c r="D19" i="90"/>
  <c r="Q97" i="84"/>
  <c r="Q98" s="1"/>
  <c r="Q100" s="1"/>
  <c r="AR30" i="74"/>
  <c r="AC13" i="75" s="1"/>
  <c r="AC7" s="1"/>
  <c r="AC23" s="1"/>
  <c r="AC19" s="1"/>
  <c r="AC15" s="1"/>
  <c r="AT32" i="74"/>
  <c r="AT33" s="1"/>
  <c r="F22" i="77" s="1"/>
  <c r="F8" s="1"/>
  <c r="EB9" i="74"/>
  <c r="X9"/>
  <c r="BH9"/>
  <c r="BR32"/>
  <c r="BR33" s="1"/>
  <c r="AT13" i="75" s="1"/>
  <c r="CF9" i="74"/>
  <c r="AI26" i="63"/>
  <c r="M17" i="65"/>
  <c r="J5" i="64"/>
  <c r="J31" s="1"/>
  <c r="J16" i="65"/>
  <c r="J13"/>
  <c r="Q10" i="105"/>
  <c r="Q9" s="1"/>
  <c r="Q107" s="1"/>
  <c r="Q97"/>
  <c r="D13" i="86"/>
  <c r="C13" i="64"/>
  <c r="O22" i="2" s="1"/>
  <c r="E13" i="86" s="1"/>
  <c r="G5" i="104"/>
  <c r="F13" i="1"/>
  <c r="F12" s="1"/>
  <c r="F66" s="1"/>
  <c r="BL16" i="75"/>
  <c r="DL30" i="74"/>
  <c r="BY13" i="75" s="1"/>
  <c r="BY7" s="1"/>
  <c r="BY23" s="1"/>
  <c r="BY19" s="1"/>
  <c r="BY15" s="1"/>
  <c r="AJ9" i="74"/>
  <c r="E25" i="63"/>
  <c r="K24" i="61"/>
  <c r="I24" s="1"/>
  <c r="N58" i="1"/>
  <c r="N56" s="1"/>
  <c r="N66" s="1"/>
  <c r="Q59"/>
  <c r="AD13" i="75"/>
  <c r="C8" i="65"/>
  <c r="C20" s="1"/>
  <c r="C5" i="63"/>
  <c r="C23" i="104"/>
  <c r="BR63" i="74"/>
  <c r="C21" i="87"/>
  <c r="C21" i="69"/>
  <c r="H26" i="63"/>
  <c r="M8" i="65"/>
  <c r="C26" i="63"/>
  <c r="E5" i="104"/>
  <c r="C7"/>
  <c r="BV8" i="75"/>
  <c r="BT8"/>
  <c r="EJ31" i="74"/>
  <c r="EJ35" s="1"/>
  <c r="CO13" i="75"/>
  <c r="CO7" s="1"/>
  <c r="CO23" s="1"/>
  <c r="CO19" s="1"/>
  <c r="CO15" s="1"/>
  <c r="F22" i="61"/>
  <c r="G26"/>
  <c r="F26" s="1"/>
  <c r="K56" i="1"/>
  <c r="L58"/>
  <c r="E11" i="65"/>
  <c r="F11" s="1"/>
  <c r="E15"/>
  <c r="F15" s="1"/>
  <c r="W38" i="2"/>
  <c r="K38"/>
  <c r="V38"/>
  <c r="N37"/>
  <c r="F31" i="104"/>
  <c r="C13"/>
  <c r="G31"/>
  <c r="BM8" i="75"/>
  <c r="BG7"/>
  <c r="BG30"/>
  <c r="CP32" i="74"/>
  <c r="CP33" s="1"/>
  <c r="S9" i="78"/>
  <c r="V97" i="105"/>
  <c r="V10"/>
  <c r="V9" s="1"/>
  <c r="I11" i="61"/>
  <c r="D5" i="64"/>
  <c r="D31" s="1"/>
  <c r="C14" i="104"/>
  <c r="M15" i="65"/>
  <c r="AC26" i="63"/>
  <c r="Z23" i="103"/>
  <c r="E23" s="1"/>
  <c r="H27" i="74"/>
  <c r="H29" s="1"/>
  <c r="AF29"/>
  <c r="S7" i="75"/>
  <c r="Y8"/>
  <c r="S30"/>
  <c r="BB13"/>
  <c r="Z8"/>
  <c r="X8"/>
  <c r="F18" i="65"/>
  <c r="T31" i="74"/>
  <c r="M25" i="75" s="1"/>
  <c r="M13"/>
  <c r="M7" s="1"/>
  <c r="C15" i="79"/>
  <c r="D15" s="1"/>
  <c r="L22" i="77"/>
  <c r="L8" s="1"/>
  <c r="BZ13" i="75"/>
  <c r="BT9" i="74"/>
  <c r="FB9"/>
  <c r="FA9"/>
  <c r="V97" i="84"/>
  <c r="V10"/>
  <c r="V9" s="1"/>
  <c r="E9" i="65"/>
  <c r="C12" i="104"/>
  <c r="M13" i="65"/>
  <c r="W26" i="63"/>
  <c r="BD30" i="74"/>
  <c r="AI7" i="75"/>
  <c r="AO8"/>
  <c r="AI30"/>
  <c r="DB8"/>
  <c r="CZ8"/>
  <c r="CR18"/>
  <c r="CS18"/>
  <c r="CT18"/>
  <c r="CP16"/>
  <c r="F18"/>
  <c r="J9" i="74"/>
  <c r="J48"/>
  <c r="J27"/>
  <c r="J29" s="1"/>
  <c r="J41"/>
  <c r="V107" i="105"/>
  <c r="I11" i="73"/>
  <c r="C14" i="64"/>
  <c r="O20" i="2" s="1"/>
  <c r="DX30" i="74"/>
  <c r="O31" i="104"/>
  <c r="E8" i="75"/>
  <c r="E19" i="65"/>
  <c r="F19" s="1"/>
  <c r="E13"/>
  <c r="F13" s="1"/>
  <c r="CM7" i="75"/>
  <c r="CM30"/>
  <c r="EM9" i="74"/>
  <c r="EN9"/>
  <c r="C26" i="88"/>
  <c r="C36" s="1"/>
  <c r="C26" i="71"/>
  <c r="C36" s="1"/>
  <c r="H18" i="2"/>
  <c r="C24" i="66"/>
  <c r="C66" s="1"/>
  <c r="E66"/>
  <c r="M18" i="65"/>
  <c r="AL26" i="63"/>
  <c r="AC26" i="103"/>
  <c r="K8" i="73"/>
  <c r="K8" i="61"/>
  <c r="R48" i="1"/>
  <c r="AY7" i="75"/>
  <c r="BE8"/>
  <c r="AY30"/>
  <c r="D27" i="74"/>
  <c r="D29" s="1"/>
  <c r="AB29"/>
  <c r="AH32" s="1"/>
  <c r="AH33" s="1"/>
  <c r="DZ32"/>
  <c r="DZ33" s="1"/>
  <c r="BF8" i="75"/>
  <c r="BD8"/>
  <c r="M8" i="74"/>
  <c r="M9" s="1"/>
  <c r="G9"/>
  <c r="N9" s="1"/>
  <c r="N8"/>
  <c r="P7" i="78"/>
  <c r="C17" i="61"/>
  <c r="E32" i="103"/>
  <c r="C20" i="87"/>
  <c r="C20" i="69"/>
  <c r="BO34" i="74"/>
  <c r="BP31"/>
  <c r="BP35" s="1"/>
  <c r="AS13" i="75"/>
  <c r="AS7" s="1"/>
  <c r="AS23" s="1"/>
  <c r="AS19" s="1"/>
  <c r="AS15" s="1"/>
  <c r="Q8"/>
  <c r="K7"/>
  <c r="C8"/>
  <c r="K30"/>
  <c r="P8"/>
  <c r="R8"/>
  <c r="EV30" i="74"/>
  <c r="E17" i="65"/>
  <c r="F17" s="1"/>
  <c r="H31" i="64"/>
  <c r="H26" i="103"/>
  <c r="C26"/>
  <c r="E5" i="64"/>
  <c r="C7"/>
  <c r="W26" i="103"/>
  <c r="N23" i="63"/>
  <c r="C23"/>
  <c r="BO7" i="75"/>
  <c r="BU8"/>
  <c r="BO30"/>
  <c r="BF32" i="74"/>
  <c r="BF33" s="1"/>
  <c r="CZ31"/>
  <c r="CZ35" s="1"/>
  <c r="BQ13" i="75"/>
  <c r="BQ7" s="1"/>
  <c r="BQ23" s="1"/>
  <c r="BQ19" s="1"/>
  <c r="BQ15" s="1"/>
  <c r="DP9" i="74"/>
  <c r="DD9"/>
  <c r="EP9"/>
  <c r="EO9"/>
  <c r="S10" i="78"/>
  <c r="M24"/>
  <c r="C24" i="89"/>
  <c r="C66" s="1"/>
  <c r="E66"/>
  <c r="E6" i="61"/>
  <c r="E36" s="1"/>
  <c r="E9"/>
  <c r="AR31" i="74"/>
  <c r="AR35" s="1"/>
  <c r="AG8" i="75"/>
  <c r="AA7"/>
  <c r="AA30"/>
  <c r="M42" i="1"/>
  <c r="M13" s="1"/>
  <c r="K42"/>
  <c r="H13"/>
  <c r="BL8" i="75"/>
  <c r="BN8"/>
  <c r="D7" i="61"/>
  <c r="L31" i="104"/>
  <c r="J14" i="65"/>
  <c r="H5" i="63"/>
  <c r="E6"/>
  <c r="CC8" i="75"/>
  <c r="BW7"/>
  <c r="BW30"/>
  <c r="CB8"/>
  <c r="CD8"/>
  <c r="EX32" i="74"/>
  <c r="EX33" s="1"/>
  <c r="C43" i="105"/>
  <c r="C10" s="1"/>
  <c r="J10"/>
  <c r="J9" s="1"/>
  <c r="T12" i="1"/>
  <c r="C32" i="63"/>
  <c r="Z32"/>
  <c r="E32" s="1"/>
  <c r="CN30" i="74"/>
  <c r="E6" i="103"/>
  <c r="H5"/>
  <c r="F31" i="64"/>
  <c r="EL9" i="74"/>
  <c r="EL27"/>
  <c r="EL29" s="1"/>
  <c r="EL32" s="1"/>
  <c r="EL33" s="1"/>
  <c r="CP8" i="75"/>
  <c r="CS8" s="1"/>
  <c r="AF8"/>
  <c r="AH8"/>
  <c r="D10" i="73"/>
  <c r="C10" s="1"/>
  <c r="D10" i="61"/>
  <c r="C10" s="1"/>
  <c r="E66" i="1"/>
  <c r="D5" i="104"/>
  <c r="D31" s="1"/>
  <c r="AL26" i="103"/>
  <c r="CE7" i="75"/>
  <c r="CK8"/>
  <c r="CE30"/>
  <c r="CA34" i="74"/>
  <c r="CB31"/>
  <c r="CB35" s="1"/>
  <c r="BA13" i="75"/>
  <c r="BA7" s="1"/>
  <c r="BA23" s="1"/>
  <c r="BA19" s="1"/>
  <c r="BA15" s="1"/>
  <c r="CL8"/>
  <c r="CJ8"/>
  <c r="K8" i="74"/>
  <c r="K9" s="1"/>
  <c r="V39" i="2"/>
  <c r="W39"/>
  <c r="C23" i="64"/>
  <c r="O33" i="2" s="1"/>
  <c r="C32" i="103"/>
  <c r="O31" i="64"/>
  <c r="AW8" i="75"/>
  <c r="AQ7"/>
  <c r="AQ30"/>
  <c r="AV8"/>
  <c r="AX8"/>
  <c r="V32" i="74"/>
  <c r="V33" s="1"/>
  <c r="S17" i="78"/>
  <c r="C13" i="87"/>
  <c r="C14" s="1"/>
  <c r="C13" i="69"/>
  <c r="C14" s="1"/>
  <c r="C12" i="64"/>
  <c r="O23" i="2" s="1"/>
  <c r="H31" i="104"/>
  <c r="CU7" i="75"/>
  <c r="DA8"/>
  <c r="CU30"/>
  <c r="DB32" i="74"/>
  <c r="DB33" s="1"/>
  <c r="AP8" i="75"/>
  <c r="AN8"/>
  <c r="S34" i="1"/>
  <c r="S13" s="1"/>
  <c r="R35"/>
  <c r="F22" i="73"/>
  <c r="G26"/>
  <c r="F26" s="1"/>
  <c r="E9"/>
  <c r="E6"/>
  <c r="E36" s="1"/>
  <c r="N30" i="2"/>
  <c r="U107" i="84"/>
  <c r="U98"/>
  <c r="U100" s="1"/>
  <c r="Q107"/>
  <c r="N26" i="2"/>
  <c r="N21" s="1"/>
  <c r="J10" i="84"/>
  <c r="J9" s="1"/>
  <c r="C43"/>
  <c r="C10" s="1"/>
  <c r="V19" i="2"/>
  <c r="W19"/>
  <c r="K19"/>
  <c r="C24" i="70"/>
  <c r="K25" i="2"/>
  <c r="W25"/>
  <c r="V25"/>
  <c r="C30" i="70"/>
  <c r="W24" i="2"/>
  <c r="C29" i="70"/>
  <c r="V24" i="2"/>
  <c r="K24"/>
  <c r="K98" i="84"/>
  <c r="K100" s="1"/>
  <c r="P98"/>
  <c r="P100" s="1"/>
  <c r="P107"/>
  <c r="C25" i="104"/>
  <c r="E25" i="72"/>
  <c r="K33" i="61"/>
  <c r="E25" i="90"/>
  <c r="K33" i="73"/>
  <c r="N42" i="2"/>
  <c r="C25" i="64"/>
  <c r="D7" i="73" l="1"/>
  <c r="C11" i="79"/>
  <c r="D11" s="1"/>
  <c r="K22" i="2"/>
  <c r="M22" s="1"/>
  <c r="O98" i="105"/>
  <c r="O100" s="1"/>
  <c r="E19" i="90"/>
  <c r="C19"/>
  <c r="N9" i="73"/>
  <c r="H19"/>
  <c r="H17" s="1"/>
  <c r="DL31" i="74"/>
  <c r="DL35" s="1"/>
  <c r="C12" i="79"/>
  <c r="D12" s="1"/>
  <c r="H22" i="77"/>
  <c r="H8" s="1"/>
  <c r="C9" i="79"/>
  <c r="D9" s="1"/>
  <c r="R107" i="84"/>
  <c r="R98"/>
  <c r="R100" s="1"/>
  <c r="G8" i="73"/>
  <c r="I15" i="2"/>
  <c r="G8" i="61"/>
  <c r="V98" i="105"/>
  <c r="V100" s="1"/>
  <c r="V27" i="2"/>
  <c r="K27"/>
  <c r="M27" s="1"/>
  <c r="C32" i="70"/>
  <c r="W27" i="2"/>
  <c r="H19" i="61"/>
  <c r="H17" s="1"/>
  <c r="N9"/>
  <c r="F8" i="75"/>
  <c r="E19" i="72"/>
  <c r="C19" s="1"/>
  <c r="M23" i="75"/>
  <c r="C13" i="86"/>
  <c r="D30" i="72"/>
  <c r="D30" i="90"/>
  <c r="L15" i="78"/>
  <c r="N15"/>
  <c r="M15"/>
  <c r="K19"/>
  <c r="J32" i="74"/>
  <c r="K24" i="73"/>
  <c r="I24" s="1"/>
  <c r="BV16" i="75"/>
  <c r="BU16"/>
  <c r="V98" i="84"/>
  <c r="V100" s="1"/>
  <c r="L9" i="74"/>
  <c r="Q98" i="105"/>
  <c r="Q100" s="1"/>
  <c r="K8" i="104"/>
  <c r="K5" s="1"/>
  <c r="K31" s="1"/>
  <c r="K8" i="64"/>
  <c r="K5" s="1"/>
  <c r="K31" s="1"/>
  <c r="BT16" i="75"/>
  <c r="E22" i="77"/>
  <c r="E8" s="1"/>
  <c r="C8" i="79"/>
  <c r="D8" s="1"/>
  <c r="J33" i="74"/>
  <c r="V13" i="75"/>
  <c r="E18" i="90"/>
  <c r="C18" s="1"/>
  <c r="E18" i="72"/>
  <c r="C18" s="1"/>
  <c r="E12" i="86"/>
  <c r="K23" i="73"/>
  <c r="I23" s="1"/>
  <c r="K23" i="61"/>
  <c r="I23" s="1"/>
  <c r="K23" i="2"/>
  <c r="C17" i="79"/>
  <c r="D17" s="1"/>
  <c r="E35" i="86"/>
  <c r="E36" s="1"/>
  <c r="N22" i="77"/>
  <c r="N8" s="1"/>
  <c r="N24" s="1"/>
  <c r="CP12" i="75" s="1"/>
  <c r="CP13"/>
  <c r="CP7" s="1"/>
  <c r="O22" i="77"/>
  <c r="O8" s="1"/>
  <c r="C18" i="79"/>
  <c r="D18" s="1"/>
  <c r="CX13" i="75"/>
  <c r="C7" i="61"/>
  <c r="D9"/>
  <c r="C9" s="1"/>
  <c r="D6"/>
  <c r="L42" i="1"/>
  <c r="L13" s="1"/>
  <c r="K13"/>
  <c r="BD31" i="74"/>
  <c r="BD35" s="1"/>
  <c r="AK13" i="75"/>
  <c r="AK7" s="1"/>
  <c r="AK23" s="1"/>
  <c r="AK19" s="1"/>
  <c r="AK15" s="1"/>
  <c r="F9" i="65"/>
  <c r="M20"/>
  <c r="H25" i="77"/>
  <c r="H24"/>
  <c r="R34" i="1"/>
  <c r="R13" s="1"/>
  <c r="C11" i="70"/>
  <c r="AQ38" i="75"/>
  <c r="AQ23"/>
  <c r="CN31" i="74"/>
  <c r="CN35" s="1"/>
  <c r="CM34"/>
  <c r="BI13" i="75"/>
  <c r="BI7" s="1"/>
  <c r="BI23" s="1"/>
  <c r="BI19" s="1"/>
  <c r="BI15" s="1"/>
  <c r="C7" i="73"/>
  <c r="C62" s="1"/>
  <c r="D9"/>
  <c r="C9" s="1"/>
  <c r="C64" s="1"/>
  <c r="D6"/>
  <c r="H7"/>
  <c r="H7" i="61"/>
  <c r="M12" i="1"/>
  <c r="M66" s="1"/>
  <c r="G22" i="77"/>
  <c r="G8" s="1"/>
  <c r="C10" i="79"/>
  <c r="D10" s="1"/>
  <c r="AL13" i="75"/>
  <c r="O14" i="2"/>
  <c r="E26" i="103"/>
  <c r="I8" i="75"/>
  <c r="C7"/>
  <c r="M22" i="77"/>
  <c r="M8" s="1"/>
  <c r="C16" i="79"/>
  <c r="D16" s="1"/>
  <c r="CH13" i="75"/>
  <c r="K19" i="73"/>
  <c r="Q9"/>
  <c r="DX31" i="74"/>
  <c r="DX35" s="1"/>
  <c r="DW34"/>
  <c r="CG13" i="75"/>
  <c r="CG7" s="1"/>
  <c r="CG23" s="1"/>
  <c r="CG19" s="1"/>
  <c r="CG15" s="1"/>
  <c r="H37" i="74"/>
  <c r="BF13" i="75"/>
  <c r="BD13"/>
  <c r="BE13"/>
  <c r="BG23"/>
  <c r="BG38"/>
  <c r="J32" i="73"/>
  <c r="I32" s="1"/>
  <c r="J32" i="61"/>
  <c r="I32" s="1"/>
  <c r="D24" i="72"/>
  <c r="C24" s="1"/>
  <c r="K37" i="2"/>
  <c r="V37"/>
  <c r="C43" i="70"/>
  <c r="D24" i="90"/>
  <c r="C24" s="1"/>
  <c r="W37" i="2"/>
  <c r="E31" i="104"/>
  <c r="E26" i="63"/>
  <c r="O21" i="2"/>
  <c r="O18" s="1"/>
  <c r="EV31" i="74"/>
  <c r="EV35" s="1"/>
  <c r="CW13" i="75"/>
  <c r="CW7" s="1"/>
  <c r="CW23" s="1"/>
  <c r="CW19" s="1"/>
  <c r="CW15" s="1"/>
  <c r="Q9" i="61"/>
  <c r="K19"/>
  <c r="CM23" i="75"/>
  <c r="CM38"/>
  <c r="CE23"/>
  <c r="CE38"/>
  <c r="BW23"/>
  <c r="BW38"/>
  <c r="J10" i="65"/>
  <c r="E23" i="63"/>
  <c r="J8" i="75"/>
  <c r="K23"/>
  <c r="K38"/>
  <c r="AY23"/>
  <c r="AY38"/>
  <c r="M19"/>
  <c r="M15" s="1"/>
  <c r="E14" i="86"/>
  <c r="C14" s="1"/>
  <c r="E20" i="90"/>
  <c r="C20" s="1"/>
  <c r="E20" i="72"/>
  <c r="C20" s="1"/>
  <c r="K25" i="61"/>
  <c r="I25" s="1"/>
  <c r="K25" i="73"/>
  <c r="I25" s="1"/>
  <c r="K20" i="2"/>
  <c r="M20" s="1"/>
  <c r="CD13" i="75"/>
  <c r="CB13"/>
  <c r="I25" i="77"/>
  <c r="I24"/>
  <c r="S23" i="75"/>
  <c r="S38"/>
  <c r="G12" i="73"/>
  <c r="F12" s="1"/>
  <c r="G12" i="61"/>
  <c r="F12" s="1"/>
  <c r="L56" i="1"/>
  <c r="AG13" i="75"/>
  <c r="AF13"/>
  <c r="AH13"/>
  <c r="K22" i="77"/>
  <c r="K8" s="1"/>
  <c r="C14" i="79"/>
  <c r="D14" s="1"/>
  <c r="BR13" i="75"/>
  <c r="BO23"/>
  <c r="BO38"/>
  <c r="R7" i="78"/>
  <c r="R19" s="1"/>
  <c r="CS16" i="75"/>
  <c r="CT16"/>
  <c r="K7" i="73"/>
  <c r="K7" i="61"/>
  <c r="S12" i="1"/>
  <c r="S66" s="1"/>
  <c r="C31" i="88"/>
  <c r="C30" s="1"/>
  <c r="C31" i="71"/>
  <c r="C30" s="1"/>
  <c r="E22" i="72"/>
  <c r="K31" i="61"/>
  <c r="N33" i="2"/>
  <c r="K31" i="73"/>
  <c r="E22" i="90"/>
  <c r="E17" i="86"/>
  <c r="E8" i="65"/>
  <c r="E5" i="63"/>
  <c r="E35" s="1"/>
  <c r="E31" i="64"/>
  <c r="CU23" i="75"/>
  <c r="CU38"/>
  <c r="C7" i="79"/>
  <c r="D22" i="77"/>
  <c r="N13" i="75"/>
  <c r="CR8"/>
  <c r="H8" s="1"/>
  <c r="CT8"/>
  <c r="E5" i="103"/>
  <c r="E35" s="1"/>
  <c r="T13" i="1"/>
  <c r="V13" s="1"/>
  <c r="F5" i="73"/>
  <c r="G5" s="1"/>
  <c r="I13" i="1"/>
  <c r="F5" i="61"/>
  <c r="G5" s="1"/>
  <c r="H12" i="1"/>
  <c r="O13"/>
  <c r="AA23" i="75"/>
  <c r="AA38"/>
  <c r="N15" i="2"/>
  <c r="J8" i="73"/>
  <c r="J8" i="61"/>
  <c r="J18" i="75"/>
  <c r="I18"/>
  <c r="F16"/>
  <c r="N8" i="104"/>
  <c r="N8" i="64"/>
  <c r="H18" i="75"/>
  <c r="H16" s="1"/>
  <c r="CR16"/>
  <c r="AI23"/>
  <c r="AI38"/>
  <c r="V112" i="84"/>
  <c r="V107"/>
  <c r="N31" i="2"/>
  <c r="N18" s="1"/>
  <c r="AA32" i="84"/>
  <c r="L25" i="77"/>
  <c r="L24"/>
  <c r="AF30" i="74"/>
  <c r="V112" i="105"/>
  <c r="AA32"/>
  <c r="C13" i="79"/>
  <c r="D13" s="1"/>
  <c r="J22" i="77"/>
  <c r="J8" s="1"/>
  <c r="BJ13" i="75"/>
  <c r="W95" i="105"/>
  <c r="W95" i="84"/>
  <c r="AV13" i="75"/>
  <c r="AX13"/>
  <c r="F24" i="77"/>
  <c r="F25"/>
  <c r="R59" i="1"/>
  <c r="R58" s="1"/>
  <c r="Q58"/>
  <c r="V26" i="2"/>
  <c r="C31" i="70"/>
  <c r="C26" s="1"/>
  <c r="K26" i="2"/>
  <c r="M26" s="1"/>
  <c r="W26"/>
  <c r="V30"/>
  <c r="W30"/>
  <c r="C35" i="70"/>
  <c r="C37" s="1"/>
  <c r="K30" i="2"/>
  <c r="M30" s="1"/>
  <c r="V21"/>
  <c r="W21"/>
  <c r="M24"/>
  <c r="M25"/>
  <c r="M19"/>
  <c r="J33" i="73"/>
  <c r="W42" i="2"/>
  <c r="J33" i="61"/>
  <c r="D25" i="90"/>
  <c r="D25" i="72"/>
  <c r="C47" i="70"/>
  <c r="V42" i="2"/>
  <c r="M9" i="73" l="1"/>
  <c r="L9" s="1"/>
  <c r="F8"/>
  <c r="I13" i="2"/>
  <c r="I12" s="1"/>
  <c r="I11" s="1"/>
  <c r="G19" i="61"/>
  <c r="G19" i="73"/>
  <c r="F15" i="2"/>
  <c r="F8" i="61"/>
  <c r="M9"/>
  <c r="L9" s="1"/>
  <c r="CP30" i="75"/>
  <c r="CP31" s="1"/>
  <c r="BZ12"/>
  <c r="CB12" s="1"/>
  <c r="AT12"/>
  <c r="BB12"/>
  <c r="BE12" s="1"/>
  <c r="K21" i="78"/>
  <c r="L19"/>
  <c r="M19"/>
  <c r="O15"/>
  <c r="S15" s="1"/>
  <c r="S19" s="1"/>
  <c r="N19"/>
  <c r="W64" i="105"/>
  <c r="W9" s="1"/>
  <c r="C95"/>
  <c r="C64" s="1"/>
  <c r="C9" s="1"/>
  <c r="AI19" i="75"/>
  <c r="AI28"/>
  <c r="I8" i="73"/>
  <c r="P9"/>
  <c r="O9" s="1"/>
  <c r="R28" i="103"/>
  <c r="T28" s="1"/>
  <c r="R28" i="63"/>
  <c r="AD12" i="75"/>
  <c r="W64" i="84"/>
  <c r="W9" s="1"/>
  <c r="C95"/>
  <c r="C64" s="1"/>
  <c r="C9" s="1"/>
  <c r="V31" i="2"/>
  <c r="K31"/>
  <c r="M31" s="1"/>
  <c r="W31"/>
  <c r="C39" i="70"/>
  <c r="C23" s="1"/>
  <c r="J16" i="75"/>
  <c r="I16"/>
  <c r="I8" i="61"/>
  <c r="P9"/>
  <c r="O9" s="1"/>
  <c r="AA19" i="75"/>
  <c r="AA28"/>
  <c r="C22" i="77"/>
  <c r="C8" s="1"/>
  <c r="D8"/>
  <c r="K9" i="73"/>
  <c r="Q14" s="1"/>
  <c r="Q7"/>
  <c r="K6"/>
  <c r="K25" i="77"/>
  <c r="K24"/>
  <c r="L28" i="103"/>
  <c r="N28" s="1"/>
  <c r="AF25" i="75"/>
  <c r="L28" i="63"/>
  <c r="G10" i="73"/>
  <c r="F10" s="1"/>
  <c r="G10" i="61"/>
  <c r="F10" s="1"/>
  <c r="D31" i="90"/>
  <c r="D31" i="72"/>
  <c r="U28" i="103"/>
  <c r="W28" s="1"/>
  <c r="U28" i="63"/>
  <c r="M25" i="77"/>
  <c r="M24"/>
  <c r="E14" i="72"/>
  <c r="E14" i="90"/>
  <c r="E8" i="86"/>
  <c r="K18" i="61"/>
  <c r="K14" i="2"/>
  <c r="K18" i="73"/>
  <c r="C6"/>
  <c r="C36" s="1"/>
  <c r="D36"/>
  <c r="D36" i="61"/>
  <c r="C6"/>
  <c r="C36" s="1"/>
  <c r="Z13" i="75"/>
  <c r="X13"/>
  <c r="C19" i="79"/>
  <c r="D7"/>
  <c r="D19" s="1"/>
  <c r="E20" i="65"/>
  <c r="F8"/>
  <c r="F20" s="1"/>
  <c r="S19" i="75"/>
  <c r="S28"/>
  <c r="E16" i="90"/>
  <c r="E16" i="72"/>
  <c r="E15" i="86"/>
  <c r="E11" s="1"/>
  <c r="K22" i="73"/>
  <c r="K26" s="1"/>
  <c r="Q18" i="2"/>
  <c r="K22" i="61"/>
  <c r="K26" s="1"/>
  <c r="C38" i="75"/>
  <c r="CE19"/>
  <c r="CE28"/>
  <c r="CM19"/>
  <c r="CM28"/>
  <c r="AN13"/>
  <c r="AO13"/>
  <c r="AP13"/>
  <c r="H9" i="61"/>
  <c r="H6"/>
  <c r="H36" s="1"/>
  <c r="N7"/>
  <c r="N14" s="1"/>
  <c r="AQ28" i="75"/>
  <c r="AQ19"/>
  <c r="O24" i="77"/>
  <c r="O25"/>
  <c r="C12" i="86"/>
  <c r="H11" s="1"/>
  <c r="C19" i="87"/>
  <c r="C19" i="69"/>
  <c r="C18"/>
  <c r="K45" i="2"/>
  <c r="C18" i="87"/>
  <c r="C16" s="1"/>
  <c r="Q56" i="1"/>
  <c r="Q66" s="1"/>
  <c r="C14" i="70"/>
  <c r="C12" s="1"/>
  <c r="J12" i="73"/>
  <c r="J12" i="61"/>
  <c r="R56" i="1"/>
  <c r="N5" i="64"/>
  <c r="C8"/>
  <c r="D9" i="86"/>
  <c r="D15" i="72"/>
  <c r="D15" i="90"/>
  <c r="N13" i="2"/>
  <c r="N12" s="1"/>
  <c r="W15"/>
  <c r="J19" i="61"/>
  <c r="I19" s="1"/>
  <c r="J19" i="73"/>
  <c r="I19" s="1"/>
  <c r="CP38" i="75"/>
  <c r="CP39" s="1"/>
  <c r="CT7"/>
  <c r="CP23"/>
  <c r="CS23" s="1"/>
  <c r="BT13"/>
  <c r="BU13"/>
  <c r="BV13"/>
  <c r="AD28" i="103"/>
  <c r="AF28" s="1"/>
  <c r="AD28" i="63"/>
  <c r="D29" i="90"/>
  <c r="D29" i="72"/>
  <c r="C45" i="70"/>
  <c r="C54" s="1"/>
  <c r="BW19" i="75"/>
  <c r="BW28"/>
  <c r="CS7"/>
  <c r="C30" i="87"/>
  <c r="M37" i="2"/>
  <c r="C30" i="69"/>
  <c r="CL13" i="75"/>
  <c r="CJ13"/>
  <c r="H9" i="73"/>
  <c r="H6"/>
  <c r="H36" s="1"/>
  <c r="N7"/>
  <c r="N14" s="1"/>
  <c r="R12" i="1"/>
  <c r="J7" i="73"/>
  <c r="J7" i="61"/>
  <c r="T14" i="1"/>
  <c r="K12"/>
  <c r="K66" s="1"/>
  <c r="CS13" i="75"/>
  <c r="CT13"/>
  <c r="CR13"/>
  <c r="R23" i="2"/>
  <c r="M23"/>
  <c r="BM13" i="75"/>
  <c r="BL13"/>
  <c r="BN13"/>
  <c r="J24" i="77"/>
  <c r="J25"/>
  <c r="H30" i="74"/>
  <c r="AF31"/>
  <c r="U13" i="75"/>
  <c r="C8" i="104"/>
  <c r="C5" s="1"/>
  <c r="N5"/>
  <c r="I12" i="1"/>
  <c r="I69" s="1"/>
  <c r="H66"/>
  <c r="H69"/>
  <c r="O12"/>
  <c r="F13" i="75"/>
  <c r="P13"/>
  <c r="Q13"/>
  <c r="R13"/>
  <c r="CU19"/>
  <c r="CU28"/>
  <c r="D22" i="90"/>
  <c r="C22" s="1"/>
  <c r="W33" i="2"/>
  <c r="J31" i="73"/>
  <c r="I31" s="1"/>
  <c r="D22" i="72"/>
  <c r="C22" s="1"/>
  <c r="V33" i="2"/>
  <c r="J31" i="61"/>
  <c r="I31" s="1"/>
  <c r="C41" i="70"/>
  <c r="D17" i="86"/>
  <c r="C17" s="1"/>
  <c r="K9" i="61"/>
  <c r="Q14" s="1"/>
  <c r="Q7"/>
  <c r="G6" i="86" s="1"/>
  <c r="BO19" i="75"/>
  <c r="BO28"/>
  <c r="BD12"/>
  <c r="BF12"/>
  <c r="BB7"/>
  <c r="AY19"/>
  <c r="AY28"/>
  <c r="K19"/>
  <c r="K28"/>
  <c r="C23"/>
  <c r="J20" i="65"/>
  <c r="BG19" i="75"/>
  <c r="BG28"/>
  <c r="G25" i="77"/>
  <c r="G24"/>
  <c r="AX12" i="75"/>
  <c r="AV12"/>
  <c r="AW12"/>
  <c r="AS42"/>
  <c r="AT7"/>
  <c r="AT30"/>
  <c r="AT31" s="1"/>
  <c r="G7" i="73"/>
  <c r="G7" i="61"/>
  <c r="L12" i="1"/>
  <c r="L66" s="1"/>
  <c r="CZ13" i="75"/>
  <c r="DB13"/>
  <c r="DA13"/>
  <c r="CR12"/>
  <c r="CT12"/>
  <c r="E25" i="77"/>
  <c r="E24"/>
  <c r="K21" i="2"/>
  <c r="K18" s="1"/>
  <c r="C26" i="87" s="1"/>
  <c r="M21" i="2"/>
  <c r="W18"/>
  <c r="J22" i="73"/>
  <c r="P18" i="2"/>
  <c r="J22" i="61"/>
  <c r="D16" i="72"/>
  <c r="C16" s="1"/>
  <c r="D15" i="86"/>
  <c r="V18" i="2"/>
  <c r="D16" i="90"/>
  <c r="C25" i="72"/>
  <c r="I33" i="61"/>
  <c r="C25" i="90"/>
  <c r="I33" i="73"/>
  <c r="M18" i="2" l="1"/>
  <c r="BB30" i="75"/>
  <c r="BB31" s="1"/>
  <c r="BZ7"/>
  <c r="F19" i="73"/>
  <c r="F17" s="1"/>
  <c r="G17"/>
  <c r="T18" i="2"/>
  <c r="U18" s="1"/>
  <c r="F13"/>
  <c r="H15"/>
  <c r="P15" s="1"/>
  <c r="Q15"/>
  <c r="F19" i="61"/>
  <c r="F17" s="1"/>
  <c r="G17"/>
  <c r="J17" i="73"/>
  <c r="C26" i="69"/>
  <c r="CC12" i="75"/>
  <c r="CH12"/>
  <c r="BR12"/>
  <c r="BT12" s="1"/>
  <c r="BZ30"/>
  <c r="BZ31" s="1"/>
  <c r="CD12"/>
  <c r="C16" i="90"/>
  <c r="BJ12" i="75"/>
  <c r="BJ30" s="1"/>
  <c r="BJ31" s="1"/>
  <c r="CX12"/>
  <c r="DB12" s="1"/>
  <c r="C28"/>
  <c r="P15" i="78"/>
  <c r="O19"/>
  <c r="R18" i="2"/>
  <c r="CR7" i="75"/>
  <c r="CR23" s="1"/>
  <c r="CR28" s="1"/>
  <c r="K33"/>
  <c r="K15"/>
  <c r="V12"/>
  <c r="G9" i="61"/>
  <c r="G6"/>
  <c r="G36" s="1"/>
  <c r="F36" s="1"/>
  <c r="M7"/>
  <c r="L7" s="1"/>
  <c r="F7"/>
  <c r="F6" s="1"/>
  <c r="AL12" i="75"/>
  <c r="BG33"/>
  <c r="BG15"/>
  <c r="AY33"/>
  <c r="AY15"/>
  <c r="BO15"/>
  <c r="BO33"/>
  <c r="CU33"/>
  <c r="CU15"/>
  <c r="F28" i="103"/>
  <c r="H13" i="75"/>
  <c r="F28" i="63"/>
  <c r="U7" i="75"/>
  <c r="E13"/>
  <c r="E7" s="1"/>
  <c r="BL12"/>
  <c r="BN12"/>
  <c r="AJ28" i="103"/>
  <c r="AL28" s="1"/>
  <c r="AJ28" i="63"/>
  <c r="AG28" i="103"/>
  <c r="AI28" s="1"/>
  <c r="AG28" i="63"/>
  <c r="D7" i="86"/>
  <c r="C12" i="87"/>
  <c r="C11" s="1"/>
  <c r="I18" i="61"/>
  <c r="U27" i="103"/>
  <c r="U27" i="63"/>
  <c r="BD7" i="75"/>
  <c r="BD23" s="1"/>
  <c r="P7" i="61"/>
  <c r="F6" i="86" s="1"/>
  <c r="H6" s="1"/>
  <c r="I7" i="61"/>
  <c r="O7" s="1"/>
  <c r="J9"/>
  <c r="BW33" i="75"/>
  <c r="BW15"/>
  <c r="C20" i="70"/>
  <c r="C19" s="1"/>
  <c r="W13" i="2"/>
  <c r="I12" i="61"/>
  <c r="J10"/>
  <c r="J6" s="1"/>
  <c r="AQ15" i="75"/>
  <c r="AQ33"/>
  <c r="O28" i="103"/>
  <c r="Q28" s="1"/>
  <c r="O28" i="63"/>
  <c r="S15" i="75"/>
  <c r="S33"/>
  <c r="AD27" i="103"/>
  <c r="AD27" i="63"/>
  <c r="CB7" i="75"/>
  <c r="CB23" s="1"/>
  <c r="I18" i="73"/>
  <c r="C8" i="86"/>
  <c r="CK12" i="75"/>
  <c r="CJ12"/>
  <c r="CL12"/>
  <c r="CH7"/>
  <c r="CH30"/>
  <c r="CH31" s="1"/>
  <c r="BV12"/>
  <c r="BR30"/>
  <c r="BR31" s="1"/>
  <c r="AG12"/>
  <c r="AF12"/>
  <c r="AH12"/>
  <c r="AD30"/>
  <c r="AD31" s="1"/>
  <c r="AD7"/>
  <c r="O12" i="65"/>
  <c r="T28" i="63"/>
  <c r="H31" i="74"/>
  <c r="H35" s="1"/>
  <c r="U25" i="75"/>
  <c r="E25" s="1"/>
  <c r="AF35" i="74"/>
  <c r="AM28" i="103"/>
  <c r="AO28" s="1"/>
  <c r="AM28" i="63"/>
  <c r="R27" i="103"/>
  <c r="R27" i="63"/>
  <c r="AV7" i="75"/>
  <c r="AV15" s="1"/>
  <c r="AV19" s="1"/>
  <c r="N31" i="104"/>
  <c r="C31" s="1"/>
  <c r="P7" i="73"/>
  <c r="I7"/>
  <c r="J9"/>
  <c r="CT23" i="75"/>
  <c r="CP19"/>
  <c r="D10" i="90"/>
  <c r="O15" i="2"/>
  <c r="C5" i="64"/>
  <c r="I12" i="73"/>
  <c r="J10"/>
  <c r="I10" s="1"/>
  <c r="C35" i="88"/>
  <c r="C33" s="1"/>
  <c r="C29" s="1"/>
  <c r="C35" i="71"/>
  <c r="C33" s="1"/>
  <c r="C29" s="1"/>
  <c r="C16" i="69"/>
  <c r="CE15" i="75"/>
  <c r="CE33"/>
  <c r="M14" i="2"/>
  <c r="C14" i="90"/>
  <c r="O10" i="65"/>
  <c r="N28" i="63"/>
  <c r="G9" i="73"/>
  <c r="G6"/>
  <c r="G36" s="1"/>
  <c r="M7"/>
  <c r="L7" s="1"/>
  <c r="F7"/>
  <c r="F6" s="1"/>
  <c r="I13" i="75"/>
  <c r="J13"/>
  <c r="AJ27" i="103"/>
  <c r="AJ27" i="63"/>
  <c r="AT38" i="75"/>
  <c r="AT39" s="1"/>
  <c r="AX7"/>
  <c r="AT23"/>
  <c r="AW7"/>
  <c r="C19"/>
  <c r="BF7"/>
  <c r="BB23"/>
  <c r="BB38"/>
  <c r="BB39" s="1"/>
  <c r="BE7"/>
  <c r="X28" i="103"/>
  <c r="Z28" s="1"/>
  <c r="X28" i="63"/>
  <c r="C9" i="70"/>
  <c r="R66" i="1"/>
  <c r="O16" i="65"/>
  <c r="AF28" i="63"/>
  <c r="AA28" i="103"/>
  <c r="AC28" s="1"/>
  <c r="AA28" i="63"/>
  <c r="D10" i="72"/>
  <c r="N31" i="64"/>
  <c r="C31" s="1"/>
  <c r="C12" i="69"/>
  <c r="C11" s="1"/>
  <c r="CM33" i="75"/>
  <c r="CM15"/>
  <c r="BZ38"/>
  <c r="BZ39" s="1"/>
  <c r="BZ23"/>
  <c r="CD7"/>
  <c r="CC7"/>
  <c r="I28" i="103"/>
  <c r="K28" s="1"/>
  <c r="X25" i="75"/>
  <c r="I28" i="63"/>
  <c r="C14" i="72"/>
  <c r="W28" i="63"/>
  <c r="O13" i="65"/>
  <c r="F24" i="104"/>
  <c r="F24" i="64"/>
  <c r="D25" i="77"/>
  <c r="C25" s="1"/>
  <c r="D24"/>
  <c r="AA33" i="75"/>
  <c r="AA15"/>
  <c r="AI33"/>
  <c r="AI15"/>
  <c r="J26" i="61"/>
  <c r="I26" s="1"/>
  <c r="I22"/>
  <c r="C15" i="86"/>
  <c r="D11"/>
  <c r="W12" i="2"/>
  <c r="N11"/>
  <c r="I22" i="73"/>
  <c r="J26"/>
  <c r="I26" s="1"/>
  <c r="BR7" i="75" l="1"/>
  <c r="BM12"/>
  <c r="BU12"/>
  <c r="BJ7"/>
  <c r="CX7"/>
  <c r="H13" i="2"/>
  <c r="F12"/>
  <c r="CX30" i="75"/>
  <c r="CX31" s="1"/>
  <c r="D6" i="86"/>
  <c r="F7" s="1"/>
  <c r="DA12" i="75"/>
  <c r="CZ12"/>
  <c r="AM27" i="63" s="1"/>
  <c r="U23" i="75"/>
  <c r="CR19"/>
  <c r="N10" i="104" s="1"/>
  <c r="N4" s="1"/>
  <c r="R15" i="78"/>
  <c r="P19"/>
  <c r="C24" i="77"/>
  <c r="N12" i="75"/>
  <c r="D9" i="72"/>
  <c r="C10" i="70"/>
  <c r="C8"/>
  <c r="AT19" i="75"/>
  <c r="AX23"/>
  <c r="AW23"/>
  <c r="AL27" i="103"/>
  <c r="AJ24"/>
  <c r="F9" i="73"/>
  <c r="M14"/>
  <c r="L14" s="1"/>
  <c r="I9"/>
  <c r="P14"/>
  <c r="O14" s="1"/>
  <c r="AO28" i="63"/>
  <c r="O19" i="65"/>
  <c r="L27" i="103"/>
  <c r="L27" i="63"/>
  <c r="AF7" i="75"/>
  <c r="AF23" s="1"/>
  <c r="AA27" i="103"/>
  <c r="AA27" i="63"/>
  <c r="BT7" i="75"/>
  <c r="BT23" s="1"/>
  <c r="CL7"/>
  <c r="CH38"/>
  <c r="CH39" s="1"/>
  <c r="CH23"/>
  <c r="CK7"/>
  <c r="CB28"/>
  <c r="CB19"/>
  <c r="I9" i="61"/>
  <c r="P14"/>
  <c r="O14" s="1"/>
  <c r="N13" i="65"/>
  <c r="K13" s="1"/>
  <c r="I13" s="1"/>
  <c r="D13" s="1"/>
  <c r="W27" i="63"/>
  <c r="U24"/>
  <c r="H28" i="103"/>
  <c r="E28" s="1"/>
  <c r="C28"/>
  <c r="CP33" i="75"/>
  <c r="CP34" s="1"/>
  <c r="CT19"/>
  <c r="CP15"/>
  <c r="CT15" s="1"/>
  <c r="H10" i="104"/>
  <c r="H4" s="1"/>
  <c r="H10" i="64"/>
  <c r="H4" s="1"/>
  <c r="AV23" i="75"/>
  <c r="AV28" s="1"/>
  <c r="AD38"/>
  <c r="AD39" s="1"/>
  <c r="AH7"/>
  <c r="AD23"/>
  <c r="AG7"/>
  <c r="N16" i="65"/>
  <c r="K16" s="1"/>
  <c r="I16" s="1"/>
  <c r="D16" s="1"/>
  <c r="AF27" i="63"/>
  <c r="AD24"/>
  <c r="W27" i="103"/>
  <c r="U24"/>
  <c r="O18" i="65"/>
  <c r="AL28" i="63"/>
  <c r="U19" i="75"/>
  <c r="U15" s="1"/>
  <c r="E23"/>
  <c r="E19" s="1"/>
  <c r="E15" s="1"/>
  <c r="AN12"/>
  <c r="AO12"/>
  <c r="AP12"/>
  <c r="AL30"/>
  <c r="AL31" s="1"/>
  <c r="AL7"/>
  <c r="F9" i="61"/>
  <c r="M14"/>
  <c r="L14" s="1"/>
  <c r="K28" i="63"/>
  <c r="O9" i="65"/>
  <c r="AC28" i="63"/>
  <c r="O15" i="65"/>
  <c r="O14"/>
  <c r="Z28" i="63"/>
  <c r="C15" i="75"/>
  <c r="E15" i="90"/>
  <c r="E15" i="72"/>
  <c r="E9" i="86"/>
  <c r="O13" i="2"/>
  <c r="K15"/>
  <c r="N12" i="65"/>
  <c r="K12" s="1"/>
  <c r="I12" s="1"/>
  <c r="D12" s="1"/>
  <c r="T27" i="63"/>
  <c r="R24"/>
  <c r="AG27" i="103"/>
  <c r="AG27" i="63"/>
  <c r="CJ7" i="75"/>
  <c r="CJ23" s="1"/>
  <c r="AF27" i="103"/>
  <c r="AD24"/>
  <c r="O11" i="65"/>
  <c r="Q28" i="63"/>
  <c r="DB7" i="75"/>
  <c r="CX23"/>
  <c r="CX38"/>
  <c r="CX39" s="1"/>
  <c r="DA7"/>
  <c r="O8" i="65"/>
  <c r="H28" i="63"/>
  <c r="C28"/>
  <c r="Z12" i="75"/>
  <c r="Y12"/>
  <c r="X12"/>
  <c r="V7"/>
  <c r="V30"/>
  <c r="V31" s="1"/>
  <c r="C33"/>
  <c r="CR15"/>
  <c r="O7" i="73"/>
  <c r="I6"/>
  <c r="E24" i="104"/>
  <c r="C24" s="1"/>
  <c r="H25" i="75"/>
  <c r="O34" i="2" s="1"/>
  <c r="E24" i="64"/>
  <c r="C24" s="1"/>
  <c r="CD23" i="75"/>
  <c r="BZ19"/>
  <c r="CC23"/>
  <c r="CS19"/>
  <c r="BB19"/>
  <c r="BF23"/>
  <c r="BE23"/>
  <c r="N18" i="65"/>
  <c r="AL27" i="63"/>
  <c r="AJ24"/>
  <c r="F49" i="73"/>
  <c r="J58"/>
  <c r="F36"/>
  <c r="G48"/>
  <c r="G50" s="1"/>
  <c r="G61"/>
  <c r="D9" i="90"/>
  <c r="J6" i="73"/>
  <c r="J36" s="1"/>
  <c r="T27" i="103"/>
  <c r="R24"/>
  <c r="BV7" i="75"/>
  <c r="BR23"/>
  <c r="BR38"/>
  <c r="BR39" s="1"/>
  <c r="BU7"/>
  <c r="BD28"/>
  <c r="BD19"/>
  <c r="O17" i="65"/>
  <c r="AI28" i="63"/>
  <c r="BJ38" i="75"/>
  <c r="BJ39" s="1"/>
  <c r="BN7"/>
  <c r="BJ23"/>
  <c r="BM7"/>
  <c r="X27" i="103"/>
  <c r="X27" i="63"/>
  <c r="BL7" i="75"/>
  <c r="BL23" s="1"/>
  <c r="H15" i="86"/>
  <c r="G15" s="1"/>
  <c r="C11"/>
  <c r="N46" i="2"/>
  <c r="W11"/>
  <c r="I39" i="61"/>
  <c r="I40"/>
  <c r="I41" s="1"/>
  <c r="F19" i="86"/>
  <c r="AM27" i="103" l="1"/>
  <c r="CZ7" i="75"/>
  <c r="CZ23" s="1"/>
  <c r="H12" i="2"/>
  <c r="F11"/>
  <c r="F13" i="86"/>
  <c r="N10" i="64"/>
  <c r="N4" s="1"/>
  <c r="Q18" i="65" s="1"/>
  <c r="CS15" i="75"/>
  <c r="N14" i="65"/>
  <c r="K14" s="1"/>
  <c r="I14" s="1"/>
  <c r="D14" s="1"/>
  <c r="Z27" i="63"/>
  <c r="X24"/>
  <c r="R22" i="103"/>
  <c r="T22" s="1"/>
  <c r="T33" s="1"/>
  <c r="T24"/>
  <c r="BF19" i="75"/>
  <c r="BB33"/>
  <c r="BB34" s="1"/>
  <c r="BB15"/>
  <c r="BE19"/>
  <c r="Z7"/>
  <c r="V23"/>
  <c r="V38"/>
  <c r="V39" s="1"/>
  <c r="Y7"/>
  <c r="O20" i="65"/>
  <c r="DB23" i="75"/>
  <c r="CX19"/>
  <c r="DA23"/>
  <c r="CJ28"/>
  <c r="CJ19"/>
  <c r="T24" i="63"/>
  <c r="R22"/>
  <c r="T22" s="1"/>
  <c r="T33" s="1"/>
  <c r="M15" i="2"/>
  <c r="K13"/>
  <c r="E10" i="90"/>
  <c r="C15"/>
  <c r="W24" i="103"/>
  <c r="U22"/>
  <c r="W22" s="1"/>
  <c r="W33" s="1"/>
  <c r="AO27"/>
  <c r="AM24"/>
  <c r="BT28" i="75"/>
  <c r="BT19"/>
  <c r="N10" i="65"/>
  <c r="K10" s="1"/>
  <c r="I10" s="1"/>
  <c r="D10" s="1"/>
  <c r="N27" i="63"/>
  <c r="L24"/>
  <c r="I10" i="104"/>
  <c r="I4" s="1"/>
  <c r="I10" i="64"/>
  <c r="I4" s="1"/>
  <c r="BD15" i="75"/>
  <c r="I27" i="103"/>
  <c r="I27" i="63"/>
  <c r="X7" i="75"/>
  <c r="X23" s="1"/>
  <c r="AI27" i="63"/>
  <c r="N17" i="65"/>
  <c r="K17" s="1"/>
  <c r="I17" s="1"/>
  <c r="D17" s="1"/>
  <c r="AG24" i="63"/>
  <c r="O12" i="2"/>
  <c r="O11" s="1"/>
  <c r="O46" s="1"/>
  <c r="O47" s="1"/>
  <c r="AP7" i="75"/>
  <c r="AL23"/>
  <c r="AL38"/>
  <c r="AL39" s="1"/>
  <c r="AO7"/>
  <c r="O27" i="103"/>
  <c r="O27" i="63"/>
  <c r="AN7" i="75"/>
  <c r="AN23" s="1"/>
  <c r="U22" i="63"/>
  <c r="W22" s="1"/>
  <c r="W33" s="1"/>
  <c r="W24"/>
  <c r="L10" i="104"/>
  <c r="L4" s="1"/>
  <c r="L10" i="64"/>
  <c r="L4" s="1"/>
  <c r="CB15" i="75"/>
  <c r="CH19"/>
  <c r="CL23"/>
  <c r="CK23"/>
  <c r="N15" i="65"/>
  <c r="K15" s="1"/>
  <c r="I15" s="1"/>
  <c r="D15" s="1"/>
  <c r="AC27" i="63"/>
  <c r="AA24"/>
  <c r="N27" i="103"/>
  <c r="L24"/>
  <c r="AL24"/>
  <c r="AJ22"/>
  <c r="AL22" s="1"/>
  <c r="AL33" s="1"/>
  <c r="AT33" i="75"/>
  <c r="AT34" s="1"/>
  <c r="AT15"/>
  <c r="AX19"/>
  <c r="AW19"/>
  <c r="Z27" i="103"/>
  <c r="X24"/>
  <c r="BV23" i="75"/>
  <c r="BR19"/>
  <c r="BU23"/>
  <c r="AL24" i="63"/>
  <c r="AJ22"/>
  <c r="AL22" s="1"/>
  <c r="AL33" s="1"/>
  <c r="AF24" i="103"/>
  <c r="AD22"/>
  <c r="AF22" s="1"/>
  <c r="AF33" s="1"/>
  <c r="AI27"/>
  <c r="AG24"/>
  <c r="C9" i="86"/>
  <c r="C7" s="1"/>
  <c r="F11" s="1"/>
  <c r="E7"/>
  <c r="E6" s="1"/>
  <c r="K18" i="65"/>
  <c r="I18" s="1"/>
  <c r="D18" s="1"/>
  <c r="AD22" i="63"/>
  <c r="AF22" s="1"/>
  <c r="AF33" s="1"/>
  <c r="AF24"/>
  <c r="CZ28" i="75"/>
  <c r="CZ19"/>
  <c r="AC27" i="103"/>
  <c r="AA24"/>
  <c r="R12" i="75"/>
  <c r="P12"/>
  <c r="Q12"/>
  <c r="F12"/>
  <c r="N7"/>
  <c r="N30"/>
  <c r="N31" s="1"/>
  <c r="BL28"/>
  <c r="BL19"/>
  <c r="BN23"/>
  <c r="BJ19"/>
  <c r="BM23"/>
  <c r="BZ33"/>
  <c r="BZ34" s="1"/>
  <c r="CD19"/>
  <c r="BZ15"/>
  <c r="CC19"/>
  <c r="E23" i="90"/>
  <c r="C23" s="1"/>
  <c r="E23" i="72"/>
  <c r="C23" s="1"/>
  <c r="K27" i="61"/>
  <c r="K28" i="73"/>
  <c r="K34" i="2"/>
  <c r="E28" i="63"/>
  <c r="E10" i="72"/>
  <c r="C15"/>
  <c r="AD19" i="75"/>
  <c r="AH23"/>
  <c r="AG23"/>
  <c r="Q12" i="65"/>
  <c r="N19"/>
  <c r="K19" s="1"/>
  <c r="I19" s="1"/>
  <c r="D19" s="1"/>
  <c r="AO27" i="63"/>
  <c r="AM24"/>
  <c r="AF28" i="75"/>
  <c r="AF19"/>
  <c r="G12" i="86"/>
  <c r="M46" i="2"/>
  <c r="N47"/>
  <c r="M47" s="1"/>
  <c r="G32" l="1"/>
  <c r="G31"/>
  <c r="G25"/>
  <c r="G37"/>
  <c r="G21"/>
  <c r="G18"/>
  <c r="G26"/>
  <c r="G24"/>
  <c r="H11"/>
  <c r="G27"/>
  <c r="G42"/>
  <c r="G33"/>
  <c r="G11"/>
  <c r="G17"/>
  <c r="G22"/>
  <c r="G20"/>
  <c r="G30"/>
  <c r="G19"/>
  <c r="G28"/>
  <c r="G29"/>
  <c r="G14"/>
  <c r="G23"/>
  <c r="G15"/>
  <c r="G13"/>
  <c r="G12"/>
  <c r="C6" i="86"/>
  <c r="H7" s="1"/>
  <c r="F10" i="104"/>
  <c r="F4" s="1"/>
  <c r="F10" i="64"/>
  <c r="F4" s="1"/>
  <c r="AF15" i="75"/>
  <c r="C29" i="87"/>
  <c r="C29" i="69"/>
  <c r="N38" i="75"/>
  <c r="R7"/>
  <c r="N23"/>
  <c r="Q7"/>
  <c r="AG22" i="103"/>
  <c r="AI22" s="1"/>
  <c r="AI33" s="1"/>
  <c r="AI24"/>
  <c r="X28" i="75"/>
  <c r="X19"/>
  <c r="N24" i="63"/>
  <c r="L22"/>
  <c r="N22" s="1"/>
  <c r="N33" s="1"/>
  <c r="K10" i="104"/>
  <c r="K4" s="1"/>
  <c r="K10" i="64"/>
  <c r="K4" s="1"/>
  <c r="BT15" i="75"/>
  <c r="AM22" i="103"/>
  <c r="AO22" s="1"/>
  <c r="AO33" s="1"/>
  <c r="AO24"/>
  <c r="X22" i="63"/>
  <c r="Z22" s="1"/>
  <c r="Z33" s="1"/>
  <c r="Z24"/>
  <c r="AH19" i="75"/>
  <c r="AD33"/>
  <c r="AD15"/>
  <c r="AG19"/>
  <c r="E9" i="72"/>
  <c r="C10"/>
  <c r="C9" s="1"/>
  <c r="I28" i="73"/>
  <c r="I17" s="1"/>
  <c r="K17"/>
  <c r="K36" s="1"/>
  <c r="J10" i="104"/>
  <c r="J4" s="1"/>
  <c r="J10" i="64"/>
  <c r="J4" s="1"/>
  <c r="BL15" i="75"/>
  <c r="I12"/>
  <c r="J12"/>
  <c r="F7"/>
  <c r="O10" i="104"/>
  <c r="O4" s="1"/>
  <c r="O10" i="64"/>
  <c r="O4" s="1"/>
  <c r="CZ15" i="75"/>
  <c r="Z24" i="103"/>
  <c r="X22"/>
  <c r="Z22" s="1"/>
  <c r="Z33" s="1"/>
  <c r="AX15" i="75"/>
  <c r="AW15"/>
  <c r="N24" i="103"/>
  <c r="L22"/>
  <c r="N22" s="1"/>
  <c r="N33" s="1"/>
  <c r="CL19" i="75"/>
  <c r="CH33"/>
  <c r="CH34" s="1"/>
  <c r="CH15"/>
  <c r="CK19"/>
  <c r="AN28"/>
  <c r="AN19"/>
  <c r="N9" i="65"/>
  <c r="K9" s="1"/>
  <c r="I9" s="1"/>
  <c r="D9" s="1"/>
  <c r="K27" i="63"/>
  <c r="I24"/>
  <c r="E9" i="90"/>
  <c r="C10"/>
  <c r="C9" s="1"/>
  <c r="DB19" i="75"/>
  <c r="CX33"/>
  <c r="CX34" s="1"/>
  <c r="CX15"/>
  <c r="DA19"/>
  <c r="I27" i="61"/>
  <c r="K17"/>
  <c r="G7" i="86"/>
  <c r="G19"/>
  <c r="E22"/>
  <c r="E23" s="1"/>
  <c r="E30"/>
  <c r="Q27" i="63"/>
  <c r="N11" i="65"/>
  <c r="K11" s="1"/>
  <c r="I11" s="1"/>
  <c r="D11" s="1"/>
  <c r="O24" i="63"/>
  <c r="AP23" i="75"/>
  <c r="AL19"/>
  <c r="AO23"/>
  <c r="K27" i="103"/>
  <c r="I24"/>
  <c r="Q13" i="65"/>
  <c r="Q13" i="2"/>
  <c r="C6" i="91"/>
  <c r="C25" i="87"/>
  <c r="C25" i="69"/>
  <c r="M13" i="2"/>
  <c r="K12"/>
  <c r="M10" i="104"/>
  <c r="M4" s="1"/>
  <c r="M10" i="64"/>
  <c r="M4" s="1"/>
  <c r="CJ15" i="75"/>
  <c r="V19"/>
  <c r="Y23"/>
  <c r="Z23"/>
  <c r="Z19" s="1"/>
  <c r="AM22" i="63"/>
  <c r="AO22" s="1"/>
  <c r="AO33" s="1"/>
  <c r="AO24"/>
  <c r="D33" i="90"/>
  <c r="D33" i="72"/>
  <c r="CD15" i="75"/>
  <c r="CC15"/>
  <c r="BJ33"/>
  <c r="BJ34" s="1"/>
  <c r="BN19"/>
  <c r="BJ15"/>
  <c r="BM19"/>
  <c r="F27" i="103"/>
  <c r="H12" i="75"/>
  <c r="H7" s="1"/>
  <c r="F27" i="63"/>
  <c r="P7" i="75"/>
  <c r="P23" s="1"/>
  <c r="AC24" i="103"/>
  <c r="AA22"/>
  <c r="AC22" s="1"/>
  <c r="AC33" s="1"/>
  <c r="BV19" i="75"/>
  <c r="BR33"/>
  <c r="BR34" s="1"/>
  <c r="BR15"/>
  <c r="BU19"/>
  <c r="AA22" i="63"/>
  <c r="AC22" s="1"/>
  <c r="AC33" s="1"/>
  <c r="AC24"/>
  <c r="Q16" i="65"/>
  <c r="Q27" i="103"/>
  <c r="O24"/>
  <c r="AG22" i="63"/>
  <c r="AI22" s="1"/>
  <c r="AI33" s="1"/>
  <c r="AI24"/>
  <c r="BF15" i="75"/>
  <c r="BE15"/>
  <c r="K6" i="86"/>
  <c r="C24" i="69" l="1"/>
  <c r="C23" s="1"/>
  <c r="J6" i="86"/>
  <c r="C24" i="87"/>
  <c r="C23" s="1"/>
  <c r="N8" i="65"/>
  <c r="H27" i="63"/>
  <c r="E27" s="1"/>
  <c r="C27"/>
  <c r="F24"/>
  <c r="BN15" i="75"/>
  <c r="BM15"/>
  <c r="Q24" i="63"/>
  <c r="O22"/>
  <c r="Q22" s="1"/>
  <c r="Q33" s="1"/>
  <c r="DB15" i="75"/>
  <c r="DA15"/>
  <c r="Q19" i="65"/>
  <c r="V33" i="75"/>
  <c r="V34" s="1"/>
  <c r="V15"/>
  <c r="Y19"/>
  <c r="I22" i="103"/>
  <c r="K22" s="1"/>
  <c r="K33" s="1"/>
  <c r="K24"/>
  <c r="K24" i="63"/>
  <c r="I22"/>
  <c r="K22" s="1"/>
  <c r="K33" s="1"/>
  <c r="I36" i="73"/>
  <c r="I61"/>
  <c r="F38" i="75"/>
  <c r="N39"/>
  <c r="BV15"/>
  <c r="BU15"/>
  <c r="C27" i="103"/>
  <c r="H27"/>
  <c r="E27" s="1"/>
  <c r="F24"/>
  <c r="K11" i="2"/>
  <c r="M12"/>
  <c r="AL33" i="75"/>
  <c r="AL34" s="1"/>
  <c r="AP19"/>
  <c r="AL15"/>
  <c r="AO19"/>
  <c r="CL15"/>
  <c r="CK15"/>
  <c r="J7"/>
  <c r="I7"/>
  <c r="Q14" i="65"/>
  <c r="AH15" i="75"/>
  <c r="AG15"/>
  <c r="Q15" i="65"/>
  <c r="E10" i="104"/>
  <c r="E4" s="1"/>
  <c r="E10" i="64"/>
  <c r="E4" s="1"/>
  <c r="X15" i="75"/>
  <c r="Q10" i="65"/>
  <c r="O22" i="103"/>
  <c r="Q22" s="1"/>
  <c r="Q33" s="1"/>
  <c r="Q24"/>
  <c r="P28" i="75"/>
  <c r="H23"/>
  <c r="P19"/>
  <c r="Q17" i="65"/>
  <c r="G10" i="104"/>
  <c r="G4" s="1"/>
  <c r="G10" i="64"/>
  <c r="G4" s="1"/>
  <c r="AN15" i="75"/>
  <c r="N19"/>
  <c r="R23"/>
  <c r="F23"/>
  <c r="Q23"/>
  <c r="J23" l="1"/>
  <c r="F27"/>
  <c r="F19"/>
  <c r="I23"/>
  <c r="Q11" i="65"/>
  <c r="D10" i="104"/>
  <c r="D10" i="64"/>
  <c r="P15" i="75"/>
  <c r="H24" i="103"/>
  <c r="E24" s="1"/>
  <c r="F22"/>
  <c r="C24"/>
  <c r="H28" i="75"/>
  <c r="H19"/>
  <c r="H15" s="1"/>
  <c r="D32" i="90"/>
  <c r="D32" i="72"/>
  <c r="R19" i="75"/>
  <c r="N33"/>
  <c r="N15"/>
  <c r="Q19"/>
  <c r="Q9" i="65"/>
  <c r="N20"/>
  <c r="K8"/>
  <c r="AP15" i="75"/>
  <c r="AO15"/>
  <c r="L12" i="2"/>
  <c r="L14"/>
  <c r="L24"/>
  <c r="L39"/>
  <c r="L32"/>
  <c r="L37"/>
  <c r="L11"/>
  <c r="L26"/>
  <c r="L25"/>
  <c r="L18"/>
  <c r="L17"/>
  <c r="L30"/>
  <c r="L31"/>
  <c r="L19"/>
  <c r="L42"/>
  <c r="L21"/>
  <c r="L27"/>
  <c r="L23"/>
  <c r="L15"/>
  <c r="L28"/>
  <c r="P11"/>
  <c r="Q11" s="1"/>
  <c r="L40"/>
  <c r="M11"/>
  <c r="L29"/>
  <c r="L20"/>
  <c r="L22"/>
  <c r="L13"/>
  <c r="Z15" i="75"/>
  <c r="Y15"/>
  <c r="C24" i="63"/>
  <c r="H24"/>
  <c r="E24" s="1"/>
  <c r="F22"/>
  <c r="C22" l="1"/>
  <c r="H22"/>
  <c r="I8" i="65"/>
  <c r="K20"/>
  <c r="H22" i="103"/>
  <c r="C22"/>
  <c r="C46" i="70"/>
  <c r="R15" i="75"/>
  <c r="R25" s="1"/>
  <c r="Q15"/>
  <c r="C10" i="64"/>
  <c r="C4" s="1"/>
  <c r="C33" s="1"/>
  <c r="D4"/>
  <c r="N34" i="75"/>
  <c r="F33"/>
  <c r="C10" i="104"/>
  <c r="C4" s="1"/>
  <c r="C33" s="1"/>
  <c r="D4"/>
  <c r="J19" i="75"/>
  <c r="F15"/>
  <c r="I19"/>
  <c r="I20" i="65" l="1"/>
  <c r="D8"/>
  <c r="D20" s="1"/>
  <c r="C44" i="70"/>
  <c r="C18" s="1"/>
  <c r="C55"/>
  <c r="C53" s="1"/>
  <c r="C49" s="1"/>
  <c r="C63" s="1"/>
  <c r="H33" i="63"/>
  <c r="E33" s="1"/>
  <c r="E22"/>
  <c r="J15" i="75"/>
  <c r="I15"/>
  <c r="H33" i="103"/>
  <c r="E33" s="1"/>
  <c r="E22"/>
  <c r="Q8" i="65"/>
  <c r="Q20" s="1"/>
  <c r="D28" i="90" l="1"/>
  <c r="D28" i="72"/>
  <c r="K10" i="61"/>
  <c r="C62" i="70"/>
  <c r="D18"/>
  <c r="J35" i="61" l="1"/>
  <c r="I10"/>
  <c r="I6" s="1"/>
  <c r="K6"/>
  <c r="K36" s="1"/>
  <c r="I35" l="1"/>
  <c r="I17" s="1"/>
  <c r="I36" s="1"/>
  <c r="J17"/>
  <c r="J36" l="1"/>
  <c r="J39"/>
</calcChain>
</file>

<file path=xl/comments1.xml><?xml version="1.0" encoding="utf-8"?>
<comments xmlns="http://schemas.openxmlformats.org/spreadsheetml/2006/main">
  <authors>
    <author>Quangbxdth</author>
    <author>quangbx</author>
    <author>quangbxdth</author>
  </authors>
  <commentList>
    <comment ref="C12" authorId="0">
      <text>
        <r>
          <rPr>
            <b/>
            <sz val="8"/>
            <color indexed="81"/>
            <rFont val="Tahoma"/>
            <family val="2"/>
          </rPr>
          <t>Quangbxdth:</t>
        </r>
        <r>
          <rPr>
            <sz val="8"/>
            <color indexed="81"/>
            <rFont val="Tahoma"/>
            <family val="2"/>
          </rPr>
          <t xml:space="preserve">
Tw giao: 3.920.000 triệu đồng</t>
        </r>
      </text>
    </comment>
    <comment ref="N12" authorId="0">
      <text>
        <r>
          <rPr>
            <b/>
            <sz val="8"/>
            <color indexed="81"/>
            <rFont val="Tahoma"/>
            <family val="2"/>
          </rPr>
          <t>Quangbxdth:</t>
        </r>
        <r>
          <rPr>
            <sz val="8"/>
            <color indexed="81"/>
            <rFont val="Tahoma"/>
            <family val="2"/>
          </rPr>
          <t xml:space="preserve">
Tw giao:  triệu đồng</t>
        </r>
      </text>
    </comment>
    <comment ref="C13" authorId="0">
      <text>
        <r>
          <rPr>
            <b/>
            <sz val="8"/>
            <color indexed="81"/>
            <rFont val="Tahoma"/>
            <family val="2"/>
          </rPr>
          <t>Quangbxdth:</t>
        </r>
        <r>
          <rPr>
            <sz val="8"/>
            <color indexed="81"/>
            <rFont val="Tahoma"/>
            <family val="2"/>
          </rPr>
          <t xml:space="preserve">
Tw giao: 3.290.000 triệu đồng</t>
        </r>
      </text>
    </comment>
    <comment ref="N13" authorId="0">
      <text>
        <r>
          <rPr>
            <b/>
            <sz val="8"/>
            <color indexed="81"/>
            <rFont val="Tahoma"/>
            <family val="2"/>
          </rPr>
          <t>Quangbxdth:</t>
        </r>
        <r>
          <rPr>
            <sz val="8"/>
            <color indexed="81"/>
            <rFont val="Tahoma"/>
            <family val="2"/>
          </rPr>
          <t xml:space="preserve">
Tw giao: 2.590.000 triệu đồng (chưa kể thu cổ tức và lợi nhuận sau thuế: 5.000 trđ)</t>
        </r>
      </text>
    </comment>
    <comment ref="N22" authorId="0">
      <text>
        <r>
          <rPr>
            <b/>
            <sz val="8"/>
            <color indexed="81"/>
            <rFont val="Tahoma"/>
            <family val="2"/>
          </rPr>
          <t>Quangbxdth:</t>
        </r>
        <r>
          <rPr>
            <sz val="8"/>
            <color indexed="81"/>
            <rFont val="Tahoma"/>
            <family val="2"/>
          </rPr>
          <t xml:space="preserve">
TCT dự kiến: 265.700 trđ</t>
        </r>
      </text>
    </comment>
    <comment ref="C28" authorId="0">
      <text>
        <r>
          <rPr>
            <b/>
            <sz val="8"/>
            <color indexed="81"/>
            <rFont val="Tahoma"/>
            <family val="2"/>
          </rPr>
          <t>Quangbxdth:</t>
        </r>
        <r>
          <rPr>
            <sz val="8"/>
            <color indexed="81"/>
            <rFont val="Tahoma"/>
            <family val="2"/>
          </rPr>
          <t xml:space="preserve">
Tw giao: 10.000 trđ</t>
        </r>
      </text>
    </comment>
    <comment ref="C34" authorId="0">
      <text>
        <r>
          <rPr>
            <b/>
            <sz val="8"/>
            <color indexed="81"/>
            <rFont val="Tahoma"/>
            <family val="2"/>
          </rPr>
          <t>Quangbxdth:</t>
        </r>
        <r>
          <rPr>
            <sz val="8"/>
            <color indexed="81"/>
            <rFont val="Tahoma"/>
            <family val="2"/>
          </rPr>
          <t xml:space="preserve">
Tw giao: 1.151.000 trđ</t>
        </r>
      </text>
    </comment>
    <comment ref="C41" authorId="0">
      <text>
        <r>
          <rPr>
            <b/>
            <sz val="8"/>
            <color indexed="81"/>
            <rFont val="Tahoma"/>
            <family val="2"/>
          </rPr>
          <t>Quangbxdth:</t>
        </r>
        <r>
          <rPr>
            <sz val="8"/>
            <color indexed="81"/>
            <rFont val="Tahoma"/>
            <family val="2"/>
          </rPr>
          <t xml:space="preserve">
Tw giao: 97.000 trđ</t>
        </r>
      </text>
    </comment>
    <comment ref="C43" authorId="0">
      <text>
        <r>
          <rPr>
            <b/>
            <sz val="8"/>
            <color indexed="81"/>
            <rFont val="Tahoma"/>
            <family val="2"/>
          </rPr>
          <t>Quangbxdth:</t>
        </r>
        <r>
          <rPr>
            <sz val="8"/>
            <color indexed="81"/>
            <rFont val="Tahoma"/>
            <family val="2"/>
          </rPr>
          <t xml:space="preserve">
Tw giao: 8.000 trđ, ĐP giao 8.150 trđ, tăng 150 trđ</t>
        </r>
      </text>
    </comment>
    <comment ref="C44" authorId="0">
      <text>
        <r>
          <rPr>
            <b/>
            <sz val="8"/>
            <color indexed="81"/>
            <rFont val="Tahoma"/>
            <family val="2"/>
          </rPr>
          <t>Quangbxdth:</t>
        </r>
        <r>
          <rPr>
            <sz val="8"/>
            <color indexed="81"/>
            <rFont val="Tahoma"/>
            <family val="2"/>
          </rPr>
          <t xml:space="preserve">
Tw giao: 205.000 trđ</t>
        </r>
      </text>
    </comment>
    <comment ref="C45" authorId="0">
      <text>
        <r>
          <rPr>
            <b/>
            <sz val="8"/>
            <color indexed="81"/>
            <rFont val="Tahoma"/>
            <family val="2"/>
          </rPr>
          <t>Quangbxdth:</t>
        </r>
        <r>
          <rPr>
            <sz val="8"/>
            <color indexed="81"/>
            <rFont val="Tahoma"/>
            <family val="2"/>
          </rPr>
          <t xml:space="preserve">
Tw giao: 500.000 trđ</t>
        </r>
      </text>
    </comment>
    <comment ref="C46" authorId="0">
      <text>
        <r>
          <rPr>
            <b/>
            <sz val="8"/>
            <color indexed="81"/>
            <rFont val="Tahoma"/>
            <family val="2"/>
          </rPr>
          <t>Quangbxdth:</t>
        </r>
        <r>
          <rPr>
            <sz val="8"/>
            <color indexed="81"/>
            <rFont val="Tahoma"/>
            <family val="2"/>
          </rPr>
          <t xml:space="preserve">
Tw giao: 75.000 trđ, ĐP giao 119.000 trđ, tăng 44.000 trđ</t>
        </r>
      </text>
    </comment>
    <comment ref="F46" authorId="1">
      <text>
        <r>
          <rPr>
            <b/>
            <sz val="8"/>
            <color indexed="81"/>
            <rFont val="Tahoma"/>
            <family val="2"/>
          </rPr>
          <t>quangbx:</t>
        </r>
        <r>
          <rPr>
            <sz val="8"/>
            <color indexed="81"/>
            <rFont val="Tahoma"/>
            <family val="2"/>
          </rPr>
          <t xml:space="preserve">
22,500 trđ</t>
        </r>
      </text>
    </comment>
    <comment ref="G46" authorId="1">
      <text>
        <r>
          <rPr>
            <b/>
            <sz val="8"/>
            <color indexed="81"/>
            <rFont val="Tahoma"/>
            <family val="2"/>
          </rPr>
          <t>quangbx:</t>
        </r>
        <r>
          <rPr>
            <sz val="8"/>
            <color indexed="81"/>
            <rFont val="Tahoma"/>
            <family val="2"/>
          </rPr>
          <t xml:space="preserve">
59.500 trđ</t>
        </r>
      </text>
    </comment>
    <comment ref="H46" authorId="1">
      <text>
        <r>
          <rPr>
            <b/>
            <sz val="9"/>
            <color indexed="81"/>
            <rFont val="Tahoma"/>
            <family val="2"/>
          </rPr>
          <t>quangbx:</t>
        </r>
        <r>
          <rPr>
            <sz val="9"/>
            <color indexed="81"/>
            <rFont val="Tahoma"/>
            <family val="2"/>
          </rPr>
          <t xml:space="preserve">
Trong đó có phí môi trường: 30.000 trđ</t>
        </r>
      </text>
    </comment>
    <comment ref="N46" authorId="1">
      <text>
        <r>
          <rPr>
            <b/>
            <sz val="9"/>
            <color indexed="81"/>
            <rFont val="Tahoma"/>
            <family val="2"/>
          </rPr>
          <t>quangbx:</t>
        </r>
        <r>
          <rPr>
            <sz val="9"/>
            <color indexed="81"/>
            <rFont val="Tahoma"/>
            <family val="2"/>
          </rPr>
          <t xml:space="preserve">
TW giao 100.000 trđ, trong đó:
- Phí TƯ: 27.000 trđ
- Phí ĐP: 73.000 trđ, có phí môi trường: 32.000 trđ</t>
        </r>
      </text>
    </comment>
    <comment ref="C48" authorId="0">
      <text>
        <r>
          <rPr>
            <b/>
            <sz val="8"/>
            <color indexed="81"/>
            <rFont val="Tahoma"/>
            <family val="2"/>
          </rPr>
          <t>Quangbxdth:</t>
        </r>
        <r>
          <rPr>
            <sz val="8"/>
            <color indexed="81"/>
            <rFont val="Tahoma"/>
            <family val="2"/>
          </rPr>
          <t xml:space="preserve">
TƯ giao: 350.000 trđ</t>
        </r>
      </text>
    </comment>
    <comment ref="C49" authorId="0">
      <text>
        <r>
          <rPr>
            <b/>
            <sz val="8"/>
            <color indexed="81"/>
            <rFont val="Tahoma"/>
            <family val="2"/>
          </rPr>
          <t>Quangbxdth:</t>
        </r>
        <r>
          <rPr>
            <sz val="8"/>
            <color indexed="81"/>
            <rFont val="Tahoma"/>
            <family val="2"/>
          </rPr>
          <t xml:space="preserve">
Tw giao: 18.000 trđ, ĐP giao 21.270 trđ, tăng 3.270 trđ</t>
        </r>
      </text>
    </comment>
    <comment ref="C51" authorId="0">
      <text>
        <r>
          <rPr>
            <b/>
            <sz val="8"/>
            <color indexed="81"/>
            <rFont val="Tahoma"/>
            <family val="2"/>
          </rPr>
          <t>Quangbxdth:</t>
        </r>
        <r>
          <rPr>
            <sz val="8"/>
            <color indexed="81"/>
            <rFont val="Tahoma"/>
            <family val="2"/>
          </rPr>
          <t xml:space="preserve">
Tw giao: 140.000 trđ, trong đó thu phạt ATHT: 100.000 trđ (Tw: 70.000, đp: 30.000 trđ), ĐP giao 152.200 trđ, tăng 12.200 trđ</t>
        </r>
      </text>
    </comment>
    <comment ref="F51" authorId="1">
      <text>
        <r>
          <rPr>
            <b/>
            <sz val="8"/>
            <color indexed="81"/>
            <rFont val="Tahoma"/>
            <family val="2"/>
          </rPr>
          <t>quangbx:</t>
        </r>
        <r>
          <rPr>
            <sz val="8"/>
            <color indexed="81"/>
            <rFont val="Tahoma"/>
            <family val="2"/>
          </rPr>
          <t xml:space="preserve">
6.600 trđ</t>
        </r>
      </text>
    </comment>
    <comment ref="G51" authorId="1">
      <text>
        <r>
          <rPr>
            <b/>
            <sz val="8"/>
            <color indexed="81"/>
            <rFont val="Tahoma"/>
            <family val="2"/>
          </rPr>
          <t>quangbx:</t>
        </r>
        <r>
          <rPr>
            <sz val="8"/>
            <color indexed="81"/>
            <rFont val="Tahoma"/>
            <family val="2"/>
          </rPr>
          <t xml:space="preserve">
22.500 trđ</t>
        </r>
      </text>
    </comment>
    <comment ref="H51" authorId="1">
      <text>
        <r>
          <rPr>
            <b/>
            <sz val="9"/>
            <color indexed="81"/>
            <rFont val="Tahoma"/>
            <family val="2"/>
          </rPr>
          <t>quangbx:</t>
        </r>
        <r>
          <rPr>
            <sz val="9"/>
            <color indexed="81"/>
            <rFont val="Tahoma"/>
            <family val="2"/>
          </rPr>
          <t xml:space="preserve">
Trong đó: có phạt ATGT: 120.000 trđ</t>
        </r>
      </text>
    </comment>
    <comment ref="N51" authorId="1">
      <text>
        <r>
          <rPr>
            <b/>
            <sz val="9"/>
            <color indexed="81"/>
            <rFont val="Tahoma"/>
            <family val="2"/>
          </rPr>
          <t>quangbx:</t>
        </r>
        <r>
          <rPr>
            <sz val="9"/>
            <color indexed="81"/>
            <rFont val="Tahoma"/>
            <family val="2"/>
          </rPr>
          <t xml:space="preserve">
Trong đó: có phạt ATGT: 130.000 trđ</t>
        </r>
      </text>
    </comment>
    <comment ref="C52" authorId="0">
      <text>
        <r>
          <rPr>
            <b/>
            <sz val="8"/>
            <color indexed="81"/>
            <rFont val="Tahoma"/>
            <family val="2"/>
          </rPr>
          <t>Quangbxdth:</t>
        </r>
        <r>
          <rPr>
            <sz val="8"/>
            <color indexed="81"/>
            <rFont val="Tahoma"/>
            <family val="2"/>
          </rPr>
          <t xml:space="preserve">
Tw giao: 16.000 trđ, Đp giao 11.600 trđ, giảm 4.400 trđ</t>
        </r>
      </text>
    </comment>
    <comment ref="C53" authorId="0">
      <text>
        <r>
          <rPr>
            <b/>
            <sz val="8"/>
            <color indexed="81"/>
            <rFont val="Tahoma"/>
            <family val="2"/>
          </rPr>
          <t>Quangbxdth:</t>
        </r>
        <r>
          <rPr>
            <sz val="8"/>
            <color indexed="81"/>
            <rFont val="Tahoma"/>
            <family val="2"/>
          </rPr>
          <t xml:space="preserve">
Tw giao: 630.000 triệu đồng</t>
        </r>
      </text>
    </comment>
    <comment ref="N53" authorId="0">
      <text>
        <r>
          <rPr>
            <b/>
            <sz val="8"/>
            <color indexed="81"/>
            <rFont val="Tahoma"/>
            <family val="2"/>
          </rPr>
          <t>Quangbxdth:</t>
        </r>
        <r>
          <rPr>
            <sz val="8"/>
            <color indexed="81"/>
            <rFont val="Tahoma"/>
            <family val="2"/>
          </rPr>
          <t xml:space="preserve">
Tw giao: 300.000 triệu đồng</t>
        </r>
      </text>
    </comment>
    <comment ref="N60" authorId="2">
      <text>
        <r>
          <rPr>
            <b/>
            <sz val="9"/>
            <color indexed="81"/>
            <rFont val="Tahoma"/>
            <family val="2"/>
          </rPr>
          <t>quangbxdth:</t>
        </r>
        <r>
          <rPr>
            <sz val="9"/>
            <color indexed="81"/>
            <rFont val="Tahoma"/>
            <family val="2"/>
          </rPr>
          <t xml:space="preserve">
Trong đó vốn nước ngoài (ODA) giải ngân theo đúng kế hoạch được giao: 64.000 trđ</t>
        </r>
      </text>
    </comment>
    <comment ref="C61" authorId="0">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N61" authorId="0">
      <text>
        <r>
          <rPr>
            <b/>
            <sz val="8"/>
            <color indexed="81"/>
            <rFont val="Tahoma"/>
            <family val="2"/>
          </rPr>
          <t>Quangbxdth:</t>
        </r>
        <r>
          <rPr>
            <sz val="8"/>
            <color indexed="81"/>
            <rFont val="Tahoma"/>
            <family val="2"/>
          </rPr>
          <t xml:space="preserve">
</t>
        </r>
      </text>
    </comment>
    <comment ref="C62" authorId="1">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N62" authorId="1">
      <text>
        <r>
          <rPr>
            <b/>
            <sz val="8"/>
            <color indexed="81"/>
            <rFont val="Tahoma"/>
            <family val="2"/>
          </rPr>
          <t>quangbx:</t>
        </r>
        <r>
          <rPr>
            <sz val="8"/>
            <color indexed="81"/>
            <rFont val="Tahoma"/>
            <family val="2"/>
          </rPr>
          <t xml:space="preserve">
</t>
        </r>
        <r>
          <rPr>
            <sz val="10"/>
            <color indexed="81"/>
            <rFont val="Tahoma"/>
            <family val="2"/>
          </rPr>
          <t xml:space="preserve">- Bổ sung tiền lương tăng thêm 830.000 đ; 1.050.000 đồng/tháng; 1.150.000 đồng/tháng: 1.370.382 trđ
- BTC xác định 50% giảm thu dự toán NSĐP dự toán năm 2015 so với dự toán năm 2014 là </t>
        </r>
        <r>
          <rPr>
            <sz val="10"/>
            <color indexed="10"/>
            <rFont val="Tahoma"/>
            <family val="2"/>
          </rPr>
          <t>215.423 triệu đồng</t>
        </r>
        <r>
          <rPr>
            <sz val="10"/>
            <color indexed="81"/>
            <rFont val="Tahoma"/>
            <family val="2"/>
          </rPr>
          <t xml:space="preserve"> để thực hiện cải cách tiền lương tối thiểu 1.150.000 đồng/tháng
- Các chế độ chính sách tăng thêm phát sinh từ năm 2014: </t>
        </r>
        <r>
          <rPr>
            <sz val="10"/>
            <color indexed="10"/>
            <rFont val="Tahoma"/>
            <family val="2"/>
          </rPr>
          <t>189.935 trđ</t>
        </r>
      </text>
    </comment>
    <comment ref="C64" authorId="0">
      <text>
        <r>
          <rPr>
            <b/>
            <sz val="8"/>
            <color indexed="81"/>
            <rFont val="Tahoma"/>
            <family val="2"/>
          </rPr>
          <t>Quangbxdth:</t>
        </r>
        <r>
          <rPr>
            <sz val="8"/>
            <color indexed="81"/>
            <rFont val="Tahoma"/>
            <family val="2"/>
          </rPr>
          <t xml:space="preserve">
</t>
        </r>
        <r>
          <rPr>
            <sz val="10"/>
            <color indexed="81"/>
            <rFont val="Tahoma"/>
            <family val="2"/>
          </rPr>
          <t>Số liệu này của TPSĐ, là số các năm trước, không phải số tăng thu năm 2013
Khi hết năm 2013 sẽ xác định cụ thể số tăng, hụt thu của 12 huyện</t>
        </r>
      </text>
    </comment>
    <comment ref="N64" authorId="0">
      <text>
        <r>
          <rPr>
            <b/>
            <sz val="8"/>
            <color indexed="81"/>
            <rFont val="Tahoma"/>
            <family val="2"/>
          </rPr>
          <t>Quangbxdth:</t>
        </r>
        <r>
          <rPr>
            <sz val="8"/>
            <color indexed="81"/>
            <rFont val="Tahoma"/>
            <family val="2"/>
          </rPr>
          <t xml:space="preserve">
</t>
        </r>
      </text>
    </comment>
    <comment ref="R64" authorId="1">
      <text>
        <r>
          <rPr>
            <b/>
            <sz val="9"/>
            <color indexed="81"/>
            <rFont val="Tahoma"/>
            <family val="2"/>
          </rPr>
          <t>quangbx:</t>
        </r>
        <r>
          <rPr>
            <sz val="9"/>
            <color indexed="81"/>
            <rFont val="Tahoma"/>
            <family val="2"/>
          </rPr>
          <t xml:space="preserve">
 - Nguồn CCTL của NS cấp tỉnh còn dư năm 2013 chuyển sang năm 2014: 270 tỷ đồng,
 - Đã sử dụng bổ sung cho các đơn vị cấp tỉnh và bổ sung cho ngân sách huyện: 30 tỷ đồng (20 tỷ + 10 tỷ)
 - Còn lại chuyển sang năm 2015: 240 tỷ đồng (270 tỷ - 30 tỷ)
</t>
        </r>
      </text>
    </comment>
  </commentList>
</comments>
</file>

<file path=xl/comments10.xml><?xml version="1.0" encoding="utf-8"?>
<comments xmlns="http://schemas.openxmlformats.org/spreadsheetml/2006/main">
  <authors>
    <author>Quangbxdth</author>
  </authors>
  <commentList>
    <comment ref="N9" authorId="0">
      <text>
        <r>
          <rPr>
            <b/>
            <sz val="8"/>
            <color indexed="81"/>
            <rFont val="Tahoma"/>
            <family val="2"/>
          </rPr>
          <t>Quangbxdth:</t>
        </r>
        <r>
          <rPr>
            <sz val="8"/>
            <color indexed="81"/>
            <rFont val="Tahoma"/>
            <family val="2"/>
          </rPr>
          <t xml:space="preserve">
</t>
        </r>
        <r>
          <rPr>
            <sz val="10"/>
            <color indexed="81"/>
            <rFont val="Tahoma"/>
            <family val="2"/>
          </rPr>
          <t xml:space="preserve">Tạo nguồn CCTL đầu năm 2013: 108.200 trđ
- Xử lý hụt thu 2012: 39.190 trđ
- Thực hiện CCTL lên 1.150.000 đ cho 6 tháng cuối năm 2013: 6.810 trđ
</t>
        </r>
        <r>
          <rPr>
            <b/>
            <sz val="10"/>
            <color indexed="81"/>
            <rFont val="Tahoma"/>
            <family val="2"/>
          </rPr>
          <t xml:space="preserve">Còn lại: 62.200 trđ
Dự kiến năm 2014 sẽ xử lý
</t>
        </r>
        <r>
          <rPr>
            <sz val="10"/>
            <color indexed="81"/>
            <rFont val="Tahoma"/>
            <family val="2"/>
          </rPr>
          <t>Ước hụt thu NSH năm 2013: 67.575 trđ (UTH thu 2013, chính thức sẽ xác định số hụt thu khi hết tháng 12/2013)
- Dự kiến xử lý hụt thu năm 2013 : 41.575 trđ (sau khi SaDec thực hiện: Giảm dự phòng NS: 10 tỷ; tiết kiệm chi 10% của 12 tháng đầu năm và 7 tháng cuối năm: 8 tỷ; giảm chi thêm: 8 tỷ: 26.000 trđ)
Nguồn CCTL còn dư chuyển sang năm 2014: 20.625 trđ (62.200 trđ - 41.575 trđ)</t>
        </r>
      </text>
    </comment>
  </commentList>
</comments>
</file>

<file path=xl/comments11.xml><?xml version="1.0" encoding="utf-8"?>
<comments xmlns="http://schemas.openxmlformats.org/spreadsheetml/2006/main">
  <authors>
    <author>Quangbxdth</author>
    <author>quangbx</author>
  </authors>
  <commentList>
    <comment ref="C12" authorId="0">
      <text>
        <r>
          <rPr>
            <b/>
            <sz val="8"/>
            <color indexed="81"/>
            <rFont val="Tahoma"/>
            <family val="2"/>
          </rPr>
          <t>Quangbxdth:</t>
        </r>
        <r>
          <rPr>
            <sz val="8"/>
            <color indexed="81"/>
            <rFont val="Tahoma"/>
            <family val="2"/>
          </rPr>
          <t xml:space="preserve">
Tw giao 152.000 trđ</t>
        </r>
      </text>
    </comment>
    <comment ref="C13" authorId="0">
      <text>
        <r>
          <rPr>
            <b/>
            <sz val="8"/>
            <color indexed="81"/>
            <rFont val="Tahoma"/>
            <family val="2"/>
          </rPr>
          <t>Quangbxdth:</t>
        </r>
        <r>
          <rPr>
            <sz val="8"/>
            <color indexed="81"/>
            <rFont val="Tahoma"/>
            <family val="2"/>
          </rPr>
          <t xml:space="preserve">
Tw giao 27.000 trđ</t>
        </r>
      </text>
    </comment>
    <comment ref="D34" authorId="1">
      <text>
        <r>
          <rPr>
            <b/>
            <sz val="8"/>
            <color indexed="81"/>
            <rFont val="Tahoma"/>
            <family val="2"/>
          </rPr>
          <t>quangbx:</t>
        </r>
        <r>
          <rPr>
            <sz val="8"/>
            <color indexed="81"/>
            <rFont val="Tahoma"/>
            <family val="2"/>
          </rPr>
          <t xml:space="preserve">
Theo số liệu của Sở Kế hoạch Đầu tư</t>
        </r>
      </text>
    </comment>
    <comment ref="D35" authorId="1">
      <text>
        <r>
          <rPr>
            <b/>
            <sz val="8"/>
            <color indexed="81"/>
            <rFont val="Tahoma"/>
            <family val="2"/>
          </rPr>
          <t>quangbx:</t>
        </r>
        <r>
          <rPr>
            <sz val="8"/>
            <color indexed="81"/>
            <rFont val="Tahoma"/>
            <family val="2"/>
          </rPr>
          <t xml:space="preserve">
Theo số liệu của Sở Kế hoạch Đầu tư</t>
        </r>
      </text>
    </comment>
  </commentList>
</comments>
</file>

<file path=xl/comments12.xml><?xml version="1.0" encoding="utf-8"?>
<comments xmlns="http://schemas.openxmlformats.org/spreadsheetml/2006/main">
  <authors>
    <author>quangbx</author>
  </authors>
  <commentList>
    <comment ref="K20" authorId="0">
      <text>
        <r>
          <rPr>
            <b/>
            <sz val="8"/>
            <color indexed="81"/>
            <rFont val="Tahoma"/>
            <family val="2"/>
          </rPr>
          <t>quangbx:</t>
        </r>
        <r>
          <rPr>
            <sz val="8"/>
            <color indexed="81"/>
            <rFont val="Tahoma"/>
            <family val="2"/>
          </rPr>
          <t xml:space="preserve">
Tinh: 2 tỷ</t>
        </r>
      </text>
    </comment>
    <comment ref="N20" authorId="0">
      <text>
        <r>
          <rPr>
            <b/>
            <sz val="8"/>
            <color indexed="81"/>
            <rFont val="Tahoma"/>
            <family val="2"/>
          </rPr>
          <t>quangbx:</t>
        </r>
        <r>
          <rPr>
            <sz val="8"/>
            <color indexed="81"/>
            <rFont val="Tahoma"/>
            <family val="2"/>
          </rPr>
          <t xml:space="preserve">
</t>
        </r>
      </text>
    </comment>
    <comment ref="C3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3.xml><?xml version="1.0" encoding="utf-8"?>
<comments xmlns="http://schemas.openxmlformats.org/spreadsheetml/2006/main">
  <authors>
    <author>quangbx</author>
    <author>Quangbxdth</author>
  </authors>
  <commentList>
    <comment ref="C6" authorId="0">
      <text>
        <r>
          <rPr>
            <b/>
            <sz val="8"/>
            <color indexed="81"/>
            <rFont val="Tahoma"/>
            <family val="2"/>
          </rPr>
          <t>quangbx:</t>
        </r>
        <r>
          <rPr>
            <sz val="8"/>
            <color indexed="81"/>
            <rFont val="Tahoma"/>
            <family val="2"/>
          </rPr>
          <t xml:space="preserve">
Số liệu do Sở KHĐT cung cấp</t>
        </r>
      </text>
    </comment>
    <comment ref="C26" authorId="0">
      <text>
        <r>
          <rPr>
            <b/>
            <sz val="8"/>
            <color indexed="81"/>
            <rFont val="Tahoma"/>
            <family val="2"/>
          </rPr>
          <t>quangbx:</t>
        </r>
        <r>
          <rPr>
            <sz val="8"/>
            <color indexed="81"/>
            <rFont val="Tahoma"/>
            <family val="2"/>
          </rPr>
          <t xml:space="preserve">
Số liệu do Sở KHĐT cung cấp</t>
        </r>
      </text>
    </comment>
    <comment ref="F26" authorId="1">
      <text>
        <r>
          <rPr>
            <b/>
            <sz val="8"/>
            <color indexed="81"/>
            <rFont val="Tahoma"/>
            <family val="2"/>
          </rPr>
          <t>Quangbxdth:</t>
        </r>
        <r>
          <rPr>
            <sz val="8"/>
            <color indexed="81"/>
            <rFont val="Tahoma"/>
            <family val="2"/>
          </rPr>
          <t xml:space="preserve">
 Nâng cấp, mở rộng trụ sở UBND huyện Tân Hồng; hạng mục phòng làm việc một cửa liên thông - NS Tỉnh hỗ trợ có mục tiêu</t>
        </r>
      </text>
    </comment>
    <comment ref="C27" authorId="0">
      <text>
        <r>
          <rPr>
            <b/>
            <sz val="8"/>
            <color indexed="81"/>
            <rFont val="Tahoma"/>
            <family val="2"/>
          </rPr>
          <t>quangbx:</t>
        </r>
        <r>
          <rPr>
            <sz val="8"/>
            <color indexed="81"/>
            <rFont val="Tahoma"/>
            <family val="2"/>
          </rPr>
          <t xml:space="preserve">
Số liệu do Sở KHĐT cung cấp</t>
        </r>
      </text>
    </comment>
    <comment ref="C28" authorId="0">
      <text>
        <r>
          <rPr>
            <b/>
            <sz val="10"/>
            <color indexed="81"/>
            <rFont val="Tahoma"/>
            <family val="2"/>
          </rPr>
          <t>Bổ sung thêm</t>
        </r>
        <r>
          <rPr>
            <sz val="10"/>
            <color indexed="81"/>
            <rFont val="Tahoma"/>
            <family val="2"/>
          </rPr>
          <t xml:space="preserve">
NSTW:
- NĐ 13-67: 19.910 trđ
- NĐ 49: 12.050 trđ
- Đô thị loại IV: 5.000 trđ
- QĐ 239: 570 trđ
- QĐ 102: 770 trđ
- QĐ 99: 3.580 trđ
- QĐ 2409: 19.360 trđ</t>
        </r>
      </text>
    </comment>
    <comment ref="C30"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List>
</comments>
</file>

<file path=xl/comments14.xml><?xml version="1.0" encoding="utf-8"?>
<comments xmlns="http://schemas.openxmlformats.org/spreadsheetml/2006/main">
  <authors>
    <author>quangbx</author>
    <author>Quangbxdth</author>
    <author>quangbxdth</author>
  </authors>
  <commentList>
    <comment ref="C4" authorId="0">
      <text>
        <r>
          <rPr>
            <b/>
            <sz val="8"/>
            <color indexed="81"/>
            <rFont val="Tahoma"/>
            <family val="2"/>
          </rPr>
          <t>quangbx:</t>
        </r>
        <r>
          <rPr>
            <sz val="8"/>
            <color indexed="81"/>
            <rFont val="Tahoma"/>
            <family val="2"/>
          </rPr>
          <t xml:space="preserve">
Chưa kể:
- chi ĐTPT từ nguồn vốn địa phương (số chi này do Sở KHĐT thông báo)
- Dự phòng ngân sách cấp tỉnh
- Chi Quỹ dự trữ tài chính
- Chi tạo nguồn CCTL</t>
        </r>
      </text>
    </comment>
    <comment ref="Y12" authorId="1">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K13"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Y21" authorId="2">
      <text>
        <r>
          <rPr>
            <b/>
            <sz val="9"/>
            <color indexed="81"/>
            <rFont val="Tahoma"/>
            <family val="2"/>
          </rPr>
          <t>quangbxdth:</t>
        </r>
        <r>
          <rPr>
            <sz val="9"/>
            <color indexed="81"/>
            <rFont val="Tahoma"/>
            <family val="2"/>
          </rPr>
          <t xml:space="preserve">
Hỗ trợ học bổng dân tộc nội trú, bán trú và trường phổ thông dân tộc bán trú và PTTH vùng đặc biệt khó khăn</t>
        </r>
      </text>
    </comment>
    <comment ref="Y23" authorId="2">
      <text>
        <r>
          <rPr>
            <b/>
            <sz val="9"/>
            <color indexed="81"/>
            <rFont val="Tahoma"/>
            <family val="2"/>
          </rPr>
          <t>quangbxdth:</t>
        </r>
        <r>
          <rPr>
            <sz val="9"/>
            <color indexed="81"/>
            <rFont val="Tahoma"/>
            <family val="2"/>
          </rPr>
          <t xml:space="preserve">
-Kinh phí phòng chống mại dâm, đề án trợ giúp XH và phục hồi chức năng cho người tâm thần, người rối nhiễu tâm trí: 360 trđ
-Chương trình Quốc gia về an toàn lao động, vệ sinh lao động: 80 trđ
-Chương trình quốc gia về Bình đẳng giới: 240 trđ
-Chương trình quốc gia về bảo vệ trẻ em: 813 trđ</t>
        </r>
      </text>
    </comment>
    <comment ref="Y27" authorId="2">
      <text>
        <r>
          <rPr>
            <b/>
            <sz val="9"/>
            <color indexed="81"/>
            <rFont val="Tahoma"/>
            <family val="2"/>
          </rPr>
          <t>quangbxdth:</t>
        </r>
        <r>
          <rPr>
            <sz val="9"/>
            <color indexed="81"/>
            <rFont val="Tahoma"/>
            <family val="2"/>
          </rPr>
          <t xml:space="preserve">
Dự án hoàn thiện, hiện đại hóa hồ sơ bản đồ dịa giới hành chính và xây dựng cơ sở dữ liệu địa giới hành chính, triển khai mô hình "một cửa, một lần dừng": 1.500 trđ</t>
        </r>
      </text>
    </comment>
    <comment ref="T32" authorId="2">
      <text>
        <r>
          <rPr>
            <b/>
            <sz val="9"/>
            <color indexed="81"/>
            <rFont val="Tahoma"/>
            <family val="2"/>
          </rPr>
          <t>quangbxdth:</t>
        </r>
        <r>
          <rPr>
            <sz val="9"/>
            <color indexed="81"/>
            <rFont val="Tahoma"/>
            <family val="2"/>
          </rPr>
          <t xml:space="preserve">
có bố trí kinh phí mua 04 chiếc ô tô cho 4 đơn vị: Ban Nội chính, Báo ĐT, huyện ủy Thanh Bình, thành ủy Cao Lãnh</t>
        </r>
      </text>
    </comment>
    <comment ref="K44"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L44" authorId="2">
      <text>
        <r>
          <rPr>
            <b/>
            <sz val="9"/>
            <color indexed="81"/>
            <rFont val="Tahoma"/>
            <family val="2"/>
          </rPr>
          <t>quangbxdth:</t>
        </r>
        <r>
          <rPr>
            <sz val="9"/>
            <color indexed="81"/>
            <rFont val="Tahoma"/>
            <family val="2"/>
          </rPr>
          <t xml:space="preserve">
Dự án "Điều tra hiện trạng đa dạng sinh học và đề xuất các giải pháp bảo tồn, sử dụng bền vững Khu rừng tràm Gáo Giồng, huyện Cao Lãnh  : 713 trđ, bổ sung cho huyện Cao Lãnh
Kinh phí lắp giếng: 500 trđ cho thành phố Cao Lãnh</t>
        </r>
      </text>
    </comment>
    <comment ref="N44" authorId="0">
      <text>
        <r>
          <rPr>
            <b/>
            <sz val="9"/>
            <color indexed="81"/>
            <rFont val="Tahoma"/>
            <family val="2"/>
          </rPr>
          <t>quangbx:</t>
        </r>
        <r>
          <rPr>
            <sz val="9"/>
            <color indexed="81"/>
            <rFont val="Tahoma"/>
            <family val="2"/>
          </rPr>
          <t xml:space="preserve">
Giảm Trung tâm giáo dục thường xuyên chuyển giao cho huyện quản lý: 8.160 trđ
Giảm 2.220 trđ chuyền về huyện TTBDCT</t>
        </r>
      </text>
    </comment>
    <comment ref="Y54" authorId="2">
      <text>
        <r>
          <rPr>
            <b/>
            <sz val="9"/>
            <color indexed="81"/>
            <rFont val="Tahoma"/>
            <family val="2"/>
          </rPr>
          <t>quangbxdth:</t>
        </r>
        <r>
          <rPr>
            <sz val="9"/>
            <color indexed="81"/>
            <rFont val="Tahoma"/>
            <family val="2"/>
          </rPr>
          <t xml:space="preserve">
Kinh phí bồi dưỡng cán bộ hợp tác: 286 trđ</t>
        </r>
      </text>
    </comment>
    <comment ref="W61" authorId="1">
      <text>
        <r>
          <rPr>
            <b/>
            <sz val="8"/>
            <color indexed="81"/>
            <rFont val="Tahoma"/>
            <family val="2"/>
          </rPr>
          <t>Quangbxdth:</t>
        </r>
        <r>
          <rPr>
            <sz val="8"/>
            <color indexed="81"/>
            <rFont val="Tahoma"/>
            <family val="2"/>
          </rPr>
          <t xml:space="preserve">
</t>
        </r>
        <r>
          <rPr>
            <sz val="10"/>
            <color indexed="81"/>
            <rFont val="Tahoma"/>
            <family val="2"/>
          </rPr>
          <t xml:space="preserve">MTQG: Phòng, chống ma túy: 1.020 trđ
MTQG: Phòng, chống tội phạm: 230 trđ
</t>
        </r>
      </text>
    </comment>
    <comment ref="U62" authorId="2">
      <text>
        <r>
          <rPr>
            <b/>
            <sz val="9"/>
            <color indexed="81"/>
            <rFont val="Tahoma"/>
            <family val="2"/>
            <charset val="163"/>
          </rPr>
          <t>quangbxdth:</t>
        </r>
        <r>
          <rPr>
            <sz val="9"/>
            <color indexed="81"/>
            <rFont val="Tahoma"/>
            <family val="2"/>
            <charset val="163"/>
          </rPr>
          <t xml:space="preserve">
Kinh phí đối ngoại theo Công văn số 648/UBND-KTTH ngày 14/10/2014 của UBND tỉnh V/v kinh phí hoạt động quân sự năm 2015
4.026 trđ</t>
        </r>
      </text>
    </comment>
  </commentList>
</comments>
</file>

<file path=xl/comments15.xml><?xml version="1.0" encoding="utf-8"?>
<comments xmlns="http://schemas.openxmlformats.org/spreadsheetml/2006/main">
  <authors>
    <author>quangbx</author>
  </authors>
  <commentList>
    <comment ref="D34" authorId="0">
      <text>
        <r>
          <rPr>
            <b/>
            <sz val="8"/>
            <color indexed="81"/>
            <rFont val="Tahoma"/>
            <family val="2"/>
          </rPr>
          <t>quangbx:</t>
        </r>
        <r>
          <rPr>
            <sz val="8"/>
            <color indexed="81"/>
            <rFont val="Tahoma"/>
            <family val="2"/>
          </rPr>
          <t xml:space="preserve">
Theo số liệu của Sở Kế hoạch Đầu tư</t>
        </r>
      </text>
    </comment>
    <comment ref="D35"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16.xml><?xml version="1.0" encoding="utf-8"?>
<comments xmlns="http://schemas.openxmlformats.org/spreadsheetml/2006/main">
  <authors>
    <author>Quangbxdth</author>
    <author>quangbx</author>
  </authors>
  <commentList>
    <comment ref="C7" authorId="0">
      <text>
        <r>
          <rPr>
            <b/>
            <sz val="8"/>
            <color indexed="81"/>
            <rFont val="Tahoma"/>
            <family val="2"/>
          </rPr>
          <t>Quangbxdth:</t>
        </r>
        <r>
          <rPr>
            <sz val="8"/>
            <color indexed="81"/>
            <rFont val="Tahoma"/>
            <family val="2"/>
          </rPr>
          <t xml:space="preserve">
1/ Tỉnh quản lý: 65.206 trđ
- Vốn XDCB: 13.490 trđ
- Vốn sự nghiệp: 51.716 trđ
2/ Huyện quản lý (bổ sung có mục tiêu): 17.050 trđ
- Vốn XDCB: 15.250 trđ
- Vốn sự nghiệp: 1.800 trđ</t>
        </r>
      </text>
    </comment>
    <comment ref="C8" authorId="1">
      <text>
        <r>
          <rPr>
            <b/>
            <sz val="8"/>
            <color indexed="81"/>
            <rFont val="Tahoma"/>
            <family val="2"/>
          </rPr>
          <t>quangbx:</t>
        </r>
        <r>
          <rPr>
            <sz val="8"/>
            <color indexed="81"/>
            <rFont val="Tahoma"/>
            <family val="2"/>
          </rPr>
          <t xml:space="preserve">
Chưa bao gồm vốn vay bổ sung Quỹ quốc gia về việc làm, BTC cấp trực tiếp qua NHCSXH</t>
        </r>
      </text>
    </comment>
    <comment ref="D9" authorId="0">
      <text>
        <r>
          <rPr>
            <b/>
            <sz val="8"/>
            <color indexed="81"/>
            <rFont val="Tahoma"/>
            <family val="2"/>
          </rPr>
          <t>Quangbxdth:</t>
        </r>
        <r>
          <rPr>
            <sz val="8"/>
            <color indexed="81"/>
            <rFont val="Tahoma"/>
            <family val="2"/>
          </rPr>
          <t xml:space="preserve">
QĐ số 1393/QĐ-UBND.HC ngày 31/12/2013 của UBND tỉnh Đồng Tháp, trong đó bổ sung có mục tiêu Chương trình Giảm nghèo bền vững cho 2 huyện 5.000 trđ, gồm:
+ Hồng Ngự: 2.000 trđ
+ Tân Hồng: 3.000 trđ</t>
        </r>
      </text>
    </comment>
    <comment ref="C10" authorId="0">
      <text>
        <r>
          <rPr>
            <b/>
            <sz val="8"/>
            <color indexed="81"/>
            <rFont val="Tahoma"/>
            <family val="2"/>
          </rPr>
          <t>Quangbxdth:</t>
        </r>
        <r>
          <rPr>
            <sz val="8"/>
            <color indexed="81"/>
            <rFont val="Tahoma"/>
            <family val="2"/>
          </rPr>
          <t xml:space="preserve">
Trong đó vốn ngoài nước: 6.900 trđ</t>
        </r>
      </text>
    </comment>
    <comment ref="D10" authorId="0">
      <text>
        <r>
          <rPr>
            <b/>
            <sz val="8"/>
            <color indexed="81"/>
            <rFont val="Tahoma"/>
            <family val="2"/>
          </rPr>
          <t>Quangbxdth:</t>
        </r>
        <r>
          <rPr>
            <sz val="8"/>
            <color indexed="81"/>
            <rFont val="Tahoma"/>
            <family val="2"/>
          </rPr>
          <t xml:space="preserve">
Trong đó vốn ngoài nước (ODA): 36.000 trđ</t>
        </r>
      </text>
    </comment>
    <comment ref="E10" authorId="0">
      <text>
        <r>
          <rPr>
            <b/>
            <sz val="8"/>
            <color indexed="81"/>
            <rFont val="Tahoma"/>
            <family val="2"/>
          </rPr>
          <t>Quangbxdth:</t>
        </r>
        <r>
          <rPr>
            <sz val="8"/>
            <color indexed="81"/>
            <rFont val="Tahoma"/>
            <family val="2"/>
          </rPr>
          <t xml:space="preserve">
Trong đó vốn ngoài nước: 1.980 trđ</t>
        </r>
      </text>
    </comment>
    <comment ref="E16" authorId="1">
      <text>
        <r>
          <rPr>
            <b/>
            <sz val="8"/>
            <color indexed="81"/>
            <rFont val="Tahoma"/>
            <family val="2"/>
          </rPr>
          <t>quangbx:</t>
        </r>
        <r>
          <rPr>
            <sz val="8"/>
            <color indexed="81"/>
            <rFont val="Tahoma"/>
            <family val="2"/>
          </rPr>
          <t xml:space="preserve">
Công an Tỉnh</t>
        </r>
      </text>
    </comment>
    <comment ref="E17" authorId="1">
      <text>
        <r>
          <rPr>
            <b/>
            <sz val="8"/>
            <color indexed="81"/>
            <rFont val="Tahoma"/>
            <family val="2"/>
          </rPr>
          <t>quangbx:</t>
        </r>
        <r>
          <rPr>
            <sz val="8"/>
            <color indexed="81"/>
            <rFont val="Tahoma"/>
            <family val="2"/>
          </rPr>
          <t xml:space="preserve">
Công an Tỉnh</t>
        </r>
      </text>
    </comment>
    <comment ref="D25" authorId="0">
      <text>
        <r>
          <rPr>
            <b/>
            <sz val="8"/>
            <color indexed="81"/>
            <rFont val="Tahoma"/>
            <family val="2"/>
          </rPr>
          <t>Quangbxdth:</t>
        </r>
        <r>
          <rPr>
            <sz val="8"/>
            <color indexed="81"/>
            <rFont val="Tahoma"/>
            <family val="2"/>
          </rPr>
          <t xml:space="preserve">
- Ngân sách cấp tỉnh trực tiếp quản lý: 241.800 trđ
- Ghi thu, ghi chi theo tiến độ giải ngân thực tế: 87.397 trđ
- Hỗ trợ có mục tiêu cho ngân sách huyện: 7.603 trđ</t>
        </r>
      </text>
    </comment>
    <comment ref="D26" authorId="1">
      <text>
        <r>
          <rPr>
            <b/>
            <sz val="8"/>
            <color indexed="81"/>
            <rFont val="Tahoma"/>
            <family val="2"/>
          </rPr>
          <t xml:space="preserve">quangbx:
</t>
        </r>
        <r>
          <rPr>
            <sz val="8"/>
            <color indexed="81"/>
            <rFont val="Tahoma"/>
            <family val="2"/>
          </rPr>
          <t>Theo Quyết định số 2986/QĐ-BTC ngày 30/11/2013 của Bộ trưởng Bộ Tài chính</t>
        </r>
        <r>
          <rPr>
            <sz val="8"/>
            <color indexed="81"/>
            <rFont val="Tahoma"/>
            <family val="2"/>
          </rPr>
          <t xml:space="preserve">
 </t>
        </r>
        <r>
          <rPr>
            <sz val="8"/>
            <color indexed="81"/>
            <rFont val="Tahoma"/>
            <family val="2"/>
          </rPr>
          <t>Trong đó: 
- Chương trình hỗ trợ đảm bảo chất lượng giáo dục trường học (dự án cải thiện cơ sở hạ tầng trang thiết bị trường học: Chương trình SEQAP) là 1.603 triệu đồng.Theo Quyết định số 44/QĐ-UBND.HC ngày 15/01/2014 của UBND tỉnh Đồng Tháp, phân khai bổ sung có mục tiêu cho ngân sách huyện, gồm:
+Huyện Châu Thành: 657,222 trđ (85,379+415,619+156,224)
+Huyện Lấp Vò: 260,827 trđ
+Huyện Lai Vung: 269,451 trđ (235,458+33,993)
+Huyện Tháp Mười: 415,500 trđ
- T</t>
        </r>
        <r>
          <rPr>
            <sz val="8"/>
            <color indexed="81"/>
            <rFont val="Tahoma"/>
            <family val="2"/>
          </rPr>
          <t xml:space="preserve">hực hiện theo thực tế giải ngân, trong phạm vi dự toán được giao và theo cơ chế tài chính trong nước; các chương trình còn lại ghi thu ghi chi theo tiến độ giải ngân: </t>
        </r>
        <r>
          <rPr>
            <sz val="8"/>
            <color indexed="10"/>
            <rFont val="Tahoma"/>
            <family val="2"/>
          </rPr>
          <t>87.397 triệu đồng.</t>
        </r>
        <r>
          <rPr>
            <sz val="8"/>
            <color indexed="81"/>
            <rFont val="Tahoma"/>
            <family val="2"/>
          </rPr>
          <t>Theo Quyết định số 44/QĐ-UBND.HC ngày 15/01/2014 của UBND tỉnh Đồng Tháp, vốn ODA ghi thu ghi chi theo tiến độ giải ngân theo 3 nội dung:
+ Dự án nâng cấp đô thi TP Cao Lãnh (vốn WB): 37.397 trđ
+ Dự án Trường THPT chuyên Nguyễn Đình Chiểu, TP Sa Đéc (thuộc chương trình phát triển giáo dục trung học): 30.000 trđ
+Tiểu dự án Kè chống xói lở bờ sông tiền khu vực thị trấn Thường Thới Tiền, huyện Hồng Ngự (vốn ADB): 20.000 trđ</t>
        </r>
      </text>
    </comment>
    <comment ref="D28" authorId="0">
      <text>
        <r>
          <rPr>
            <b/>
            <sz val="8"/>
            <color indexed="81"/>
            <rFont val="Tahoma"/>
            <family val="2"/>
          </rPr>
          <t>Quangbxdth:</t>
        </r>
        <r>
          <rPr>
            <sz val="8"/>
            <color indexed="81"/>
            <rFont val="Tahoma"/>
            <family val="2"/>
          </rPr>
          <t xml:space="preserve">
Trong đó:
- Chương trình giống cây trồng, vật nuôi, giống thủy sản: 10.000 trđ
- Chương trình phát triển hạ tầng nuôi trồng thủy sản: 9.000 trđ</t>
        </r>
      </text>
    </comment>
    <comment ref="D31" authorId="0">
      <text>
        <r>
          <rPr>
            <b/>
            <sz val="8"/>
            <color indexed="81"/>
            <rFont val="Tahoma"/>
            <family val="2"/>
          </rPr>
          <t>Quangbxdth:</t>
        </r>
        <r>
          <rPr>
            <sz val="8"/>
            <color indexed="81"/>
            <rFont val="Tahoma"/>
            <family val="2"/>
          </rPr>
          <t xml:space="preserve">
Trong đó:
- Hỗ trợ đầu tư Khu công nghiệp: 12.000 trđ
- Hạ tầng cụm công nghiệp: 2.000 trđ
- Hỗ trợ đầu tư khu kinh tế cửa khẩu: 10.000 trđ</t>
        </r>
      </text>
    </comment>
    <comment ref="E39" authorId="0">
      <text>
        <r>
          <rPr>
            <b/>
            <sz val="8"/>
            <color indexed="81"/>
            <rFont val="Tahoma"/>
            <family val="2"/>
          </rPr>
          <t xml:space="preserve">Quangbxdth:
</t>
        </r>
        <r>
          <rPr>
            <sz val="8"/>
            <color indexed="81"/>
            <rFont val="Tahoma"/>
            <family val="2"/>
          </rPr>
          <t>1/ Ghi thu, ghi chi theo tiến độ giải ngân của nguồn vốn nước ngoài: 6.000 trđ</t>
        </r>
        <r>
          <rPr>
            <sz val="8"/>
            <color indexed="81"/>
            <rFont val="Tahoma"/>
            <family val="2"/>
          </rPr>
          <t xml:space="preserve">
2/NS cấp tỉnh trực tiếp quản lý:
+Sự nghiệp kinh tế:
+Sự nghiệp giáo dục, đào tạo và dạy nghề:
+Sự nghiệp đảm bảo xã hội:
+Quốc phòng, an ninh:
3/NS cấp tỉnh bổ sung có mục tiêu cho NS huyện:
4/NS cấp tỉnh còn giữ lại phân bổ tiếp:</t>
        </r>
      </text>
    </comment>
    <comment ref="E40" authorId="1">
      <text>
        <r>
          <rPr>
            <b/>
            <sz val="8"/>
            <color indexed="81"/>
            <rFont val="Tahoma"/>
            <family val="2"/>
          </rPr>
          <t>quangbx: (SNGD)</t>
        </r>
        <r>
          <rPr>
            <sz val="8"/>
            <color indexed="81"/>
            <rFont val="Tahoma"/>
            <family val="2"/>
          </rPr>
          <t xml:space="preserve">
Vốn ngoài nước đối với chương trình hỗ trợ đảm bảo chất lượng trường học, thực hiện trong phạm vi dự toán được giao (Quyết định số 78/QĐ-UBND-HC ngày 22/01/2014 của UBND tỉnh Đồng Tháp, phân bổ kinh phí sự nghiệp Chương trình hỗ trợ chất lượng giáo dục trường học (SEQAP) năm 2014 (Sự nghiệp GD&amp;ĐT)), bao gồm:
</t>
        </r>
        <r>
          <rPr>
            <b/>
            <sz val="8"/>
            <color indexed="81"/>
            <rFont val="Tahoma"/>
            <family val="2"/>
          </rPr>
          <t>1/ Dự án đào tạo và hội thảo là  3.581 trđ, gồm:</t>
        </r>
        <r>
          <rPr>
            <sz val="8"/>
            <color indexed="81"/>
            <rFont val="Tahoma"/>
            <family val="2"/>
          </rPr>
          <t xml:space="preserve">
* Sở Giáo dục &amp; Đào tạo:1.525,000 trđ
* Hồng Ngự: 249,500 trđ
* TP Cao Lãnh: 286,000 trđ
* H Cao Lãnh: 309,000 trđ
* Tháp Mười: 265,500 trđ
* Lấp Vò: 263,500 trđ
* Lai Vung: 176,500 trđ
* TP Sa Đéc: 230,500 trđ
* Châu Thành: 275,500 trđ
</t>
        </r>
        <r>
          <rPr>
            <b/>
            <sz val="8"/>
            <color indexed="81"/>
            <rFont val="Tahoma"/>
            <family val="2"/>
          </rPr>
          <t>2/ Quỹ giáo dục nhà trường là  2.688 triệu đồng, gồm:</t>
        </r>
        <r>
          <rPr>
            <sz val="8"/>
            <color indexed="81"/>
            <rFont val="Tahoma"/>
            <family val="2"/>
          </rPr>
          <t xml:space="preserve">
* Hồng Ngự: 303,555 trđ
* TP Cao Lãnh: 392,231 trđ
* H Cao Lãnh: 372,738 trđ
* Tháp Mười: 280,634 trđ
* Lấp Vò: 366,424 trđ
* Lai Vung: 232,585 trđ
* TP Sa Đéc: 303,060 trđ
* Châu Thành: 436,773 trđ
</t>
        </r>
        <r>
          <rPr>
            <b/>
            <sz val="8"/>
            <color indexed="81"/>
            <rFont val="Tahoma"/>
            <family val="2"/>
          </rPr>
          <t>3/ Dự án quỹ phục lợi cho học sinh là 5.780 trđ, gồm:</t>
        </r>
        <r>
          <rPr>
            <sz val="8"/>
            <color indexed="81"/>
            <rFont val="Tahoma"/>
            <family val="2"/>
          </rPr>
          <t xml:space="preserve">
* Hồng Ngự: 659,236 trđ
* TP Cao Lãnh: 770,713 trđ
* H Cao Lãnh: 808,766 trđ
* Tháp Mười: 608,978 trđ
* Lấp Vò: 795,387 trđ
* Lai Vung: 504,588 trđ
* TP Sa Đéc: 684,886 trđ
* Châu Thành: 947,446 trđ
</t>
        </r>
        <r>
          <rPr>
            <b/>
            <sz val="8"/>
            <color indexed="81"/>
            <rFont val="Tahoma"/>
            <family val="2"/>
          </rPr>
          <t>4/ Dự án xây dựng năng lực cho dạy, học cả ngày là 251 triệu đồng (Sở Giáo dục &amp; Đào tạo)</t>
        </r>
        <r>
          <rPr>
            <sz val="8"/>
            <color indexed="81"/>
            <rFont val="Tahoma"/>
            <family val="2"/>
          </rPr>
          <t xml:space="preserve">
</t>
        </r>
        <r>
          <rPr>
            <b/>
            <sz val="8"/>
            <color indexed="81"/>
            <rFont val="Tahoma"/>
            <family val="2"/>
          </rPr>
          <t xml:space="preserve">5/ </t>
        </r>
        <r>
          <rPr>
            <b/>
            <sz val="8"/>
            <color indexed="10"/>
            <rFont val="Tahoma"/>
            <family val="2"/>
          </rPr>
          <t>Các chương trình, dự án còn lại thực hiện ghi thu, ghi chi theo thực tế giải ngân 6.000 trđ</t>
        </r>
        <r>
          <rPr>
            <sz val="8"/>
            <color indexed="10"/>
            <rFont val="Tahoma"/>
            <family val="2"/>
          </rPr>
          <t xml:space="preserve">
</t>
        </r>
        <r>
          <rPr>
            <sz val="8"/>
            <color indexed="81"/>
            <rFont val="Tahoma"/>
            <family val="2"/>
          </rPr>
          <t xml:space="preserve">
</t>
        </r>
      </text>
    </comment>
    <comment ref="E41" authorId="0">
      <text>
        <r>
          <rPr>
            <b/>
            <sz val="8"/>
            <color indexed="81"/>
            <rFont val="Tahoma"/>
            <family val="2"/>
          </rPr>
          <t>Quangbxdth:</t>
        </r>
        <r>
          <rPr>
            <sz val="8"/>
            <color indexed="81"/>
            <rFont val="Tahoma"/>
            <family val="2"/>
          </rPr>
          <t xml:space="preserve">
Quyết định số 78/QĐ-UBND-HC ngày 22/01/2014 của UBND tỉnh Đồng Tháp, phân bổ kinh phí sự nghiệp Chương trình hỗ trợ chất lượng giáo dục trường học (SEQAP) năm 2014 (Sự nghiệp GD&amp;ĐT): 1.049 trđ, gồm:
+ Hồng Ngự: 131,125 trđ
+ TP Cao Lãnh: 157,350 trđ
+ Cao Lãnh: 131,125 trđ
+ Tháp Mười: 131,125 trđ
+ Lấp Vò: 131,125 trđ
+ Lai Vung: 78,675 trđ
+ TP Sa Đéc: 131,125 trđ
+ Châu Thành: 157,350 trđ</t>
        </r>
      </text>
    </comment>
    <comment ref="E42" authorId="1">
      <text>
        <r>
          <rPr>
            <b/>
            <sz val="8"/>
            <color indexed="81"/>
            <rFont val="Tahoma"/>
            <family val="2"/>
          </rPr>
          <t>quangbx:</t>
        </r>
        <r>
          <rPr>
            <sz val="8"/>
            <color indexed="81"/>
            <rFont val="Tahoma"/>
            <family val="2"/>
          </rPr>
          <t xml:space="preserve">
Sở Nông nghiệp &amp; PTNT: </t>
        </r>
        <r>
          <rPr>
            <sz val="8"/>
            <color indexed="10"/>
            <rFont val="Tahoma"/>
            <family val="2"/>
          </rPr>
          <t>sự nghiệp kinh tế</t>
        </r>
      </text>
    </comment>
    <comment ref="E44" authorId="0">
      <text>
        <r>
          <rPr>
            <b/>
            <sz val="8"/>
            <color indexed="81"/>
            <rFont val="Tahoma"/>
            <family val="2"/>
          </rPr>
          <t>Quangbxdth:</t>
        </r>
        <r>
          <rPr>
            <sz val="8"/>
            <color indexed="81"/>
            <rFont val="Tahoma"/>
            <family val="2"/>
          </rPr>
          <t xml:space="preserve">
-Hỗ trợ KP sáng tạo tác phẩm của hội VHNT và Hội nhà báo địa phương: 640 trđ, trong đó:
+Hội VHNT: 550
+Hội nhà báo:90</t>
        </r>
      </text>
    </comment>
    <comment ref="E45" authorId="0">
      <text>
        <r>
          <rPr>
            <b/>
            <sz val="8"/>
            <color indexed="81"/>
            <rFont val="Tahoma"/>
            <family val="2"/>
          </rPr>
          <t>Quangbxdth:</t>
        </r>
        <r>
          <rPr>
            <sz val="8"/>
            <color indexed="81"/>
            <rFont val="Tahoma"/>
            <family val="2"/>
          </rPr>
          <t xml:space="preserve">
- Chương trình hành động phòng, chống mại dâm: 250 trđ </t>
        </r>
        <r>
          <rPr>
            <sz val="8"/>
            <color indexed="10"/>
            <rFont val="Tahoma"/>
            <family val="2"/>
          </rPr>
          <t>(SNXH)</t>
        </r>
        <r>
          <rPr>
            <sz val="8"/>
            <color indexed="81"/>
            <rFont val="Tahoma"/>
            <family val="2"/>
          </rPr>
          <t xml:space="preserve">
- Đề án trợ giúp XH và phục hồi chức năng cho người tâm thần, người rối nhiễu tâm trí: 90 trđ </t>
        </r>
        <r>
          <rPr>
            <sz val="8"/>
            <color indexed="10"/>
            <rFont val="Tahoma"/>
            <family val="2"/>
          </rPr>
          <t>(SNXH)</t>
        </r>
      </text>
    </comment>
    <comment ref="E46" authorId="1">
      <text>
        <r>
          <rPr>
            <b/>
            <sz val="8"/>
            <color indexed="81"/>
            <rFont val="Tahoma"/>
            <family val="2"/>
          </rPr>
          <t>quangbx:</t>
        </r>
        <r>
          <rPr>
            <sz val="8"/>
            <color indexed="81"/>
            <rFont val="Tahoma"/>
            <family val="2"/>
          </rPr>
          <t xml:space="preserve">
BCHQS tỉnh:  14.670 trđ
</t>
        </r>
        <r>
          <rPr>
            <sz val="8"/>
            <color indexed="81"/>
            <rFont val="Tahoma"/>
            <family val="2"/>
          </rPr>
          <t>CA Tỉnh:  1.550 trđ
Phân bổ cho tỉnh, huyện</t>
        </r>
        <r>
          <rPr>
            <sz val="8"/>
            <color indexed="81"/>
            <rFont val="Tahoma"/>
            <family val="2"/>
          </rPr>
          <t xml:space="preserve">
</t>
        </r>
      </text>
    </comment>
    <comment ref="E47"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8"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9" authorId="1">
      <text>
        <r>
          <rPr>
            <b/>
            <sz val="8"/>
            <color indexed="81"/>
            <rFont val="Tahoma"/>
            <family val="2"/>
          </rPr>
          <t>quangbx:</t>
        </r>
        <r>
          <rPr>
            <sz val="8"/>
            <color indexed="81"/>
            <rFont val="Tahoma"/>
            <family val="2"/>
          </rPr>
          <t xml:space="preserve">
Phân khai tiếp cho 12 huyện</t>
        </r>
      </text>
    </comment>
    <comment ref="E51" authorId="1">
      <text>
        <r>
          <rPr>
            <b/>
            <sz val="8"/>
            <color indexed="81"/>
            <rFont val="Tahoma"/>
            <family val="2"/>
          </rPr>
          <t>quangbx:</t>
        </r>
        <r>
          <rPr>
            <sz val="8"/>
            <color indexed="81"/>
            <rFont val="Tahoma"/>
            <family val="2"/>
          </rPr>
          <t xml:space="preserve">
Sở Lao động TBXH </t>
        </r>
        <r>
          <rPr>
            <sz val="8"/>
            <color indexed="10"/>
            <rFont val="Tahoma"/>
            <family val="2"/>
          </rPr>
          <t>(SNXH)</t>
        </r>
      </text>
    </comment>
    <comment ref="E53" authorId="0">
      <text>
        <r>
          <rPr>
            <b/>
            <sz val="8"/>
            <color indexed="81"/>
            <rFont val="Tahoma"/>
            <family val="2"/>
          </rPr>
          <t>Quangbxdth:</t>
        </r>
        <r>
          <rPr>
            <sz val="8"/>
            <color indexed="81"/>
            <rFont val="Tahoma"/>
            <family val="2"/>
          </rPr>
          <t xml:space="preserve">
-Đề án phát triển công tác xã hội: 286 trđ </t>
        </r>
        <r>
          <rPr>
            <sz val="8"/>
            <color indexed="10"/>
            <rFont val="Tahoma"/>
            <family val="2"/>
          </rPr>
          <t>(SNXH)</t>
        </r>
        <r>
          <rPr>
            <sz val="8"/>
            <color indexed="81"/>
            <rFont val="Tahoma"/>
            <family val="2"/>
          </rPr>
          <t xml:space="preserve">
</t>
        </r>
      </text>
    </comment>
    <comment ref="E54" authorId="0">
      <text>
        <r>
          <rPr>
            <b/>
            <sz val="8"/>
            <color indexed="81"/>
            <rFont val="Tahoma"/>
            <family val="2"/>
          </rPr>
          <t>Quangbxdth:</t>
        </r>
        <r>
          <rPr>
            <sz val="8"/>
            <color indexed="81"/>
            <rFont val="Tahoma"/>
            <family val="2"/>
          </rPr>
          <t xml:space="preserve">
</t>
        </r>
        <r>
          <rPr>
            <sz val="8"/>
            <color indexed="81"/>
            <rFont val="Tahoma"/>
            <family val="2"/>
          </rPr>
          <t xml:space="preserve">-Hỗ trợ thành lập mới, đào tạo, bồi dưỡng cán bộ HTX: 300 trđ </t>
        </r>
        <r>
          <rPr>
            <sz val="8"/>
            <color indexed="10"/>
            <rFont val="Tahoma"/>
            <family val="2"/>
          </rPr>
          <t>(SNGD&amp;ĐT</t>
        </r>
        <r>
          <rPr>
            <sz val="8"/>
            <color indexed="81"/>
            <rFont val="Tahoma"/>
            <family val="2"/>
          </rPr>
          <t>)</t>
        </r>
      </text>
    </comment>
    <comment ref="E55" authorId="1">
      <text>
        <r>
          <rPr>
            <b/>
            <sz val="8"/>
            <color indexed="81"/>
            <rFont val="Tahoma"/>
            <family val="2"/>
          </rPr>
          <t>quangbx:</t>
        </r>
        <r>
          <rPr>
            <sz val="8"/>
            <color indexed="81"/>
            <rFont val="Tahoma"/>
            <family val="2"/>
          </rPr>
          <t xml:space="preserve">
Đô thị loại IV Thị trấn Lấp Vò: 5 tỷ đồng và thành lập đơn vị hành chính đặc thù (Ngoại vụ): 1,2 tỷ đồng.</t>
        </r>
      </text>
    </comment>
    <comment ref="E56" authorId="1">
      <text>
        <r>
          <rPr>
            <b/>
            <sz val="8"/>
            <color indexed="81"/>
            <rFont val="Tahoma"/>
            <family val="2"/>
          </rPr>
          <t>quangbx:</t>
        </r>
        <r>
          <rPr>
            <sz val="8"/>
            <color indexed="81"/>
            <rFont val="Tahoma"/>
            <family val="2"/>
          </rPr>
          <t xml:space="preserve">
Thu hồi vốn ứng trước dự toán chi sự nghiệp môi trường năm 2014 là 8.103 trđ theo văn bản số 1595/TTg-KTTH ngày 07/10/2013 của Thủ tướng Chính phủ</t>
        </r>
      </text>
    </comment>
    <comment ref="E57" authorId="1">
      <text>
        <r>
          <rPr>
            <b/>
            <sz val="8"/>
            <color indexed="81"/>
            <rFont val="Tahoma"/>
            <family val="2"/>
          </rPr>
          <t>quangbx:</t>
        </r>
        <r>
          <rPr>
            <sz val="8"/>
            <color indexed="81"/>
            <rFont val="Tahoma"/>
            <family val="2"/>
          </rPr>
          <t xml:space="preserve">
Phân khai tiếp cho 12 huyện
- Hỗ trợ kinh phí giáo viên mầm non: 31.175 trđ
- Hỗ trợ kinh phí tiền ăn trưa mẫu giáo 3-5 tuổi: 14.650 trđ</t>
        </r>
      </text>
    </comment>
    <comment ref="E58" authorId="1">
      <text>
        <r>
          <rPr>
            <b/>
            <sz val="8"/>
            <color indexed="81"/>
            <rFont val="Tahoma"/>
            <family val="2"/>
          </rPr>
          <t>quangbx:</t>
        </r>
        <r>
          <rPr>
            <sz val="8"/>
            <color indexed="81"/>
            <rFont val="Tahoma"/>
            <family val="2"/>
          </rPr>
          <t xml:space="preserve">
Phân khai tiếp cho 12 huyện</t>
        </r>
      </text>
    </comment>
    <comment ref="E59" authorId="1">
      <text>
        <r>
          <rPr>
            <b/>
            <sz val="8"/>
            <color indexed="81"/>
            <rFont val="Tahoma"/>
            <family val="2"/>
          </rPr>
          <t>quangbx:</t>
        </r>
        <r>
          <rPr>
            <sz val="8"/>
            <color indexed="81"/>
            <rFont val="Tahoma"/>
            <family val="2"/>
          </rPr>
          <t xml:space="preserve">
Phân khai tiếp cho 12 huyện</t>
        </r>
      </text>
    </comment>
    <comment ref="B60" authorId="0">
      <text>
        <r>
          <rPr>
            <b/>
            <sz val="8"/>
            <color indexed="81"/>
            <rFont val="Tahoma"/>
            <family val="2"/>
          </rPr>
          <t>Quangbxdth:</t>
        </r>
        <r>
          <rPr>
            <sz val="8"/>
            <color indexed="81"/>
            <rFont val="Tahoma"/>
            <family val="2"/>
          </rPr>
          <t xml:space="preserve">
</t>
        </r>
        <r>
          <rPr>
            <sz val="10"/>
            <color indexed="81"/>
            <rFont val="Tahoma"/>
            <family val="2"/>
          </rPr>
          <t>QĐ số 973/QĐ-BTC ngày 30/11/2013 của Bộ Tài chính Về việc giao dự toán kinh phí phân giới cắm mốc biên giới trên đất liền Việt Nam- Camphuchia</t>
        </r>
      </text>
    </comment>
    <comment ref="E60" authorId="0">
      <text>
        <r>
          <rPr>
            <b/>
            <sz val="8"/>
            <color indexed="81"/>
            <rFont val="Tahoma"/>
            <family val="2"/>
          </rPr>
          <t>Quangbxdth:</t>
        </r>
        <r>
          <rPr>
            <sz val="8"/>
            <color indexed="81"/>
            <rFont val="Tahoma"/>
            <family val="2"/>
          </rPr>
          <t xml:space="preserve">
</t>
        </r>
        <r>
          <rPr>
            <sz val="10"/>
            <color indexed="81"/>
            <rFont val="Tahoma"/>
            <family val="2"/>
          </rPr>
          <t xml:space="preserve">QĐ số 973/QĐ-BTC ngày 30/11/2013 của Bộ Tài chính Về việc giao dự toán kinh phí phân giới cắm mốc biên giới trên đất liền Việt Nam- Camphuchia: </t>
        </r>
        <r>
          <rPr>
            <sz val="10"/>
            <color indexed="10"/>
            <rFont val="Tahoma"/>
            <family val="2"/>
          </rPr>
          <t>Sự nghiệp kinh tế</t>
        </r>
      </text>
    </comment>
    <comment ref="E65" authorId="1">
      <text>
        <r>
          <rPr>
            <b/>
            <sz val="8"/>
            <color indexed="81"/>
            <rFont val="Tahoma"/>
            <family val="2"/>
          </rPr>
          <t>quangbx:</t>
        </r>
        <r>
          <rPr>
            <sz val="8"/>
            <color indexed="81"/>
            <rFont val="Tahoma"/>
            <family val="2"/>
          </rPr>
          <t xml:space="preserve">
Đã bao gồm hỗ trợ quan hệ đối ngoại đất liền.</t>
        </r>
      </text>
    </comment>
  </commentList>
</comments>
</file>

<file path=xl/comments17.xml><?xml version="1.0" encoding="utf-8"?>
<comments xmlns="http://schemas.openxmlformats.org/spreadsheetml/2006/main">
  <authors>
    <author>quangbx</author>
    <author>Quangbxdth</author>
    <author>Administrator</author>
  </authors>
  <commentList>
    <comment ref="C11" authorId="0">
      <text>
        <r>
          <rPr>
            <b/>
            <sz val="8"/>
            <color indexed="81"/>
            <rFont val="Tahoma"/>
            <family val="2"/>
          </rPr>
          <t>quangbx:</t>
        </r>
        <r>
          <rPr>
            <sz val="8"/>
            <color indexed="81"/>
            <rFont val="Tahoma"/>
            <family val="2"/>
          </rPr>
          <t xml:space="preserve">
Lấy số liệu của Sở KHĐT
</t>
        </r>
      </text>
    </comment>
    <comment ref="C12" authorId="0">
      <text>
        <r>
          <rPr>
            <b/>
            <sz val="8"/>
            <color indexed="81"/>
            <rFont val="Tahoma"/>
            <family val="2"/>
          </rPr>
          <t>quangbx:</t>
        </r>
        <r>
          <rPr>
            <sz val="8"/>
            <color indexed="81"/>
            <rFont val="Tahoma"/>
            <family val="2"/>
          </rPr>
          <t xml:space="preserve">
Lấy số liệu của Sở KHĐT
</t>
        </r>
      </text>
    </comment>
    <comment ref="B25" authorId="1">
      <text>
        <r>
          <rPr>
            <b/>
            <sz val="8"/>
            <color indexed="81"/>
            <rFont val="Tahoma"/>
            <family val="2"/>
          </rPr>
          <t>Quangbxdth:</t>
        </r>
        <r>
          <rPr>
            <sz val="8"/>
            <color indexed="81"/>
            <rFont val="Tahoma"/>
            <family val="2"/>
          </rPr>
          <t xml:space="preserve">
NHPTVN phải chuyển vay năm 2013 là: 205.000 triệu đồng, nhưng đến thời điểm 10/12/2013 mới chỉ chuyển vay là 75.000 triệu đồng, còn lại chưa chuyển:130.000 triệu đồng</t>
        </r>
      </text>
    </comment>
    <comment ref="C25" authorId="0">
      <text>
        <r>
          <rPr>
            <b/>
            <sz val="8"/>
            <color indexed="81"/>
            <rFont val="Tahoma"/>
            <family val="2"/>
          </rPr>
          <t>quangbx:</t>
        </r>
        <r>
          <rPr>
            <sz val="8"/>
            <color indexed="81"/>
            <rFont val="Tahoma"/>
            <family val="2"/>
          </rPr>
          <t xml:space="preserve">
- CV số 778/UBND-KTTH ngày 13/11/2012 của UBND tỉnh Về việc đăng ký danh mục nguồn vốn ưu đãi giai đoạn 2013-2015:
Năm 2014: 265.856 triệu đồng
- Nguồn vốn năm 2013 chuyển sang năm 2014 vay tiếp: 130.000 triệu đồng.
</t>
        </r>
      </text>
    </comment>
    <comment ref="D26" authorId="0">
      <text>
        <r>
          <rPr>
            <b/>
            <sz val="8"/>
            <color indexed="81"/>
            <rFont val="Tahoma"/>
            <family val="2"/>
          </rPr>
          <t>quangbx:</t>
        </r>
        <r>
          <rPr>
            <sz val="8"/>
            <color indexed="81"/>
            <rFont val="Tahoma"/>
            <family val="2"/>
          </rPr>
          <t xml:space="preserve">
CV số 848/UBND-KTTH ngày 06/12/2012 của UBND tỉnh Đồng Tháp về việc báo cáo trả nợ chương trình KCHKM và xin gia hạn trả Chương trình xây dựng cụm, tuyến dân cư và nhà ở vùng ngập lũ đồng bằng SCL: 151.528 triệu đồng; kế hoạch phải trả nợ năm 2014: 70.190 triệu đồng.</t>
        </r>
      </text>
    </comment>
    <comment ref="B29" authorId="2">
      <text>
        <r>
          <rPr>
            <b/>
            <sz val="8"/>
            <color indexed="81"/>
            <rFont val="Tahoma"/>
            <family val="2"/>
          </rPr>
          <t>Administrator:</t>
        </r>
        <r>
          <rPr>
            <sz val="8"/>
            <color indexed="81"/>
            <rFont val="Tahoma"/>
            <family val="2"/>
          </rPr>
          <t xml:space="preserve">
Xây dựng các công trình thu gom rác, các công trình kè chống sạt lở các cụm tuyến dân cư: 32 tỷ đồng, lãi suất hiện hành (2 năm)</t>
        </r>
      </text>
    </comment>
  </commentList>
</comments>
</file>

<file path=xl/comments2.xml><?xml version="1.0" encoding="utf-8"?>
<comments xmlns="http://schemas.openxmlformats.org/spreadsheetml/2006/main">
  <authors>
    <author>Quangbxdth</author>
    <author>quangbx</author>
    <author>Administrator</author>
  </authors>
  <commentList>
    <comment ref="K11" authorId="0">
      <text>
        <r>
          <rPr>
            <b/>
            <sz val="10"/>
            <color indexed="81"/>
            <rFont val="Tahoma"/>
            <family val="2"/>
          </rPr>
          <t>Quangbxdth:</t>
        </r>
        <r>
          <rPr>
            <sz val="10"/>
            <color indexed="81"/>
            <rFont val="Tahoma"/>
            <family val="2"/>
          </rPr>
          <t xml:space="preserve">
</t>
        </r>
        <r>
          <rPr>
            <b/>
            <sz val="10"/>
            <color indexed="81"/>
            <rFont val="Tahoma"/>
            <family val="2"/>
          </rPr>
          <t>Tổng chi chưa kể:</t>
        </r>
        <r>
          <rPr>
            <sz val="10"/>
            <color indexed="81"/>
            <rFont val="Tahoma"/>
            <family val="2"/>
          </rPr>
          <t xml:space="preserve">
</t>
        </r>
        <r>
          <rPr>
            <b/>
            <sz val="10"/>
            <color indexed="10"/>
            <rFont val="Tahoma"/>
            <family val="2"/>
          </rPr>
          <t>1/ Nguồn vốn xổ số kiến thiết năm trước chuyển sang, chưa tính số tăng thu xskt năm 2113, (Quyết định số 1282/QĐ-UBND.HC ngày 16/12/2013 của UBND tỉnh Đồng Tháp): 205.779 trđ, trong đó:</t>
        </r>
        <r>
          <rPr>
            <sz val="10"/>
            <color indexed="10"/>
            <rFont val="Tahoma"/>
            <family val="2"/>
          </rPr>
          <t xml:space="preserve">
- NS tỉnh quản lý trực tiếp: 152.779 trđ
- Bổ sung ngân sách huyện quản lý: 53.000 trđ
+ Tân Hồng: 3.000 trđ
+ TX Hồng Ngự: 10.700 trđ (2.000 trđ+8.700 trđ)
+ Tháp Mười: 4.000 trđ
+ H Cao Lãnh: 7.300 trđ
+ TP Cao Lãnh: 9.000 trđ
+ Lấp Vò: 5.000 trđ
+ Lai Vung: 7.000 trđ
+ Châu Thành: 7.000 trđ</t>
        </r>
        <r>
          <rPr>
            <sz val="10"/>
            <color indexed="81"/>
            <rFont val="Tahoma"/>
            <family val="2"/>
          </rPr>
          <t xml:space="preserve">
</t>
        </r>
        <r>
          <rPr>
            <b/>
            <sz val="10"/>
            <color indexed="81"/>
            <rFont val="Tahoma"/>
            <family val="2"/>
          </rPr>
          <t xml:space="preserve">
3/ Nguồn vốn trái phiếu Chính phủ: 189.200 trđ
</t>
        </r>
        <r>
          <rPr>
            <b/>
            <sz val="10"/>
            <color indexed="10"/>
            <rFont val="Tahoma"/>
            <family val="2"/>
          </rPr>
          <t>4/ Nguồn vốn vay tín dụng Ngân hàng Phát triển Việt Nam (Chi nhánh Đồng Tháp- An Giang): trđ
5/ Nguồn vốn tăng thu xổ số kiến thiết năm 2014: trđ
6/ Nguồn vốn tăng thu xổ số kiến thiết năm 2015: trđ</t>
        </r>
      </text>
    </comment>
    <comment ref="F12" authorId="0">
      <text>
        <r>
          <rPr>
            <b/>
            <sz val="10"/>
            <color indexed="81"/>
            <rFont val="Tahoma"/>
            <family val="2"/>
          </rPr>
          <t>Quangbxdth:
 Giảm  tỷ đồng.</t>
        </r>
        <r>
          <rPr>
            <sz val="10"/>
            <color indexed="81"/>
            <rFont val="Tahoma"/>
            <family val="2"/>
          </rPr>
          <t xml:space="preserve">
+ Giảm bố trí dự phòng ngân sách:  tỷ đồng
+ Hoãn các khoản chi mua sắm tài sản lớn chưa cấp thiết:  tỷ đồng
</t>
        </r>
      </text>
    </comment>
    <comment ref="K12" authorId="1">
      <text>
        <r>
          <rPr>
            <b/>
            <sz val="10"/>
            <color indexed="81"/>
            <rFont val="Tahoma"/>
            <family val="2"/>
          </rPr>
          <t>quangbx:</t>
        </r>
        <r>
          <rPr>
            <sz val="10"/>
            <color indexed="81"/>
            <rFont val="Tahoma"/>
            <family val="2"/>
          </rPr>
          <t xml:space="preserve">
Tw giao:</t>
        </r>
        <r>
          <rPr>
            <sz val="10"/>
            <color indexed="10"/>
            <rFont val="Tahoma"/>
            <family val="2"/>
          </rPr>
          <t xml:space="preserve"> 5.740.984 trđ</t>
        </r>
        <r>
          <rPr>
            <sz val="10"/>
            <color indexed="81"/>
            <rFont val="Tahoma"/>
            <family val="2"/>
          </rPr>
          <t xml:space="preserve">
Đã bao gồm tiền lương 1.150.000 đồng/tháng</t>
        </r>
      </text>
    </comment>
    <comment ref="K14" authorId="1">
      <text>
        <r>
          <rPr>
            <b/>
            <sz val="8"/>
            <color indexed="81"/>
            <rFont val="Tahoma"/>
            <family val="2"/>
          </rPr>
          <t>quangbx:</t>
        </r>
        <r>
          <rPr>
            <sz val="8"/>
            <color indexed="81"/>
            <rFont val="Tahoma"/>
            <family val="2"/>
          </rPr>
          <t xml:space="preserve">
TW giao 410.000 trđ</t>
        </r>
      </text>
    </comment>
    <comment ref="N14" authorId="1">
      <text>
        <r>
          <rPr>
            <b/>
            <sz val="10"/>
            <color indexed="81"/>
            <rFont val="Tahoma"/>
            <family val="2"/>
          </rPr>
          <t>quangbx:</t>
        </r>
        <r>
          <rPr>
            <sz val="10"/>
            <color indexed="81"/>
            <rFont val="Tahoma"/>
            <family val="2"/>
          </rPr>
          <t xml:space="preserve">
NST: 210.000 trđ nhưng đã bổ sung cho huyện  trđ () nên còn lại  trđ</t>
        </r>
      </text>
    </comment>
    <comment ref="O14" authorId="1">
      <text>
        <r>
          <rPr>
            <b/>
            <sz val="10"/>
            <color indexed="81"/>
            <rFont val="Tahoma"/>
            <family val="2"/>
          </rPr>
          <t>quangbx:</t>
        </r>
        <r>
          <rPr>
            <sz val="10"/>
            <color indexed="81"/>
            <rFont val="Tahoma"/>
            <family val="2"/>
          </rPr>
          <t xml:space="preserve">
NSH chỉ có 213. 000 trđ, nếu cộng bổ sung vốn TT của Tỉnh  trđ thì là  trđ
</t>
        </r>
      </text>
    </comment>
    <comment ref="N17" authorId="2">
      <text>
        <r>
          <rPr>
            <b/>
            <sz val="8"/>
            <color indexed="81"/>
            <rFont val="Tahoma"/>
            <family val="2"/>
          </rPr>
          <t>Administrator:</t>
        </r>
        <r>
          <rPr>
            <sz val="8"/>
            <color indexed="81"/>
            <rFont val="Tahoma"/>
            <family val="2"/>
          </rPr>
          <t xml:space="preserve">
Hỗ trợ cho doanh nghiệp công ích; chi đối ứng chính sách bảo hiểm nông nghiệp theo QĐ 315/QĐ-TTg ngày 01/3/22011 của Thủ tướng Chính phủ</t>
        </r>
      </text>
    </comment>
    <comment ref="K18" authorId="0">
      <text>
        <r>
          <rPr>
            <b/>
            <sz val="10"/>
            <color indexed="81"/>
            <rFont val="Tahoma"/>
            <family val="2"/>
          </rPr>
          <t>Quangbxdth:</t>
        </r>
        <r>
          <rPr>
            <sz val="10"/>
            <color indexed="81"/>
            <rFont val="Tahoma"/>
            <family val="2"/>
          </rPr>
          <t xml:space="preserve">
</t>
        </r>
        <r>
          <rPr>
            <sz val="10"/>
            <color indexed="10"/>
            <rFont val="Tahoma"/>
            <family val="2"/>
          </rPr>
          <t xml:space="preserve">Tw giao: 4.863.264 trđ
Chế độ chính sách tăng thêm năm 2014: 514.538 trđ
- Tiền lương tăng thêm: 320.020 trđ
- các chế độ khác: 132.318 trđ (368.082 trđ -(133.670 trđ+32.680 trđ)-69.414 trđ)
</t>
        </r>
      </text>
    </comment>
    <comment ref="K20" authorId="1">
      <text>
        <r>
          <rPr>
            <b/>
            <sz val="8"/>
            <color indexed="81"/>
            <rFont val="Tahoma"/>
            <family val="2"/>
          </rPr>
          <t>quangbx:</t>
        </r>
        <r>
          <rPr>
            <sz val="8"/>
            <color indexed="81"/>
            <rFont val="Tahoma"/>
            <family val="2"/>
          </rPr>
          <t xml:space="preserve">
TW giao 56.200 trđ</t>
        </r>
      </text>
    </comment>
    <comment ref="K22" authorId="1">
      <text>
        <r>
          <rPr>
            <b/>
            <sz val="8"/>
            <color indexed="81"/>
            <rFont val="Tahoma"/>
            <family val="2"/>
          </rPr>
          <t>quangbx:</t>
        </r>
        <r>
          <rPr>
            <sz val="8"/>
            <color indexed="81"/>
            <rFont val="Tahoma"/>
            <family val="2"/>
          </rPr>
          <t xml:space="preserve">
TW giao 21.602 trđ</t>
        </r>
      </text>
    </comment>
    <comment ref="I23" authorId="0">
      <text>
        <r>
          <rPr>
            <b/>
            <sz val="8"/>
            <color indexed="81"/>
            <rFont val="Tahoma"/>
            <family val="2"/>
          </rPr>
          <t>Quangbxdth:</t>
        </r>
        <r>
          <rPr>
            <sz val="8"/>
            <color indexed="81"/>
            <rFont val="Tahoma"/>
            <family val="2"/>
          </rPr>
          <t xml:space="preserve">
giảm 20.038 trđ so với số liệu của phòng HCSN</t>
        </r>
      </text>
    </comment>
    <comment ref="K23" authorId="1">
      <text>
        <r>
          <rPr>
            <b/>
            <sz val="10"/>
            <color indexed="81"/>
            <rFont val="Tahoma"/>
            <family val="2"/>
          </rPr>
          <t>quangbx:</t>
        </r>
        <r>
          <rPr>
            <sz val="10"/>
            <color indexed="81"/>
            <rFont val="Tahoma"/>
            <family val="2"/>
          </rPr>
          <t xml:space="preserve">
TW giao 2.413.884 trđ
Chế độ chính sách tăng thêm:189.070 trđ (165.515 trđ + 23.555 trđ)</t>
        </r>
      </text>
    </comment>
    <comment ref="K32" authorId="1">
      <text>
        <r>
          <rPr>
            <b/>
            <sz val="8"/>
            <color indexed="81"/>
            <rFont val="Tahoma"/>
            <family val="2"/>
          </rPr>
          <t>quangbx:</t>
        </r>
        <r>
          <rPr>
            <sz val="8"/>
            <color indexed="81"/>
            <rFont val="Tahoma"/>
            <family val="2"/>
          </rPr>
          <t xml:space="preserve">
TW giao 1.400 trđ</t>
        </r>
      </text>
    </comment>
    <comment ref="K33" authorId="1">
      <text>
        <r>
          <rPr>
            <b/>
            <sz val="10"/>
            <color indexed="81"/>
            <rFont val="Tahoma"/>
            <family val="2"/>
          </rPr>
          <t>quangbx:</t>
        </r>
        <r>
          <rPr>
            <sz val="10"/>
            <color indexed="81"/>
            <rFont val="Tahoma"/>
            <family val="2"/>
          </rPr>
          <t xml:space="preserve">
TW giao 109.200 trđ</t>
        </r>
      </text>
    </comment>
    <comment ref="F35" authorId="0">
      <text>
        <r>
          <rPr>
            <b/>
            <sz val="8"/>
            <color indexed="81"/>
            <rFont val="Tahoma"/>
            <family val="2"/>
          </rPr>
          <t>Quangbxdth:</t>
        </r>
        <r>
          <rPr>
            <sz val="8"/>
            <color indexed="81"/>
            <rFont val="Tahoma"/>
            <family val="2"/>
          </rPr>
          <t xml:space="preserve">
Theo số liệu của TƯ</t>
        </r>
      </text>
    </comment>
    <comment ref="K38" authorId="1">
      <text>
        <r>
          <rPr>
            <b/>
            <sz val="8"/>
            <color indexed="81"/>
            <rFont val="Tahoma"/>
            <family val="2"/>
          </rPr>
          <t>quangbx:</t>
        </r>
        <r>
          <rPr>
            <sz val="8"/>
            <color indexed="81"/>
            <rFont val="Tahoma"/>
            <family val="2"/>
          </rPr>
          <t xml:space="preserve">
</t>
        </r>
        <r>
          <rPr>
            <sz val="10"/>
            <color indexed="81"/>
            <rFont val="Tahoma"/>
            <family val="2"/>
          </rPr>
          <t xml:space="preserve">Trong đó có 4.920 </t>
        </r>
        <r>
          <rPr>
            <sz val="10"/>
            <color indexed="10"/>
            <rFont val="Tahoma"/>
            <family val="2"/>
          </rPr>
          <t>trđ</t>
        </r>
        <r>
          <rPr>
            <sz val="10"/>
            <color indexed="81"/>
            <rFont val="Tahoma"/>
            <family val="2"/>
          </rPr>
          <t xml:space="preserve"> vốn ngoài nước của Chương trình Nước sạch và vệ sinh môi trường nông thôn</t>
        </r>
      </text>
    </comment>
    <comment ref="O38" authorId="1">
      <text>
        <r>
          <rPr>
            <b/>
            <sz val="10"/>
            <color indexed="81"/>
            <rFont val="Tahoma"/>
            <family val="2"/>
          </rPr>
          <t>quangbx: Tổng: 17.050 trđ</t>
        </r>
        <r>
          <rPr>
            <sz val="8"/>
            <color indexed="81"/>
            <rFont val="Tahoma"/>
            <family val="2"/>
          </rPr>
          <t xml:space="preserve">
</t>
        </r>
        <r>
          <rPr>
            <b/>
            <sz val="10"/>
            <color indexed="81"/>
            <rFont val="Tahoma"/>
            <family val="2"/>
          </rPr>
          <t xml:space="preserve">1/ Vốn XDCB (QĐ số 1393/QĐ-UBND.HC ngày 31/12/2013 của UBND tỉnh Đồng Tháp): </t>
        </r>
        <r>
          <rPr>
            <b/>
            <sz val="10"/>
            <color indexed="10"/>
            <rFont val="Tahoma"/>
            <family val="2"/>
          </rPr>
          <t xml:space="preserve"> </t>
        </r>
        <r>
          <rPr>
            <b/>
            <sz val="10"/>
            <color indexed="81"/>
            <rFont val="Tahoma"/>
            <family val="2"/>
          </rPr>
          <t>15.250 trđ 
a/Mục tiêu Nước sạch và Vệ sinh môi trường nông thôn: 10.250 trđ</t>
        </r>
        <r>
          <rPr>
            <sz val="10"/>
            <color indexed="81"/>
            <rFont val="Tahoma"/>
            <family val="2"/>
          </rPr>
          <t xml:space="preserve">
-Theo Công văn liên ngành Sở Nông nghiệp &amp;PTNN- Sở Kế hoạch &amp; Đầu tư số 31/LNNNPTNT-KHĐT ngày 09/01/2014, điều chỉnh quản lý vốn đối ứng của Tỉnh về nước sinh hoạt nông thôn, môi trường nông thôn từ Sở Nông nghiệp PTNT sang bổ sung có mục tiêu cho huyện, thị xã, thành phố: 10.250 trđ, gồm:
- Hồng Ngự: 1.000 trđ
- Tam Nông: 1.200 trđ
- Thanh Bình: 700 trđ
- H Cao Lãnh: 1.800 trđ
- Tháp Mười: 800 trđ
- Lấp Vò: 2.500 trđ
- Lai Vung: 1.300 trđ
- Châu Thành: 450 trđ
</t>
        </r>
        <r>
          <rPr>
            <b/>
            <sz val="10"/>
            <color indexed="81"/>
            <rFont val="Tahoma"/>
            <family val="2"/>
          </rPr>
          <t xml:space="preserve">b/ Mục tiêu Giảm nghèo bền vững: 5.000 trđ
</t>
        </r>
        <r>
          <rPr>
            <sz val="10"/>
            <color indexed="81"/>
            <rFont val="Tahoma"/>
            <family val="2"/>
          </rPr>
          <t xml:space="preserve">- Hồng Ngự: 2.000 trđ
- Tân Hồng: 3.000 trđ
</t>
        </r>
        <r>
          <rPr>
            <b/>
            <sz val="10"/>
            <color indexed="81"/>
            <rFont val="Tahoma"/>
            <family val="2"/>
          </rPr>
          <t xml:space="preserve">2/ Vốn sự nghiệp (QĐ số 1393/QĐ-UBND.HC ngày 31/12/2013 của UBND tỉnh Đồng Tháp): 1.800 trđ, gồm:
Mục tiêu giảm nghèo bền vững: 1.800 trđ, gồm:
</t>
        </r>
        <r>
          <rPr>
            <sz val="10"/>
            <color indexed="81"/>
            <rFont val="Tahoma"/>
            <family val="2"/>
          </rPr>
          <t>- Hồng Ngự: 675 trđ
- TX Hồng Ngự: 450 trđ
- Tân Hồng: 675 trđ</t>
        </r>
      </text>
    </comment>
    <comment ref="K39" authorId="1">
      <text>
        <r>
          <rPr>
            <b/>
            <sz val="8"/>
            <color indexed="81"/>
            <rFont val="Tahoma"/>
            <family val="2"/>
          </rPr>
          <t>quangbx:</t>
        </r>
        <r>
          <rPr>
            <sz val="8"/>
            <color indexed="81"/>
            <rFont val="Tahoma"/>
            <family val="2"/>
          </rPr>
          <t xml:space="preserve">
</t>
        </r>
        <r>
          <rPr>
            <sz val="10"/>
            <color indexed="81"/>
            <rFont val="Tahoma"/>
            <family val="2"/>
          </rPr>
          <t>trong đó có bao gồm chi đầu tư từ nguồn vốn ngoài nước 87.397 triệu đồng , vốn này quản lý theo thực tế giải ngân</t>
        </r>
      </text>
    </comment>
    <comment ref="O39" authorId="1">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 ref="K40" authorId="1">
      <text>
        <r>
          <rPr>
            <b/>
            <sz val="10"/>
            <color indexed="81"/>
            <rFont val="Tahoma"/>
            <family val="2"/>
          </rPr>
          <t>quangbx:</t>
        </r>
        <r>
          <rPr>
            <sz val="10"/>
            <color indexed="81"/>
            <rFont val="Tahoma"/>
            <family val="2"/>
          </rPr>
          <t xml:space="preserve">
-Vốn ngoài nước: 13.230 trđ
-Chương trình bố trí, sắp xếp dân cư: 5.000 trđ
-Kinh phí phòng chống mại dâm, đề án trợ giúp XH và phục hồi chức năng cho người tâm thần, người rối nhiễu tâm trí: 360 trđ
-Hỗ trợ kinh phí thực hiện Luật dân quân tự vệ, Pháp lệnh Công an xã:11.700 trđ
-Chương trình Quốc gia về an toàn lao động, vệ sinh lao động: 80 trđ
-Chương trình quốc gia về Bình đẳng giới: 240 trđ
-Chương trình quốc gia về bảo vệ trẻ em: 813 trđ
-Kinh phí bồi dưỡng cán bộ hợp tác: 286 trđ
-Dự án hoàn thiện, hiện đại hóa hồ sơ bản đồ dịa giới hành chính và xây dựng cơ sở dữ liệu địa giới hành chính, triển khai mô hình "một cửa, một lần dừng": 1.500 trđ
-Hỗ trợ học bổng dân tộc nội trú, bán trú và trường phổ thông dân tộc bán trú và PTTH vùng đặc biệt khó khăn: 1.651 trđ
</t>
        </r>
        <r>
          <rPr>
            <b/>
            <sz val="10"/>
            <color indexed="81"/>
            <rFont val="Tahoma"/>
            <family val="2"/>
          </rPr>
          <t>Còn lại: 50.527 trđ , bố trí các chế độ cho huyện, như chính sách an sinh xã hội,</t>
        </r>
      </text>
    </comment>
    <comment ref="N40" authorId="0">
      <text>
        <r>
          <rPr>
            <b/>
            <sz val="10"/>
            <color indexed="81"/>
            <rFont val="Tahoma"/>
            <family val="2"/>
          </rPr>
          <t>Quangbxdth:</t>
        </r>
        <r>
          <rPr>
            <sz val="10"/>
            <color indexed="81"/>
            <rFont val="Tahoma"/>
            <family val="2"/>
          </rPr>
          <t xml:space="preserve">
- Chương trình SEQAP:  trđ (SNGD)
</t>
        </r>
        <r>
          <rPr>
            <sz val="10"/>
            <color indexed="10"/>
            <rFont val="Tahoma"/>
            <family val="2"/>
          </rPr>
          <t>- Ghi thu, ghi chi theo tiến độ giải ngân của chương trình hỗ trợ đảm bảo chất lượng trường học từ nguồn vốn ngoài nước   triệu đồng</t>
        </r>
        <r>
          <rPr>
            <sz val="10"/>
            <color indexed="81"/>
            <rFont val="Tahoma"/>
            <family val="2"/>
          </rPr>
          <t xml:space="preserve">
- Chương trình bố trí, sắp xếp dân cư: 5.000 trđ (SNKT)
- Kinh phí phòng chống mại dâm: 360 </t>
        </r>
        <r>
          <rPr>
            <sz val="10"/>
            <color indexed="10"/>
            <rFont val="Tahoma"/>
            <family val="2"/>
          </rPr>
          <t xml:space="preserve">trđ </t>
        </r>
        <r>
          <rPr>
            <sz val="10"/>
            <color indexed="81"/>
            <rFont val="Tahoma"/>
            <family val="2"/>
          </rPr>
          <t xml:space="preserve">(ĐBXH)
- Đề án trợ giúp XH và phục hồi chức năng cho người tâm thần, người rối nhiễu tâm trí: </t>
        </r>
        <r>
          <rPr>
            <sz val="10"/>
            <color indexed="10"/>
            <rFont val="Tahoma"/>
            <family val="2"/>
          </rPr>
          <t xml:space="preserve">trđ </t>
        </r>
        <r>
          <rPr>
            <sz val="10"/>
            <color indexed="81"/>
            <rFont val="Tahoma"/>
            <family val="2"/>
          </rPr>
          <t xml:space="preserve">(ĐBXH)
- Chương trình Quốc gia về an toàn lao động, vệ sinh lao động: 80 trđ (ĐBXH)
- Chương trình quốc gia về Bình đẳng giới: 240 trđ (ĐBXH)
- Chương trình quốc gia về bảo vệ trẻ em: 813 trđ (ĐBXH)
- Đề án phát triển nghề công tác xã hội: 286 trđ (ĐBXH)
- Kinh phí bồi dưỡng cán bộ hợp tác:  </t>
        </r>
        <r>
          <rPr>
            <sz val="10"/>
            <color indexed="10"/>
            <rFont val="Tahoma"/>
            <family val="2"/>
          </rPr>
          <t xml:space="preserve">trđ </t>
        </r>
        <r>
          <rPr>
            <sz val="10"/>
            <color indexed="81"/>
            <rFont val="Tahoma"/>
            <family val="2"/>
          </rPr>
          <t xml:space="preserve">(SNGD)
- Hỗ trợ kinh phí sáng tạo tác phẩm của Hội VHNT: </t>
        </r>
        <r>
          <rPr>
            <sz val="10"/>
            <color indexed="10"/>
            <rFont val="Tahoma"/>
            <family val="2"/>
          </rPr>
          <t xml:space="preserve"> trđ</t>
        </r>
        <r>
          <rPr>
            <sz val="10"/>
            <color indexed="81"/>
            <rFont val="Tahoma"/>
            <family val="2"/>
          </rPr>
          <t xml:space="preserve">
- Hỗ trợ kinh phí sáng tạo tác phẩm của Hội nhà báo địa phương:   </t>
        </r>
        <r>
          <rPr>
            <sz val="10"/>
            <color indexed="10"/>
            <rFont val="Tahoma"/>
            <family val="2"/>
          </rPr>
          <t>trđ</t>
        </r>
        <r>
          <rPr>
            <sz val="10"/>
            <color indexed="81"/>
            <rFont val="Tahoma"/>
            <family val="2"/>
          </rPr>
          <t xml:space="preserve">
- Còn lại 68.774 trđ
+ Hỗ trợ kinh phí mua trang phục cho dân quân tự vệ: 11.470 trđ (14.670 trđ - 3.200 trđ)
+ Hỗ trợ kinh phí mua trang phục cho công an xã: 550 trđ (1.550 trđ - 1.000 trđ)
</t>
        </r>
        <r>
          <rPr>
            <b/>
            <sz val="10"/>
            <color indexed="81"/>
            <rFont val="Tahoma"/>
            <family val="2"/>
          </rPr>
          <t>- Còn lại: 56.754 trđ, sẽ phân khai tiếp cho 12 huyện, thị xã, thành phố khi quyết toán cụ thể</t>
        </r>
        <r>
          <rPr>
            <sz val="10"/>
            <color indexed="81"/>
            <rFont val="Tahoma"/>
            <family val="2"/>
          </rPr>
          <t xml:space="preserve">
</t>
        </r>
        <r>
          <rPr>
            <sz val="10"/>
            <color indexed="10"/>
            <rFont val="Tahoma"/>
            <family val="2"/>
          </rPr>
          <t>+ Hỗ trợ miễn giảm học phí, chi phí học tập theo NĐ 49/2010/NĐ-CP, NĐ 74/2013/NĐ-CP của Chính phủ
+ Hỗ trợ kinh phí Luật Người Cao tuổi, Luật Người Khuyết tật và đối tượng bảo trợ xã hội
+ Hỗ trợ tiền ăn trưa cho trẻ em mẫu giáo 3- 5 tuổi, giáo viên mầm non, tăng biên chế</t>
        </r>
      </text>
    </comment>
    <comment ref="O40" authorId="1">
      <text>
        <r>
          <rPr>
            <b/>
            <sz val="8"/>
            <color indexed="81"/>
            <rFont val="Tahoma"/>
            <family val="2"/>
          </rPr>
          <t>quangbx:</t>
        </r>
        <r>
          <rPr>
            <sz val="8"/>
            <color indexed="81"/>
            <rFont val="Tahoma"/>
            <family val="2"/>
          </rPr>
          <t xml:space="preserve">
</t>
        </r>
        <r>
          <rPr>
            <b/>
            <sz val="10"/>
            <color indexed="81"/>
            <rFont val="Tahoma"/>
            <family val="2"/>
          </rPr>
          <t>Vốn sự nghiệp SEQAP: 11.573 trđ</t>
        </r>
        <r>
          <rPr>
            <sz val="8"/>
            <color indexed="81"/>
            <rFont val="Tahoma"/>
            <family val="2"/>
          </rPr>
          <t xml:space="preserve">
</t>
        </r>
      </text>
    </comment>
    <comment ref="N42" authorId="1">
      <text>
        <r>
          <rPr>
            <b/>
            <sz val="10"/>
            <color indexed="81"/>
            <rFont val="Tahoma"/>
            <family val="2"/>
          </rPr>
          <t>quangbx:</t>
        </r>
        <r>
          <rPr>
            <sz val="10"/>
            <color indexed="81"/>
            <rFont val="Tahoma"/>
            <family val="2"/>
          </rPr>
          <t xml:space="preserve">
- Lĩnh vực GD&amp;ĐT: </t>
        </r>
        <r>
          <rPr>
            <sz val="10"/>
            <color indexed="10"/>
            <rFont val="Tahoma"/>
            <family val="2"/>
          </rPr>
          <t>trđ</t>
        </r>
        <r>
          <rPr>
            <sz val="10"/>
            <color indexed="81"/>
            <rFont val="Tahoma"/>
            <family val="2"/>
          </rPr>
          <t xml:space="preserve">
- Lĩnh vực y tế: </t>
        </r>
        <r>
          <rPr>
            <sz val="10"/>
            <color indexed="10"/>
            <rFont val="Tahoma"/>
            <family val="2"/>
          </rPr>
          <t>trđ</t>
        </r>
        <r>
          <rPr>
            <sz val="10"/>
            <color indexed="81"/>
            <rFont val="Tahoma"/>
            <family val="2"/>
          </rPr>
          <t xml:space="preserve">
- Lĩnh vực VHXH: </t>
        </r>
        <r>
          <rPr>
            <sz val="10"/>
            <color indexed="10"/>
            <rFont val="Tahoma"/>
            <family val="2"/>
          </rPr>
          <t>trđ</t>
        </r>
        <r>
          <rPr>
            <sz val="10"/>
            <color indexed="81"/>
            <rFont val="Tahoma"/>
            <family val="2"/>
          </rPr>
          <t xml:space="preserve">
- Lĩnh vực giao thông: </t>
        </r>
        <r>
          <rPr>
            <sz val="10"/>
            <color indexed="10"/>
            <rFont val="Tahoma"/>
            <family val="2"/>
          </rPr>
          <t>trđ</t>
        </r>
      </text>
    </comment>
    <comment ref="O42" authorId="0">
      <text>
        <r>
          <rPr>
            <b/>
            <sz val="10"/>
            <color indexed="81"/>
            <rFont val="Tahoma"/>
            <family val="2"/>
          </rPr>
          <t xml:space="preserve">Quangbxdth:
</t>
        </r>
        <r>
          <rPr>
            <sz val="10"/>
            <color indexed="81"/>
            <rFont val="Tahoma"/>
            <family val="2"/>
          </rPr>
          <t xml:space="preserve">-QĐ số 1282/QĐ-UBND.HC ngày 16/12/2013 của UBND tỉnh Đồng Tháp) </t>
        </r>
        <r>
          <rPr>
            <b/>
            <sz val="10"/>
            <color indexed="81"/>
            <rFont val="Tahoma"/>
            <family val="2"/>
          </rPr>
          <t xml:space="preserve">
</t>
        </r>
        <r>
          <rPr>
            <sz val="10"/>
            <color indexed="81"/>
            <rFont val="Tahoma"/>
            <family val="2"/>
          </rPr>
          <t>-Theo Công văn liên ngành Sở Nông nghiệp &amp;PTNN- Sở Kế hoạch &amp; Đầu tư số 30/LNNNPTNT-KHĐT ngày 09/01/2014, điều chỉnh quản lý vốn đối ứng của Tỉnh về nước sinh hoạt nông thôn, môi trường nông thôn từ Sở Nông nghiệp PTNT sang bổ sung có mục tiêu cho huyện Tân Hồng 2.000 trđ</t>
        </r>
      </text>
    </comment>
  </commentList>
</comments>
</file>

<file path=xl/comments3.xml><?xml version="1.0" encoding="utf-8"?>
<comments xmlns="http://schemas.openxmlformats.org/spreadsheetml/2006/main">
  <authors>
    <author>quangbx</author>
    <author>Quangbxdth</author>
  </authors>
  <commentList>
    <comment ref="H5" authorId="0">
      <text>
        <r>
          <rPr>
            <b/>
            <sz val="8"/>
            <color indexed="81"/>
            <rFont val="Tahoma"/>
            <family val="2"/>
          </rPr>
          <t>quangbx:</t>
        </r>
        <r>
          <rPr>
            <sz val="8"/>
            <color indexed="81"/>
            <rFont val="Tahoma"/>
            <family val="2"/>
          </rPr>
          <t xml:space="preserve">
</t>
        </r>
      </text>
    </comment>
    <comment ref="E10" authorId="1">
      <text>
        <r>
          <rPr>
            <b/>
            <sz val="10"/>
            <color indexed="81"/>
            <rFont val="Tahoma"/>
            <family val="2"/>
          </rPr>
          <t>Quangbxdth:</t>
        </r>
        <r>
          <rPr>
            <sz val="10"/>
            <color indexed="81"/>
            <rFont val="Tahoma"/>
            <family val="2"/>
          </rPr>
          <t xml:space="preserve">
Dự toán ban đầu chưa có thu bô sung có mục tiêu: CTMTQG, mục tiêu khác: 69.492 trđ</t>
        </r>
      </text>
    </comment>
    <comment ref="P14" authorId="1">
      <text>
        <r>
          <rPr>
            <b/>
            <sz val="8"/>
            <color indexed="81"/>
            <rFont val="Tahoma"/>
            <family val="2"/>
          </rPr>
          <t>Quangbxdth:</t>
        </r>
        <r>
          <rPr>
            <sz val="8"/>
            <color indexed="81"/>
            <rFont val="Tahoma"/>
            <family val="2"/>
          </rPr>
          <t xml:space="preserve">
</t>
        </r>
        <r>
          <rPr>
            <sz val="10"/>
            <color indexed="81"/>
            <rFont val="Tahoma"/>
            <family val="2"/>
          </rPr>
          <t>không kể thu phạt ATGT điều tiết về NST 30%</t>
        </r>
      </text>
    </comment>
  </commentList>
</comments>
</file>

<file path=xl/comments4.xml><?xml version="1.0" encoding="utf-8"?>
<comments xmlns="http://schemas.openxmlformats.org/spreadsheetml/2006/main">
  <authors>
    <author>quangbx</author>
  </authors>
  <commentList>
    <comment ref="K20" authorId="0">
      <text>
        <r>
          <rPr>
            <b/>
            <sz val="8"/>
            <color indexed="81"/>
            <rFont val="Tahoma"/>
            <family val="2"/>
          </rPr>
          <t>quangbx:</t>
        </r>
        <r>
          <rPr>
            <sz val="8"/>
            <color indexed="81"/>
            <rFont val="Tahoma"/>
            <family val="2"/>
          </rPr>
          <t xml:space="preserve">
Tinh: 2 tỷ</t>
        </r>
      </text>
    </comment>
    <comment ref="N20" authorId="0">
      <text>
        <r>
          <rPr>
            <b/>
            <sz val="8"/>
            <color indexed="81"/>
            <rFont val="Tahoma"/>
            <family val="2"/>
          </rPr>
          <t>quangbx:</t>
        </r>
        <r>
          <rPr>
            <sz val="8"/>
            <color indexed="81"/>
            <rFont val="Tahoma"/>
            <family val="2"/>
          </rPr>
          <t xml:space="preserve">
</t>
        </r>
      </text>
    </comment>
    <comment ref="C3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5.xml><?xml version="1.0" encoding="utf-8"?>
<comments xmlns="http://schemas.openxmlformats.org/spreadsheetml/2006/main">
  <authors>
    <author>quangbx</author>
    <author>Administrator</author>
  </authors>
  <commentList>
    <comment ref="H5" authorId="0">
      <text>
        <r>
          <rPr>
            <b/>
            <sz val="8"/>
            <color indexed="81"/>
            <rFont val="Tahoma"/>
            <family val="2"/>
          </rPr>
          <t>quangbx:</t>
        </r>
        <r>
          <rPr>
            <sz val="8"/>
            <color indexed="81"/>
            <rFont val="Tahoma"/>
            <family val="2"/>
          </rPr>
          <t xml:space="preserve">
</t>
        </r>
      </text>
    </comment>
    <comment ref="L16" authorId="1">
      <text>
        <r>
          <rPr>
            <b/>
            <sz val="8"/>
            <color indexed="81"/>
            <rFont val="Tahoma"/>
            <family val="2"/>
          </rPr>
          <t>Administrator:</t>
        </r>
        <r>
          <rPr>
            <sz val="8"/>
            <color indexed="81"/>
            <rFont val="Tahoma"/>
            <family val="2"/>
          </rPr>
          <t xml:space="preserve">
50% tăng thu so với dự toán HĐND giao</t>
        </r>
      </text>
    </comment>
    <comment ref="L19" authorId="0">
      <text>
        <r>
          <rPr>
            <b/>
            <sz val="8"/>
            <color indexed="81"/>
            <rFont val="Tahoma"/>
            <family val="2"/>
          </rPr>
          <t>quangbx:</t>
        </r>
        <r>
          <rPr>
            <sz val="8"/>
            <color indexed="81"/>
            <rFont val="Tahoma"/>
            <family val="2"/>
          </rPr>
          <t xml:space="preserve">
Các khoản tăng so với dự toán của TW giao:
- Nhà đất: 640 trđ
 - Phí: 34,000 trđ
 - Thu khác NS: 1,260 trđ
- Thu tại xã: 3,200 trđ</t>
        </r>
      </text>
    </comment>
    <comment ref="L21" authorId="1">
      <text>
        <r>
          <rPr>
            <b/>
            <sz val="8"/>
            <color indexed="81"/>
            <rFont val="Tahoma"/>
            <family val="2"/>
          </rPr>
          <t>Administrator:</t>
        </r>
        <r>
          <rPr>
            <sz val="8"/>
            <color indexed="81"/>
            <rFont val="Tahoma"/>
            <family val="2"/>
          </rPr>
          <t xml:space="preserve">
50% tăng thu so với dự toán HĐND giao</t>
        </r>
      </text>
    </comment>
    <comment ref="G36" authorId="0">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 ref="H38" authorId="1">
      <text>
        <r>
          <rPr>
            <b/>
            <sz val="8"/>
            <color indexed="81"/>
            <rFont val="Tahoma"/>
            <family val="2"/>
          </rPr>
          <t>Administrator:</t>
        </r>
        <r>
          <rPr>
            <sz val="8"/>
            <color indexed="81"/>
            <rFont val="Tahoma"/>
            <family val="2"/>
          </rPr>
          <t xml:space="preserve">
</t>
        </r>
        <r>
          <rPr>
            <b/>
            <sz val="8"/>
            <color indexed="81"/>
            <rFont val="Tahoma"/>
            <family val="2"/>
          </rPr>
          <t>1/ SNKT: trđ</t>
        </r>
        <r>
          <rPr>
            <sz val="8"/>
            <color indexed="81"/>
            <rFont val="Tahoma"/>
            <family val="2"/>
          </rPr>
          <t xml:space="preserve">
- Thuỷ lợi phí: 50,060 trđ
-
</t>
        </r>
        <r>
          <rPr>
            <b/>
            <sz val="8"/>
            <color indexed="81"/>
            <rFont val="Tahoma"/>
            <family val="2"/>
          </rPr>
          <t>2/ GD-ĐT:  trđ</t>
        </r>
        <r>
          <rPr>
            <sz val="8"/>
            <color indexed="81"/>
            <rFont val="Tahoma"/>
            <family val="2"/>
          </rPr>
          <t xml:space="preserve">
</t>
        </r>
        <r>
          <rPr>
            <b/>
            <sz val="8"/>
            <color indexed="81"/>
            <rFont val="Tahoma"/>
            <family val="2"/>
          </rPr>
          <t xml:space="preserve">3/ ĐBXH: 
</t>
        </r>
        <r>
          <rPr>
            <sz val="8"/>
            <color indexed="81"/>
            <rFont val="Tahoma"/>
            <family val="2"/>
          </rPr>
          <t xml:space="preserve">- NĐ 67: 31,910 trđ
- Nhà ở cho người nghèo: 14,6472 trđ (NSTW 13,200 trđ)
- Trợ cấp thôi việc QĐ 31: 20,917405 trđ
- 
1,700 trđ
</t>
        </r>
        <r>
          <rPr>
            <b/>
            <sz val="8"/>
            <color indexed="81"/>
            <rFont val="Tahoma"/>
            <family val="2"/>
          </rPr>
          <t>4/ AN-QP:  trđ</t>
        </r>
        <r>
          <rPr>
            <sz val="8"/>
            <color indexed="81"/>
            <rFont val="Tahoma"/>
            <family val="2"/>
          </rPr>
          <t xml:space="preserve">
992,790 trđ=1,000 trđ
</t>
        </r>
        <r>
          <rPr>
            <b/>
            <sz val="8"/>
            <color indexed="81"/>
            <rFont val="Tahoma"/>
            <family val="2"/>
          </rPr>
          <t>5/ Chi khác ngân sách:  trđ</t>
        </r>
        <r>
          <rPr>
            <sz val="8"/>
            <color indexed="81"/>
            <rFont val="Tahoma"/>
            <family val="2"/>
          </rPr>
          <t xml:space="preserve">
</t>
        </r>
        <r>
          <rPr>
            <b/>
            <sz val="8"/>
            <color indexed="81"/>
            <rFont val="Tahoma"/>
            <family val="2"/>
          </rPr>
          <t>6/ Cải cách tiền lương:  triệu đồng.</t>
        </r>
        <r>
          <rPr>
            <sz val="8"/>
            <color indexed="81"/>
            <rFont val="Tahoma"/>
            <family val="2"/>
          </rPr>
          <t xml:space="preserve">
=85,570 trđ + 93,835 trđ= 179,405 trđ
</t>
        </r>
      </text>
    </comment>
  </commentList>
</comments>
</file>

<file path=xl/comments6.xml><?xml version="1.0" encoding="utf-8"?>
<comments xmlns="http://schemas.openxmlformats.org/spreadsheetml/2006/main">
  <authors>
    <author>quangbx</author>
    <author>Quangbxdth</author>
    <author>quangbxdth</author>
  </authors>
  <commentList>
    <comment ref="C4" authorId="0">
      <text>
        <r>
          <rPr>
            <b/>
            <sz val="8"/>
            <color indexed="81"/>
            <rFont val="Tahoma"/>
            <family val="2"/>
          </rPr>
          <t>quangbx:</t>
        </r>
        <r>
          <rPr>
            <sz val="8"/>
            <color indexed="81"/>
            <rFont val="Tahoma"/>
            <family val="2"/>
          </rPr>
          <t xml:space="preserve">
Chưa kể:
- chi ĐTPT từ nguồn vốn địa phương (số chi này do Sở KHĐT thông báo)
- Dự phòng ngân sách cấp tỉnh
- Chi Quỹ dự trữ tài chính
- Chi tạo nguồn CCTL</t>
        </r>
      </text>
    </comment>
    <comment ref="Y12" authorId="1">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K13"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Y21" authorId="2">
      <text>
        <r>
          <rPr>
            <b/>
            <sz val="9"/>
            <color indexed="81"/>
            <rFont val="Tahoma"/>
            <family val="2"/>
          </rPr>
          <t>quangbxdth:</t>
        </r>
        <r>
          <rPr>
            <sz val="9"/>
            <color indexed="81"/>
            <rFont val="Tahoma"/>
            <family val="2"/>
          </rPr>
          <t xml:space="preserve">
Hỗ trợ học bổng dân tộc nội trú, bán trú và trường phổ thông dân tộc bán trú và PTTH vùng đặc biệt khó khăn</t>
        </r>
      </text>
    </comment>
    <comment ref="Y23" authorId="2">
      <text>
        <r>
          <rPr>
            <b/>
            <sz val="9"/>
            <color indexed="81"/>
            <rFont val="Tahoma"/>
            <family val="2"/>
          </rPr>
          <t>quangbxdth:</t>
        </r>
        <r>
          <rPr>
            <sz val="9"/>
            <color indexed="81"/>
            <rFont val="Tahoma"/>
            <family val="2"/>
          </rPr>
          <t xml:space="preserve">
-Kinh phí phòng chống mại dâm, đề án trợ giúp XH và phục hồi chức năng cho người tâm thần, người rối nhiễu tâm trí: 360 trđ
-Chương trình Quốc gia về an toàn lao động, vệ sinh lao động: 80 trđ
-Chương trình quốc gia về Bình đẳng giới: 240 trđ
-Chương trình quốc gia về bảo vệ trẻ em: 813 trđ</t>
        </r>
      </text>
    </comment>
    <comment ref="Y27" authorId="2">
      <text>
        <r>
          <rPr>
            <b/>
            <sz val="9"/>
            <color indexed="81"/>
            <rFont val="Tahoma"/>
            <family val="2"/>
          </rPr>
          <t>quangbxdth:</t>
        </r>
        <r>
          <rPr>
            <sz val="9"/>
            <color indexed="81"/>
            <rFont val="Tahoma"/>
            <family val="2"/>
          </rPr>
          <t xml:space="preserve">
Dự án hoàn thiện, hiện đại hóa hồ sơ bản đồ dịa giới hành chính và xây dựng cơ sở dữ liệu địa giới hành chính, triển khai mô hình "một cửa, một lần dừng": 1.500 trđ</t>
        </r>
      </text>
    </comment>
    <comment ref="T32" authorId="2">
      <text>
        <r>
          <rPr>
            <b/>
            <sz val="9"/>
            <color indexed="81"/>
            <rFont val="Tahoma"/>
            <family val="2"/>
          </rPr>
          <t>quangbxdth:</t>
        </r>
        <r>
          <rPr>
            <sz val="9"/>
            <color indexed="81"/>
            <rFont val="Tahoma"/>
            <family val="2"/>
          </rPr>
          <t xml:space="preserve">
có bố trí kinh phí mua 04 chiếc ô tô cho 4 đơn vị: Ban Nội chính, Báo ĐT, huyện ủy Thanh Bình, thành ủy Cao Lãnh</t>
        </r>
      </text>
    </comment>
    <comment ref="K44"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L44" authorId="2">
      <text>
        <r>
          <rPr>
            <b/>
            <sz val="9"/>
            <color indexed="81"/>
            <rFont val="Tahoma"/>
            <family val="2"/>
          </rPr>
          <t>quangbxdth:</t>
        </r>
        <r>
          <rPr>
            <sz val="9"/>
            <color indexed="81"/>
            <rFont val="Tahoma"/>
            <family val="2"/>
          </rPr>
          <t xml:space="preserve">
Dự án "Điều tra hiện trạng đa dạng sinh học và đề xuất các giải pháp bảo tồn, sử dụng bền vững Khu rừng tràm Gáo Giồng, huyện Cao Lãnh  : 713 trđ, bổ sung cho huyện Cao Lãnh
Kinh phí lắp giếng: 500 trđ cho thành phố Cao Lãnh</t>
        </r>
      </text>
    </comment>
    <comment ref="N44" authorId="0">
      <text>
        <r>
          <rPr>
            <b/>
            <sz val="9"/>
            <color indexed="81"/>
            <rFont val="Tahoma"/>
            <family val="2"/>
          </rPr>
          <t>quangbx:</t>
        </r>
        <r>
          <rPr>
            <sz val="9"/>
            <color indexed="81"/>
            <rFont val="Tahoma"/>
            <family val="2"/>
          </rPr>
          <t xml:space="preserve">
Giảm Trung tâm giáo dục thường xuyên chuyển giao cho huyện quản lý: 8.160 trđ
Giảm 2.220 trđ chuyền về huyện TTBDCT</t>
        </r>
      </text>
    </comment>
    <comment ref="Y54" authorId="2">
      <text>
        <r>
          <rPr>
            <b/>
            <sz val="9"/>
            <color indexed="81"/>
            <rFont val="Tahoma"/>
            <family val="2"/>
          </rPr>
          <t>quangbxdth:</t>
        </r>
        <r>
          <rPr>
            <sz val="9"/>
            <color indexed="81"/>
            <rFont val="Tahoma"/>
            <family val="2"/>
          </rPr>
          <t xml:space="preserve">
Kinh phí bồi dưỡng cán bộ hợp tác: 286 trđ</t>
        </r>
      </text>
    </comment>
    <comment ref="W61" authorId="1">
      <text>
        <r>
          <rPr>
            <b/>
            <sz val="8"/>
            <color indexed="81"/>
            <rFont val="Tahoma"/>
            <family val="2"/>
          </rPr>
          <t>Quangbxdth:</t>
        </r>
        <r>
          <rPr>
            <sz val="8"/>
            <color indexed="81"/>
            <rFont val="Tahoma"/>
            <family val="2"/>
          </rPr>
          <t xml:space="preserve">
</t>
        </r>
        <r>
          <rPr>
            <sz val="10"/>
            <color indexed="81"/>
            <rFont val="Tahoma"/>
            <family val="2"/>
          </rPr>
          <t xml:space="preserve">MTQG: Phòng, chống ma túy: 1.020 trđ
MTQG: Phòng, chống tội phạm: 230 trđ
</t>
        </r>
      </text>
    </comment>
    <comment ref="U62" authorId="2">
      <text>
        <r>
          <rPr>
            <b/>
            <sz val="9"/>
            <color indexed="81"/>
            <rFont val="Tahoma"/>
            <family val="2"/>
            <charset val="163"/>
          </rPr>
          <t>quangbxdth:</t>
        </r>
        <r>
          <rPr>
            <sz val="9"/>
            <color indexed="81"/>
            <rFont val="Tahoma"/>
            <family val="2"/>
            <charset val="163"/>
          </rPr>
          <t xml:space="preserve">
Kinh phí đối ngoại theo Công văn số 648/UBND-KTTH ngày 14/10/2014 của UBND tỉnh V/v kinh phí hoạt động quân sự năm 2015
4.026 trđ</t>
        </r>
      </text>
    </comment>
  </commentList>
</comments>
</file>

<file path=xl/comments7.xml><?xml version="1.0" encoding="utf-8"?>
<comments xmlns="http://schemas.openxmlformats.org/spreadsheetml/2006/main">
  <authors>
    <author>quangbx</author>
    <author>Quangbxdth</author>
  </authors>
  <commentList>
    <comment ref="C6" authorId="0">
      <text>
        <r>
          <rPr>
            <b/>
            <sz val="8"/>
            <color indexed="81"/>
            <rFont val="Tahoma"/>
            <family val="2"/>
          </rPr>
          <t>quangbx:</t>
        </r>
        <r>
          <rPr>
            <sz val="8"/>
            <color indexed="81"/>
            <rFont val="Tahoma"/>
            <family val="2"/>
          </rPr>
          <t xml:space="preserve">
Số liệu do Sở KHĐT cung cấp</t>
        </r>
      </text>
    </comment>
    <comment ref="C26" authorId="0">
      <text>
        <r>
          <rPr>
            <b/>
            <sz val="8"/>
            <color indexed="81"/>
            <rFont val="Tahoma"/>
            <family val="2"/>
          </rPr>
          <t>quangbx:</t>
        </r>
        <r>
          <rPr>
            <sz val="8"/>
            <color indexed="81"/>
            <rFont val="Tahoma"/>
            <family val="2"/>
          </rPr>
          <t xml:space="preserve">
Số liệu do Sở KHĐT cung cấp</t>
        </r>
      </text>
    </comment>
    <comment ref="F26" authorId="1">
      <text>
        <r>
          <rPr>
            <b/>
            <sz val="8"/>
            <color indexed="81"/>
            <rFont val="Tahoma"/>
            <family val="2"/>
          </rPr>
          <t>Quangbxdth:</t>
        </r>
        <r>
          <rPr>
            <sz val="8"/>
            <color indexed="81"/>
            <rFont val="Tahoma"/>
            <family val="2"/>
          </rPr>
          <t xml:space="preserve">
 Nâng cấp, mở rộng trụ sở UBND huyện Tân Hồng; hạng mục phòng làm việc một cửa liên thông - NS Tỉnh hỗ trợ có mục tiêu</t>
        </r>
      </text>
    </comment>
    <comment ref="C27" authorId="0">
      <text>
        <r>
          <rPr>
            <b/>
            <sz val="8"/>
            <color indexed="81"/>
            <rFont val="Tahoma"/>
            <family val="2"/>
          </rPr>
          <t>quangbx:</t>
        </r>
        <r>
          <rPr>
            <sz val="8"/>
            <color indexed="81"/>
            <rFont val="Tahoma"/>
            <family val="2"/>
          </rPr>
          <t xml:space="preserve">
Số liệu do Sở KHĐT cung cấp</t>
        </r>
      </text>
    </comment>
    <comment ref="C28" authorId="0">
      <text>
        <r>
          <rPr>
            <b/>
            <sz val="10"/>
            <color indexed="81"/>
            <rFont val="Tahoma"/>
            <family val="2"/>
          </rPr>
          <t>Bổ sung thêm</t>
        </r>
        <r>
          <rPr>
            <sz val="10"/>
            <color indexed="81"/>
            <rFont val="Tahoma"/>
            <family val="2"/>
          </rPr>
          <t xml:space="preserve">
NSTW:
- NĐ 13-67: 19.910 trđ
- NĐ 49: 12.050 trđ
- Đô thị loại IV: 5.000 trđ
- QĐ 239: 570 trđ
- QĐ 102: 770 trđ
- QĐ 99: 3.580 trđ
- QĐ 2409: 19.360 trđ</t>
        </r>
      </text>
    </comment>
    <comment ref="C30"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List>
</comments>
</file>

<file path=xl/comments8.xml><?xml version="1.0" encoding="utf-8"?>
<comments xmlns="http://schemas.openxmlformats.org/spreadsheetml/2006/main">
  <authors>
    <author>Quangbxdth</author>
    <author>quangbx</author>
    <author>quangbxdth</author>
  </authors>
  <commentList>
    <comment ref="C7" authorId="0">
      <text>
        <r>
          <rPr>
            <b/>
            <sz val="8"/>
            <color indexed="81"/>
            <rFont val="Tahoma"/>
            <family val="2"/>
          </rPr>
          <t>Quangbxdth:</t>
        </r>
        <r>
          <rPr>
            <sz val="8"/>
            <color indexed="81"/>
            <rFont val="Tahoma"/>
            <family val="2"/>
          </rPr>
          <t xml:space="preserve">
1/ Tỉnh quản lý: 65.206 trđ
- Vốn XDCB: 13.490 trđ
- Vốn sự nghiệp: 51.716 trđ
2/ Huyện quản lý (bổ sung có mục tiêu): 17.050 trđ
- Vốn XDCB: 15.250 trđ
- Vốn sự nghiệp: 1.800 trđ</t>
        </r>
      </text>
    </comment>
    <comment ref="C8" authorId="1">
      <text>
        <r>
          <rPr>
            <b/>
            <sz val="8"/>
            <color indexed="81"/>
            <rFont val="Tahoma"/>
            <family val="2"/>
          </rPr>
          <t>quangbx:</t>
        </r>
        <r>
          <rPr>
            <sz val="8"/>
            <color indexed="81"/>
            <rFont val="Tahoma"/>
            <family val="2"/>
          </rPr>
          <t xml:space="preserve">
Chưa bao gồm vốn vay bổ sung Quỹ quốc gia về việc làm, BTC cấp trực tiếp qua NHCSXH</t>
        </r>
      </text>
    </comment>
    <comment ref="D9" authorId="0">
      <text>
        <r>
          <rPr>
            <b/>
            <sz val="8"/>
            <color indexed="81"/>
            <rFont val="Tahoma"/>
            <family val="2"/>
          </rPr>
          <t>Quangbxdth:</t>
        </r>
        <r>
          <rPr>
            <sz val="8"/>
            <color indexed="81"/>
            <rFont val="Tahoma"/>
            <family val="2"/>
          </rPr>
          <t xml:space="preserve">
QĐ số 1393/QĐ-UBND.HC ngày 31/12/2013 của UBND tỉnh Đồng Tháp, trong đó bổ sung có mục tiêu Chương trình Giảm nghèo bền vững cho 2 huyện 5.000 trđ, gồm:
+ Hồng Ngự: 2.000 trđ
+ Tân Hồng: 3.000 trđ</t>
        </r>
      </text>
    </comment>
    <comment ref="C10" authorId="0">
      <text>
        <r>
          <rPr>
            <b/>
            <sz val="8"/>
            <color indexed="81"/>
            <rFont val="Tahoma"/>
            <family val="2"/>
          </rPr>
          <t>Quangbxdth:</t>
        </r>
        <r>
          <rPr>
            <sz val="8"/>
            <color indexed="81"/>
            <rFont val="Tahoma"/>
            <family val="2"/>
          </rPr>
          <t xml:space="preserve">
Trong đó vốn ngoài nước:  trđ</t>
        </r>
      </text>
    </comment>
    <comment ref="D10" authorId="0">
      <text>
        <r>
          <rPr>
            <b/>
            <sz val="8"/>
            <color indexed="81"/>
            <rFont val="Tahoma"/>
            <family val="2"/>
          </rPr>
          <t>Quangbxdth:</t>
        </r>
        <r>
          <rPr>
            <sz val="8"/>
            <color indexed="81"/>
            <rFont val="Tahoma"/>
            <family val="2"/>
          </rPr>
          <t xml:space="preserve">
Trong đó vốn ngoài nước (ODA):  0 trđ</t>
        </r>
      </text>
    </comment>
    <comment ref="E10" authorId="0">
      <text>
        <r>
          <rPr>
            <b/>
            <sz val="8"/>
            <color indexed="81"/>
            <rFont val="Tahoma"/>
            <family val="2"/>
          </rPr>
          <t>Quangbxdth:</t>
        </r>
        <r>
          <rPr>
            <sz val="8"/>
            <color indexed="81"/>
            <rFont val="Tahoma"/>
            <family val="2"/>
          </rPr>
          <t xml:space="preserve">
Trong đó vốn ngoài nước:  700 trđ</t>
        </r>
      </text>
    </comment>
    <comment ref="E16" authorId="1">
      <text>
        <r>
          <rPr>
            <b/>
            <sz val="8"/>
            <color indexed="81"/>
            <rFont val="Tahoma"/>
            <family val="2"/>
          </rPr>
          <t>quangbx:</t>
        </r>
        <r>
          <rPr>
            <sz val="8"/>
            <color indexed="81"/>
            <rFont val="Tahoma"/>
            <family val="2"/>
          </rPr>
          <t xml:space="preserve">
Công an Tỉnh</t>
        </r>
      </text>
    </comment>
    <comment ref="E17" authorId="1">
      <text>
        <r>
          <rPr>
            <b/>
            <sz val="8"/>
            <color indexed="81"/>
            <rFont val="Tahoma"/>
            <family val="2"/>
          </rPr>
          <t>quangbx:</t>
        </r>
        <r>
          <rPr>
            <sz val="8"/>
            <color indexed="81"/>
            <rFont val="Tahoma"/>
            <family val="2"/>
          </rPr>
          <t xml:space="preserve">
Công an Tỉnh</t>
        </r>
      </text>
    </comment>
    <comment ref="D25" authorId="0">
      <text>
        <r>
          <rPr>
            <b/>
            <sz val="8"/>
            <color indexed="81"/>
            <rFont val="Tahoma"/>
            <family val="2"/>
          </rPr>
          <t>Quangbxdth:</t>
        </r>
        <r>
          <rPr>
            <sz val="8"/>
            <color indexed="81"/>
            <rFont val="Tahoma"/>
            <family val="2"/>
          </rPr>
          <t xml:space="preserve">
- Ngân sách cấp tỉnh trực tiếp quản lý: 241.800 trđ
- Ghi thu, ghi chi theo tiến độ giải ngân thực tế: 87.397 trđ
- Hỗ trợ có mục tiêu cho ngân sách huyện: 7.603 trđ</t>
        </r>
      </text>
    </comment>
    <comment ref="D26" authorId="1">
      <text>
        <r>
          <rPr>
            <b/>
            <sz val="8"/>
            <color indexed="81"/>
            <rFont val="Tahoma"/>
            <family val="2"/>
          </rPr>
          <t xml:space="preserve">quangbx:
</t>
        </r>
        <r>
          <rPr>
            <sz val="8"/>
            <color indexed="81"/>
            <rFont val="Tahoma"/>
            <family val="2"/>
          </rPr>
          <t>Theo Quyết định số 2986/QĐ-BTC ngày 30/11/2013 của Bộ trưởng Bộ Tài chính</t>
        </r>
        <r>
          <rPr>
            <sz val="8"/>
            <color indexed="81"/>
            <rFont val="Tahoma"/>
            <family val="2"/>
          </rPr>
          <t xml:space="preserve">
 </t>
        </r>
        <r>
          <rPr>
            <sz val="8"/>
            <color indexed="81"/>
            <rFont val="Tahoma"/>
            <family val="2"/>
          </rPr>
          <t>Trong đó: 
- Chương trình hỗ trợ đảm bảo chất lượng giáo dục trường học (dự án cải thiện cơ sở hạ tầng trang thiết bị trường học: Chương trình SEQAP) là 1.603 triệu đồng.Theo Quyết định số 44/QĐ-UBND.HC ngày 15/01/2014 của UBND tỉnh Đồng Tháp, phân khai bổ sung có mục tiêu cho ngân sách huyện, gồm:
+Huyện Châu Thành: 657,222 trđ (85,379+415,619+156,224)
+Huyện Lấp Vò: 260,827 trđ
+Huyện Lai Vung: 269,451 trđ (235,458+33,993)
+Huyện Tháp Mười: 415,500 trđ
- T</t>
        </r>
        <r>
          <rPr>
            <sz val="8"/>
            <color indexed="81"/>
            <rFont val="Tahoma"/>
            <family val="2"/>
          </rPr>
          <t xml:space="preserve">hực hiện theo thực tế giải ngân, trong phạm vi dự toán được giao và theo cơ chế tài chính trong nước; các chương trình còn lại ghi thu ghi chi theo tiến độ giải ngân: </t>
        </r>
        <r>
          <rPr>
            <sz val="8"/>
            <color indexed="10"/>
            <rFont val="Tahoma"/>
            <family val="2"/>
          </rPr>
          <t>87.397 triệu đồng.</t>
        </r>
        <r>
          <rPr>
            <sz val="8"/>
            <color indexed="81"/>
            <rFont val="Tahoma"/>
            <family val="2"/>
          </rPr>
          <t>Theo Quyết định số 44/QĐ-UBND.HC ngày 15/01/2014 của UBND tỉnh Đồng Tháp, vốn ODA ghi thu ghi chi theo tiến độ giải ngân theo 3 nội dung:
+ Dự án nâng cấp đô thi TP Cao Lãnh (vốn WB): 37.397 trđ
+ Dự án Trường THPT chuyên Nguyễn Đình Chiểu, TP Sa Đéc (thuộc chương trình phát triển giáo dục trung học): 30.000 trđ
+Tiểu dự án Kè chống xói lở bờ sông tiền khu vực thị trấn Thường Thới Tiền, huyện Hồng Ngự (vốn ADB): 20.000 trđ</t>
        </r>
      </text>
    </comment>
    <comment ref="D28" authorId="0">
      <text>
        <r>
          <rPr>
            <b/>
            <sz val="8"/>
            <color indexed="81"/>
            <rFont val="Tahoma"/>
            <family val="2"/>
          </rPr>
          <t>Quangbxdth:</t>
        </r>
        <r>
          <rPr>
            <sz val="8"/>
            <color indexed="81"/>
            <rFont val="Tahoma"/>
            <family val="2"/>
          </rPr>
          <t xml:space="preserve">
Trong đó:
- Chương trình giống cây trồng, vật nuôi, giống thủy sản: 10.000 trđ
- Chương trình phát triển hạ tầng nuôi trồng thủy sản: 9.000 trđ</t>
        </r>
      </text>
    </comment>
    <comment ref="D31" authorId="0">
      <text>
        <r>
          <rPr>
            <b/>
            <sz val="8"/>
            <color indexed="81"/>
            <rFont val="Tahoma"/>
            <family val="2"/>
          </rPr>
          <t>Quangbxdth:</t>
        </r>
        <r>
          <rPr>
            <sz val="8"/>
            <color indexed="81"/>
            <rFont val="Tahoma"/>
            <family val="2"/>
          </rPr>
          <t xml:space="preserve">
Trong đó:
- Hỗ trợ đầu tư Khu công nghiệp: 16.000 trđ
- Hỗ trợ đầu tư kết cấu hạ tầng khu kinh tế cửa khẩu: 30.000 trđ</t>
        </r>
      </text>
    </comment>
    <comment ref="E39" authorId="0">
      <text>
        <r>
          <rPr>
            <b/>
            <sz val="8"/>
            <color indexed="81"/>
            <rFont val="Tahoma"/>
            <family val="2"/>
          </rPr>
          <t xml:space="preserve">Quangbxdth:
</t>
        </r>
        <r>
          <rPr>
            <sz val="8"/>
            <color indexed="81"/>
            <rFont val="Tahoma"/>
            <family val="2"/>
          </rPr>
          <t>1/ Ghi thu, ghi chi theo tiến độ giải ngân của nguồn vốn nước ngoài: 6.000 trđ</t>
        </r>
        <r>
          <rPr>
            <sz val="8"/>
            <color indexed="81"/>
            <rFont val="Tahoma"/>
            <family val="2"/>
          </rPr>
          <t xml:space="preserve">
2/NS cấp tỉnh trực tiếp quản lý:
+Sự nghiệp kinh tế:
+Sự nghiệp giáo dục, đào tạo và dạy nghề:
+Sự nghiệp đảm bảo xã hội:
+Quốc phòng, an ninh:
3/NS cấp tỉnh bổ sung có mục tiêu cho NS huyện:
4/NS cấp tỉnh còn giữ lại phân bổ tiếp:</t>
        </r>
      </text>
    </comment>
    <comment ref="E40" authorId="1">
      <text>
        <r>
          <rPr>
            <b/>
            <sz val="8"/>
            <color indexed="81"/>
            <rFont val="Tahoma"/>
            <family val="2"/>
          </rPr>
          <t>quangbx: (SNGD)</t>
        </r>
        <r>
          <rPr>
            <sz val="8"/>
            <color indexed="81"/>
            <rFont val="Tahoma"/>
            <family val="2"/>
          </rPr>
          <t xml:space="preserve">
Vốn ngoài nước đối với chương trình hỗ trợ đảm bảo chất lượng trường học, thực hiện trong phạm vi dự toán được giao (Quyết định số 78/QĐ-UBND-HC ngày 22/01/2014 của UBND tỉnh Đồng Tháp, phân bổ kinh phí sự nghiệp Chương trình hỗ trợ chất lượng giáo dục trường học (SEQAP) năm 2014 (Sự nghiệp GD&amp;ĐT)), bao gồm:
</t>
        </r>
        <r>
          <rPr>
            <b/>
            <sz val="8"/>
            <color indexed="81"/>
            <rFont val="Tahoma"/>
            <family val="2"/>
          </rPr>
          <t>1/ Dự án đào tạo và hội thảo là  3.581 trđ, gồm:</t>
        </r>
        <r>
          <rPr>
            <sz val="8"/>
            <color indexed="81"/>
            <rFont val="Tahoma"/>
            <family val="2"/>
          </rPr>
          <t xml:space="preserve">
* Sở Giáo dục &amp; Đào tạo:1.525,000 trđ
* Hồng Ngự: 249,500 trđ
* TP Cao Lãnh: 286,000 trđ
* H Cao Lãnh: 309,000 trđ
* Tháp Mười: 265,500 trđ
* Lấp Vò: 263,500 trđ
* Lai Vung: 176,500 trđ
* TP Sa Đéc: 230,500 trđ
* Châu Thành: 275,500 trđ
</t>
        </r>
        <r>
          <rPr>
            <b/>
            <sz val="8"/>
            <color indexed="81"/>
            <rFont val="Tahoma"/>
            <family val="2"/>
          </rPr>
          <t>2/ Quỹ giáo dục nhà trường là  2.688 triệu đồng, gồm:</t>
        </r>
        <r>
          <rPr>
            <sz val="8"/>
            <color indexed="81"/>
            <rFont val="Tahoma"/>
            <family val="2"/>
          </rPr>
          <t xml:space="preserve">
* Hồng Ngự: 303,555 trđ
* TP Cao Lãnh: 392,231 trđ
* H Cao Lãnh: 372,738 trđ
* Tháp Mười: 280,634 trđ
* Lấp Vò: 366,424 trđ
* Lai Vung: 232,585 trđ
* TP Sa Đéc: 303,060 trđ
* Châu Thành: 436,773 trđ
</t>
        </r>
        <r>
          <rPr>
            <b/>
            <sz val="8"/>
            <color indexed="81"/>
            <rFont val="Tahoma"/>
            <family val="2"/>
          </rPr>
          <t>3/ Dự án quỹ phục lợi cho học sinh là 5.780 trđ, gồm:</t>
        </r>
        <r>
          <rPr>
            <sz val="8"/>
            <color indexed="81"/>
            <rFont val="Tahoma"/>
            <family val="2"/>
          </rPr>
          <t xml:space="preserve">
* Hồng Ngự: 659,236 trđ
* TP Cao Lãnh: 770,713 trđ
* H Cao Lãnh: 808,766 trđ
* Tháp Mười: 608,978 trđ
* Lấp Vò: 795,387 trđ
* Lai Vung: 504,588 trđ
* TP Sa Đéc: 684,886 trđ
* Châu Thành: 947,446 trđ
</t>
        </r>
        <r>
          <rPr>
            <b/>
            <sz val="8"/>
            <color indexed="81"/>
            <rFont val="Tahoma"/>
            <family val="2"/>
          </rPr>
          <t>4/ Dự án xây dựng năng lực cho dạy, học cả ngày là 251 triệu đồng (Sở Giáo dục &amp; Đào tạo)</t>
        </r>
        <r>
          <rPr>
            <sz val="8"/>
            <color indexed="81"/>
            <rFont val="Tahoma"/>
            <family val="2"/>
          </rPr>
          <t xml:space="preserve">
</t>
        </r>
        <r>
          <rPr>
            <b/>
            <sz val="8"/>
            <color indexed="81"/>
            <rFont val="Tahoma"/>
            <family val="2"/>
          </rPr>
          <t xml:space="preserve">5/ </t>
        </r>
        <r>
          <rPr>
            <b/>
            <sz val="8"/>
            <color indexed="10"/>
            <rFont val="Tahoma"/>
            <family val="2"/>
          </rPr>
          <t>Các chương trình, dự án còn lại thực hiện ghi thu, ghi chi theo thực tế giải ngân 6.000 trđ</t>
        </r>
        <r>
          <rPr>
            <sz val="8"/>
            <color indexed="10"/>
            <rFont val="Tahoma"/>
            <family val="2"/>
          </rPr>
          <t xml:space="preserve">
</t>
        </r>
        <r>
          <rPr>
            <sz val="8"/>
            <color indexed="81"/>
            <rFont val="Tahoma"/>
            <family val="2"/>
          </rPr>
          <t xml:space="preserve">
</t>
        </r>
      </text>
    </comment>
    <comment ref="E41" authorId="0">
      <text>
        <r>
          <rPr>
            <b/>
            <sz val="8"/>
            <color indexed="81"/>
            <rFont val="Tahoma"/>
            <family val="2"/>
          </rPr>
          <t>Quangbxdth:</t>
        </r>
        <r>
          <rPr>
            <sz val="8"/>
            <color indexed="81"/>
            <rFont val="Tahoma"/>
            <family val="2"/>
          </rPr>
          <t xml:space="preserve">
Quyết định số 78/QĐ-UBND-HC ngày 22/01/2014 của UBND tỉnh Đồng Tháp, phân bổ kinh phí sự nghiệp Chương trình hỗ trợ chất lượng giáo dục trường học (SEQAP) năm 2014 (Sự nghiệp GD&amp;ĐT): 1.049 trđ, gồm:
+ Hồng Ngự: 131,125 trđ
+ TP Cao Lãnh: 157,350 trđ
+ Cao Lãnh: 131,125 trđ
+ Tháp Mười: 131,125 trđ
+ Lấp Vò: 131,125 trđ
+ Lai Vung: 78,675 trđ
+ TP Sa Đéc: 131,125 trđ
+ Châu Thành: 157,350 trđ</t>
        </r>
      </text>
    </comment>
    <comment ref="E42" authorId="1">
      <text>
        <r>
          <rPr>
            <b/>
            <sz val="8"/>
            <color indexed="81"/>
            <rFont val="Tahoma"/>
            <family val="2"/>
          </rPr>
          <t>quangbx:</t>
        </r>
        <r>
          <rPr>
            <sz val="8"/>
            <color indexed="81"/>
            <rFont val="Tahoma"/>
            <family val="2"/>
          </rPr>
          <t xml:space="preserve">
Sở Nông nghiệp &amp; PTNT: </t>
        </r>
        <r>
          <rPr>
            <sz val="8"/>
            <color indexed="10"/>
            <rFont val="Tahoma"/>
            <family val="2"/>
          </rPr>
          <t>sự nghiệp kinh tế</t>
        </r>
      </text>
    </comment>
    <comment ref="E44" authorId="0">
      <text>
        <r>
          <rPr>
            <b/>
            <sz val="8"/>
            <color indexed="81"/>
            <rFont val="Tahoma"/>
            <family val="2"/>
          </rPr>
          <t>Quangbxdth:</t>
        </r>
        <r>
          <rPr>
            <sz val="8"/>
            <color indexed="81"/>
            <rFont val="Tahoma"/>
            <family val="2"/>
          </rPr>
          <t xml:space="preserve">
-Hỗ trợ KP sáng tạo tác phẩm của hội VHNT và Hội nhà báo địa phương: 640 trđ, trong đó:
+Hội VHNT: 550
+Hội nhà báo:90</t>
        </r>
      </text>
    </comment>
    <comment ref="E45" authorId="0">
      <text>
        <r>
          <rPr>
            <b/>
            <sz val="8"/>
            <color indexed="81"/>
            <rFont val="Tahoma"/>
            <family val="2"/>
          </rPr>
          <t>Quangbxdth:</t>
        </r>
        <r>
          <rPr>
            <sz val="8"/>
            <color indexed="81"/>
            <rFont val="Tahoma"/>
            <family val="2"/>
          </rPr>
          <t xml:space="preserve">
- Chương trình hành động phòng, chống mại dâm: 250 trđ </t>
        </r>
        <r>
          <rPr>
            <sz val="8"/>
            <color indexed="10"/>
            <rFont val="Tahoma"/>
            <family val="2"/>
          </rPr>
          <t>(SNXH)</t>
        </r>
        <r>
          <rPr>
            <sz val="8"/>
            <color indexed="81"/>
            <rFont val="Tahoma"/>
            <family val="2"/>
          </rPr>
          <t xml:space="preserve">
- Đề án trợ giúp XH và phục hồi chức năng cho người tâm thần, người rối nhiễu tâm trí: 90 trđ </t>
        </r>
        <r>
          <rPr>
            <sz val="8"/>
            <color indexed="10"/>
            <rFont val="Tahoma"/>
            <family val="2"/>
          </rPr>
          <t>(SNXH)</t>
        </r>
      </text>
    </comment>
    <comment ref="E46" authorId="1">
      <text>
        <r>
          <rPr>
            <b/>
            <sz val="8"/>
            <color indexed="81"/>
            <rFont val="Tahoma"/>
            <family val="2"/>
          </rPr>
          <t>quangbx:</t>
        </r>
        <r>
          <rPr>
            <sz val="8"/>
            <color indexed="81"/>
            <rFont val="Tahoma"/>
            <family val="2"/>
          </rPr>
          <t xml:space="preserve">
BCHQS tỉnh:  14.670 trđ
</t>
        </r>
        <r>
          <rPr>
            <sz val="8"/>
            <color indexed="81"/>
            <rFont val="Tahoma"/>
            <family val="2"/>
          </rPr>
          <t>CA Tỉnh:  1.550 trđ
Phân bổ cho tỉnh, huyện</t>
        </r>
        <r>
          <rPr>
            <sz val="8"/>
            <color indexed="81"/>
            <rFont val="Tahoma"/>
            <family val="2"/>
          </rPr>
          <t xml:space="preserve">
</t>
        </r>
      </text>
    </comment>
    <comment ref="E47"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8"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9" authorId="1">
      <text>
        <r>
          <rPr>
            <b/>
            <sz val="8"/>
            <color indexed="81"/>
            <rFont val="Tahoma"/>
            <family val="2"/>
          </rPr>
          <t>quangbx:</t>
        </r>
        <r>
          <rPr>
            <sz val="8"/>
            <color indexed="81"/>
            <rFont val="Tahoma"/>
            <family val="2"/>
          </rPr>
          <t xml:space="preserve">
Phân khai tiếp cho 12 huyện</t>
        </r>
      </text>
    </comment>
    <comment ref="E51" authorId="1">
      <text>
        <r>
          <rPr>
            <b/>
            <sz val="8"/>
            <color indexed="81"/>
            <rFont val="Tahoma"/>
            <family val="2"/>
          </rPr>
          <t>quangbx:</t>
        </r>
        <r>
          <rPr>
            <sz val="8"/>
            <color indexed="81"/>
            <rFont val="Tahoma"/>
            <family val="2"/>
          </rPr>
          <t xml:space="preserve">
Sở Lao động TBXH </t>
        </r>
        <r>
          <rPr>
            <sz val="8"/>
            <color indexed="10"/>
            <rFont val="Tahoma"/>
            <family val="2"/>
          </rPr>
          <t>(SNXH)</t>
        </r>
      </text>
    </comment>
    <comment ref="E53" authorId="0">
      <text>
        <r>
          <rPr>
            <b/>
            <sz val="8"/>
            <color indexed="81"/>
            <rFont val="Tahoma"/>
            <family val="2"/>
          </rPr>
          <t>Quangbxdth:</t>
        </r>
        <r>
          <rPr>
            <sz val="8"/>
            <color indexed="81"/>
            <rFont val="Tahoma"/>
            <family val="2"/>
          </rPr>
          <t xml:space="preserve">
-Đề án phát triển công tác xã hội: 286 trđ </t>
        </r>
        <r>
          <rPr>
            <sz val="8"/>
            <color indexed="10"/>
            <rFont val="Tahoma"/>
            <family val="2"/>
          </rPr>
          <t>(SNXH)</t>
        </r>
        <r>
          <rPr>
            <sz val="8"/>
            <color indexed="81"/>
            <rFont val="Tahoma"/>
            <family val="2"/>
          </rPr>
          <t xml:space="preserve">
</t>
        </r>
      </text>
    </comment>
    <comment ref="E54" authorId="0">
      <text>
        <r>
          <rPr>
            <b/>
            <sz val="8"/>
            <color indexed="81"/>
            <rFont val="Tahoma"/>
            <family val="2"/>
          </rPr>
          <t>Quangbxdth:</t>
        </r>
        <r>
          <rPr>
            <sz val="8"/>
            <color indexed="81"/>
            <rFont val="Tahoma"/>
            <family val="2"/>
          </rPr>
          <t xml:space="preserve">
</t>
        </r>
        <r>
          <rPr>
            <sz val="8"/>
            <color indexed="81"/>
            <rFont val="Tahoma"/>
            <family val="2"/>
          </rPr>
          <t xml:space="preserve">-Hỗ trợ thành lập mới, đào tạo, bồi dưỡng cán bộ HTX: 300 trđ </t>
        </r>
        <r>
          <rPr>
            <sz val="8"/>
            <color indexed="10"/>
            <rFont val="Tahoma"/>
            <family val="2"/>
          </rPr>
          <t>(SNGD&amp;ĐT</t>
        </r>
        <r>
          <rPr>
            <sz val="8"/>
            <color indexed="81"/>
            <rFont val="Tahoma"/>
            <family val="2"/>
          </rPr>
          <t>)</t>
        </r>
      </text>
    </comment>
    <comment ref="E55" authorId="1">
      <text>
        <r>
          <rPr>
            <b/>
            <sz val="8"/>
            <color indexed="81"/>
            <rFont val="Tahoma"/>
            <family val="2"/>
          </rPr>
          <t>quangbx:</t>
        </r>
        <r>
          <rPr>
            <sz val="8"/>
            <color indexed="81"/>
            <rFont val="Tahoma"/>
            <family val="2"/>
          </rPr>
          <t xml:space="preserve">
Đô thị loại IV Thị trấn Lấp Vò: 5 tỷ đồng và thành lập đơn vị hành chính đặc thù (Ngoại vụ): 1,2 tỷ đồng.</t>
        </r>
      </text>
    </comment>
    <comment ref="E56" authorId="1">
      <text>
        <r>
          <rPr>
            <b/>
            <sz val="8"/>
            <color indexed="81"/>
            <rFont val="Tahoma"/>
            <family val="2"/>
          </rPr>
          <t>quangbx:</t>
        </r>
        <r>
          <rPr>
            <sz val="8"/>
            <color indexed="81"/>
            <rFont val="Tahoma"/>
            <family val="2"/>
          </rPr>
          <t xml:space="preserve">
Thu hồi vốn ứng trước dự toán chi sự nghiệp môi trường năm 2014 là 8.103 trđ theo văn bản số 1595/TTg-KTTH ngày 07/10/2013 của Thủ tướng Chính phủ</t>
        </r>
      </text>
    </comment>
    <comment ref="E57" authorId="1">
      <text>
        <r>
          <rPr>
            <b/>
            <sz val="8"/>
            <color indexed="81"/>
            <rFont val="Tahoma"/>
            <family val="2"/>
          </rPr>
          <t>quangbx:</t>
        </r>
        <r>
          <rPr>
            <sz val="8"/>
            <color indexed="81"/>
            <rFont val="Tahoma"/>
            <family val="2"/>
          </rPr>
          <t xml:space="preserve">
Phân khai tiếp cho 12 huyện
- Hỗ trợ kinh phí giáo viên mầm non: 31.175 trđ
- Hỗ trợ kinh phí tiền ăn trưa mẫu giáo 3-5 tuổi: 14.650 trđ</t>
        </r>
      </text>
    </comment>
    <comment ref="E58" authorId="1">
      <text>
        <r>
          <rPr>
            <b/>
            <sz val="8"/>
            <color indexed="81"/>
            <rFont val="Tahoma"/>
            <family val="2"/>
          </rPr>
          <t>quangbx:</t>
        </r>
        <r>
          <rPr>
            <sz val="8"/>
            <color indexed="81"/>
            <rFont val="Tahoma"/>
            <family val="2"/>
          </rPr>
          <t xml:space="preserve">
Phân khai tiếp cho 12 huyện</t>
        </r>
      </text>
    </comment>
    <comment ref="E59" authorId="1">
      <text>
        <r>
          <rPr>
            <b/>
            <sz val="8"/>
            <color indexed="81"/>
            <rFont val="Tahoma"/>
            <family val="2"/>
          </rPr>
          <t>quangbx:</t>
        </r>
        <r>
          <rPr>
            <sz val="8"/>
            <color indexed="81"/>
            <rFont val="Tahoma"/>
            <family val="2"/>
          </rPr>
          <t xml:space="preserve">
Phân khai tiếp cho 12 huyện</t>
        </r>
      </text>
    </comment>
    <comment ref="B60" authorId="0">
      <text>
        <r>
          <rPr>
            <b/>
            <sz val="8"/>
            <color indexed="81"/>
            <rFont val="Tahoma"/>
            <family val="2"/>
          </rPr>
          <t>Quangbxdth:</t>
        </r>
        <r>
          <rPr>
            <sz val="8"/>
            <color indexed="81"/>
            <rFont val="Tahoma"/>
            <family val="2"/>
          </rPr>
          <t xml:space="preserve">
</t>
        </r>
        <r>
          <rPr>
            <sz val="10"/>
            <color indexed="81"/>
            <rFont val="Tahoma"/>
            <family val="2"/>
          </rPr>
          <t>QĐ số 973/QĐ-BTC ngày 30/11/2013 của Bộ Tài chính Về việc giao dự toán kinh phí phân giới cắm mốc biên giới trên đất liền Việt Nam- Camphuchia</t>
        </r>
      </text>
    </comment>
    <comment ref="E60" authorId="0">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E64" authorId="2">
      <text>
        <r>
          <rPr>
            <b/>
            <sz val="9"/>
            <color indexed="81"/>
            <rFont val="Tahoma"/>
            <family val="2"/>
          </rPr>
          <t>quangbxdth:</t>
        </r>
        <r>
          <rPr>
            <sz val="9"/>
            <color indexed="81"/>
            <rFont val="Tahoma"/>
            <family val="2"/>
          </rPr>
          <t xml:space="preserve">
-BTC tạm xác định giảm thu thực hiện NĐ 209 năm 2015: 724.987 trđ, NSTW gửi lại 50% để thực hiện cải cách tiền lương năm 2015 là 362.493,5 trđ, còn lại 362.493,5 trđ bổ sung cho NS tỉnh ĐT, nhưng BTC tạm bố trí 80% vào dự toán năm 2015 là 289.171 trđ
- Năm 2014, BTC đã bố trí cân đối cho ĐP do giảm so với dự toán năm 2013 là: 133.670 trđ
</t>
        </r>
        <r>
          <rPr>
            <b/>
            <sz val="10"/>
            <color indexed="81"/>
            <rFont val="Tahoma"/>
            <family val="2"/>
          </rPr>
          <t>Do đó 422.841 trđ là 289.171 trđ + 133.670 trđ</t>
        </r>
        <r>
          <rPr>
            <sz val="9"/>
            <color indexed="81"/>
            <rFont val="Tahoma"/>
            <family val="2"/>
          </rPr>
          <t xml:space="preserve">
</t>
        </r>
      </text>
    </comment>
    <comment ref="E65" authorId="1">
      <text>
        <r>
          <rPr>
            <b/>
            <sz val="8"/>
            <color indexed="81"/>
            <rFont val="Tahoma"/>
            <family val="2"/>
          </rPr>
          <t>quangbx:</t>
        </r>
        <r>
          <rPr>
            <sz val="8"/>
            <color indexed="81"/>
            <rFont val="Tahoma"/>
            <family val="2"/>
          </rPr>
          <t xml:space="preserve">
Đã bao gồm hỗ trợ quan hệ đối ngoại đất liền.
Chênh lệch so năm 2015 là 35.000 trđ, gồm:</t>
        </r>
      </text>
    </comment>
  </commentList>
</comments>
</file>

<file path=xl/comments9.xml><?xml version="1.0" encoding="utf-8"?>
<comments xmlns="http://schemas.openxmlformats.org/spreadsheetml/2006/main">
  <authors>
    <author>quangbx</author>
    <author>Quangbxdth</author>
  </authors>
  <commentList>
    <comment ref="C11" authorId="0">
      <text>
        <r>
          <rPr>
            <b/>
            <sz val="8"/>
            <color indexed="81"/>
            <rFont val="Tahoma"/>
            <family val="2"/>
          </rPr>
          <t>quangbx:</t>
        </r>
        <r>
          <rPr>
            <sz val="8"/>
            <color indexed="81"/>
            <rFont val="Tahoma"/>
            <family val="2"/>
          </rPr>
          <t xml:space="preserve">
Đã bao gồm đảm bảo nhiệm vụ chi 47 tỷ đồng</t>
        </r>
      </text>
    </comment>
    <comment ref="E11" authorId="0">
      <text>
        <r>
          <rPr>
            <b/>
            <sz val="8"/>
            <color indexed="81"/>
            <rFont val="Tahoma"/>
            <family val="2"/>
          </rPr>
          <t>quangbx:</t>
        </r>
        <r>
          <rPr>
            <sz val="8"/>
            <color indexed="81"/>
            <rFont val="Tahoma"/>
            <family val="2"/>
          </rPr>
          <t xml:space="preserve">
Đã bao gồm đảm bảo nhiệm vụ chi 47 tỷ đồng</t>
        </r>
      </text>
    </comment>
    <comment ref="J11" authorId="0">
      <text>
        <r>
          <rPr>
            <b/>
            <sz val="10"/>
            <color indexed="81"/>
            <rFont val="Tahoma"/>
            <family val="2"/>
          </rPr>
          <t>Bổ sung thêm</t>
        </r>
        <r>
          <rPr>
            <sz val="10"/>
            <color indexed="81"/>
            <rFont val="Tahoma"/>
            <family val="2"/>
          </rPr>
          <t xml:space="preserve">
1/ Khoán xã: 9.700 trđ (chi khác NS cấp tỉnh)
2/ NSTW:
- NĐ 13-67: 19.910 trđ
- NĐ 49: 12.050 trđ
- Đô thị loại IV: 5.000 trđ
- QĐ 239: 570 trđ
- QĐ 102: 770 trđ
-QĐ 99: 3.580 trđ
- QĐ 2409: 19.360 trđ</t>
        </r>
      </text>
    </comment>
    <comment ref="V11" authorId="0">
      <text>
        <r>
          <rPr>
            <b/>
            <sz val="10"/>
            <color indexed="81"/>
            <rFont val="Tahoma"/>
            <family val="2"/>
          </rPr>
          <t>Bổ sung thêm</t>
        </r>
        <r>
          <rPr>
            <sz val="10"/>
            <color indexed="81"/>
            <rFont val="Tahoma"/>
            <family val="2"/>
          </rPr>
          <t xml:space="preserve">
- Khoán xã: 630 trđ
- NĐ 13-67: 1.070 trđ
- NĐ 49: 60 trđ
- QĐ 239: 90 trđ
- QĐ 102: 150 trđ
-QĐ 99: 160 trđ
-QĐ 2409: 790 trđ</t>
        </r>
      </text>
    </comment>
    <comment ref="AD11" authorId="0">
      <text>
        <r>
          <rPr>
            <b/>
            <sz val="10"/>
            <color indexed="81"/>
            <rFont val="Tahoma"/>
            <family val="2"/>
          </rPr>
          <t>Bổ sung thêm</t>
        </r>
        <r>
          <rPr>
            <sz val="10"/>
            <color indexed="81"/>
            <rFont val="Tahoma"/>
            <family val="2"/>
          </rPr>
          <t xml:space="preserve">
- Khoán xã: 810 trđ
- NĐ 13-67: 0 trđ
- NĐ 49: 500 trđ
- QĐ 239: 30 trđ
- QĐ 102: 370 trđ
-QĐ 99: 250 trđ
-QĐ 2409: 2.260 trđ</t>
        </r>
      </text>
    </comment>
    <comment ref="AL11" authorId="0">
      <text>
        <r>
          <rPr>
            <b/>
            <sz val="10"/>
            <color indexed="81"/>
            <rFont val="Tahoma"/>
            <family val="2"/>
          </rPr>
          <t>Bổ sung thêm</t>
        </r>
        <r>
          <rPr>
            <sz val="10"/>
            <color indexed="81"/>
            <rFont val="Tahoma"/>
            <family val="2"/>
          </rPr>
          <t xml:space="preserve">
- Khoán xã: 1.080 trđ
- NĐ 13-67: 1.740 trđ
- NĐ 49: 520 trđ
- QĐ 239: 20 trđ
-QĐ 99: 220 trđ
-QĐ 2409: 1.670 trđ
</t>
        </r>
        <r>
          <rPr>
            <b/>
            <sz val="10"/>
            <color indexed="81"/>
            <rFont val="Tahoma"/>
            <family val="2"/>
          </rPr>
          <t>giảm 1.500 trđ do tăng thu 3.750 trđ</t>
        </r>
      </text>
    </comment>
    <comment ref="AT11" authorId="0">
      <text>
        <r>
          <rPr>
            <b/>
            <sz val="10"/>
            <color indexed="81"/>
            <rFont val="Tahoma"/>
            <family val="2"/>
          </rPr>
          <t>Bổ sung thêm</t>
        </r>
        <r>
          <rPr>
            <sz val="10"/>
            <color indexed="81"/>
            <rFont val="Tahoma"/>
            <family val="2"/>
          </rPr>
          <t xml:space="preserve">
- Khoán xã: 1.180 trđ
- NĐ 13-67: 3.070 trđ
- NĐ 49: 1.650 trđ
- QĐ 239: 30 trđ
-QĐ 99: 330 trđ
-QĐ 2409: 2.260 trđ</t>
        </r>
      </text>
    </comment>
    <comment ref="BB11" authorId="0">
      <text>
        <r>
          <rPr>
            <b/>
            <sz val="10"/>
            <color indexed="81"/>
            <rFont val="Tahoma"/>
            <family val="2"/>
          </rPr>
          <t>Bổ sung thêm</t>
        </r>
        <r>
          <rPr>
            <sz val="10"/>
            <color indexed="81"/>
            <rFont val="Tahoma"/>
            <family val="2"/>
          </rPr>
          <t xml:space="preserve">
- Khoán xã: 0 trđ
- NĐ 13-67: 2.260 trđ
- NĐ 49: 2.150 trđ
-QĐ 99: 360 trđ
-QĐ 2409: 1.120 trđ</t>
        </r>
      </text>
    </comment>
    <comment ref="BJ11" authorId="0">
      <text>
        <r>
          <rPr>
            <b/>
            <sz val="10"/>
            <color indexed="81"/>
            <rFont val="Tahoma"/>
            <family val="2"/>
          </rPr>
          <t>Bổ sung thêm</t>
        </r>
        <r>
          <rPr>
            <sz val="10"/>
            <color indexed="81"/>
            <rFont val="Tahoma"/>
            <family val="2"/>
          </rPr>
          <t xml:space="preserve">
- Khoán xã: 1.590 trđ
- NĐ 13-67: 1.130 trđ
- NĐ 49: 1.130 trđ
-QĐ 99: 390 trđ
-QĐ 2409: 2.220 trđ
</t>
        </r>
        <r>
          <rPr>
            <b/>
            <sz val="10"/>
            <color indexed="81"/>
            <rFont val="Tahoma"/>
            <family val="2"/>
          </rPr>
          <t>giảm 2.000 trđ do tăng thu 4.370 trđ</t>
        </r>
      </text>
    </comment>
    <comment ref="BR11" authorId="0">
      <text>
        <r>
          <rPr>
            <b/>
            <sz val="10"/>
            <color indexed="81"/>
            <rFont val="Tahoma"/>
            <family val="2"/>
          </rPr>
          <t>Bổ sung thêm</t>
        </r>
        <r>
          <rPr>
            <sz val="10"/>
            <color indexed="81"/>
            <rFont val="Tahoma"/>
            <family val="2"/>
          </rPr>
          <t xml:space="preserve">
- Khoán xã: 1.160 trđ
- NĐ 13-67: 2.860 trđ
- NĐ 49: 140 trđ
-QĐ 99: 360 trđ
-QĐ 2409: 1.030 trđ</t>
        </r>
      </text>
    </comment>
    <comment ref="BZ11" authorId="0">
      <text>
        <r>
          <rPr>
            <b/>
            <sz val="10"/>
            <color indexed="81"/>
            <rFont val="Tahoma"/>
            <family val="2"/>
          </rPr>
          <t>Bổ sung thêm</t>
        </r>
        <r>
          <rPr>
            <sz val="10"/>
            <color indexed="81"/>
            <rFont val="Tahoma"/>
            <family val="2"/>
          </rPr>
          <t xml:space="preserve">
- Khoán xã: 590 trđ (hỗ trợ 50%)
- NĐ 13-67: 2.280 trđ
- NĐ 49: 1.780 trđ
- Đô thi loại IV: 5.000 trđ
-QĐ 99: 360 trđ
-QĐ 2409: 1.680 trđ</t>
        </r>
      </text>
    </comment>
    <comment ref="CH11" authorId="0">
      <text>
        <r>
          <rPr>
            <b/>
            <sz val="10"/>
            <color indexed="81"/>
            <rFont val="Tahoma"/>
            <family val="2"/>
          </rPr>
          <t>Bổ sung thêm</t>
        </r>
        <r>
          <rPr>
            <sz val="10"/>
            <color indexed="81"/>
            <rFont val="Tahoma"/>
            <family val="2"/>
          </rPr>
          <t xml:space="preserve">
- Khoán xã: 1.090 trđ
- NĐ 13-67: 1.110 trđ
- NĐ 49: 2.470 trđ
- QĐ 239: 260 trđ
-QĐ 99: 280 trđ
-QĐ 2409: 1.890 trđ</t>
        </r>
      </text>
    </comment>
    <comment ref="CP11" authorId="0">
      <text>
        <r>
          <rPr>
            <b/>
            <sz val="10"/>
            <color indexed="81"/>
            <rFont val="Tahoma"/>
            <family val="2"/>
          </rPr>
          <t>Bổ sung thêm</t>
        </r>
        <r>
          <rPr>
            <sz val="10"/>
            <color indexed="81"/>
            <rFont val="Tahoma"/>
            <family val="2"/>
          </rPr>
          <t xml:space="preserve">
- Khoán xã: 0 trđ
- NĐ 13-67: 680 trđ
- NĐ 49: 0 trđ
-QĐ 99: 260 trđ
-QĐ 2409: 570 trđ</t>
        </r>
      </text>
    </comment>
    <comment ref="CX11" authorId="0">
      <text>
        <r>
          <rPr>
            <b/>
            <sz val="10"/>
            <color indexed="81"/>
            <rFont val="Tahoma"/>
            <family val="2"/>
          </rPr>
          <t>Bổ sung thêm</t>
        </r>
        <r>
          <rPr>
            <sz val="10"/>
            <color indexed="81"/>
            <rFont val="Tahoma"/>
            <family val="2"/>
          </rPr>
          <t xml:space="preserve">
- Khoán xã: 550 trđ (hỗ trợ 50%)
- NĐ 13-67: 3.710 trđ
- NĐ 49: 1.650 trđ
-QĐ 99: 360 trđ
-QĐ 2409: 1.520 trđ</t>
        </r>
      </text>
    </comment>
    <comment ref="CW13" authorId="0">
      <text>
        <r>
          <rPr>
            <b/>
            <sz val="8"/>
            <color indexed="81"/>
            <rFont val="Tahoma"/>
            <family val="2"/>
          </rPr>
          <t>quangbx:</t>
        </r>
        <r>
          <rPr>
            <sz val="8"/>
            <color indexed="81"/>
            <rFont val="Tahoma"/>
            <family val="2"/>
          </rPr>
          <t xml:space="preserve">
Nguồn CCTL còn dự năm trước chuyển sang năm 2012; 50% tăng thu NSH năm 2011</t>
        </r>
      </text>
    </comment>
    <comment ref="B15"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P15" authorId="1">
      <text>
        <r>
          <rPr>
            <b/>
            <sz val="8"/>
            <color indexed="81"/>
            <rFont val="Tahoma"/>
            <family val="2"/>
          </rPr>
          <t xml:space="preserve">Quangbxdth:
</t>
        </r>
        <r>
          <rPr>
            <sz val="10"/>
            <color indexed="81"/>
            <rFont val="Tahoma"/>
            <family val="2"/>
          </rPr>
          <t xml:space="preserve">Tổng giảm: -3.790 trđ
1/ Bù 50% làm lương: 1.900 trđ
2/ Bù do hụt thu: 1.500 trđ
3/ Còn lại bố trí cho: -390 trđ
- XDCB TT: - 500 trđ
- Chi TX: 430 trđ
</t>
        </r>
        <r>
          <rPr>
            <sz val="8"/>
            <color indexed="81"/>
            <rFont val="Tahoma"/>
            <family val="2"/>
          </rPr>
          <t xml:space="preserve">
-</t>
        </r>
        <r>
          <rPr>
            <sz val="10"/>
            <color indexed="81"/>
            <rFont val="Tahoma"/>
            <family val="2"/>
          </rPr>
          <t xml:space="preserve"> Dự phòng: - 320 trđ</t>
        </r>
        <r>
          <rPr>
            <sz val="8"/>
            <color indexed="81"/>
            <rFont val="Tahoma"/>
            <family val="2"/>
          </rPr>
          <t xml:space="preserve">
</t>
        </r>
      </text>
    </comment>
    <comment ref="X15" authorId="1">
      <text>
        <r>
          <rPr>
            <b/>
            <sz val="8"/>
            <color indexed="81"/>
            <rFont val="Tahoma"/>
            <family val="2"/>
          </rPr>
          <t xml:space="preserve">Quangbxdth:
</t>
        </r>
        <r>
          <rPr>
            <sz val="10"/>
            <color indexed="81"/>
            <rFont val="Tahoma"/>
            <family val="2"/>
          </rPr>
          <t xml:space="preserve">Tổng tăng: 5.550 trđ
1/ 50% làm lương: 2.780 trđ
2/ Còn lại bố trí tăng cho: 2.770 trđ
- giảm bù năm trước: 2.100 trđ
3/ còn lại: 670 trđ
- XDCB TT: 0 trđ
- Chi TX: 670 trđ
</t>
        </r>
        <r>
          <rPr>
            <sz val="8"/>
            <color indexed="81"/>
            <rFont val="Tahoma"/>
            <family val="2"/>
          </rPr>
          <t xml:space="preserve">
4</t>
        </r>
        <r>
          <rPr>
            <sz val="10"/>
            <color indexed="81"/>
            <rFont val="Tahoma"/>
            <family val="2"/>
          </rPr>
          <t>/ Dự phòng: 0 trđ</t>
        </r>
        <r>
          <rPr>
            <sz val="8"/>
            <color indexed="81"/>
            <rFont val="Tahoma"/>
            <family val="2"/>
          </rPr>
          <t xml:space="preserve">
</t>
        </r>
      </text>
    </comment>
    <comment ref="AF15" authorId="1">
      <text>
        <r>
          <rPr>
            <b/>
            <sz val="8"/>
            <color indexed="81"/>
            <rFont val="Tahoma"/>
            <family val="2"/>
          </rPr>
          <t xml:space="preserve">Quangbxdth:
</t>
        </r>
        <r>
          <rPr>
            <sz val="10"/>
            <color indexed="81"/>
            <rFont val="Tahoma"/>
            <family val="2"/>
          </rPr>
          <t xml:space="preserve">Tổng tăng: 875 trđ
1/ 50% làm lương: 440 trđ
2/ Còn lại bố trí tăng cho: 440 trđ
- XDCB TT: 0 trđ
- Chi TX: 440 trđ
</t>
        </r>
        <r>
          <rPr>
            <sz val="8"/>
            <color indexed="81"/>
            <rFont val="Tahoma"/>
            <family val="2"/>
          </rPr>
          <t xml:space="preserve">
</t>
        </r>
        <r>
          <rPr>
            <sz val="10"/>
            <color indexed="81"/>
            <rFont val="Tahoma"/>
            <family val="2"/>
          </rPr>
          <t>3/ Dự phòng: 0 trđ</t>
        </r>
        <r>
          <rPr>
            <sz val="8"/>
            <color indexed="81"/>
            <rFont val="Tahoma"/>
            <family val="2"/>
          </rPr>
          <t xml:space="preserve">
</t>
        </r>
      </text>
    </comment>
    <comment ref="AN15" authorId="1">
      <text>
        <r>
          <rPr>
            <b/>
            <sz val="8"/>
            <color indexed="81"/>
            <rFont val="Tahoma"/>
            <family val="2"/>
          </rPr>
          <t xml:space="preserve">Quangbxdth:
</t>
        </r>
        <r>
          <rPr>
            <sz val="10"/>
            <color indexed="81"/>
            <rFont val="Tahoma"/>
            <family val="2"/>
          </rPr>
          <t xml:space="preserve">Tổng giảm: -5.910 trđ
1/ Bù 50% làm lương: +2.960 trđ
2/ Bù do hụt thu: +3.000 trđ
3/ Còn lại bố trí cho:+ 40 trđ
- XDCB TT: - 500 trđ
- Chi TX: +710 trđ
</t>
        </r>
        <r>
          <rPr>
            <sz val="8"/>
            <color indexed="81"/>
            <rFont val="Tahoma"/>
            <family val="2"/>
          </rPr>
          <t>-</t>
        </r>
        <r>
          <rPr>
            <sz val="10"/>
            <color indexed="81"/>
            <rFont val="Tahoma"/>
            <family val="2"/>
          </rPr>
          <t xml:space="preserve"> Dự phòng: - 170 trđ</t>
        </r>
        <r>
          <rPr>
            <sz val="8"/>
            <color indexed="81"/>
            <rFont val="Tahoma"/>
            <family val="2"/>
          </rPr>
          <t xml:space="preserve">
</t>
        </r>
      </text>
    </comment>
    <comment ref="AV15" authorId="1">
      <text>
        <r>
          <rPr>
            <b/>
            <sz val="8"/>
            <color indexed="81"/>
            <rFont val="Tahoma"/>
            <family val="2"/>
          </rPr>
          <t xml:space="preserve">Quangbxdth:
</t>
        </r>
        <r>
          <rPr>
            <sz val="10"/>
            <color indexed="81"/>
            <rFont val="Tahoma"/>
            <family val="2"/>
          </rPr>
          <t xml:space="preserve">Tổng tăng: 6.710 trđ
1/ 50% làm lương: 3.360 trđ
2/ Còn lại bố trí tăng cho: 3.350 trđ
- XDCB TT: 500 trđ
- Chi TX: 2.850 trđ
</t>
        </r>
        <r>
          <rPr>
            <sz val="8"/>
            <color indexed="81"/>
            <rFont val="Tahoma"/>
            <family val="2"/>
          </rPr>
          <t xml:space="preserve">
</t>
        </r>
        <r>
          <rPr>
            <sz val="10"/>
            <color indexed="81"/>
            <rFont val="Tahoma"/>
            <family val="2"/>
          </rPr>
          <t>3/ Dự phòng: 0 trđ</t>
        </r>
        <r>
          <rPr>
            <sz val="8"/>
            <color indexed="81"/>
            <rFont val="Tahoma"/>
            <family val="2"/>
          </rPr>
          <t xml:space="preserve">
</t>
        </r>
      </text>
    </comment>
    <comment ref="BD15" authorId="1">
      <text>
        <r>
          <rPr>
            <b/>
            <sz val="8"/>
            <color indexed="81"/>
            <rFont val="Tahoma"/>
            <family val="2"/>
          </rPr>
          <t xml:space="preserve">Quangbxdth:
</t>
        </r>
        <r>
          <rPr>
            <sz val="10"/>
            <color indexed="81"/>
            <rFont val="Tahoma"/>
            <family val="2"/>
          </rPr>
          <t xml:space="preserve">Tổng giảm: -53.050 trđ
1/ Bù 50% làm lương: 26.530 trđ, còn lại: 26.520 trđ
2/ Bù hụt thu: 17.000 trđ
3/ Còn lại bố trí giảm cho: -9.520 trđ
- XDCB TT: - 5.000 trđ
- Chi TX: - 1.520 trđ
</t>
        </r>
        <r>
          <rPr>
            <sz val="8"/>
            <color indexed="81"/>
            <rFont val="Tahoma"/>
            <family val="2"/>
          </rPr>
          <t>-</t>
        </r>
        <r>
          <rPr>
            <sz val="10"/>
            <color indexed="81"/>
            <rFont val="Tahoma"/>
            <family val="2"/>
          </rPr>
          <t xml:space="preserve"> Dự phòng: - 3.000 trđ</t>
        </r>
        <r>
          <rPr>
            <sz val="8"/>
            <color indexed="81"/>
            <rFont val="Tahoma"/>
            <family val="2"/>
          </rPr>
          <t xml:space="preserve">
</t>
        </r>
      </text>
    </comment>
    <comment ref="BL15" authorId="1">
      <text>
        <r>
          <rPr>
            <b/>
            <sz val="8"/>
            <color indexed="81"/>
            <rFont val="Tahoma"/>
            <family val="2"/>
          </rPr>
          <t xml:space="preserve">Quangbxdth:
</t>
        </r>
        <r>
          <rPr>
            <sz val="10"/>
            <color indexed="81"/>
            <rFont val="Tahoma"/>
            <family val="2"/>
          </rPr>
          <t xml:space="preserve">Tổng tăng: 4.290 trđ
1/ Dành 50% làm lương: 2.150 trđ
2/ Giảm 1.000 trđ do tăng thu
3/ Còn lại bố trí cho: 1.150 trđ
- XDCB TT: 0 trđ
- Chi TX: 1.150 trđ
</t>
        </r>
        <r>
          <rPr>
            <sz val="8"/>
            <color indexed="81"/>
            <rFont val="Tahoma"/>
            <family val="2"/>
          </rPr>
          <t>-</t>
        </r>
        <r>
          <rPr>
            <sz val="10"/>
            <color indexed="81"/>
            <rFont val="Tahoma"/>
            <family val="2"/>
          </rPr>
          <t xml:space="preserve"> Dự phòng: 0 trđ</t>
        </r>
        <r>
          <rPr>
            <sz val="8"/>
            <color indexed="81"/>
            <rFont val="Tahoma"/>
            <family val="2"/>
          </rPr>
          <t xml:space="preserve">
</t>
        </r>
      </text>
    </comment>
    <comment ref="BT15" authorId="1">
      <text>
        <r>
          <rPr>
            <b/>
            <sz val="8"/>
            <color indexed="81"/>
            <rFont val="Tahoma"/>
            <family val="2"/>
          </rPr>
          <t xml:space="preserve">Quangbxdth:
</t>
        </r>
        <r>
          <rPr>
            <sz val="10"/>
            <color indexed="81"/>
            <rFont val="Tahoma"/>
            <family val="2"/>
          </rPr>
          <t xml:space="preserve">Tổng giảm: -2.800 trđ
1/ Bù 50% làm lương: 1.400 trđ
2/ Còn lại bố trí giảm cho: -1.400 trđ
- XDCB TT: - 1.500 trđ
- Chi TX: +330 trđ
</t>
        </r>
        <r>
          <rPr>
            <sz val="8"/>
            <color indexed="81"/>
            <rFont val="Tahoma"/>
            <family val="2"/>
          </rPr>
          <t>-</t>
        </r>
        <r>
          <rPr>
            <sz val="10"/>
            <color indexed="81"/>
            <rFont val="Tahoma"/>
            <family val="2"/>
          </rPr>
          <t xml:space="preserve"> Dự phòng: - 230 trđ</t>
        </r>
        <r>
          <rPr>
            <sz val="8"/>
            <color indexed="81"/>
            <rFont val="Tahoma"/>
            <family val="2"/>
          </rPr>
          <t xml:space="preserve">
</t>
        </r>
      </text>
    </comment>
    <comment ref="CB15" authorId="1">
      <text>
        <r>
          <rPr>
            <b/>
            <sz val="8"/>
            <color indexed="81"/>
            <rFont val="Tahoma"/>
            <family val="2"/>
          </rPr>
          <t xml:space="preserve">Quangbxdth:
</t>
        </r>
        <r>
          <rPr>
            <sz val="10"/>
            <color indexed="81"/>
            <rFont val="Tahoma"/>
            <family val="2"/>
          </rPr>
          <t xml:space="preserve">Tổng giảm: -16.780 trđ
1/ Bù 50% làm lương: 8.390 trđ, còn lại: 8.390 trđ
2/ Bù hụt thu: 2.000 trđ
3/ Còn lại bố trí giảm cho: -6.390 trđ
- XDCB TT: - 3.000 trđ
- Chi TX: - 1.390 trđ
</t>
        </r>
        <r>
          <rPr>
            <sz val="8"/>
            <color indexed="81"/>
            <rFont val="Tahoma"/>
            <family val="2"/>
          </rPr>
          <t>-</t>
        </r>
        <r>
          <rPr>
            <sz val="10"/>
            <color indexed="81"/>
            <rFont val="Tahoma"/>
            <family val="2"/>
          </rPr>
          <t xml:space="preserve"> Dự phòng: - 2.000 trđ</t>
        </r>
        <r>
          <rPr>
            <sz val="8"/>
            <color indexed="81"/>
            <rFont val="Tahoma"/>
            <family val="2"/>
          </rPr>
          <t xml:space="preserve">
</t>
        </r>
      </text>
    </comment>
    <comment ref="CJ15" authorId="1">
      <text>
        <r>
          <rPr>
            <b/>
            <sz val="8"/>
            <color indexed="81"/>
            <rFont val="Tahoma"/>
            <family val="2"/>
          </rPr>
          <t xml:space="preserve">Quangbxdth:
</t>
        </r>
        <r>
          <rPr>
            <sz val="10"/>
            <color indexed="81"/>
            <rFont val="Tahoma"/>
            <family val="2"/>
          </rPr>
          <t xml:space="preserve">Tổng tăng: 20.335 trđ
1/ 50% làm lương: 10.170 trđ
2/ Còn lại bố trí tăng cho: 10.165 trđ
- XDCB TT: 2.500 trđ
- Chi TX: 6.805 trđ
</t>
        </r>
        <r>
          <rPr>
            <sz val="8"/>
            <color indexed="81"/>
            <rFont val="Tahoma"/>
            <family val="2"/>
          </rPr>
          <t xml:space="preserve">
</t>
        </r>
        <r>
          <rPr>
            <sz val="10"/>
            <color indexed="81"/>
            <rFont val="Tahoma"/>
            <family val="2"/>
          </rPr>
          <t>3/ Dự phòng: 860 trđ</t>
        </r>
        <r>
          <rPr>
            <sz val="8"/>
            <color indexed="81"/>
            <rFont val="Tahoma"/>
            <family val="2"/>
          </rPr>
          <t xml:space="preserve">
</t>
        </r>
      </text>
    </comment>
    <comment ref="CR15" authorId="1">
      <text>
        <r>
          <rPr>
            <b/>
            <sz val="8"/>
            <color indexed="81"/>
            <rFont val="Tahoma"/>
            <family val="2"/>
          </rPr>
          <t xml:space="preserve">Quangbxdth:
</t>
        </r>
        <r>
          <rPr>
            <sz val="10"/>
            <color indexed="81"/>
            <rFont val="Tahoma"/>
            <family val="2"/>
          </rPr>
          <t xml:space="preserve">Tổng giảm: -74.720 trđ
1/ Bù 50% làm lương: 37.360 trđ
2/ Bù hụt thu: 10.000 trđ
3/ Còn lại bố trí giảm cho: -37.360 trđ
- XDCB TT: - 5.500 trđ
- Chi TX: -14.160 trđ
</t>
        </r>
        <r>
          <rPr>
            <sz val="8"/>
            <color indexed="81"/>
            <rFont val="Tahoma"/>
            <family val="2"/>
          </rPr>
          <t>-</t>
        </r>
        <r>
          <rPr>
            <sz val="10"/>
            <color indexed="81"/>
            <rFont val="Tahoma"/>
            <family val="2"/>
          </rPr>
          <t xml:space="preserve"> Dự phòng: - 7.700 trđ</t>
        </r>
        <r>
          <rPr>
            <sz val="8"/>
            <color indexed="81"/>
            <rFont val="Tahoma"/>
            <family val="2"/>
          </rPr>
          <t xml:space="preserve">
</t>
        </r>
      </text>
    </comment>
    <comment ref="CZ15" authorId="1">
      <text>
        <r>
          <rPr>
            <b/>
            <sz val="8"/>
            <color indexed="81"/>
            <rFont val="Tahoma"/>
            <family val="2"/>
          </rPr>
          <t xml:space="preserve">Quangbxdth:
</t>
        </r>
        <r>
          <rPr>
            <sz val="10"/>
            <color indexed="81"/>
            <rFont val="Tahoma"/>
            <family val="2"/>
          </rPr>
          <t>Tổng tăng: 9.840 trđ
1/ 50% làm lương: 4.920 trđ
Giảm cấp bù do tăng thu: 920 trđ
2/ Còn lại bố trí tăng cho: 4.000 trđ
- XDCB TT: 1.000 trđ
- Chi TX: 2.860 trđ
- Dự phòng: +140 trđ</t>
        </r>
        <r>
          <rPr>
            <sz val="8"/>
            <color indexed="81"/>
            <rFont val="Tahoma"/>
            <family val="2"/>
          </rPr>
          <t xml:space="preserve">
</t>
        </r>
      </text>
    </comment>
    <comment ref="CO25" authorId="1">
      <text>
        <r>
          <rPr>
            <b/>
            <sz val="8"/>
            <color indexed="81"/>
            <rFont val="Tahoma"/>
            <family val="2"/>
          </rPr>
          <t>Quangbxdth:</t>
        </r>
        <r>
          <rPr>
            <sz val="8"/>
            <color indexed="81"/>
            <rFont val="Tahoma"/>
            <family val="2"/>
          </rPr>
          <t xml:space="preserve">
</t>
        </r>
        <r>
          <rPr>
            <sz val="10"/>
            <color indexed="81"/>
            <rFont val="Tahoma"/>
            <family val="2"/>
          </rPr>
          <t xml:space="preserve">Tạo nguồn CCTL đầu năm 2013: 108.200 trđ
- Xử lý hụt thu 2012: 39.190 trđ
- Thực hiện CCTL lên 1.150.000 đ cho 6 tháng cuối năm 2013: 6.810 trđ
</t>
        </r>
        <r>
          <rPr>
            <b/>
            <sz val="10"/>
            <color indexed="81"/>
            <rFont val="Tahoma"/>
            <family val="2"/>
          </rPr>
          <t xml:space="preserve">Còn lại: 62.200 trđ
</t>
        </r>
      </text>
    </comment>
  </commentList>
</comments>
</file>

<file path=xl/sharedStrings.xml><?xml version="1.0" encoding="utf-8"?>
<sst xmlns="http://schemas.openxmlformats.org/spreadsheetml/2006/main" count="2835" uniqueCount="993">
  <si>
    <t>ĐVT : Triệu đồng</t>
  </si>
  <si>
    <t>Số TT</t>
  </si>
  <si>
    <t xml:space="preserve">Nội dung chi </t>
  </si>
  <si>
    <t xml:space="preserve">Hồng    Ngự </t>
  </si>
  <si>
    <t>TX. Hồng Ngự</t>
  </si>
  <si>
    <t xml:space="preserve">Tân    Hồng </t>
  </si>
  <si>
    <t>Chương trình giống cây trồng, vật nuôi, giống thủy sản; CT phát triển hạ tầng nuôi trồng thủy sản</t>
  </si>
  <si>
    <t>Hỗ trợ đầu tư khu công nghiệp, hạ tầng cụm công nghiệp, đầu tư khu kinh tế cửa khẩu</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</si>
  <si>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</si>
  <si>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</si>
  <si>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</si>
  <si>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</si>
  <si>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</si>
  <si>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</si>
  <si>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</si>
  <si>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</si>
  <si>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Chi đầu tư XDCB </t>
  </si>
  <si>
    <t xml:space="preserve">Vốn tập trung trong nước </t>
  </si>
  <si>
    <t xml:space="preserve">Vốn từ nguồn thu tiền sử dụng đất </t>
  </si>
  <si>
    <t xml:space="preserve">Chi thường xuyên </t>
  </si>
  <si>
    <t>Sự nghiệp giáo dục, đào tạo</t>
  </si>
  <si>
    <t>Sự nghiệp khoa học- công nghệ</t>
  </si>
  <si>
    <t>Sự nghiệp văn hóa - thông tin</t>
  </si>
  <si>
    <t>Sự nghiệp phát thanh - truyền hình</t>
  </si>
  <si>
    <t>Sự nghiệp thể dục - thể thao</t>
  </si>
  <si>
    <t>Chi đảm bảo xã hội</t>
  </si>
  <si>
    <t>Chi quản lý hành chính</t>
  </si>
  <si>
    <t>Chi Quốc phòng- An ninh</t>
  </si>
  <si>
    <t>Chi khác</t>
  </si>
  <si>
    <t>Chi từ nguồn NS cấp Tỉnh bổ sung có mục tiêu</t>
  </si>
  <si>
    <t>Huyện, thị xã, thành phố</t>
  </si>
  <si>
    <t>Chi NS 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</si>
  <si>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</si>
  <si>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</si>
  <si>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</si>
  <si>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</si>
  <si>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</si>
  <si>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</si>
  <si>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</si>
  <si>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</si>
  <si>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</si>
  <si>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</si>
  <si>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</si>
  <si>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</si>
  <si>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</si>
  <si>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</si>
  <si>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</si>
  <si>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Tổng thu ngân sách địa phương (I+II+III+IV)</t>
  </si>
  <si>
    <t>Thu ngân sách địa phương  (I+2b-2b1+II)</t>
  </si>
  <si>
    <t>10% tiết kiệm chi thường xuyên tăng thêm năm 2013 so với năm 2012</t>
  </si>
  <si>
    <t>Ngân sách tỉnh bổ sung để thực hiện điều chỉnh tiền lương đến MLTT 830.000 đ/tháng</t>
  </si>
  <si>
    <t>Ngân sách tỉnh bổ sung để thực hiện điều chỉnh tiền lương đến MLTT 1.050.000 đ/tháng</t>
  </si>
  <si>
    <t>50% tăng thu dự toán năm 2014 so với dự toán thu năm 2013</t>
  </si>
  <si>
    <t xml:space="preserve">UỶ BAN NHÂN DÂN                  CỘNG HÒA XÃ HỘI CHỦ NGHĨA VIỆT NAM
TỈNH ĐỒNG THÁP                                   Độc lập - Tự do - Hạnh phúc
</t>
  </si>
  <si>
    <t>Chỉ tiêu</t>
  </si>
  <si>
    <t>Gồm</t>
  </si>
  <si>
    <t>Kinh phí 
sự nghiệp</t>
  </si>
  <si>
    <t>Chương trình mục tiêu quốc gia</t>
  </si>
  <si>
    <t>Chương trình Nước sạch và Vệ sinh môi trường nông thôn</t>
  </si>
  <si>
    <t>Chương trình Phòng, chống tội phạm</t>
  </si>
  <si>
    <t>Chương trình Dân số và Kế hoạch hoá gia đình</t>
  </si>
  <si>
    <t>Chương trình Phòng, chống ma tuý</t>
  </si>
  <si>
    <t>Chương trình Vệ sinh an toàn thực phẩm</t>
  </si>
  <si>
    <t>Chương trình Giáo dục và đào tạo</t>
  </si>
  <si>
    <t>Một số mục tiêu, nhiệm vụ khác</t>
  </si>
  <si>
    <t>Đầu tư xây dựng cơ bản</t>
  </si>
  <si>
    <t>Đầu tư các dự án từ nguồn vốn ngoài nước (ODA)</t>
  </si>
  <si>
    <t>Kinh phí sự nghiệp</t>
  </si>
  <si>
    <t>Chi sự nghiệp từ nguồn vốn ngoài nước (ODA)</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</si>
  <si>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</si>
  <si>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</si>
  <si>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</si>
  <si>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</si>
  <si>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</si>
  <si>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</si>
  <si>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</si>
  <si>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</si>
  <si>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</si>
  <si>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phí, lệ phí  (3)</t>
  </si>
  <si>
    <t>Thu tiền sử dụng đất ( 4 )</t>
  </si>
  <si>
    <t>Thu khác ngân sách huyện (5)</t>
  </si>
  <si>
    <t>Thu tại xã, phường, thị trấn</t>
  </si>
  <si>
    <t>Thuế GTGT</t>
  </si>
  <si>
    <t>Thuế TNDN</t>
  </si>
  <si>
    <t>Thuế môn bài (1 )</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</si>
  <si>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</si>
  <si>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</si>
  <si>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</si>
  <si>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</si>
  <si>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</si>
  <si>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</si>
  <si>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</si>
  <si>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</si>
  <si>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</si>
  <si>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</si>
  <si>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</si>
  <si>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</si>
  <si>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</si>
  <si>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</si>
  <si>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(1): không kể thuế môn bài thu từ cá nhân, hộ kinh doanh</t>
  </si>
  <si>
    <t>(2): không kể lệ phí trước bạ nhà, đất</t>
  </si>
  <si>
    <t>(3): không kể phí, lệ phí do các ngành thuộc TW, cấp Tỉnh và cấp xã thu</t>
  </si>
  <si>
    <t>(4): không kể tiền sử dụng đất do cấp Tỉnh quản lý</t>
  </si>
  <si>
    <t>(5): + không kể thu xử phạt vi phạm hành chính trong lĩnh vực trật tự an toàn giao thông</t>
  </si>
  <si>
    <t xml:space="preserve">      +kể cả tiền cho thuê, bán nhà thuộc sở hữu nhà nước; thu hoạt động sự nghiệp của các đơn vị; viện trợ không hoàn lại và các thu khác do cấp huyện quản lý</t>
  </si>
  <si>
    <t xml:space="preserve">TỶ LỆ PHẦN TRĂM ( % ) PHÂN CHIA CÁC KHOẢN THU </t>
  </si>
  <si>
    <t xml:space="preserve">Đơn vị tính: % </t>
  </si>
  <si>
    <t>Văn phòng Đoàn ĐBQH&amp;HĐND Tỉnh</t>
  </si>
  <si>
    <t>Chi điều chỉnh tiền lương tối thiểu 1.150.000 đ/tháng</t>
  </si>
  <si>
    <t>Tên xã, phường, thị trấn</t>
  </si>
  <si>
    <t>Thuế môn bài thu từ cá nhân, hộ kinh doanh</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</si>
  <si>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</si>
  <si>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</si>
  <si>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</si>
  <si>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</si>
  <si>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</si>
  <si>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</si>
  <si>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</si>
  <si>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</si>
  <si>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</si>
  <si>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</si>
  <si>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</si>
  <si>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</si>
  <si>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</si>
  <si>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</si>
  <si>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</si>
  <si>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</si>
  <si>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</si>
  <si>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</si>
  <si>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</si>
  <si>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</si>
  <si>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</si>
  <si>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</si>
  <si>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</si>
  <si>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</si>
  <si>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</si>
  <si>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</si>
  <si>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</si>
  <si>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</si>
  <si>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</si>
  <si>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</si>
  <si>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</si>
  <si>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</si>
  <si>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</si>
  <si>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</si>
  <si>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</si>
  <si>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</si>
  <si>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</si>
  <si>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</si>
  <si>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</si>
  <si>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</si>
  <si>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</si>
  <si>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</si>
  <si>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</si>
  <si>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</si>
  <si>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</si>
  <si>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</si>
  <si>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</si>
  <si>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</si>
  <si>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</si>
  <si>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</si>
  <si>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</si>
  <si>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</si>
  <si>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</si>
  <si>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</si>
  <si>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</si>
  <si>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</si>
  <si>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</si>
  <si>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</si>
  <si>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</si>
  <si>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</si>
  <si>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</si>
  <si>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</si>
  <si>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</si>
  <si>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</si>
  <si>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</si>
  <si>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</si>
  <si>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</si>
  <si>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</si>
  <si>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</si>
  <si>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</si>
  <si>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</si>
  <si>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</si>
  <si>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</si>
  <si>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</si>
  <si>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</si>
  <si>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</si>
  <si>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</si>
  <si>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</si>
  <si>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</si>
  <si>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</si>
  <si>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</si>
  <si>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</si>
  <si>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</si>
  <si>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</si>
  <si>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</si>
  <si>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</si>
  <si>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TP Sa Đéc</t>
  </si>
  <si>
    <t xml:space="preserve">TP Sa Đéc </t>
  </si>
  <si>
    <t>TP. SA ĐÉC</t>
  </si>
  <si>
    <t>TP. Sa Đéc</t>
  </si>
  <si>
    <t>TP.Sa Đéc</t>
  </si>
  <si>
    <t xml:space="preserve">Thành phố Sa Đéc </t>
  </si>
  <si>
    <t>Thành phố Sa Đéc</t>
  </si>
  <si>
    <r>
      <t xml:space="preserve">Đối với tỷ lệ điều tiết của 4 khoản thu (thuế sử dụng đất phi nông nghiệp; thuế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</si>
  <si>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</si>
  <si>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</si>
  <si>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</si>
  <si>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</si>
  <si>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</si>
  <si>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</si>
  <si>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</si>
  <si>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</si>
  <si>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</si>
  <si>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</si>
  <si>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</si>
  <si>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</si>
  <si>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</si>
  <si>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</si>
  <si>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</si>
  <si>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</si>
  <si>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</si>
  <si>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</si>
  <si>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</si>
  <si>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</si>
  <si>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</si>
  <si>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</si>
  <si>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</si>
  <si>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</si>
  <si>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</si>
  <si>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</si>
  <si>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</si>
  <si>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</si>
  <si>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</si>
  <si>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</si>
  <si>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</si>
  <si>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</si>
  <si>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</si>
  <si>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</si>
  <si>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</si>
  <si>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</si>
  <si>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</si>
  <si>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</si>
  <si>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</si>
  <si>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</si>
  <si>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</si>
  <si>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</si>
  <si>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</si>
  <si>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</si>
  <si>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</si>
  <si>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</si>
  <si>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</si>
  <si>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</si>
  <si>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</si>
  <si>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</si>
  <si>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</si>
  <si>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</si>
  <si>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</si>
  <si>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</si>
  <si>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</si>
  <si>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</si>
  <si>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</si>
  <si>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</si>
  <si>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Hỗ trợ kinh phí xây dựng đời sống văn hoá khu dân cư</t>
  </si>
  <si>
    <t>Hỗ trợ kinh phí thực hiện đối với đảng bộ cơ sở</t>
  </si>
  <si>
    <t>Hỗ trợ một số chế độ, chính sách và nhiệm vụ do NSĐP đảm bảo nhưng không đủ nguồn</t>
  </si>
  <si>
    <t xml:space="preserve">An Hiệp </t>
  </si>
  <si>
    <r>
      <t>Ghi chú:</t>
    </r>
    <r>
      <rPr>
        <sz val="12"/>
        <rFont val="Times New Roman"/>
        <family val="1"/>
        <charset val="163"/>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</si>
  <si>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</si>
  <si>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</si>
  <si>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</si>
  <si>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</si>
  <si>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</si>
  <si>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</si>
  <si>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</si>
  <si>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</si>
  <si>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</si>
  <si>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</si>
  <si>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</si>
  <si>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</si>
  <si>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</si>
  <si>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</si>
  <si>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Trong đó bổ sung tiền lương tăng thêm và đảm bảo nhiệm vụ chi</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</si>
  <si>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</si>
  <si>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</si>
  <si>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</si>
  <si>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</si>
  <si>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</si>
  <si>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 xml:space="preserve">Ngân sách cấp Tỉnh </t>
  </si>
  <si>
    <t xml:space="preserve">Nguồn thu ngân sách cấp Tỉnh </t>
  </si>
  <si>
    <t>Thu ngân sách cấp Tỉnh hưởng theo phân cấp</t>
  </si>
  <si>
    <t>Trung tâm tin học</t>
  </si>
  <si>
    <t>Chi từ NSTW bổ sung có mục tiêu (vốn sự nghiệp)</t>
  </si>
  <si>
    <t>Liên đoàn Cờ</t>
  </si>
  <si>
    <t>Toà án Tỉnh</t>
  </si>
  <si>
    <t xml:space="preserve"> Các hiệp - hội- XH nghề nghiệp (có giao biên chế)</t>
  </si>
  <si>
    <t>Chi thực hiện một số N/V mục tiêu khác
(vốn đầu tư)</t>
  </si>
  <si>
    <t>Chi thực hiện một số N/V mục tiêu khác
(vốn sự nghiệp)</t>
  </si>
  <si>
    <t>C=1+16+17+18</t>
  </si>
  <si>
    <t>1=2+…+15</t>
  </si>
  <si>
    <t>Tổng chi thường xuyên
(cân đối NSĐP)</t>
  </si>
  <si>
    <t xml:space="preserve"> Các khoản đã giao lĩnh vực chi</t>
  </si>
  <si>
    <t>Chiương trình phát triển kinh tế xã hội các vùng</t>
  </si>
  <si>
    <t>Chương trình củng cố, nâng cấp hệ thống đê biển và hệ thống đê sông</t>
  </si>
  <si>
    <t>Đầu tư phát triển KT-XH tuyến biên giới</t>
  </si>
  <si>
    <t>Hỗ trợ đầu tư các huyện mới chia tách</t>
  </si>
  <si>
    <t>Hỗ trợ đầu tư các bệnh viện tuyến tỉnh, huyện</t>
  </si>
  <si>
    <t>Phát triển và bảo vệ rừng bền vững</t>
  </si>
  <si>
    <t>Hội doanh nhân trẻ Đồng Tháp</t>
  </si>
  <si>
    <t>Sở Thông tin truyền thông</t>
  </si>
  <si>
    <t>Uỷ ban nhân dân Tỉnh</t>
  </si>
  <si>
    <t>A/ Kết quả phân bổ vốn đầu tư phát triển (phần chi cân đối ngân sách địa phương)</t>
  </si>
  <si>
    <t>Tổng mức chi đầu tư phát triển (phần cân đối ngân sách địa phương):</t>
  </si>
  <si>
    <t>Triệu đồng</t>
  </si>
  <si>
    <r>
      <t>Trong đó</t>
    </r>
    <r>
      <rPr>
        <sz val="12"/>
        <rFont val="Times New Roman"/>
        <family val="1"/>
      </rPr>
      <t>: - Lĩnh vực giáo dục, đào tạo và dạy nghề:</t>
    </r>
  </si>
  <si>
    <t xml:space="preserve">                - Lĩnh vực khoa học và công nghệ:</t>
  </si>
  <si>
    <t>B/ Kết quả phân bổ vốn đầu tư từ nguồn thu xổ số kiến thiết</t>
  </si>
  <si>
    <t>Tổng mức vốn đầu tư phân bổ từ nguồn xổ số kiến thiết:</t>
  </si>
  <si>
    <r>
      <t>Trong đó:</t>
    </r>
    <r>
      <rPr>
        <sz val="12"/>
        <rFont val="Times New Roman"/>
        <family val="1"/>
      </rPr>
      <t xml:space="preserve"> - Lĩnh vực giáo dục, đào tạo và dạy nghề:</t>
    </r>
  </si>
  <si>
    <t xml:space="preserve">                  - Lĩnh vực y tế:</t>
  </si>
  <si>
    <t>C/ Tình hình huy động vốn đầu tư phát triển của ngân sách địa phương</t>
  </si>
  <si>
    <t>NỘI DUNG</t>
  </si>
  <si>
    <t>Kế hoạch huy động vốn</t>
  </si>
  <si>
    <t>Kế hoạch hoàn trả vốn</t>
  </si>
  <si>
    <t>Tổng mức vốn huy động cho đầu tư phát triển</t>
  </si>
  <si>
    <t>Bao gồm:</t>
  </si>
  <si>
    <t>1. Nợ tạm ứng vốn Kho bạc nhà nước</t>
  </si>
  <si>
    <t xml:space="preserve"> - Tạm ứng theo Khoản 3, Điều 8 Luật NSNN</t>
  </si>
  <si>
    <t xml:space="preserve"> - Tạm ứng đầu tư Dự án sinh lợi thu hồi vốn trực tiếp hoàn trả KBNN</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</si>
  <si>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</si>
  <si>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</si>
  <si>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</si>
  <si>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</si>
  <si>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</si>
  <si>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 xml:space="preserve"> - Vay đầu tư hạ tầng thiết yếu cụm, tuyến dân cư</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</si>
  <si>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</si>
  <si>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</si>
  <si>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</si>
  <si>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</si>
  <si>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</si>
  <si>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</si>
  <si>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</si>
  <si>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</si>
  <si>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</si>
  <si>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</si>
  <si>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</si>
  <si>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</si>
  <si>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</si>
  <si>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</si>
  <si>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</si>
  <si>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Đề án phát triển nghề công tác xã hội</t>
  </si>
  <si>
    <t>Sở Khoa học Công nghệ</t>
  </si>
  <si>
    <t>Sở Công  thương</t>
  </si>
  <si>
    <t>Sở Tư pháp</t>
  </si>
  <si>
    <t>Sở Kế hoạch - Đầu tư</t>
  </si>
  <si>
    <t>Sở Nông nghiệp - PTNT</t>
  </si>
  <si>
    <t>Trường Cao đẳng nghề</t>
  </si>
  <si>
    <t>Trường Cao đẳng  Y tế</t>
  </si>
  <si>
    <t>Ban quản lý khu di tích Gò Tháp</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</si>
  <si>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</si>
  <si>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</si>
  <si>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</si>
  <si>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</si>
  <si>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</si>
  <si>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</si>
  <si>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</si>
  <si>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</si>
  <si>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</si>
  <si>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</si>
  <si>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</si>
  <si>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</si>
  <si>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</si>
  <si>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 xml:space="preserve"> - Vay xây dựng các công trình thu gom rác, kè chống sạt lở các cụm, tuyến dân cư</t>
  </si>
  <si>
    <t>3. Vay ngân hàng thương mại</t>
  </si>
  <si>
    <t xml:space="preserve"> - Vay đầu tư theo Khoản 3, Điều 8 Luật NSNN</t>
  </si>
  <si>
    <t xml:space="preserve"> - Vay đầu tư Dự án sinh lợi thu hồi vốn trực tiếp hoàn trả ngân hàng</t>
  </si>
  <si>
    <t>4. Phát hành trái phiếu chính quyền địa phương</t>
  </si>
  <si>
    <t xml:space="preserve"> - Vay đầu tư Dự án sinh lợi thu hồi vốn trực tiếp hoàn trả vốn huy động</t>
  </si>
  <si>
    <t>5. Vay đối tượng khác</t>
  </si>
  <si>
    <t>Thuế sử dụng đất phi nông nghiệp</t>
  </si>
  <si>
    <t>Đối với tỷ lệ điều tiết của 4 khoản thu (thuế sử dụng đất phi nông nghiệp; thuế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</si>
  <si>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thuế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</si>
  <si>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</si>
  <si>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</si>
  <si>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</si>
  <si>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</si>
  <si>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Thu xổ số kiến thiết quản lý qua ngân sách nhà nước</t>
  </si>
  <si>
    <t xml:space="preserve">Chi ngân sách cấp Tỉnh </t>
  </si>
  <si>
    <t>Chi thuộc nhiệm vụ của ngân sách cấp Tỉnh theo phân cấp</t>
  </si>
  <si>
    <t>2.1</t>
  </si>
  <si>
    <t>Chi sự nghiệp kinh tế</t>
  </si>
  <si>
    <t>2.2</t>
  </si>
  <si>
    <t>2.3</t>
  </si>
  <si>
    <t>Chi từ NSTW bổ sung có mục tiêu khác quan trọng</t>
  </si>
  <si>
    <t>Hỗ trợ kinh phí sáng tạo tác phẩm của Hội VHNT và Hội nhà báo địa phương</t>
  </si>
  <si>
    <t>Chi sự nghiệp khoa học &amp; công nghệ</t>
  </si>
  <si>
    <t xml:space="preserve">Chi sự nghiệp đảm bảo xã hội </t>
  </si>
  <si>
    <t>2.4</t>
  </si>
  <si>
    <t>2.5</t>
  </si>
  <si>
    <t xml:space="preserve">An ninh </t>
  </si>
  <si>
    <t>Kinh phí nâng cấp đô thị, thành lập cơ quan đặc thù</t>
  </si>
  <si>
    <t>Hỗ trợ tiền ăn trưa cho trẻ em mẫu giáo 3- 5 tuổi, giáo viên mầm non, tăng biên chế</t>
  </si>
  <si>
    <t xml:space="preserve">Quốc phòng </t>
  </si>
  <si>
    <t xml:space="preserve">Biên phòng </t>
  </si>
  <si>
    <t>2.6</t>
  </si>
  <si>
    <t xml:space="preserve">Chi bổ sung Quỹ Dự trữ tài chính </t>
  </si>
  <si>
    <t xml:space="preserve">Chi bổ sung cho ngân sách huyện, thị xã, thành phố thuộc tỉnh </t>
  </si>
  <si>
    <t>Ngân sách huyện, thị xã, thành phố thuộc tỉnh (bao gồm ngân sách cấp huyện và ngân sách xã, phường, thị trấn)</t>
  </si>
  <si>
    <t xml:space="preserve">Nguồn thu ngân sách huyện, thị xã, thành phố thuộc tỉnh </t>
  </si>
  <si>
    <t>Thu ngân sách huyện hưởng theo phân cấp</t>
  </si>
  <si>
    <t>Các khoản thu ngân sách huyện hưởng 100 %</t>
  </si>
  <si>
    <t>Các khoản thu phân chia ngân sách huyện hưởng theo tỷ lệ phần trăm ( % )</t>
  </si>
  <si>
    <t xml:space="preserve">Thu bổ sung từ ngân sách cấp Tỉnh </t>
  </si>
  <si>
    <t>Thu chuyển nguồn làm lương từ nguồn tăng thu các năm trước</t>
  </si>
  <si>
    <t>Chi ngân sách huyện, thị xã, thành phố thuộc tỉnh</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</si>
  <si>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</si>
  <si>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</si>
  <si>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</si>
  <si>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</si>
  <si>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</si>
  <si>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</si>
  <si>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</si>
  <si>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</si>
  <si>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</si>
  <si>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</si>
  <si>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</si>
  <si>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</si>
  <si>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Chi thường xuyên (2)</t>
  </si>
  <si>
    <t>Trong đó:</t>
  </si>
  <si>
    <t>Chi từ nguồn ngân sách trung ương bổ sung có mục tiêu</t>
  </si>
  <si>
    <t>triệu đồng.</t>
  </si>
  <si>
    <t xml:space="preserve">                * Thu bổ sung có mục tiêu đầu tư từ nguồn vốn XDCB TT của Tỉnh:</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</si>
  <si>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</si>
  <si>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</si>
  <si>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</si>
  <si>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</si>
  <si>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</si>
  <si>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</si>
  <si>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</si>
  <si>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Tổng chi ( A+B+C)</t>
  </si>
  <si>
    <t>Thu phí xăng, dầu, thuế bảo vệ môi trường</t>
  </si>
  <si>
    <t>Chi hỗ trợ doanh nghiệp nhà nước, Quỹ phát triển đất</t>
  </si>
  <si>
    <t>Chương trình Y tế</t>
  </si>
  <si>
    <t>Chương trình về Văn hoá</t>
  </si>
  <si>
    <t>Kinh phí bồi dưỡng cán bộ hợp tác</t>
  </si>
  <si>
    <t>Chương trình Sử dụng năng lượng tiết kiệm và hiệu quả</t>
  </si>
  <si>
    <t>Chương trình Ứng phó với biến đổi khí hậu</t>
  </si>
  <si>
    <t>Chương trình Xây dựng nông thôn mới</t>
  </si>
  <si>
    <t>Chương trình Phòng chống HIV/AIDS</t>
  </si>
  <si>
    <t>Chương trình Đưa thông tin về cơ sở miền núi, vùng sâu, vùng xa, biên giới và hải đảo</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</si>
  <si>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</si>
  <si>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</si>
  <si>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</si>
  <si>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</si>
  <si>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</si>
  <si>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</si>
  <si>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</si>
  <si>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</si>
  <si>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</si>
  <si>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</si>
  <si>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</si>
  <si>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</si>
  <si>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</si>
  <si>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</si>
  <si>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</si>
  <si>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</si>
  <si>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</si>
  <si>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</si>
  <si>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</si>
  <si>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</si>
  <si>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</si>
  <si>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</si>
  <si>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</si>
  <si>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</si>
  <si>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</si>
  <si>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</si>
  <si>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</si>
  <si>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</si>
  <si>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</si>
  <si>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</si>
  <si>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</si>
  <si>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</si>
  <si>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</si>
  <si>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</si>
  <si>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</si>
  <si>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</si>
  <si>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</si>
  <si>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</si>
  <si>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</si>
  <si>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</si>
  <si>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</si>
  <si>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</si>
  <si>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</si>
  <si>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</si>
  <si>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</si>
  <si>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</si>
  <si>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</si>
  <si>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</si>
  <si>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</si>
  <si>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Số bổ sung cân đối ngân sách (nếu có)</t>
  </si>
  <si>
    <t>TỔNG CHI NGÂN SÁCH HUYỆN</t>
  </si>
  <si>
    <t>- Chi đầu tư XDCB tập trung trong nước</t>
  </si>
  <si>
    <t>- Chi đầu tư từ nguồn thu tiền sử dụng đất</t>
  </si>
  <si>
    <t>Chi thường xuyên:</t>
  </si>
  <si>
    <t>Chi sự nghiệp giáo dục đào tạo</t>
  </si>
  <si>
    <t>Các khoản chi thường xuyên còn lại</t>
  </si>
  <si>
    <t>Chi tạo nguồn cải cách tiền lương (50% tăng thu NSH)</t>
  </si>
  <si>
    <t>Hồng ngự</t>
  </si>
  <si>
    <t>TP. Cao Lãnh</t>
  </si>
  <si>
    <t>H. Cao Lãnh</t>
  </si>
  <si>
    <t>2</t>
  </si>
  <si>
    <t>3</t>
  </si>
  <si>
    <t>4</t>
  </si>
  <si>
    <t>5</t>
  </si>
  <si>
    <t>6</t>
  </si>
  <si>
    <t>40% số thu để lại theo chế độ</t>
  </si>
  <si>
    <t>Thừa nguồn (+) để thực hiện cải cách tiền lương</t>
  </si>
  <si>
    <t>Thừa nguồn CCTL (nếu có) chuyển sang</t>
  </si>
  <si>
    <t>10% tiết kiệm chi thường xuyên năm 2011</t>
  </si>
  <si>
    <t>Ngân sách cấp Tỉnh cấp bổ sung TLTT (phần chênh lệch (-) giữa nguồn và nhu cầu)</t>
  </si>
  <si>
    <t>10% tiết kiệm chi thường xuyên tăng thêm năm 2012 so với năm 2011</t>
  </si>
  <si>
    <t>Số bổ sung mục tiêu các chế độ chính sách mới (ngoài tiền lương)</t>
  </si>
  <si>
    <t>CL TL tăng thêm do nâng bậc</t>
  </si>
  <si>
    <t>Biên chế thực tế</t>
  </si>
  <si>
    <t>9=6+8</t>
  </si>
  <si>
    <t>10=9/8</t>
  </si>
  <si>
    <t>Quỹ TL năm 2011 thực tế</t>
  </si>
  <si>
    <t>laivung</t>
  </si>
  <si>
    <t>sd</t>
  </si>
  <si>
    <t>châuthanh</t>
  </si>
  <si>
    <t>lapvo</t>
  </si>
  <si>
    <t>t10</t>
  </si>
  <si>
    <t>hcl</t>
  </si>
  <si>
    <t>tpcl</t>
  </si>
  <si>
    <t>tbinh</t>
  </si>
  <si>
    <t>tamnong</t>
  </si>
  <si>
    <t>tanhong</t>
  </si>
  <si>
    <t>txhn</t>
  </si>
  <si>
    <t>hongngu</t>
  </si>
  <si>
    <t>Mục tiêu các chế độ chính sách mới tăng thêm (ngoài tiền lương)</t>
  </si>
  <si>
    <t>Thuế nhà đất/thuế sử dụng đất phi nông nghiêp</t>
  </si>
  <si>
    <t>CHI ĐẦU TƯ PHÁT TRIỂN</t>
  </si>
  <si>
    <t>Trong đó : Chi đầu tư XDCB</t>
  </si>
  <si>
    <t>Trong đó</t>
  </si>
  <si>
    <t>Vốn trong nước</t>
  </si>
  <si>
    <t>Vốn ngoài nước</t>
  </si>
  <si>
    <t>Giáo dục đào tạo và DN</t>
  </si>
  <si>
    <t>Liên đoàn Bóng đá</t>
  </si>
  <si>
    <t>Thu chuyển nguồn CCTL năm trước chuyển sang</t>
  </si>
  <si>
    <t>Các khoản thu cân đối NSĐP (1+2a+2b1+3)</t>
  </si>
  <si>
    <t xml:space="preserve"> CÁC ĐƠN VỊ KHÁC</t>
  </si>
  <si>
    <t xml:space="preserve">               * Thu mục tiêu các chế độ chính sách mới tăng thêm (ngoài tiền lương)</t>
  </si>
  <si>
    <t>Chi ngân sách địa phương (I+II+III)</t>
  </si>
  <si>
    <t>10% TK của hoạt động khác tăng thêm</t>
  </si>
  <si>
    <t>Chi thực hiện cải cách tiền lương</t>
  </si>
  <si>
    <t>Thu chuyển nguồn thực hiện CCTL</t>
  </si>
  <si>
    <t>4=5+8+9</t>
  </si>
  <si>
    <t>9=10+11</t>
  </si>
  <si>
    <t>Mục tiêu đầu tư từ nguồn XDCB tập trung của Tỉnh, nguồn thu XSKT</t>
  </si>
  <si>
    <t>Thuế nhà đất/Thuế sử dụng đất phi nông nghiệp</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</si>
  <si>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</si>
  <si>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</si>
  <si>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</si>
  <si>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</si>
  <si>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</si>
  <si>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Thuế nhà đất /thuế sử dụng đất phi nông nghiệp</t>
  </si>
  <si>
    <t>Chi giáo dục, đào tạo và dạy nghề</t>
  </si>
  <si>
    <t>Chi khoa học và công nghệ</t>
  </si>
  <si>
    <t>Liên đoàn Lao động Tỉnh</t>
  </si>
  <si>
    <t>Cục Thi hành án dân sự tỉnh</t>
  </si>
  <si>
    <t>Chương trình về Việc làm và dạy nghề</t>
  </si>
  <si>
    <t>Chương trình Giảm nghèo bền vững</t>
  </si>
  <si>
    <t>Chương trình khắc phục ô nhiễm và cải tạo môi trường</t>
  </si>
  <si>
    <t>Hỗ trợ cho hộ nghèo ở vùng khó khăn theo QĐ 102/2009/QĐ-TTg của Thủ tướng Chính phủ</t>
  </si>
  <si>
    <t>Bổ sung có mục từ nguồn vốn NSTW bổ sung có mục tiêu</t>
  </si>
  <si>
    <t>Trong đó: Chi giáo dục- đào tạo và dạy nghề</t>
  </si>
  <si>
    <t xml:space="preserve">                Chi khoa học và công nghệ</t>
  </si>
  <si>
    <t>Trong đó chi giáo dục, đào tạo và dạy nghề</t>
  </si>
  <si>
    <t>Chi Chương trình CTMTQG</t>
  </si>
  <si>
    <t>Chi XDCB tập trung vốn trong nước</t>
  </si>
  <si>
    <t>% so với dự toán</t>
  </si>
  <si>
    <t>Thu ngân sách địa phương  (I+2b-2b1+II+III)</t>
  </si>
  <si>
    <t>50% tăng thu dự toán năm 2012 so với dự toán thu năm 2011</t>
  </si>
  <si>
    <t>Thu huy động</t>
  </si>
  <si>
    <t>Nội dung chi</t>
  </si>
  <si>
    <t xml:space="preserve">Bố trí tăng chi đầu tư phát triển </t>
  </si>
  <si>
    <t>50% tăng thu dự toán năm 2013 so với dự toán thu năm 2012</t>
  </si>
  <si>
    <t>Bố trí tăng chi thường xuyên (tính tiền lương tối thiểu 830.000 đồng/tháng)</t>
  </si>
  <si>
    <t>Chi sự nghiệp giáo dục, đào tạo &amp; dạy nghề</t>
  </si>
  <si>
    <t>Tăng chi dự phòng ngân sách</t>
  </si>
  <si>
    <t>Chi điều chỉnh tiền lương tối thiểu</t>
  </si>
  <si>
    <t>NS cấp Tỉnh</t>
  </si>
  <si>
    <t>NS huyện, thị xã, thành phố</t>
  </si>
  <si>
    <t>Thu thuế bảo vệ môi trường</t>
  </si>
  <si>
    <t>Bổ sung tiền lương tăng thêm</t>
  </si>
  <si>
    <t>Chi từ NSTW bổ sung có mục tiêu (MTQG)</t>
  </si>
  <si>
    <t>7=4/1</t>
  </si>
  <si>
    <t>8=4-1</t>
  </si>
  <si>
    <t>Tổng chi ( I+II+III+IV)</t>
  </si>
  <si>
    <t>NHU CẦU TIỀN LƯƠNG TĂNG THÊM 
THEO NGHỊ ĐỊNH 22/2011/NĐ-CP CỦA CHÍNH PHỦ 8 THÁNG NĂM 2011 THEO LĨNH VỰC
DO NGÂN SÁCH CẤP BỔ SUNG</t>
  </si>
  <si>
    <t>Bổ sung mục tiêu đầu tư từ nguồn xổ số kiến thiết</t>
  </si>
  <si>
    <t>Bổ sung mục tiêu đầu tư từ nguồn XDCB tập trung của Tỉnh</t>
  </si>
  <si>
    <t>KP tăng thêm của biên chế giữa KH với TT</t>
  </si>
  <si>
    <t>Hoạt động tăng thêm</t>
  </si>
  <si>
    <t>Tỷ lệ tăng</t>
  </si>
  <si>
    <t>Số tiền tăng thêm</t>
  </si>
  <si>
    <t>Hoạt động GD tăng thêm</t>
  </si>
  <si>
    <t>10% TK của hoạt động GD tăng thêm</t>
  </si>
  <si>
    <t>5=4-3</t>
  </si>
  <si>
    <t>13=11-10</t>
  </si>
  <si>
    <t>TX.Hồng Ngự</t>
  </si>
  <si>
    <t>TP.Cao Lãnh</t>
  </si>
  <si>
    <t>H.Cao Lãnh</t>
  </si>
  <si>
    <t>Tổng cộng</t>
  </si>
  <si>
    <t>Biên chế được giao năm 2011</t>
  </si>
  <si>
    <t>Chênh lệch biên chế giữa biên chế 2011/2010</t>
  </si>
  <si>
    <t>Dự toán GD&amp;ĐT năm 2011</t>
  </si>
  <si>
    <t>Dự toán năm 2012</t>
  </si>
  <si>
    <t>10% tiết kiệm chi TX tăng thêm năm 2012</t>
  </si>
  <si>
    <t>DỰ TOÁN NĂM 2014</t>
  </si>
  <si>
    <t>Dự toán 2014</t>
  </si>
  <si>
    <t>DỰ TOÁN THEO TIỀN LƯƠNG 1.150.000</t>
  </si>
  <si>
    <t>Kinh phí phòng chống mại dâm, đề án trợ giúp XH và phục hồi chức năng cho người tâm thần, người rối nhiễu tâm trí</t>
  </si>
  <si>
    <t>Tổng chi (I+II+III+IV)</t>
  </si>
  <si>
    <t>(2)- Dự toán chi thường xuyên đã bao gồm toàn bộ nhu cầu tiền lương theo mức lương tối thiểu 1.150.000 đồng/tháng.</t>
  </si>
  <si>
    <t>Kinh phí phân giới cắm mốc biên giới trên đất liền VN-CPC</t>
  </si>
  <si>
    <t xml:space="preserve"> +Tăng thu không kể tiền sử dụng đất, 30% ATGT</t>
  </si>
  <si>
    <t>DỰ TOÁN SỰ NGHIỆP GIÁO DỤC ĐÀO TẠO NĂM 2014</t>
  </si>
  <si>
    <t>Chi đầu tư từ nguồn huy động</t>
  </si>
  <si>
    <t>******</t>
  </si>
  <si>
    <t>SỐ TT</t>
  </si>
  <si>
    <t>NỘI DUNG  THU</t>
  </si>
  <si>
    <t>NSTW hưởng</t>
  </si>
  <si>
    <t xml:space="preserve">NSĐP HƯỞNG </t>
  </si>
  <si>
    <t>Tổng số</t>
  </si>
  <si>
    <t xml:space="preserve">NS tỉnh </t>
  </si>
  <si>
    <t>Kinh phí khắc phục ô nhiễm môi trường</t>
  </si>
  <si>
    <t>Kinh phí đảm bảo mặt bằng chi cho địa phương khó khăn</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</si>
  <si>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</si>
  <si>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</si>
  <si>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</si>
  <si>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</si>
  <si>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</si>
  <si>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</si>
  <si>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</si>
  <si>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</si>
  <si>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</si>
  <si>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</si>
  <si>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</si>
  <si>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</si>
  <si>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</si>
  <si>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</si>
  <si>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</si>
  <si>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</si>
  <si>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</si>
  <si>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Thuế XNK, TTĐB hàng nhập khẩu</t>
  </si>
  <si>
    <t>Thuế GTGT hàng  nhập khẩu</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</si>
  <si>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</si>
  <si>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</si>
  <si>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</si>
  <si>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</si>
  <si>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</si>
  <si>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</si>
  <si>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</si>
  <si>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</si>
  <si>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</si>
  <si>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</si>
  <si>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</si>
  <si>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hỗ trợ doanh nghiệp</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</si>
  <si>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</si>
  <si>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</si>
  <si>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</si>
  <si>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</si>
  <si>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</si>
  <si>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</si>
  <si>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</si>
  <si>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</si>
  <si>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</si>
  <si>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</si>
  <si>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</si>
  <si>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</si>
  <si>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</si>
  <si>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</si>
  <si>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</si>
  <si>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</si>
  <si>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</si>
  <si>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</si>
  <si>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</si>
  <si>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</si>
  <si>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</si>
  <si>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</si>
  <si>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</si>
  <si>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</si>
  <si>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</si>
  <si>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</si>
  <si>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</si>
  <si>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Vốn từ nguồn thu tiền sử dụng đất</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</si>
  <si>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</si>
  <si>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</si>
  <si>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</si>
  <si>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</si>
  <si>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</si>
  <si>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</si>
  <si>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</si>
  <si>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</si>
  <si>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</si>
  <si>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</si>
  <si>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Thuế chuyển quyền sd đất</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</si>
  <si>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</si>
  <si>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</si>
  <si>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</si>
  <si>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</si>
  <si>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</si>
  <si>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</si>
  <si>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</si>
  <si>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</si>
  <si>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</si>
  <si>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</si>
  <si>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</si>
  <si>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</si>
  <si>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</si>
  <si>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</si>
  <si>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</si>
  <si>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</si>
  <si>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</si>
  <si>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</si>
  <si>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</si>
  <si>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</si>
  <si>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</si>
  <si>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</si>
  <si>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Trong đó: tiền sd đất</t>
  </si>
  <si>
    <t xml:space="preserve">                Các khoản còn lại</t>
  </si>
  <si>
    <t>Trong đó: chi sự nghiệp GD-ĐT</t>
  </si>
  <si>
    <t xml:space="preserve">                Chi SN KH-CN</t>
  </si>
  <si>
    <t>Chênh lệch thu- chi NSĐP</t>
  </si>
  <si>
    <t xml:space="preserve"> +Tăng thu không kể tiền sử dụng đất</t>
  </si>
  <si>
    <t xml:space="preserve"> +Tạo nguồn làm lương từ nguồn tăng thu</t>
  </si>
  <si>
    <t xml:space="preserve"> +Tăng/giảm (+/-) tiền sử dụng đất</t>
  </si>
  <si>
    <t>Biểu 1 T/NSNN</t>
  </si>
  <si>
    <t>Biểu 1 C/NSNN</t>
  </si>
  <si>
    <t>Chi sự nghiệp giáo dục- đào tạo và dạy nghề</t>
  </si>
  <si>
    <t>Tỉnh</t>
  </si>
  <si>
    <t>Huyện</t>
  </si>
  <si>
    <t>Chi đầu từ nguồn thu XSKT</t>
  </si>
  <si>
    <t>Bổ sung có mục tiêu cho ngân sách huyện</t>
  </si>
  <si>
    <t>Tổng chi
(chưa kể chi XDCB tập trung, chi Quỹ dự trữ, dự phòng ngân sách, xổ số kiết thiết)</t>
  </si>
  <si>
    <t>Hội Tiêu chuẩn và Bảo vệ Người tiêu dùng</t>
  </si>
  <si>
    <t>Hội nạn nhân chất độc da cam/Dioxin</t>
  </si>
  <si>
    <t>Hội TaeKwondo</t>
  </si>
  <si>
    <t>Thu XSKT không qua cân đối</t>
  </si>
  <si>
    <t>Bổ sung thực hiện các chế độ chính sách mới và một số nhiệm vụ theo quy định (vốn sự nghiệp)</t>
  </si>
  <si>
    <t>Thu xổ số kiến thiết quản lý qua NSNN</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</si>
  <si>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</si>
  <si>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</si>
  <si>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</si>
  <si>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</si>
  <si>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</si>
  <si>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</si>
  <si>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</si>
  <si>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</si>
  <si>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</si>
  <si>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</si>
  <si>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</si>
  <si>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</si>
  <si>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</si>
  <si>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</si>
  <si>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</si>
  <si>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</si>
  <si>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</si>
  <si>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</si>
  <si>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</si>
  <si>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Sự nghiệp giáo dục - đào tạo</t>
  </si>
  <si>
    <t>Sự nghiệp y tế</t>
  </si>
  <si>
    <t>Văn hoá thông tin</t>
  </si>
  <si>
    <t>Đơn vị khác</t>
  </si>
  <si>
    <t>Phát thanh truyền hình</t>
  </si>
  <si>
    <t>Thể dục - thể thao</t>
  </si>
  <si>
    <t>Đảm bảo xã hội</t>
  </si>
  <si>
    <t>Sự nghiệp khác</t>
  </si>
  <si>
    <t>Quản lý nhà nước, Đảng, đoàn thể</t>
  </si>
  <si>
    <t>E</t>
  </si>
  <si>
    <t>X</t>
  </si>
  <si>
    <t>XI</t>
  </si>
  <si>
    <t>Chi bổ sung ngân sách huyện</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</si>
  <si>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</si>
  <si>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</si>
  <si>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</si>
  <si>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</si>
  <si>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</si>
  <si>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</si>
  <si>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</si>
  <si>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</si>
  <si>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Kinh phí bảo vệ rừng và khoanh nuôi tái sinh rừng</t>
  </si>
  <si>
    <t>Vốn đối ứng thực hiện chương trình đảm bảo chất lượng giáo dục trường học</t>
  </si>
  <si>
    <t>Chương trình quốc gia về Bình đẳng giới</t>
  </si>
  <si>
    <t>Chương trình Quốc gia về an toàn lao động, vệ sinh lao động</t>
  </si>
  <si>
    <t>Chương trình quốc gia về bảo vệ trẻ em</t>
  </si>
  <si>
    <t>Chương trình bố trí, sắp xếp dân cư</t>
  </si>
  <si>
    <t>Hỗ trợ kinh phí Luật Người Cao tuổi, Luật Người Khuyết tật và đối tượng bảo trợ xã hội</t>
  </si>
  <si>
    <t>Hỗ trợ miễn giảm học phí, chi phí học tập theo NĐ 49/2010/NĐ-CP, NĐ 74/2013/NĐ-CP của Chính phủ</t>
  </si>
  <si>
    <t xml:space="preserve">                * Thu bổ sung có mục tiêu đầu tư từ nguồn vốn xổ số kiến thiết</t>
  </si>
  <si>
    <t>Khoa học công nghệ</t>
  </si>
  <si>
    <t>Bổ sung khác</t>
  </si>
  <si>
    <t>Các khoản thu khác</t>
  </si>
  <si>
    <t>Nhu cầu các đơn vị cấp Tỉnh</t>
  </si>
  <si>
    <t>Nhu cầu các đơn vị  thuộc huyện, xã, phường, thị trấn quản lý</t>
  </si>
  <si>
    <t>Chi XDCB từ nguồn tăng thu</t>
  </si>
  <si>
    <t>XIV</t>
  </si>
  <si>
    <t>Bổ sung cân đối ngân sách</t>
  </si>
  <si>
    <t>Bổ sung có mục tiêu</t>
  </si>
  <si>
    <t>Trong đó Tiền lương tăng thêm</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</si>
  <si>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</si>
  <si>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</si>
  <si>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</si>
  <si>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</si>
  <si>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</si>
  <si>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</si>
  <si>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Chi sự nghiệp kinh tế, trợ giá</t>
  </si>
  <si>
    <t>TÊN ĐƠN VỊ</t>
  </si>
  <si>
    <t>CHI THƯỜNG XUYÊN THEO LĨNH VỰC</t>
  </si>
  <si>
    <t>Chi CTMT quốc gia</t>
  </si>
  <si>
    <t xml:space="preserve"> Các cơ quan đơn vị cấp Tỉnh</t>
  </si>
  <si>
    <t xml:space="preserve"> - Sự nghiệp khác</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</si>
  <si>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</si>
  <si>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</si>
  <si>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</si>
  <si>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</si>
  <si>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</si>
  <si>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</si>
  <si>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</si>
  <si>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</si>
  <si>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</si>
  <si>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</si>
  <si>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</si>
  <si>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</si>
  <si>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</si>
  <si>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</si>
  <si>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</si>
  <si>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</si>
  <si>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</si>
  <si>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</si>
  <si>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</si>
  <si>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</si>
  <si>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</si>
  <si>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</si>
  <si>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</si>
  <si>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</si>
  <si>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</si>
  <si>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</si>
  <si>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</si>
  <si>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</si>
  <si>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</si>
  <si>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</si>
  <si>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</si>
  <si>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</si>
  <si>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</si>
  <si>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</si>
  <si>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</si>
  <si>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ƯỚC THỰC HIỆN NĂM 2014</t>
  </si>
  <si>
    <t>DỰ TOÁN NĂM 2015</t>
  </si>
  <si>
    <t>% so với ước thực hiện 2014</t>
  </si>
  <si>
    <t>ƯỚC THỰC HIỆN CHI NĂM 2014</t>
  </si>
  <si>
    <t>DỰ TOÁN CHI  NĂM 2015</t>
  </si>
  <si>
    <t>ƯỚC THỰC HIỆN CHI NGÂN SÁCH ĐỊA PHƯƠNG NĂM 2014
DỰ TOÁN CHI NGÂN SÁCH ĐỊA PHƯƠNG NĂM 2015</t>
  </si>
  <si>
    <t>% so với DT 2014</t>
  </si>
  <si>
    <t>ƯỚC THỰC HIỆN THU NGÂN SÁCH NHÀ NƯỚC NĂM 2014
DỰ TOÁN THU NGÂN SÁCH NHÀ NƯỚC NĂM 2015</t>
  </si>
  <si>
    <t>DỰ TOÁN CHI NGÂN SÁCH CHO CÁC DỰ ÁN CHƯƠNG TRÌNH MỤC TIÊU QUỐC GIA, MỘT SỐ CHƯƠNG TRÌNH, DỰ ÁN, NHIỆM VỤ KHÁC QUAN TRỌNG NĂM 2015</t>
  </si>
  <si>
    <t>Dự toán
năm 2015</t>
  </si>
  <si>
    <t>ƯTH 2014</t>
  </si>
  <si>
    <t>Dự toán 2015</t>
  </si>
  <si>
    <t>Tăng thu UTH2014/DT 2014</t>
  </si>
  <si>
    <t>Tăng thu DT2015/DT 2014</t>
  </si>
  <si>
    <t xml:space="preserve"> +Tăng thu DT2015/DT 2014</t>
  </si>
  <si>
    <t xml:space="preserve"> +Tăng thu UTH2014/DT 2014</t>
  </si>
  <si>
    <t>DỰ TOÁN CHI NGÂN SÁCH CẤP TỈNH CHO TỪNG  ĐƠN VỊ  THEO LĨNH VỰC NĂM 2015</t>
  </si>
  <si>
    <t>CÂN ĐỐI NGÂN SÁCH ĐỊA PHƯƠNG NĂM 2014-2015</t>
  </si>
  <si>
    <t>DỰ TOÁN THU NSNN NĂM 2015 TRÊN ĐỊA BÀN HUYỆN, THỊ XÃ, THÀNH PHỐ</t>
  </si>
  <si>
    <t>DỰ TOÁN CHI NGÂN SÁCH HUYỆN, THỊ XÃ, THÀNH PHỐ NĂM 2015</t>
  </si>
  <si>
    <t>BẢNG CÂN ĐỐI DỰ TOÁN THU-CHI NĂM 2015 NGÂN SÁCH HUYỆN, THỊ XÃ, THÀNH PHỐ</t>
  </si>
  <si>
    <t>Tổng thu NSNN trên địa bàn huyện, thị xã, thành phố
năm 2015</t>
  </si>
  <si>
    <t>ƯỚC THỰC HIỆN THU NSNN NĂM 2014 VÀ DỰ TOÁN THU  NSNN NĂM 2015
HUYỆN, THỊ XÃ, THÀNH PHỐ</t>
  </si>
  <si>
    <t>ƯTH năm 2014</t>
  </si>
  <si>
    <t>DT15/ UTH14</t>
  </si>
  <si>
    <t>UTH14/ DT14</t>
  </si>
  <si>
    <t>CÂN ĐỐI NGÂN SÁCH HUYỆN, THỊ XÃ, THÀNH PHỐ NĂM 2014-2015</t>
  </si>
  <si>
    <t>NĂM 2014</t>
  </si>
  <si>
    <t>DỰ TOÁN 2015</t>
  </si>
  <si>
    <t>DT2015/DT2014
(Số tương đối)</t>
  </si>
  <si>
    <t>DT2015/DT2014
(Số tuyệt đối)</t>
  </si>
  <si>
    <t>Nguồn và nhu cầu kinh phí thực hiện CCTL năm 2015</t>
  </si>
  <si>
    <t>Tổng nhu cầu tiền lương tăng thêm năm 2015</t>
  </si>
  <si>
    <t>10% tiết kiệm chi thường xuyên tăng thêm năm 2015</t>
  </si>
  <si>
    <t>Tổng chi thường xuyên tăng thêm năm 2015 so với năm 2014</t>
  </si>
  <si>
    <t>10% tiết kiệm chi tăng thêm năm 2015</t>
  </si>
  <si>
    <t xml:space="preserve">Hỗ trợ đầu tư Trụ sở UBND cấp xã </t>
  </si>
  <si>
    <t>Hỗ trợ đầu tư hạ tầng du lịch</t>
  </si>
  <si>
    <t>Chương trình quản lý, bảo vệ biên giới đất liền</t>
  </si>
  <si>
    <t xml:space="preserve">TH 08 tháng </t>
  </si>
  <si>
    <t>Tăng thu UTH năm 2014 so với dự toán  2014</t>
  </si>
  <si>
    <t>Dành 50% tăng thu UTH năm 2014 so với dự toán  2014</t>
  </si>
  <si>
    <t>Tăng thu DT năm 2015 so với Dự toán 2014</t>
  </si>
  <si>
    <t>Dành 50% tăng thu DT năm 2015 so với Dự toán 2014</t>
  </si>
  <si>
    <t xml:space="preserve">TIỀN LƯƠNG TĂNG THÊM </t>
  </si>
  <si>
    <t>ĐÁNH GIÁ NĂM 2014</t>
  </si>
  <si>
    <t>DỰ KIẾN TIỀN LƯƠNG TĂNG THÊM</t>
  </si>
  <si>
    <t>Số bổ sung thực hiện tiền lương đến 1.150.000đ/tháng</t>
  </si>
  <si>
    <t>Nguồn thực hiện CCTL năm 2014 còn thừa (+) hoặc thiếu nguồn (-)</t>
  </si>
  <si>
    <t>Tiền lương tối thiểu tăng thêm đến 1.1150.000đ/tháng</t>
  </si>
  <si>
    <t>Tiền lương tối thiểu tăng thêm đến 1.150.000 đồng/tháng</t>
  </si>
  <si>
    <t>CÂN ĐỐI NGÂN SÁCH CẤP TỈNH NĂM 2015</t>
  </si>
  <si>
    <t>Dự toán 
năm 2015</t>
  </si>
  <si>
    <t>CÂN ĐỐI NGÂN SÁCH ĐỊA PHƯƠNG NĂM 2015</t>
  </si>
  <si>
    <t>DỰ TOÁN THU NGÂN SÁCH NHÀ NƯỚC NĂM 2015</t>
  </si>
  <si>
    <t>DỰ TOÁN CHI NGÂN SÁCH ĐỊA PHƯƠNG NĂM 2015</t>
  </si>
  <si>
    <t>Dự toán năm 2015</t>
  </si>
  <si>
    <t xml:space="preserve">               * Thu bổ sung tiền lương tối thiểu tăng thêm đến 1.150.000 đồng/tháng</t>
  </si>
  <si>
    <t>CÂN ĐỐI NGÂN SÁCH ĐỊA PHƯƠNG NĂM 2015
(Kèm theo Báo cáo  số           /BC-UBND ngày       tháng 12 năm 2014 của Uỷ ban nhân dân tỉnh Đồng Tháp)</t>
  </si>
  <si>
    <t>DỰ TOÁN THU NGÂN SÁCH NHÀ NƯỚC NĂM 2015
(Kèm theo Báo cáo  số           /BC-UBND ngày       tháng 12 năm 2014 của Uỷ ban nhân dân tỉnh Đồng Tháp)</t>
  </si>
  <si>
    <t>DỰ TOÁN CHI NGÂN SÁCH ĐỊA PHƯƠNG NĂM 2015
(Kèm theo Báo cáo  số           /BC-UBND ngày       tháng 12 năm 2014 của Uỷ ban nhân dân tỉnh Đồng Tháp)</t>
  </si>
  <si>
    <t>DỰ TOÁN CHI NGÂN SÁCH CHO CÁC DỰ ÁN CHƯƠNG TRÌNH MỤC TIÊU QUỐC GIA, MỘT SỐ CHƯƠNG TRÌNH, DỰ ÁN, NHIỆM VỤ KHÁC QUAN TRỌNG NĂM 2015
(Kèm theo Báo cáo  số           /BC-UBND ngày       tháng 12 năm 2014 của Uỷ ban nhân dân tỉnh Đồng Tháp)</t>
  </si>
  <si>
    <t>KẾT QUẢ PHÂN BỔ VỐN ĐẦU TƯ DỰ TOÁN NĂM 2015 VÀ 
TÌNH HÌNH HUY ĐỘNG VỐN ĐẦU TƯ PHÁT TRIỂN</t>
  </si>
  <si>
    <t>(Kèm theo Báo cáo  số           /BC-UBND ngày       tháng 12 năm 2014 của Uỷ ban nhân dân tỉnh Đồng Tháp)</t>
  </si>
  <si>
    <t>Kế hoạch năm 2015</t>
  </si>
  <si>
    <t>Dư nợ 31/12/2014</t>
  </si>
  <si>
    <t>50% tăng thu dự toán năm 2015 so với dự toán thu năm 2014</t>
  </si>
  <si>
    <t>Ngân sách tỉnh bổ sung để thực hiện điều chỉnh tiền lương đến MLTT 1.150.000 đ/tháng</t>
  </si>
  <si>
    <t>10% tiết kiệm chi thường xuyên tăng thêm năm 2014 so với năm 2013</t>
  </si>
  <si>
    <t>Ngân sách tỉnh bổ sung để thực hiện điều chỉnh tiền lương đến MLTT 1.150.000 đ/tháng (điều chỉnh tăng giảm so với năm 2014)</t>
  </si>
  <si>
    <t>Số bổ sung đảm bảo nhiệm vụ chi</t>
  </si>
  <si>
    <t>Bổ sung đảm bảo nhiệm vụ chi</t>
  </si>
  <si>
    <t>Thu chuyển nguồn thực hiện CCTL
(nếu có)</t>
  </si>
  <si>
    <t>11=12+…+16</t>
  </si>
  <si>
    <t xml:space="preserve">               * Thu bổ sung đảm bảo nhiệm vụ chi</t>
  </si>
  <si>
    <t>Chi nhánh Ngân hàng Chính sách XH ĐT</t>
  </si>
  <si>
    <t>Trung tâm Phát triển Quỹ nhà đất</t>
  </si>
  <si>
    <t>Ban An toàn giao thông</t>
  </si>
  <si>
    <t xml:space="preserve"> </t>
  </si>
  <si>
    <t xml:space="preserve">NGUỒN VÀ NHU CẦU KINH PHÍ ĐỂ THỰC HIỆN CẢI CÁCH TIỀN LƯƠNG CỦA HUYỆN, THỊ XÃ, THÀNH PHỐ NĂM 2015
</t>
  </si>
  <si>
    <t>DỰ KIẾN BỐ TRÍ TỪ NGUỒN TĂNG THU DỰ TOÁN 2015 
SO VỚI DỰ TOÁN THU 2014 (TÍNH NGUỒN THU CÂN ĐỐI)</t>
  </si>
  <si>
    <t>SN
TDTT</t>
  </si>
  <si>
    <t>SN
ĐBXH</t>
  </si>
  <si>
    <t>QLHC</t>
  </si>
  <si>
    <t>ANQP</t>
  </si>
  <si>
    <t>SN
PTTH</t>
  </si>
  <si>
    <t>SN
VHTTDL</t>
  </si>
  <si>
    <t>SN
y tế</t>
  </si>
  <si>
    <t>SN
GDĐT&amp;DN</t>
  </si>
  <si>
    <t>SN
KHCN</t>
  </si>
  <si>
    <t>SN
Kinh tế</t>
  </si>
  <si>
    <t>SN
Môi trường</t>
  </si>
  <si>
    <t>Dự án hoàn thiện, hiện đại hóa hồ sơ bản đồ dịa giới hành chính và xây dựng cơ sở dữ liệu địa giới hành chính, triển khai mô hình "một cửa, một lần dừng"</t>
  </si>
  <si>
    <t>Hỗ trợ học bổng dân tộc nội trú, bán trú và trường phổ thông dân tộc bán trú và PTTH vùng đặc biệt khó khăn</t>
  </si>
  <si>
    <t>Hỗ trợ cho địa phương sản xuất lúa</t>
  </si>
  <si>
    <t>Hỗ trợ các công trình cấp bách của địa phương</t>
  </si>
  <si>
    <t>Hội doanh nghiệp trẻ</t>
  </si>
  <si>
    <t>Hỗ trợ kinh phí thực hiện Luật dân quân tự vệ, Pháp lệnh Công an xã</t>
  </si>
  <si>
    <t>Bù miễn thu thuỷ lợi phí, nông thôn mới, kinh phí bảo vệ và phát triển đất trồng lúa</t>
  </si>
  <si>
    <t>Số bổ sung mục tiêu bù thủy lợi phí, xã nông thôn mới, kinh phí bảo vệ và phát triển đất trồng lúa</t>
  </si>
  <si>
    <t>Hỗ trợ các dự án cấp bách khác của địa phương</t>
  </si>
  <si>
    <t>CÂN ĐỐI NGÂN SÁCH ĐỊA PHƯƠNG NĂM 2014-2015
(không kể cả thu, chi điều chỉnh giữa ngân sách cấp Tỉnh với ngân sách huyện)</t>
  </si>
  <si>
    <t>Hội Khoa học Kỹ thuật cầu đường</t>
  </si>
  <si>
    <t>TỔNG CỘNG (A+B+C+D)</t>
  </si>
  <si>
    <t>Bù hụt thu thuỷ lợi phí, nông thôn mới, kinh phí bảo vệ và phát triển đất trồng lúa</t>
  </si>
  <si>
    <t xml:space="preserve">               * Thu bổ sung kinh phí bù miễn thu TLP, nông thôn mới, phát triển đất trồng lúa</t>
  </si>
  <si>
    <t>Trong đó: Chi giáo dục - đào tạo và dạy nghề</t>
  </si>
  <si>
    <r>
      <t xml:space="preserve"> (1)- Dự toán chi ngân sách cấp Tỉnh chưa kể chi bổ sung cho ngân sách huyện:</t>
    </r>
    <r>
      <rPr>
        <b/>
        <sz val="10"/>
        <rFont val="Times New Roman"/>
        <family val="1"/>
      </rPr>
      <t xml:space="preserve"> </t>
    </r>
  </si>
  <si>
    <t xml:space="preserve"> (6): Đối với tỷ lệ điều tiết của 4 khoản thu (thuế sử dụng đất phi nông nghiệp; thuế môn bài từ cá nhân, hộ kinh doanh; thuế sử dụng đất nông nghiệp và lệ phí trước bạ nhà, đất) uỷ quyền cho Hội đồng nhân dân thành phố Cao Lãnh, thành phố Sa Đéc, thị xã Hồng Ngự Quyết nghị tỷ lệ phần trăm phân chia cho ngân sách phường được hưởng.</t>
  </si>
  <si>
    <t>Biểu số 17/CKTC-NSĐP</t>
  </si>
  <si>
    <t>Biểu số 15/CKTC-NSĐP</t>
  </si>
  <si>
    <t>CÂN ĐỐI NGÂN SÁCH ĐỊA PHƯƠNG NĂM 2016</t>
  </si>
  <si>
    <t>CÂN ĐỐI NGÂN SÁCH CẤP TỈNH NĂM 2016</t>
  </si>
  <si>
    <t>Dự toán 
năm 2016</t>
  </si>
  <si>
    <t>DỰ TOÁN THU NGÂN SÁCH NHÀ NƯỚC NĂM 2016</t>
  </si>
  <si>
    <t>DỰ TOÁN CHI NGÂN SÁCH ĐỊA PHƯƠNG NĂM 2016</t>
  </si>
  <si>
    <t>Dự toán năm 2016</t>
  </si>
  <si>
    <t>DỰ TOÁN CHI NGÂN SÁCH CHO CÁC DỰ ÁN CHƯƠNG TRÌNH MỤC TIÊU QUỐC GIA, MỘT SỐ CHƯƠNG TRÌNH, DỰ ÁN, NHIỆM VỤ KHÁC QUAN TRỌNG NĂM 2016</t>
  </si>
  <si>
    <t>Dự toán
năm 2016</t>
  </si>
  <si>
    <t>BẢNG CÂN ĐỐI DỰ TOÁN THU-CHI NĂM 2016 NGÂN SÁCH HUYỆN, THỊ XÃ, THÀNH PHỐ</t>
  </si>
  <si>
    <t>TỶ LỆ PHẦN TRĂM ( % ) PHÂN CHIA CÁC KHOẢN THU CHO TỪNG HUYỆN, THỊ XÃ, THÀNH PHỐ THUỘC TỈNH NĂM 2016</t>
  </si>
  <si>
    <t>CHO TỪNG XÃ, PHƯỜNG, THỊ TRẤN NĂM 2016</t>
  </si>
  <si>
    <t xml:space="preserve">                                                                                                        DỰ TOÁN CHI NGÂN SÁCH CẤP TỈNH CHO TỪNG  ĐƠN VỊ  THEO LĨNH VỰC NĂM 2016                                                                                   </t>
  </si>
  <si>
    <t>Một số cơ quan, đơn vị</t>
  </si>
  <si>
    <t>DỰ TOÁN NĂM 2016</t>
  </si>
  <si>
    <t>Tổng thu NSNN trên địa bàn huyện, thị xã, thành phố
năm 2016</t>
  </si>
  <si>
    <t>Chi NS huyện, thị xã, thành phố năm 2016</t>
  </si>
  <si>
    <t>Mẫu số 10/CKTC-NSĐP</t>
  </si>
  <si>
    <t>Mẫu số 11/CKTC-NSĐP</t>
  </si>
  <si>
    <t>Mẫu số 12/CKTC-NSĐP</t>
  </si>
  <si>
    <t>Mẫu số 13/CKTC-NSĐP</t>
  </si>
  <si>
    <t>Chi thực hiện một số N/V mục tiêu khác
(vốn sự nghiệp) từ nguồn NSTW bổ sung có mục tiêu</t>
  </si>
  <si>
    <t>Mẫu số 19/CKTC-NSĐP</t>
  </si>
  <si>
    <t>Mẫu số 18/CKTC-NSĐP</t>
  </si>
  <si>
    <t>Mẫu số 20/CKTC-NSĐP</t>
  </si>
</sst>
</file>

<file path=xl/styles.xml><?xml version="1.0" encoding="utf-8"?>
<styleSheet xmlns="http://schemas.openxmlformats.org/spreadsheetml/2006/main">
  <numFmts count="8">
    <numFmt numFmtId="164" formatCode="_(* #,##0.00_);_(* \(#,##0.00\);_(* &quot;-&quot;??_);_(@_)"/>
    <numFmt numFmtId="165" formatCode="_(* #,##0_);_(* \(#,##0\);_(* &quot;-&quot;??_);_(@_)"/>
    <numFmt numFmtId="166" formatCode="00"/>
    <numFmt numFmtId="167" formatCode="#,##0.000"/>
    <numFmt numFmtId="168" formatCode="#,##0;[Red]\-#,##0;&quot; &quot;"/>
    <numFmt numFmtId="169" formatCode="#,###;[Red]\-#,###"/>
    <numFmt numFmtId="170" formatCode="#,##0_ ;[Red]\-#,##0\ "/>
    <numFmt numFmtId="171" formatCode="_-* #,##0_-;\-* #,##0_-;_-* &quot;-&quot;??_-;_-@_-"/>
  </numFmts>
  <fonts count="63">
    <font>
      <sz val="12"/>
      <name val="Times New Roman"/>
    </font>
    <font>
      <sz val="12"/>
      <name val="Times New Roman"/>
      <family val="1"/>
      <charset val="163"/>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sz val="12"/>
      <name val=".VnArial Narrow"/>
      <family val="2"/>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u/>
      <sz val="10.5"/>
      <name val="Times New Roman"/>
      <family val="1"/>
    </font>
    <font>
      <sz val="9"/>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color indexed="8"/>
      <name val="Times New Roman"/>
      <family val="1"/>
    </font>
    <font>
      <sz val="10"/>
      <name val="Helv"/>
      <family val="2"/>
    </font>
    <font>
      <sz val="10.5"/>
      <color indexed="10"/>
      <name val="Times New Roman"/>
      <family val="1"/>
    </font>
    <font>
      <b/>
      <u/>
      <sz val="10"/>
      <color indexed="9"/>
      <name val="Times New Roman"/>
      <family val="1"/>
    </font>
    <font>
      <sz val="10"/>
      <color indexed="9"/>
      <name val="Times New Roman"/>
      <family val="1"/>
    </font>
    <font>
      <b/>
      <u/>
      <sz val="12"/>
      <color indexed="10"/>
      <name val="Times New Roman"/>
      <family val="1"/>
    </font>
    <font>
      <sz val="10"/>
      <color indexed="10"/>
      <name val="Times New Roman"/>
      <family val="1"/>
    </font>
    <font>
      <sz val="12"/>
      <color indexed="12"/>
      <name val="Times New Roman"/>
      <family val="1"/>
    </font>
    <font>
      <sz val="12"/>
      <color indexed="10"/>
      <name val="Times New Roman"/>
      <family val="1"/>
    </font>
    <font>
      <b/>
      <sz val="9"/>
      <color indexed="81"/>
      <name val="Tahoma"/>
      <family val="2"/>
    </font>
    <font>
      <sz val="9"/>
      <color indexed="81"/>
      <name val="Tahoma"/>
      <family val="2"/>
    </font>
    <font>
      <sz val="10"/>
      <color indexed="10"/>
      <name val="Tahoma"/>
      <family val="2"/>
    </font>
    <font>
      <b/>
      <sz val="10"/>
      <color indexed="10"/>
      <name val="Tahoma"/>
      <family val="2"/>
    </font>
    <font>
      <sz val="8"/>
      <color indexed="10"/>
      <name val="Tahoma"/>
      <family val="2"/>
    </font>
    <font>
      <b/>
      <sz val="8"/>
      <color indexed="10"/>
      <name val="Tahoma"/>
      <family val="2"/>
    </font>
    <font>
      <b/>
      <sz val="10"/>
      <color indexed="10"/>
      <name val="Times New Roman"/>
      <family val="1"/>
    </font>
    <font>
      <sz val="9"/>
      <color indexed="81"/>
      <name val="Tahoma"/>
      <family val="2"/>
      <charset val="163"/>
    </font>
    <font>
      <b/>
      <sz val="9"/>
      <color indexed="81"/>
      <name val="Tahoma"/>
      <family val="2"/>
      <charset val="163"/>
    </font>
    <font>
      <sz val="12"/>
      <color rgb="FFFF0000"/>
      <name val="Times New Roman"/>
      <family val="1"/>
    </font>
    <font>
      <b/>
      <sz val="12"/>
      <color rgb="FFFF0000"/>
      <name val="Times New Roman"/>
      <family val="1"/>
    </font>
    <font>
      <b/>
      <u/>
      <sz val="12"/>
      <color rgb="FFEAEAEA"/>
      <name val="Times New Roman"/>
      <family val="1"/>
    </font>
    <font>
      <sz val="10"/>
      <color rgb="FF00B0F0"/>
      <name val="Times New Roman"/>
      <family val="1"/>
    </font>
    <font>
      <sz val="10"/>
      <color rgb="FF00B050"/>
      <name val="Times New Roman"/>
      <family val="1"/>
    </font>
    <font>
      <b/>
      <sz val="14"/>
      <name val="Times New Roman"/>
      <family val="1"/>
    </font>
    <font>
      <b/>
      <sz val="11"/>
      <name val="Arial"/>
      <family val="2"/>
    </font>
    <font>
      <i/>
      <sz val="11"/>
      <name val="Times New Roman"/>
      <family val="1"/>
    </font>
    <font>
      <sz val="13"/>
      <name val="Times New Roman"/>
      <family val="1"/>
      <charset val="163"/>
    </font>
    <font>
      <i/>
      <sz val="12"/>
      <name val="Times New Roman"/>
      <family val="1"/>
      <charset val="163"/>
    </font>
  </fonts>
  <fills count="6">
    <fill>
      <patternFill patternType="none"/>
    </fill>
    <fill>
      <patternFill patternType="gray125"/>
    </fill>
    <fill>
      <patternFill patternType="gray0625"/>
    </fill>
    <fill>
      <patternFill patternType="solid">
        <fgColor indexed="15"/>
        <bgColor indexed="64"/>
      </patternFill>
    </fill>
    <fill>
      <patternFill patternType="solid">
        <fgColor rgb="FFFFFFFF"/>
        <bgColor indexed="64"/>
      </patternFill>
    </fill>
    <fill>
      <patternFill patternType="solid">
        <fgColor indexed="65"/>
        <bgColor indexed="64"/>
      </patternFill>
    </fill>
  </fills>
  <borders count="41">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style="thin">
        <color indexed="0"/>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0" fontId="34" fillId="0" borderId="0"/>
    <xf numFmtId="0" fontId="25" fillId="0" borderId="0"/>
    <xf numFmtId="0" fontId="25" fillId="0" borderId="0"/>
    <xf numFmtId="0" fontId="32" fillId="0" borderId="0"/>
    <xf numFmtId="0" fontId="11" fillId="0" borderId="0"/>
  </cellStyleXfs>
  <cellXfs count="845">
    <xf numFmtId="0" fontId="0" fillId="0" borderId="0" xfId="0"/>
    <xf numFmtId="3" fontId="3" fillId="0" borderId="0" xfId="0" applyNumberFormat="1" applyFont="1" applyAlignment="1">
      <alignment horizontal="center"/>
    </xf>
    <xf numFmtId="3" fontId="3" fillId="0" borderId="0" xfId="0" applyNumberFormat="1" applyFont="1"/>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xf numFmtId="3" fontId="4" fillId="0" borderId="1" xfId="0" applyNumberFormat="1" applyFont="1" applyBorder="1" applyAlignment="1">
      <alignment horizontal="center"/>
    </xf>
    <xf numFmtId="3" fontId="3" fillId="0" borderId="2" xfId="0" applyNumberFormat="1" applyFont="1" applyBorder="1" applyAlignment="1">
      <alignment horizontal="centerContinuous" wrapText="1"/>
    </xf>
    <xf numFmtId="3" fontId="3" fillId="0" borderId="3" xfId="0" applyNumberFormat="1" applyFont="1" applyBorder="1" applyAlignment="1">
      <alignment horizontal="centerContinuous" wrapText="1"/>
    </xf>
    <xf numFmtId="3" fontId="3" fillId="0" borderId="4" xfId="0" applyNumberFormat="1" applyFont="1" applyBorder="1" applyAlignment="1">
      <alignment horizontal="centerContinuous" wrapText="1"/>
    </xf>
    <xf numFmtId="3" fontId="3" fillId="0" borderId="0" xfId="0" applyNumberFormat="1" applyFont="1" applyBorder="1" applyAlignment="1">
      <alignment horizontal="center" wrapText="1"/>
    </xf>
    <xf numFmtId="3" fontId="3" fillId="0" borderId="5" xfId="0" applyNumberFormat="1" applyFont="1" applyBorder="1" applyAlignment="1">
      <alignment horizontal="center" vertical="center" wrapText="1"/>
    </xf>
    <xf numFmtId="3" fontId="4" fillId="0" borderId="0" xfId="0" applyNumberFormat="1" applyFont="1" applyBorder="1" applyAlignment="1">
      <alignment horizontal="center" vertical="center" wrapText="1"/>
    </xf>
    <xf numFmtId="3" fontId="3" fillId="0" borderId="0" xfId="0" applyNumberFormat="1" applyFont="1" applyBorder="1"/>
    <xf numFmtId="3" fontId="4" fillId="0" borderId="0" xfId="0" applyNumberFormat="1" applyFont="1" applyBorder="1"/>
    <xf numFmtId="3" fontId="3" fillId="0" borderId="0" xfId="0" applyNumberFormat="1" applyFont="1" applyBorder="1" applyAlignment="1">
      <alignment horizontal="center"/>
    </xf>
    <xf numFmtId="3" fontId="3" fillId="0" borderId="0" xfId="0" applyNumberFormat="1" applyFont="1" applyBorder="1" applyAlignment="1"/>
    <xf numFmtId="0" fontId="3" fillId="0" borderId="0" xfId="0" applyFont="1" applyAlignment="1"/>
    <xf numFmtId="0" fontId="3" fillId="0" borderId="0" xfId="0" applyFont="1" applyAlignment="1">
      <alignment horizontal="center"/>
    </xf>
    <xf numFmtId="0" fontId="3" fillId="0" borderId="0" xfId="0" applyFont="1"/>
    <xf numFmtId="3" fontId="4" fillId="0" borderId="0" xfId="0" applyNumberFormat="1" applyFont="1" applyBorder="1" applyAlignment="1"/>
    <xf numFmtId="3" fontId="4" fillId="0" borderId="0" xfId="0" applyNumberFormat="1" applyFont="1" applyAlignment="1">
      <alignment horizontal="centerContinuous"/>
    </xf>
    <xf numFmtId="3" fontId="3" fillId="0" borderId="1" xfId="0" applyNumberFormat="1" applyFont="1" applyBorder="1" applyAlignment="1"/>
    <xf numFmtId="3" fontId="8" fillId="0" borderId="0" xfId="0" applyNumberFormat="1" applyFont="1" applyBorder="1" applyAlignment="1"/>
    <xf numFmtId="3" fontId="8" fillId="0" borderId="0" xfId="0" applyNumberFormat="1" applyFont="1" applyBorder="1"/>
    <xf numFmtId="3" fontId="8" fillId="0" borderId="6" xfId="0" applyNumberFormat="1" applyFont="1" applyBorder="1" applyAlignment="1">
      <alignment shrinkToFit="1"/>
    </xf>
    <xf numFmtId="3" fontId="4" fillId="0" borderId="7" xfId="0" applyNumberFormat="1" applyFont="1" applyBorder="1" applyAlignment="1">
      <alignment horizontal="center" vertical="center" shrinkToFit="1"/>
    </xf>
    <xf numFmtId="3" fontId="8" fillId="0" borderId="6" xfId="0" applyNumberFormat="1" applyFont="1" applyBorder="1" applyAlignment="1">
      <alignment horizontal="center"/>
    </xf>
    <xf numFmtId="3" fontId="8" fillId="0" borderId="6" xfId="0" applyNumberFormat="1" applyFont="1" applyBorder="1"/>
    <xf numFmtId="3" fontId="3" fillId="0" borderId="8" xfId="0" applyNumberFormat="1" applyFont="1" applyBorder="1" applyAlignment="1">
      <alignment horizontal="center"/>
    </xf>
    <xf numFmtId="3" fontId="4" fillId="0" borderId="8" xfId="0" applyNumberFormat="1" applyFont="1" applyBorder="1" applyAlignment="1">
      <alignment horizontal="center"/>
    </xf>
    <xf numFmtId="3" fontId="8" fillId="0" borderId="8" xfId="0" applyNumberFormat="1" applyFont="1" applyBorder="1" applyAlignment="1">
      <alignment horizontal="center"/>
    </xf>
    <xf numFmtId="3" fontId="4" fillId="0" borderId="8" xfId="0" applyNumberFormat="1" applyFont="1" applyBorder="1" applyAlignment="1">
      <alignment vertical="center" wrapText="1" shrinkToFit="1"/>
    </xf>
    <xf numFmtId="3" fontId="3" fillId="0" borderId="0" xfId="0" applyNumberFormat="1" applyFont="1" applyBorder="1" applyAlignment="1">
      <alignment vertical="center" wrapText="1"/>
    </xf>
    <xf numFmtId="3" fontId="3" fillId="0" borderId="8" xfId="0" applyNumberFormat="1" applyFont="1" applyBorder="1" applyAlignment="1">
      <alignment horizontal="center" vertical="center" wrapText="1"/>
    </xf>
    <xf numFmtId="3" fontId="3" fillId="0" borderId="8" xfId="0" applyNumberFormat="1" applyFont="1" applyBorder="1" applyAlignment="1">
      <alignment vertical="center" wrapText="1" shrinkToFit="1"/>
    </xf>
    <xf numFmtId="3" fontId="3" fillId="0" borderId="8" xfId="0" applyNumberFormat="1" applyFont="1" applyBorder="1" applyAlignment="1">
      <alignment vertical="center" shrinkToFit="1"/>
    </xf>
    <xf numFmtId="3" fontId="3" fillId="0" borderId="1" xfId="0" applyNumberFormat="1" applyFont="1" applyBorder="1" applyAlignment="1">
      <alignment horizontal="right"/>
    </xf>
    <xf numFmtId="3" fontId="4" fillId="0" borderId="8" xfId="0" applyNumberFormat="1" applyFont="1" applyBorder="1" applyAlignment="1">
      <alignment vertical="center" shrinkToFit="1"/>
    </xf>
    <xf numFmtId="3" fontId="3" fillId="0" borderId="0" xfId="0" applyNumberFormat="1" applyFont="1" applyAlignment="1">
      <alignment horizontal="centerContinuous" vertical="center"/>
    </xf>
    <xf numFmtId="3" fontId="3" fillId="0" borderId="0" xfId="0" applyNumberFormat="1" applyFont="1" applyAlignment="1">
      <alignment horizontal="centerContinuous" vertical="center" wrapText="1"/>
    </xf>
    <xf numFmtId="3" fontId="3" fillId="0" borderId="5" xfId="0" applyNumberFormat="1" applyFont="1" applyBorder="1" applyAlignment="1">
      <alignment horizontal="center" shrinkToFit="1"/>
    </xf>
    <xf numFmtId="0" fontId="3" fillId="0" borderId="5" xfId="0" applyFont="1" applyBorder="1" applyAlignment="1">
      <alignment horizontal="center" shrinkToFit="1"/>
    </xf>
    <xf numFmtId="3" fontId="4" fillId="0" borderId="0" xfId="0" applyNumberFormat="1" applyFont="1" applyBorder="1" applyAlignment="1">
      <alignment horizontal="centerContinuous" vertical="center" wrapText="1"/>
    </xf>
    <xf numFmtId="3" fontId="4" fillId="0" borderId="0" xfId="0" applyNumberFormat="1" applyFont="1" applyAlignment="1">
      <alignment shrinkToFit="1"/>
    </xf>
    <xf numFmtId="3" fontId="7" fillId="0" borderId="7" xfId="0" applyNumberFormat="1" applyFont="1" applyBorder="1" applyAlignment="1">
      <alignment horizontal="center" vertical="center" shrinkToFit="1"/>
    </xf>
    <xf numFmtId="3" fontId="9" fillId="0" borderId="2" xfId="0" applyNumberFormat="1" applyFont="1" applyBorder="1" applyAlignment="1">
      <alignment horizontal="centerContinuous" vertical="center" wrapText="1"/>
    </xf>
    <xf numFmtId="167" fontId="4" fillId="0" borderId="0" xfId="0" applyNumberFormat="1" applyFont="1" applyAlignment="1">
      <alignment horizontal="right"/>
    </xf>
    <xf numFmtId="3" fontId="3" fillId="0" borderId="0" xfId="0" applyNumberFormat="1" applyFont="1" applyBorder="1" applyAlignment="1">
      <alignment horizontal="right"/>
    </xf>
    <xf numFmtId="3" fontId="4" fillId="0" borderId="0" xfId="0" applyNumberFormat="1" applyFont="1" applyBorder="1" applyAlignment="1">
      <alignment shrinkToFit="1"/>
    </xf>
    <xf numFmtId="0" fontId="3" fillId="0" borderId="5" xfId="0" applyFont="1" applyBorder="1" applyAlignment="1">
      <alignment horizontal="center" vertical="center" wrapText="1"/>
    </xf>
    <xf numFmtId="3" fontId="3" fillId="0" borderId="0" xfId="0" applyNumberFormat="1" applyFont="1" applyAlignment="1">
      <alignment horizontal="right"/>
    </xf>
    <xf numFmtId="3" fontId="8" fillId="0" borderId="9" xfId="0" applyNumberFormat="1" applyFont="1" applyBorder="1" applyAlignment="1">
      <alignment vertical="center" shrinkToFit="1"/>
    </xf>
    <xf numFmtId="3" fontId="3" fillId="0" borderId="0" xfId="0" applyNumberFormat="1" applyFont="1" applyBorder="1" applyAlignment="1">
      <alignment wrapText="1"/>
    </xf>
    <xf numFmtId="3" fontId="10" fillId="0" borderId="0" xfId="0" applyNumberFormat="1" applyFont="1" applyBorder="1"/>
    <xf numFmtId="0" fontId="8" fillId="0" borderId="6" xfId="0" applyFont="1" applyBorder="1" applyAlignment="1">
      <alignment horizontal="center" shrinkToFit="1"/>
    </xf>
    <xf numFmtId="0" fontId="0" fillId="0" borderId="8" xfId="0" applyBorder="1" applyAlignment="1">
      <alignment horizontal="center" vertical="center" shrinkToFit="1"/>
    </xf>
    <xf numFmtId="4" fontId="4" fillId="0" borderId="8" xfId="6" applyNumberFormat="1" applyFont="1" applyBorder="1" applyAlignment="1">
      <alignment vertical="center" shrinkToFit="1"/>
    </xf>
    <xf numFmtId="0" fontId="0" fillId="0" borderId="9" xfId="0" applyBorder="1" applyAlignment="1">
      <alignment horizontal="center" vertical="center" shrinkToFit="1"/>
    </xf>
    <xf numFmtId="4" fontId="4" fillId="0" borderId="9" xfId="6" applyNumberFormat="1" applyFont="1" applyBorder="1" applyAlignment="1">
      <alignment vertical="center" shrinkToFit="1"/>
    </xf>
    <xf numFmtId="164" fontId="4" fillId="0" borderId="0" xfId="1" applyFont="1"/>
    <xf numFmtId="0" fontId="4" fillId="0" borderId="0" xfId="0" applyFont="1"/>
    <xf numFmtId="0" fontId="3" fillId="0" borderId="7" xfId="0" applyFont="1" applyBorder="1" applyAlignment="1">
      <alignment horizontal="center" vertical="center"/>
    </xf>
    <xf numFmtId="3" fontId="8"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3" fontId="13" fillId="0" borderId="0" xfId="0" applyNumberFormat="1" applyFont="1" applyAlignment="1">
      <alignment shrinkToFit="1"/>
    </xf>
    <xf numFmtId="0" fontId="3" fillId="0" borderId="5"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vertical="center"/>
    </xf>
    <xf numFmtId="3" fontId="8" fillId="0" borderId="9" xfId="0" applyNumberFormat="1" applyFont="1" applyBorder="1" applyAlignment="1">
      <alignment horizontal="center" vertical="center" wrapText="1"/>
    </xf>
    <xf numFmtId="3" fontId="8" fillId="0" borderId="6" xfId="0" applyNumberFormat="1" applyFont="1" applyBorder="1" applyAlignment="1">
      <alignment vertical="center" shrinkToFit="1"/>
    </xf>
    <xf numFmtId="3" fontId="4" fillId="0" borderId="9" xfId="0" applyNumberFormat="1" applyFont="1" applyBorder="1" applyAlignment="1">
      <alignment vertical="center" wrapText="1"/>
    </xf>
    <xf numFmtId="0" fontId="3" fillId="0" borderId="5" xfId="0" applyFont="1" applyBorder="1" applyAlignment="1">
      <alignment vertical="center" shrinkToFit="1"/>
    </xf>
    <xf numFmtId="3" fontId="3" fillId="0" borderId="5" xfId="0" applyNumberFormat="1" applyFont="1" applyBorder="1" applyAlignment="1">
      <alignment vertical="center" shrinkToFit="1"/>
    </xf>
    <xf numFmtId="3" fontId="3" fillId="0" borderId="2" xfId="0" applyNumberFormat="1" applyFont="1" applyBorder="1" applyAlignment="1">
      <alignment vertical="center"/>
    </xf>
    <xf numFmtId="3" fontId="3" fillId="0" borderId="3" xfId="0" applyNumberFormat="1" applyFont="1" applyBorder="1" applyAlignment="1">
      <alignment vertical="center" shrinkToFit="1"/>
    </xf>
    <xf numFmtId="3" fontId="3" fillId="0" borderId="4" xfId="0" applyNumberFormat="1" applyFont="1" applyBorder="1" applyAlignment="1">
      <alignment vertical="center" shrinkToFit="1"/>
    </xf>
    <xf numFmtId="0" fontId="4" fillId="0" borderId="5" xfId="0" applyFont="1" applyBorder="1" applyAlignment="1">
      <alignment horizontal="center" vertical="center"/>
    </xf>
    <xf numFmtId="0" fontId="4" fillId="0" borderId="5" xfId="0" applyFont="1" applyBorder="1" applyAlignment="1">
      <alignment vertical="center" shrinkToFit="1"/>
    </xf>
    <xf numFmtId="3" fontId="4" fillId="0" borderId="5" xfId="0" applyNumberFormat="1" applyFont="1" applyBorder="1" applyAlignment="1">
      <alignment vertical="center" shrinkToFit="1"/>
    </xf>
    <xf numFmtId="3" fontId="3" fillId="0" borderId="2" xfId="0" applyNumberFormat="1" applyFont="1" applyBorder="1" applyAlignment="1">
      <alignment vertical="center" shrinkToFit="1"/>
    </xf>
    <xf numFmtId="0" fontId="4" fillId="2" borderId="5" xfId="0" applyFont="1" applyFill="1" applyBorder="1" applyAlignment="1">
      <alignment horizontal="center" vertical="center"/>
    </xf>
    <xf numFmtId="0" fontId="4" fillId="2" borderId="5" xfId="0" applyFont="1" applyFill="1" applyBorder="1" applyAlignment="1">
      <alignment vertical="center" shrinkToFit="1"/>
    </xf>
    <xf numFmtId="0" fontId="4" fillId="0" borderId="5" xfId="0" applyFont="1" applyBorder="1" applyAlignment="1">
      <alignment horizontal="center" vertical="center" shrinkToFit="1"/>
    </xf>
    <xf numFmtId="3" fontId="13" fillId="0" borderId="0" xfId="0" applyNumberFormat="1" applyFont="1"/>
    <xf numFmtId="165" fontId="13" fillId="0" borderId="0" xfId="1" applyNumberFormat="1" applyFont="1"/>
    <xf numFmtId="165" fontId="13" fillId="0" borderId="0" xfId="0" applyNumberFormat="1" applyFont="1"/>
    <xf numFmtId="165" fontId="4" fillId="0" borderId="0" xfId="1" applyNumberFormat="1" applyFont="1" applyBorder="1" applyAlignment="1"/>
    <xf numFmtId="3" fontId="8" fillId="0" borderId="6" xfId="0" applyNumberFormat="1" applyFont="1" applyBorder="1" applyAlignment="1">
      <alignment vertical="center"/>
    </xf>
    <xf numFmtId="3" fontId="8" fillId="0" borderId="6" xfId="0" applyNumberFormat="1" applyFont="1" applyBorder="1" applyAlignment="1">
      <alignment horizontal="center" vertical="center" shrinkToFit="1"/>
    </xf>
    <xf numFmtId="0" fontId="8" fillId="0" borderId="6" xfId="0" applyFont="1" applyBorder="1" applyAlignment="1">
      <alignment horizontal="center" vertical="center" shrinkToFit="1"/>
    </xf>
    <xf numFmtId="3" fontId="0" fillId="0" borderId="8" xfId="0" applyNumberFormat="1" applyBorder="1" applyAlignment="1">
      <alignment vertical="center"/>
    </xf>
    <xf numFmtId="3" fontId="0" fillId="0" borderId="9" xfId="0" applyNumberFormat="1" applyBorder="1" applyAlignment="1">
      <alignment vertical="center"/>
    </xf>
    <xf numFmtId="3" fontId="8" fillId="0" borderId="8" xfId="0" applyNumberFormat="1" applyFont="1" applyBorder="1" applyAlignment="1">
      <alignment shrinkToFit="1"/>
    </xf>
    <xf numFmtId="3" fontId="4" fillId="0" borderId="8" xfId="0" applyNumberFormat="1" applyFont="1" applyBorder="1" applyAlignment="1">
      <alignment shrinkToFit="1"/>
    </xf>
    <xf numFmtId="3" fontId="8" fillId="0" borderId="8" xfId="0" applyNumberFormat="1" applyFont="1" applyBorder="1" applyAlignment="1">
      <alignment horizontal="center" shrinkToFit="1"/>
    </xf>
    <xf numFmtId="3" fontId="3" fillId="0" borderId="10" xfId="0" applyNumberFormat="1" applyFont="1" applyBorder="1" applyAlignment="1">
      <alignment horizontal="center"/>
    </xf>
    <xf numFmtId="3" fontId="3" fillId="0" borderId="10" xfId="0" applyNumberFormat="1" applyFont="1" applyBorder="1" applyAlignment="1">
      <alignment vertical="center" shrinkToFit="1"/>
    </xf>
    <xf numFmtId="3" fontId="4" fillId="0" borderId="8" xfId="0" applyNumberFormat="1" applyFont="1" applyBorder="1" applyAlignment="1">
      <alignment horizontal="left" shrinkToFit="1"/>
    </xf>
    <xf numFmtId="165" fontId="13" fillId="0" borderId="0" xfId="1" applyNumberFormat="1" applyFont="1" applyAlignment="1">
      <alignment shrinkToFit="1"/>
    </xf>
    <xf numFmtId="168" fontId="3" fillId="0" borderId="8" xfId="0" applyNumberFormat="1" applyFont="1" applyBorder="1" applyAlignment="1">
      <alignment vertical="center" shrinkToFit="1"/>
    </xf>
    <xf numFmtId="0" fontId="3" fillId="0" borderId="1" xfId="0" applyFont="1" applyBorder="1" applyAlignment="1">
      <alignment horizontal="right"/>
    </xf>
    <xf numFmtId="3" fontId="4" fillId="0" borderId="0" xfId="0" applyNumberFormat="1" applyFont="1" applyAlignment="1">
      <alignment horizontal="left"/>
    </xf>
    <xf numFmtId="3" fontId="3" fillId="0" borderId="0" xfId="0" applyNumberFormat="1" applyFont="1" applyAlignment="1"/>
    <xf numFmtId="3" fontId="3" fillId="0" borderId="0" xfId="0" applyNumberFormat="1" applyFont="1" applyAlignment="1">
      <alignment horizontal="centerContinuous"/>
    </xf>
    <xf numFmtId="4" fontId="4" fillId="0" borderId="0" xfId="0" applyNumberFormat="1" applyFont="1"/>
    <xf numFmtId="3" fontId="3" fillId="0" borderId="5" xfId="0" applyNumberFormat="1" applyFont="1" applyBorder="1" applyAlignment="1">
      <alignment horizontal="center" vertical="center" shrinkToFit="1"/>
    </xf>
    <xf numFmtId="3" fontId="8" fillId="0" borderId="6" xfId="0" applyNumberFormat="1" applyFont="1" applyBorder="1" applyAlignment="1">
      <alignment horizontal="center" shrinkToFit="1"/>
    </xf>
    <xf numFmtId="3" fontId="10" fillId="0" borderId="0" xfId="0" applyNumberFormat="1" applyFont="1"/>
    <xf numFmtId="3" fontId="4" fillId="0" borderId="8" xfId="0" applyNumberFormat="1" applyFont="1" applyBorder="1" applyAlignment="1">
      <alignment horizontal="center" shrinkToFit="1"/>
    </xf>
    <xf numFmtId="3" fontId="8" fillId="0" borderId="0" xfId="0" applyNumberFormat="1" applyFont="1"/>
    <xf numFmtId="3" fontId="8" fillId="0" borderId="9" xfId="0" applyNumberFormat="1" applyFont="1" applyBorder="1" applyAlignment="1">
      <alignment horizontal="center" shrinkToFit="1"/>
    </xf>
    <xf numFmtId="3" fontId="4"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3" fontId="4" fillId="0" borderId="8" xfId="0" applyNumberFormat="1" applyFont="1" applyBorder="1" applyAlignment="1">
      <alignment horizontal="centerContinuous"/>
    </xf>
    <xf numFmtId="169" fontId="8" fillId="0" borderId="6" xfId="0" applyNumberFormat="1" applyFont="1" applyBorder="1" applyAlignment="1">
      <alignment horizontal="right" shrinkToFit="1"/>
    </xf>
    <xf numFmtId="169" fontId="10" fillId="0" borderId="6" xfId="0" applyNumberFormat="1" applyFont="1" applyBorder="1" applyAlignment="1">
      <alignment horizontal="right" shrinkToFit="1"/>
    </xf>
    <xf numFmtId="169" fontId="8" fillId="0" borderId="8" xfId="0" applyNumberFormat="1" applyFont="1" applyBorder="1" applyAlignment="1">
      <alignment horizontal="right" shrinkToFit="1"/>
    </xf>
    <xf numFmtId="169" fontId="4" fillId="0" borderId="8" xfId="0" applyNumberFormat="1" applyFont="1" applyBorder="1" applyAlignment="1">
      <alignment horizontal="right" shrinkToFit="1"/>
    </xf>
    <xf numFmtId="169" fontId="3" fillId="0" borderId="8" xfId="0" applyNumberFormat="1" applyFont="1" applyBorder="1" applyAlignment="1">
      <alignment horizontal="right" shrinkToFit="1"/>
    </xf>
    <xf numFmtId="169" fontId="8" fillId="0" borderId="9" xfId="0" applyNumberFormat="1" applyFont="1" applyBorder="1" applyAlignment="1">
      <alignment horizontal="right" shrinkToFit="1"/>
    </xf>
    <xf numFmtId="0" fontId="23" fillId="0" borderId="0" xfId="0" applyFont="1" applyAlignment="1">
      <alignment wrapText="1"/>
    </xf>
    <xf numFmtId="0" fontId="24" fillId="0" borderId="0" xfId="0" applyFont="1"/>
    <xf numFmtId="0" fontId="23" fillId="0" borderId="0" xfId="0" applyFont="1" applyAlignment="1">
      <alignment horizontal="center" vertical="center" wrapText="1"/>
    </xf>
    <xf numFmtId="0" fontId="23" fillId="0" borderId="0" xfId="0" applyFont="1" applyAlignment="1">
      <alignment horizontal="right"/>
    </xf>
    <xf numFmtId="0" fontId="23" fillId="0" borderId="5" xfId="4" applyFont="1" applyBorder="1" applyAlignment="1">
      <alignment horizontal="center" vertical="center" wrapText="1" shrinkToFit="1"/>
    </xf>
    <xf numFmtId="0" fontId="26" fillId="0" borderId="8" xfId="4" applyFont="1" applyBorder="1" applyAlignment="1">
      <alignment horizontal="center" vertical="center" wrapText="1"/>
    </xf>
    <xf numFmtId="0" fontId="26" fillId="0" borderId="8" xfId="4" applyFont="1" applyBorder="1" applyAlignment="1">
      <alignment vertical="center" wrapText="1"/>
    </xf>
    <xf numFmtId="3" fontId="26" fillId="0" borderId="8" xfId="4" applyNumberFormat="1" applyFont="1" applyBorder="1"/>
    <xf numFmtId="0" fontId="24" fillId="0" borderId="8" xfId="4" applyFont="1" applyBorder="1" applyAlignment="1">
      <alignment horizontal="center" vertical="center" wrapText="1"/>
    </xf>
    <xf numFmtId="0" fontId="24" fillId="0" borderId="8" xfId="4" applyFont="1" applyBorder="1" applyAlignment="1">
      <alignment vertical="center" wrapText="1"/>
    </xf>
    <xf numFmtId="3" fontId="24" fillId="0" borderId="8" xfId="4" applyNumberFormat="1" applyFont="1" applyBorder="1"/>
    <xf numFmtId="3" fontId="24" fillId="0" borderId="8" xfId="4" applyNumberFormat="1" applyFont="1" applyBorder="1" applyAlignment="1">
      <alignment vertical="center" wrapText="1"/>
    </xf>
    <xf numFmtId="0" fontId="24" fillId="0" borderId="8" xfId="4" applyFont="1" applyBorder="1" applyAlignment="1">
      <alignment vertical="center" shrinkToFit="1"/>
    </xf>
    <xf numFmtId="3" fontId="24" fillId="0" borderId="0" xfId="0" applyNumberFormat="1" applyFont="1"/>
    <xf numFmtId="0" fontId="26" fillId="0" borderId="8" xfId="4" applyFont="1" applyBorder="1" applyAlignment="1">
      <alignment horizontal="center" vertical="center" shrinkToFit="1"/>
    </xf>
    <xf numFmtId="0" fontId="26" fillId="0" borderId="8" xfId="4" applyFont="1" applyBorder="1" applyAlignment="1">
      <alignment vertical="center" shrinkToFit="1"/>
    </xf>
    <xf numFmtId="0" fontId="27" fillId="0" borderId="0" xfId="0" applyFont="1"/>
    <xf numFmtId="0" fontId="24" fillId="0" borderId="8" xfId="4" applyFont="1" applyBorder="1" applyAlignment="1">
      <alignment horizontal="center" vertical="center" shrinkToFit="1"/>
    </xf>
    <xf numFmtId="0" fontId="24" fillId="0" borderId="11" xfId="4" applyFont="1" applyBorder="1" applyAlignment="1">
      <alignment vertical="center" wrapText="1"/>
    </xf>
    <xf numFmtId="3" fontId="24" fillId="0" borderId="11" xfId="4" applyNumberFormat="1" applyFont="1" applyBorder="1" applyAlignment="1">
      <alignment vertical="center" wrapText="1"/>
    </xf>
    <xf numFmtId="3" fontId="23" fillId="2" borderId="5" xfId="4" applyNumberFormat="1" applyFont="1" applyFill="1" applyBorder="1"/>
    <xf numFmtId="3" fontId="27" fillId="0" borderId="0" xfId="0" applyNumberFormat="1" applyFont="1"/>
    <xf numFmtId="0" fontId="3" fillId="0" borderId="7" xfId="0" applyFont="1" applyBorder="1" applyAlignment="1">
      <alignment horizontal="center" vertical="center" shrinkToFit="1"/>
    </xf>
    <xf numFmtId="0" fontId="3" fillId="0" borderId="5" xfId="0" applyFont="1" applyBorder="1" applyAlignment="1">
      <alignment horizontal="center" vertical="center" shrinkToFit="1"/>
    </xf>
    <xf numFmtId="0" fontId="4" fillId="0" borderId="8" xfId="0" applyFont="1" applyBorder="1" applyAlignment="1">
      <alignment horizontal="center"/>
    </xf>
    <xf numFmtId="0" fontId="4" fillId="0" borderId="9" xfId="0" applyFont="1" applyBorder="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0" fillId="0" borderId="6" xfId="0" applyBorder="1" applyAlignment="1">
      <alignment horizontal="center"/>
    </xf>
    <xf numFmtId="9" fontId="3" fillId="0" borderId="6" xfId="0" applyNumberFormat="1" applyFont="1" applyBorder="1" applyAlignment="1">
      <alignment horizontal="center"/>
    </xf>
    <xf numFmtId="0" fontId="3" fillId="0" borderId="8" xfId="0" applyFont="1" applyBorder="1" applyAlignment="1">
      <alignment horizontal="center"/>
    </xf>
    <xf numFmtId="0" fontId="3" fillId="0" borderId="8" xfId="0" applyFont="1" applyBorder="1" applyAlignment="1">
      <alignment shrinkToFit="1"/>
    </xf>
    <xf numFmtId="9" fontId="3" fillId="0" borderId="8" xfId="0" applyNumberFormat="1" applyFont="1" applyBorder="1" applyAlignment="1">
      <alignment horizontal="center"/>
    </xf>
    <xf numFmtId="0" fontId="19" fillId="0" borderId="0" xfId="0" applyFont="1"/>
    <xf numFmtId="0" fontId="22" fillId="0" borderId="0" xfId="0" applyFont="1"/>
    <xf numFmtId="0" fontId="3" fillId="0" borderId="6" xfId="0" applyFont="1" applyBorder="1" applyAlignment="1">
      <alignment horizontal="center"/>
    </xf>
    <xf numFmtId="0" fontId="3" fillId="0" borderId="6" xfId="0" applyFont="1" applyBorder="1" applyAlignment="1">
      <alignment shrinkToFit="1"/>
    </xf>
    <xf numFmtId="0" fontId="0" fillId="0" borderId="8" xfId="0" applyBorder="1" applyAlignment="1">
      <alignment horizontal="center" vertical="center"/>
    </xf>
    <xf numFmtId="0" fontId="4" fillId="0" borderId="8" xfId="0" applyFont="1" applyBorder="1"/>
    <xf numFmtId="0" fontId="3" fillId="0" borderId="8" xfId="0" applyFont="1" applyBorder="1"/>
    <xf numFmtId="9" fontId="4" fillId="0" borderId="8" xfId="0" applyNumberFormat="1" applyFont="1" applyBorder="1" applyAlignment="1">
      <alignment horizontal="center"/>
    </xf>
    <xf numFmtId="0" fontId="0" fillId="0" borderId="8" xfId="0" applyBorder="1"/>
    <xf numFmtId="0" fontId="4" fillId="0" borderId="8" xfId="0" applyFont="1" applyBorder="1" applyAlignment="1">
      <alignment horizontal="center" vertical="center" wrapText="1"/>
    </xf>
    <xf numFmtId="0" fontId="4" fillId="0" borderId="8" xfId="0" applyFont="1" applyBorder="1" applyAlignment="1">
      <alignment vertical="center" wrapText="1"/>
    </xf>
    <xf numFmtId="9" fontId="4" fillId="0" borderId="8" xfId="0" applyNumberFormat="1" applyFont="1" applyBorder="1" applyAlignment="1">
      <alignment horizontal="center" vertical="center" wrapText="1"/>
    </xf>
    <xf numFmtId="0" fontId="4" fillId="0" borderId="9" xfId="0" applyFont="1" applyBorder="1"/>
    <xf numFmtId="0" fontId="18" fillId="0" borderId="0" xfId="0" applyFont="1" applyBorder="1" applyAlignment="1">
      <alignment horizontal="center"/>
    </xf>
    <xf numFmtId="0" fontId="19" fillId="0" borderId="0" xfId="0" applyFont="1" applyAlignment="1">
      <alignment shrinkToFit="1"/>
    </xf>
    <xf numFmtId="0" fontId="8" fillId="0" borderId="10" xfId="0" applyFont="1" applyBorder="1" applyAlignment="1">
      <alignment horizontal="center" vertical="center"/>
    </xf>
    <xf numFmtId="0" fontId="8" fillId="0" borderId="10" xfId="0" applyFont="1" applyBorder="1" applyAlignment="1">
      <alignment vertical="center"/>
    </xf>
    <xf numFmtId="3" fontId="8" fillId="0" borderId="10" xfId="0" applyNumberFormat="1" applyFont="1" applyBorder="1" applyAlignment="1">
      <alignment vertical="center"/>
    </xf>
    <xf numFmtId="0" fontId="8" fillId="0" borderId="0" xfId="0" applyFont="1"/>
    <xf numFmtId="0" fontId="3" fillId="0" borderId="8" xfId="0" applyFont="1" applyBorder="1" applyAlignment="1">
      <alignment horizontal="center" vertical="center"/>
    </xf>
    <xf numFmtId="0" fontId="3" fillId="0" borderId="8" xfId="0" applyFont="1" applyBorder="1" applyAlignment="1">
      <alignment vertical="center"/>
    </xf>
    <xf numFmtId="3" fontId="3" fillId="0" borderId="8" xfId="0" applyNumberFormat="1" applyFont="1" applyBorder="1" applyAlignment="1">
      <alignment vertical="center"/>
    </xf>
    <xf numFmtId="0" fontId="8" fillId="0" borderId="8" xfId="0" applyFont="1" applyBorder="1" applyAlignment="1">
      <alignment horizontal="center" vertical="center"/>
    </xf>
    <xf numFmtId="0" fontId="8" fillId="0" borderId="8" xfId="0" applyFont="1" applyBorder="1" applyAlignment="1">
      <alignment vertical="center"/>
    </xf>
    <xf numFmtId="3" fontId="8" fillId="0" borderId="8" xfId="0" applyNumberFormat="1" applyFont="1" applyBorder="1" applyAlignment="1">
      <alignment vertical="center"/>
    </xf>
    <xf numFmtId="0" fontId="4" fillId="0" borderId="8" xfId="0" applyFont="1" applyBorder="1" applyAlignment="1">
      <alignment horizontal="center" vertical="center"/>
    </xf>
    <xf numFmtId="0" fontId="4" fillId="0" borderId="8" xfId="0" applyFont="1" applyBorder="1" applyAlignment="1">
      <alignment vertical="center"/>
    </xf>
    <xf numFmtId="3" fontId="4" fillId="0" borderId="8" xfId="0" applyNumberFormat="1"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3" fontId="18" fillId="0" borderId="8" xfId="0" applyNumberFormat="1"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0" fillId="0" borderId="8" xfId="0" applyBorder="1" applyAlignment="1">
      <alignment vertical="center"/>
    </xf>
    <xf numFmtId="0" fontId="3" fillId="0" borderId="8" xfId="0" applyFont="1" applyBorder="1" applyAlignment="1">
      <alignment vertical="center" shrinkToFit="1"/>
    </xf>
    <xf numFmtId="0" fontId="3" fillId="0" borderId="9" xfId="0" applyFont="1" applyBorder="1" applyAlignment="1">
      <alignment horizontal="center" vertical="center"/>
    </xf>
    <xf numFmtId="0" fontId="3" fillId="0" borderId="9" xfId="0" applyFont="1" applyBorder="1" applyAlignment="1">
      <alignment vertical="center"/>
    </xf>
    <xf numFmtId="3" fontId="3" fillId="0" borderId="9" xfId="0" applyNumberFormat="1" applyFont="1" applyBorder="1" applyAlignment="1">
      <alignment vertical="center"/>
    </xf>
    <xf numFmtId="0" fontId="8" fillId="0" borderId="6" xfId="0" applyFont="1" applyBorder="1" applyAlignment="1">
      <alignment horizontal="center"/>
    </xf>
    <xf numFmtId="0" fontId="8" fillId="0" borderId="6" xfId="0" applyFont="1" applyBorder="1"/>
    <xf numFmtId="0" fontId="18" fillId="0" borderId="8" xfId="0" applyFont="1" applyBorder="1" applyAlignment="1">
      <alignment vertical="center" shrinkToFit="1"/>
    </xf>
    <xf numFmtId="0" fontId="8" fillId="0" borderId="8" xfId="0" applyFont="1" applyBorder="1" applyAlignment="1">
      <alignment horizontal="center" vertical="center" wrapText="1"/>
    </xf>
    <xf numFmtId="0" fontId="8" fillId="0" borderId="8" xfId="0" applyFont="1" applyBorder="1" applyAlignment="1">
      <alignment vertical="center" wrapText="1"/>
    </xf>
    <xf numFmtId="3" fontId="8" fillId="0" borderId="8" xfId="0" applyNumberFormat="1" applyFont="1" applyBorder="1" applyAlignment="1">
      <alignment vertical="center" wrapText="1"/>
    </xf>
    <xf numFmtId="3" fontId="8" fillId="0" borderId="0" xfId="0" applyNumberFormat="1" applyFont="1" applyAlignment="1">
      <alignment vertical="center" wrapText="1"/>
    </xf>
    <xf numFmtId="0" fontId="8" fillId="0" borderId="0" xfId="0" applyFont="1" applyAlignment="1">
      <alignment vertical="center" wrapText="1"/>
    </xf>
    <xf numFmtId="3" fontId="8"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8" xfId="0" applyNumberFormat="1" applyFont="1" applyBorder="1" applyAlignment="1">
      <alignment vertical="center" wrapText="1"/>
    </xf>
    <xf numFmtId="3" fontId="18" fillId="0" borderId="0" xfId="0" applyNumberFormat="1" applyFont="1" applyAlignment="1">
      <alignment vertical="center" wrapText="1"/>
    </xf>
    <xf numFmtId="0" fontId="18" fillId="0" borderId="0" xfId="0" applyFont="1" applyAlignment="1">
      <alignment vertical="center" wrapText="1"/>
    </xf>
    <xf numFmtId="3" fontId="3" fillId="0" borderId="8" xfId="0" applyNumberFormat="1" applyFont="1" applyBorder="1" applyAlignment="1">
      <alignment horizontal="center" vertical="center"/>
    </xf>
    <xf numFmtId="3" fontId="3" fillId="0" borderId="8" xfId="0" applyNumberFormat="1" applyFont="1" applyBorder="1" applyAlignment="1">
      <alignment vertical="center" wrapText="1"/>
    </xf>
    <xf numFmtId="3" fontId="3" fillId="0" borderId="0" xfId="0" applyNumberFormat="1" applyFont="1" applyAlignment="1">
      <alignment vertical="center" wrapText="1"/>
    </xf>
    <xf numFmtId="0" fontId="3" fillId="0" borderId="0" xfId="0" applyFont="1" applyAlignment="1">
      <alignment vertical="center" wrapText="1"/>
    </xf>
    <xf numFmtId="0" fontId="3" fillId="0" borderId="8" xfId="0" applyFont="1" applyBorder="1" applyAlignment="1">
      <alignment horizontal="center" vertical="center" wrapText="1"/>
    </xf>
    <xf numFmtId="0" fontId="8" fillId="0" borderId="9" xfId="0" applyFont="1" applyBorder="1" applyAlignment="1">
      <alignment horizontal="center" vertical="center"/>
    </xf>
    <xf numFmtId="0" fontId="8" fillId="0" borderId="9" xfId="0" applyFont="1" applyBorder="1" applyAlignment="1">
      <alignment vertical="center"/>
    </xf>
    <xf numFmtId="3" fontId="8" fillId="0" borderId="9" xfId="0" applyNumberFormat="1" applyFont="1" applyBorder="1" applyAlignment="1">
      <alignment vertical="center"/>
    </xf>
    <xf numFmtId="3" fontId="3" fillId="0" borderId="0" xfId="3" applyNumberFormat="1" applyFont="1"/>
    <xf numFmtId="3" fontId="4" fillId="0" borderId="0" xfId="3" applyNumberFormat="1" applyFont="1"/>
    <xf numFmtId="0" fontId="4" fillId="0" borderId="0" xfId="3" applyFont="1" applyAlignment="1"/>
    <xf numFmtId="3" fontId="4" fillId="0" borderId="0" xfId="3" applyNumberFormat="1" applyFont="1" applyAlignment="1">
      <alignment horizontal="center"/>
    </xf>
    <xf numFmtId="3" fontId="3" fillId="0" borderId="0" xfId="3" applyNumberFormat="1" applyFont="1" applyAlignment="1">
      <alignment horizontal="centerContinuous"/>
    </xf>
    <xf numFmtId="3" fontId="4" fillId="0" borderId="0" xfId="3" applyNumberFormat="1" applyFont="1" applyAlignment="1">
      <alignment horizontal="centerContinuous"/>
    </xf>
    <xf numFmtId="3" fontId="3" fillId="0" borderId="0" xfId="3" applyNumberFormat="1" applyFont="1" applyAlignment="1">
      <alignment horizontal="right"/>
    </xf>
    <xf numFmtId="3" fontId="3" fillId="0" borderId="0" xfId="3" applyNumberFormat="1" applyFont="1" applyBorder="1" applyAlignment="1">
      <alignment horizontal="center" wrapText="1"/>
    </xf>
    <xf numFmtId="3" fontId="8" fillId="0" borderId="6" xfId="3" applyNumberFormat="1" applyFont="1" applyBorder="1" applyAlignment="1">
      <alignment horizontal="center" vertical="center"/>
    </xf>
    <xf numFmtId="3" fontId="8" fillId="0" borderId="6" xfId="3" applyNumberFormat="1" applyFont="1" applyBorder="1" applyAlignment="1">
      <alignment vertical="center" wrapText="1"/>
    </xf>
    <xf numFmtId="3" fontId="8" fillId="0" borderId="6" xfId="3" applyNumberFormat="1" applyFont="1" applyBorder="1" applyAlignment="1">
      <alignment vertical="center"/>
    </xf>
    <xf numFmtId="3" fontId="8" fillId="0" borderId="0" xfId="3" applyNumberFormat="1" applyFont="1" applyBorder="1"/>
    <xf numFmtId="3" fontId="8" fillId="0" borderId="8" xfId="3" applyNumberFormat="1" applyFont="1" applyBorder="1" applyAlignment="1">
      <alignment horizontal="center" vertical="center"/>
    </xf>
    <xf numFmtId="3" fontId="8" fillId="0" borderId="8" xfId="3" applyNumberFormat="1" applyFont="1" applyBorder="1" applyAlignment="1">
      <alignment vertical="center" shrinkToFit="1"/>
    </xf>
    <xf numFmtId="3" fontId="8" fillId="0" borderId="8" xfId="3" applyNumberFormat="1" applyFont="1" applyBorder="1" applyAlignment="1">
      <alignment vertical="center"/>
    </xf>
    <xf numFmtId="3" fontId="4" fillId="0" borderId="8" xfId="3" applyNumberFormat="1" applyFont="1" applyBorder="1" applyAlignment="1">
      <alignment horizontal="center" vertical="center"/>
    </xf>
    <xf numFmtId="3" fontId="4" fillId="0" borderId="8" xfId="3" applyNumberFormat="1" applyFont="1" applyBorder="1" applyAlignment="1">
      <alignment vertical="center" shrinkToFit="1"/>
    </xf>
    <xf numFmtId="3" fontId="4" fillId="0" borderId="8" xfId="3" applyNumberFormat="1" applyFont="1" applyBorder="1" applyAlignment="1">
      <alignment vertical="center"/>
    </xf>
    <xf numFmtId="3" fontId="4" fillId="0" borderId="0" xfId="3" applyNumberFormat="1" applyFont="1" applyBorder="1"/>
    <xf numFmtId="3" fontId="3" fillId="0" borderId="0" xfId="3" applyNumberFormat="1" applyFont="1" applyBorder="1"/>
    <xf numFmtId="3" fontId="10" fillId="0" borderId="0" xfId="3" applyNumberFormat="1" applyFont="1" applyBorder="1"/>
    <xf numFmtId="3" fontId="8" fillId="0" borderId="8" xfId="3" applyNumberFormat="1" applyFont="1" applyBorder="1" applyAlignment="1">
      <alignment horizontal="center" shrinkToFit="1"/>
    </xf>
    <xf numFmtId="3" fontId="3" fillId="0" borderId="8" xfId="3" applyNumberFormat="1" applyFont="1" applyBorder="1" applyAlignment="1">
      <alignment horizontal="center" vertical="center"/>
    </xf>
    <xf numFmtId="3" fontId="3" fillId="0" borderId="8" xfId="3" applyNumberFormat="1" applyFont="1" applyBorder="1" applyAlignment="1">
      <alignment vertical="center" shrinkToFit="1"/>
    </xf>
    <xf numFmtId="3" fontId="3" fillId="0" borderId="8" xfId="3" applyNumberFormat="1" applyFont="1" applyBorder="1" applyAlignment="1">
      <alignment vertical="center"/>
    </xf>
    <xf numFmtId="3" fontId="3" fillId="0" borderId="11" xfId="3" applyNumberFormat="1" applyFont="1" applyBorder="1" applyAlignment="1">
      <alignment horizontal="center" vertical="center"/>
    </xf>
    <xf numFmtId="3" fontId="3" fillId="0" borderId="11" xfId="3" applyNumberFormat="1" applyFont="1" applyBorder="1" applyAlignment="1">
      <alignment vertical="center"/>
    </xf>
    <xf numFmtId="3" fontId="8" fillId="0" borderId="9" xfId="3" applyNumberFormat="1" applyFont="1" applyBorder="1" applyAlignment="1">
      <alignment horizontal="center" vertical="center"/>
    </xf>
    <xf numFmtId="3" fontId="8" fillId="0" borderId="9" xfId="3" applyNumberFormat="1" applyFont="1" applyBorder="1" applyAlignment="1">
      <alignment vertical="center"/>
    </xf>
    <xf numFmtId="3" fontId="10" fillId="0" borderId="0" xfId="3" applyNumberFormat="1" applyFont="1"/>
    <xf numFmtId="0" fontId="3" fillId="0" borderId="0" xfId="0" applyFont="1" applyAlignment="1">
      <alignment horizontal="right"/>
    </xf>
    <xf numFmtId="0" fontId="8" fillId="0" borderId="8" xfId="0" applyFont="1" applyBorder="1" applyAlignment="1">
      <alignment vertical="center" shrinkToFi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4" fillId="0" borderId="0" xfId="0" applyFont="1" applyAlignment="1">
      <alignment vertical="justify"/>
    </xf>
    <xf numFmtId="0" fontId="29" fillId="0" borderId="0" xfId="0" applyFont="1"/>
    <xf numFmtId="3" fontId="22" fillId="0" borderId="0" xfId="0" applyNumberFormat="1" applyFont="1"/>
    <xf numFmtId="3" fontId="19" fillId="0" borderId="0" xfId="0" applyNumberFormat="1" applyFont="1"/>
    <xf numFmtId="0" fontId="4" fillId="0" borderId="6" xfId="0" applyFont="1" applyBorder="1" applyAlignment="1">
      <alignment vertical="center" shrinkToFit="1"/>
    </xf>
    <xf numFmtId="169" fontId="4" fillId="0" borderId="6" xfId="0" applyNumberFormat="1" applyFont="1" applyBorder="1" applyAlignment="1">
      <alignment vertical="center" shrinkToFit="1"/>
    </xf>
    <xf numFmtId="169" fontId="4" fillId="2" borderId="6" xfId="0" applyNumberFormat="1" applyFont="1" applyFill="1" applyBorder="1" applyAlignment="1">
      <alignment vertical="center" shrinkToFit="1"/>
    </xf>
    <xf numFmtId="0" fontId="4" fillId="0" borderId="8" xfId="0" applyFont="1" applyBorder="1" applyAlignment="1">
      <alignment vertical="center" shrinkToFit="1"/>
    </xf>
    <xf numFmtId="169" fontId="4" fillId="0" borderId="8" xfId="0" applyNumberFormat="1" applyFont="1" applyBorder="1" applyAlignment="1">
      <alignment vertical="center" shrinkToFit="1"/>
    </xf>
    <xf numFmtId="169" fontId="4" fillId="2" borderId="8" xfId="0" applyNumberFormat="1" applyFont="1" applyFill="1" applyBorder="1" applyAlignment="1">
      <alignment vertical="center" shrinkToFit="1"/>
    </xf>
    <xf numFmtId="0" fontId="4" fillId="0" borderId="9" xfId="0" applyFont="1" applyBorder="1" applyAlignment="1">
      <alignment vertical="center" shrinkToFit="1"/>
    </xf>
    <xf numFmtId="169" fontId="4" fillId="0" borderId="9" xfId="0" applyNumberFormat="1" applyFont="1" applyBorder="1" applyAlignment="1">
      <alignment vertical="center" shrinkToFit="1"/>
    </xf>
    <xf numFmtId="169" fontId="4" fillId="2" borderId="9" xfId="0" applyNumberFormat="1" applyFont="1" applyFill="1" applyBorder="1" applyAlignment="1">
      <alignment vertical="center" shrinkToFit="1"/>
    </xf>
    <xf numFmtId="169" fontId="3" fillId="2" borderId="5" xfId="0" applyNumberFormat="1" applyFont="1" applyFill="1" applyBorder="1" applyAlignment="1">
      <alignment vertical="center" shrinkToFit="1"/>
    </xf>
    <xf numFmtId="0" fontId="4" fillId="0" borderId="6" xfId="0" applyFont="1" applyBorder="1" applyAlignment="1">
      <alignment horizontal="center" vertical="center"/>
    </xf>
    <xf numFmtId="0" fontId="4" fillId="0" borderId="9" xfId="0" applyFont="1" applyBorder="1" applyAlignment="1">
      <alignment horizontal="center" vertical="center"/>
    </xf>
    <xf numFmtId="3" fontId="3" fillId="0" borderId="8" xfId="0" applyNumberFormat="1" applyFont="1" applyBorder="1" applyAlignment="1">
      <alignment horizontal="center" shrinkToFit="1"/>
    </xf>
    <xf numFmtId="3" fontId="4" fillId="0" borderId="8" xfId="0" applyNumberFormat="1" applyFont="1" applyBorder="1" applyAlignment="1">
      <alignment horizontal="center" vertical="center" shrinkToFit="1"/>
    </xf>
    <xf numFmtId="3" fontId="8" fillId="0" borderId="7" xfId="0" applyNumberFormat="1" applyFont="1" applyBorder="1" applyAlignment="1">
      <alignment horizontal="center" vertical="center" wrapText="1"/>
    </xf>
    <xf numFmtId="3" fontId="8" fillId="0" borderId="7" xfId="0" applyNumberFormat="1" applyFont="1" applyBorder="1" applyAlignment="1">
      <alignment vertical="center" wrapText="1"/>
    </xf>
    <xf numFmtId="168" fontId="8" fillId="0" borderId="7" xfId="0" applyNumberFormat="1" applyFont="1" applyBorder="1" applyAlignment="1">
      <alignment vertical="center" shrinkToFit="1"/>
    </xf>
    <xf numFmtId="2" fontId="8" fillId="0" borderId="7" xfId="0" applyNumberFormat="1" applyFont="1" applyBorder="1" applyAlignment="1">
      <alignment vertical="center" shrinkToFit="1"/>
    </xf>
    <xf numFmtId="3" fontId="8" fillId="0" borderId="9" xfId="0" applyNumberFormat="1" applyFont="1" applyBorder="1" applyAlignment="1">
      <alignment vertical="center" wrapText="1" shrinkToFit="1"/>
    </xf>
    <xf numFmtId="0" fontId="4" fillId="0" borderId="8" xfId="0" applyFont="1" applyBorder="1" applyAlignment="1">
      <alignment shrinkToFit="1"/>
    </xf>
    <xf numFmtId="0" fontId="22" fillId="0" borderId="0" xfId="5" applyFont="1"/>
    <xf numFmtId="0" fontId="19" fillId="0" borderId="0" xfId="5" applyNumberFormat="1" applyFont="1" applyAlignment="1">
      <alignment horizontal="centerContinuous" vertical="center"/>
    </xf>
    <xf numFmtId="0" fontId="22" fillId="0" borderId="0" xfId="5" applyFont="1" applyAlignment="1">
      <alignment horizontal="centerContinuous" vertical="center"/>
    </xf>
    <xf numFmtId="0" fontId="19" fillId="0" borderId="0" xfId="5" applyFont="1" applyAlignment="1">
      <alignment horizontal="centerContinuous" vertical="center"/>
    </xf>
    <xf numFmtId="0" fontId="19" fillId="0" borderId="0" xfId="5" applyFont="1"/>
    <xf numFmtId="0" fontId="19" fillId="0" borderId="0" xfId="5" applyFont="1" applyAlignment="1">
      <alignment horizontal="centerContinuous"/>
    </xf>
    <xf numFmtId="168" fontId="19" fillId="0" borderId="0" xfId="5" applyNumberFormat="1" applyFont="1" applyAlignment="1">
      <alignment horizontal="centerContinuous"/>
    </xf>
    <xf numFmtId="0" fontId="19" fillId="0" borderId="0" xfId="5" applyFont="1" applyAlignment="1">
      <alignment horizontal="right"/>
    </xf>
    <xf numFmtId="0" fontId="33" fillId="0" borderId="0" xfId="5" applyFont="1" applyAlignment="1">
      <alignment vertical="center"/>
    </xf>
    <xf numFmtId="0" fontId="19" fillId="0" borderId="0" xfId="5" applyFont="1" applyAlignment="1">
      <alignment horizontal="center" vertical="center"/>
    </xf>
    <xf numFmtId="168" fontId="19" fillId="0" borderId="5" xfId="5" applyNumberFormat="1" applyFont="1" applyBorder="1" applyAlignment="1">
      <alignment horizontal="center" vertical="center" wrapText="1"/>
    </xf>
    <xf numFmtId="0" fontId="19" fillId="0" borderId="12" xfId="5" applyFont="1" applyBorder="1" applyAlignment="1">
      <alignment horizontal="center"/>
    </xf>
    <xf numFmtId="0" fontId="19" fillId="0" borderId="5" xfId="5" applyFont="1" applyBorder="1" applyAlignment="1">
      <alignment horizontal="center"/>
    </xf>
    <xf numFmtId="168" fontId="19" fillId="0" borderId="5" xfId="5" applyNumberFormat="1" applyFont="1" applyBorder="1" applyAlignment="1">
      <alignment horizontal="center"/>
    </xf>
    <xf numFmtId="0" fontId="19" fillId="0" borderId="0" xfId="5" applyFont="1" applyAlignment="1">
      <alignment horizontal="center"/>
    </xf>
    <xf numFmtId="0" fontId="29" fillId="0" borderId="0" xfId="5" applyFont="1" applyAlignment="1">
      <alignment horizontal="center"/>
    </xf>
    <xf numFmtId="0" fontId="22" fillId="0" borderId="0" xfId="5" applyFont="1" applyAlignment="1">
      <alignment horizontal="center"/>
    </xf>
    <xf numFmtId="0" fontId="29" fillId="0" borderId="0" xfId="5" applyFont="1"/>
    <xf numFmtId="0" fontId="33" fillId="0" borderId="0" xfId="5" applyFont="1"/>
    <xf numFmtId="168" fontId="22" fillId="0" borderId="0" xfId="5" applyNumberFormat="1" applyFont="1"/>
    <xf numFmtId="0" fontId="4" fillId="0" borderId="0" xfId="2" applyFont="1"/>
    <xf numFmtId="0" fontId="4" fillId="0" borderId="0" xfId="2" applyFont="1" applyAlignment="1">
      <alignment horizontal="right"/>
    </xf>
    <xf numFmtId="0" fontId="3" fillId="0" borderId="0" xfId="2" applyFont="1"/>
    <xf numFmtId="0" fontId="8" fillId="0" borderId="8" xfId="2" applyFont="1" applyBorder="1" applyAlignment="1">
      <alignment horizontal="center" vertical="center" shrinkToFit="1"/>
    </xf>
    <xf numFmtId="3" fontId="8" fillId="0" borderId="8" xfId="2" applyNumberFormat="1" applyFont="1" applyBorder="1" applyAlignment="1">
      <alignment shrinkToFit="1"/>
    </xf>
    <xf numFmtId="0" fontId="8" fillId="0" borderId="0" xfId="2" applyFont="1"/>
    <xf numFmtId="49" fontId="4" fillId="0" borderId="8" xfId="2" applyNumberFormat="1" applyFont="1" applyBorder="1" applyAlignment="1">
      <alignment horizontal="center" vertical="center"/>
    </xf>
    <xf numFmtId="49" fontId="4" fillId="0" borderId="8" xfId="2" applyNumberFormat="1" applyFont="1" applyBorder="1" applyAlignment="1">
      <alignment vertical="center" wrapText="1"/>
    </xf>
    <xf numFmtId="3" fontId="4" fillId="0" borderId="8" xfId="2" applyNumberFormat="1" applyFont="1" applyBorder="1" applyAlignment="1">
      <alignment vertical="center" shrinkToFit="1"/>
    </xf>
    <xf numFmtId="49" fontId="8" fillId="0" borderId="8" xfId="2" applyNumberFormat="1" applyFont="1" applyBorder="1" applyAlignment="1">
      <alignment horizontal="center" vertical="center"/>
    </xf>
    <xf numFmtId="3" fontId="8" fillId="0" borderId="8" xfId="2" applyNumberFormat="1" applyFont="1" applyBorder="1" applyAlignment="1">
      <alignment vertical="center" shrinkToFit="1"/>
    </xf>
    <xf numFmtId="49" fontId="4" fillId="0" borderId="9" xfId="2" applyNumberFormat="1" applyFont="1" applyBorder="1" applyAlignment="1">
      <alignment horizontal="center" vertical="center"/>
    </xf>
    <xf numFmtId="0" fontId="4" fillId="0" borderId="9" xfId="0" applyFont="1" applyBorder="1" applyAlignment="1">
      <alignment vertical="center" wrapText="1"/>
    </xf>
    <xf numFmtId="3" fontId="4" fillId="0" borderId="9" xfId="2" applyNumberFormat="1" applyFont="1" applyBorder="1" applyAlignment="1">
      <alignment vertical="center" shrinkToFit="1"/>
    </xf>
    <xf numFmtId="0" fontId="21" fillId="0" borderId="8" xfId="2" applyNumberFormat="1" applyFont="1" applyBorder="1" applyAlignment="1">
      <alignment vertical="center" shrinkToFit="1"/>
    </xf>
    <xf numFmtId="49" fontId="21" fillId="0" borderId="8" xfId="2" applyNumberFormat="1" applyFont="1" applyBorder="1" applyAlignment="1">
      <alignment vertical="center" shrinkToFit="1"/>
    </xf>
    <xf numFmtId="0" fontId="3" fillId="0" borderId="13" xfId="0" applyFont="1" applyBorder="1" applyAlignment="1">
      <alignment horizontal="center" vertical="center" shrinkToFit="1"/>
    </xf>
    <xf numFmtId="0" fontId="0" fillId="0" borderId="6" xfId="0" applyBorder="1"/>
    <xf numFmtId="3" fontId="0" fillId="0" borderId="0" xfId="0" applyNumberFormat="1"/>
    <xf numFmtId="0" fontId="0" fillId="0" borderId="10" xfId="0" applyBorder="1" applyAlignment="1">
      <alignment horizontal="center"/>
    </xf>
    <xf numFmtId="0" fontId="0" fillId="0" borderId="10" xfId="0" applyBorder="1"/>
    <xf numFmtId="0" fontId="0" fillId="0" borderId="11" xfId="0" applyBorder="1"/>
    <xf numFmtId="165" fontId="0" fillId="0" borderId="0" xfId="1" applyNumberFormat="1" applyFont="1"/>
    <xf numFmtId="165" fontId="0" fillId="0" borderId="0" xfId="0" applyNumberFormat="1"/>
    <xf numFmtId="3" fontId="17" fillId="0" borderId="8" xfId="0" applyNumberFormat="1" applyFont="1" applyBorder="1" applyAlignment="1">
      <alignment horizontal="center"/>
    </xf>
    <xf numFmtId="3" fontId="17" fillId="0" borderId="8" xfId="0" applyNumberFormat="1" applyFont="1" applyBorder="1" applyAlignment="1">
      <alignment shrinkToFit="1"/>
    </xf>
    <xf numFmtId="0" fontId="19" fillId="0" borderId="0" xfId="0" applyFont="1" applyAlignment="1">
      <alignment horizontal="center"/>
    </xf>
    <xf numFmtId="166" fontId="22" fillId="0" borderId="0" xfId="0" applyNumberFormat="1" applyFont="1" applyAlignment="1">
      <alignment horizontal="center"/>
    </xf>
    <xf numFmtId="0" fontId="8" fillId="0" borderId="7" xfId="0" applyFont="1" applyBorder="1" applyAlignment="1">
      <alignment horizontal="center" vertical="center" wrapText="1"/>
    </xf>
    <xf numFmtId="0" fontId="8" fillId="0" borderId="7" xfId="0" applyFont="1" applyBorder="1" applyAlignment="1">
      <alignment vertical="center" wrapText="1"/>
    </xf>
    <xf numFmtId="3" fontId="8" fillId="0" borderId="7" xfId="0" applyNumberFormat="1" applyFont="1" applyBorder="1" applyAlignment="1">
      <alignment vertical="center" shrinkToFit="1"/>
    </xf>
    <xf numFmtId="0" fontId="3" fillId="0" borderId="7" xfId="0" applyFont="1" applyBorder="1" applyAlignment="1">
      <alignment vertical="center"/>
    </xf>
    <xf numFmtId="3" fontId="3" fillId="0" borderId="7" xfId="0" applyNumberFormat="1" applyFont="1" applyBorder="1" applyAlignment="1">
      <alignment vertical="center"/>
    </xf>
    <xf numFmtId="0" fontId="8" fillId="0" borderId="10" xfId="0" applyFont="1" applyBorder="1" applyAlignment="1">
      <alignment horizontal="center" vertical="center" wrapText="1"/>
    </xf>
    <xf numFmtId="0" fontId="8" fillId="0" borderId="10" xfId="0" applyFont="1" applyBorder="1" applyAlignment="1">
      <alignment vertical="center" wrapText="1"/>
    </xf>
    <xf numFmtId="3" fontId="8" fillId="0" borderId="10" xfId="0" applyNumberFormat="1" applyFont="1" applyBorder="1" applyAlignment="1">
      <alignment vertical="center" wrapText="1"/>
    </xf>
    <xf numFmtId="3" fontId="8" fillId="0" borderId="7" xfId="3" applyNumberFormat="1" applyFont="1" applyBorder="1" applyAlignment="1">
      <alignment horizontal="center" vertical="center"/>
    </xf>
    <xf numFmtId="0" fontId="8" fillId="0" borderId="7" xfId="0" applyFont="1" applyBorder="1" applyAlignment="1">
      <alignment vertical="center"/>
    </xf>
    <xf numFmtId="3" fontId="8" fillId="0" borderId="7" xfId="3" applyNumberFormat="1" applyFont="1" applyBorder="1" applyAlignment="1">
      <alignment vertical="center"/>
    </xf>
    <xf numFmtId="3" fontId="8" fillId="0" borderId="9" xfId="3"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164" fontId="0" fillId="0" borderId="6" xfId="1" applyFont="1" applyBorder="1" applyAlignment="1">
      <alignment shrinkToFit="1"/>
    </xf>
    <xf numFmtId="3" fontId="0" fillId="0" borderId="0" xfId="0" applyNumberFormat="1" applyAlignment="1">
      <alignment shrinkToFit="1"/>
    </xf>
    <xf numFmtId="3" fontId="0" fillId="0" borderId="10" xfId="0" applyNumberFormat="1" applyBorder="1" applyAlignment="1">
      <alignment shrinkToFit="1"/>
    </xf>
    <xf numFmtId="164" fontId="0" fillId="0" borderId="8" xfId="1" applyFont="1" applyBorder="1" applyAlignment="1">
      <alignment shrinkToFit="1"/>
    </xf>
    <xf numFmtId="3" fontId="0" fillId="0" borderId="11" xfId="0" applyNumberFormat="1" applyBorder="1" applyAlignment="1">
      <alignment shrinkToFit="1"/>
    </xf>
    <xf numFmtId="164" fontId="0" fillId="0" borderId="11" xfId="1" applyFont="1" applyBorder="1" applyAlignment="1">
      <alignment shrinkToFit="1"/>
    </xf>
    <xf numFmtId="3" fontId="3" fillId="0" borderId="5" xfId="0" applyNumberFormat="1" applyFont="1" applyBorder="1" applyAlignment="1">
      <alignment shrinkToFit="1"/>
    </xf>
    <xf numFmtId="164" fontId="3" fillId="0" borderId="5" xfId="1" applyFont="1" applyBorder="1" applyAlignment="1">
      <alignment shrinkToFit="1"/>
    </xf>
    <xf numFmtId="0" fontId="0" fillId="0" borderId="0" xfId="0" applyAlignment="1">
      <alignment horizontal="right"/>
    </xf>
    <xf numFmtId="0" fontId="3" fillId="0" borderId="5"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165" fontId="0" fillId="0" borderId="6" xfId="1" applyNumberFormat="1" applyFont="1" applyBorder="1" applyAlignment="1">
      <alignment vertical="center"/>
    </xf>
    <xf numFmtId="165" fontId="0" fillId="0" borderId="8" xfId="1" applyNumberFormat="1" applyFont="1" applyBorder="1" applyAlignment="1">
      <alignment vertical="center"/>
    </xf>
    <xf numFmtId="0" fontId="0" fillId="0" borderId="9" xfId="0" applyBorder="1" applyAlignment="1">
      <alignment vertical="center"/>
    </xf>
    <xf numFmtId="165" fontId="0" fillId="0" borderId="9" xfId="1" applyNumberFormat="1" applyFont="1" applyBorder="1" applyAlignment="1">
      <alignment vertical="center"/>
    </xf>
    <xf numFmtId="165" fontId="3" fillId="0" borderId="5" xfId="1" applyNumberFormat="1" applyFont="1" applyBorder="1" applyAlignment="1">
      <alignment vertical="center"/>
    </xf>
    <xf numFmtId="0" fontId="0" fillId="0" borderId="9" xfId="0" applyBorder="1" applyAlignment="1">
      <alignment horizontal="center" vertical="center"/>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0" fontId="19" fillId="0" borderId="6" xfId="0" applyFont="1" applyBorder="1" applyAlignment="1">
      <alignment horizontal="center" shrinkToFit="1"/>
    </xf>
    <xf numFmtId="166" fontId="19" fillId="0" borderId="8" xfId="0" applyNumberFormat="1" applyFont="1" applyBorder="1" applyAlignment="1">
      <alignment horizontal="center"/>
    </xf>
    <xf numFmtId="0" fontId="29"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6" fontId="29" fillId="0" borderId="8" xfId="0" applyNumberFormat="1" applyFont="1" applyBorder="1" applyAlignment="1">
      <alignment horizontal="center"/>
    </xf>
    <xf numFmtId="3" fontId="37" fillId="0" borderId="8" xfId="4" applyNumberFormat="1" applyFont="1" applyBorder="1" applyAlignment="1">
      <alignment vertical="center" wrapText="1"/>
    </xf>
    <xf numFmtId="164" fontId="24" fillId="0" borderId="0" xfId="1" applyFont="1"/>
    <xf numFmtId="0" fontId="37" fillId="0" borderId="8" xfId="4" applyFont="1" applyBorder="1" applyAlignment="1">
      <alignment horizontal="center" vertical="center" wrapText="1"/>
    </xf>
    <xf numFmtId="0" fontId="37" fillId="0" borderId="8" xfId="4" applyFont="1" applyBorder="1" applyAlignment="1">
      <alignment vertical="center" shrinkToFit="1"/>
    </xf>
    <xf numFmtId="3" fontId="37" fillId="0" borderId="8" xfId="4" applyNumberFormat="1" applyFont="1" applyBorder="1"/>
    <xf numFmtId="0" fontId="37" fillId="0" borderId="0" xfId="0" applyFont="1"/>
    <xf numFmtId="0" fontId="36" fillId="0" borderId="0" xfId="0" applyFont="1"/>
    <xf numFmtId="3" fontId="8" fillId="0" borderId="6" xfId="0" applyNumberFormat="1" applyFont="1" applyBorder="1" applyAlignment="1">
      <alignment horizontal="center" vertical="center"/>
    </xf>
    <xf numFmtId="3" fontId="36" fillId="0" borderId="0" xfId="0" applyNumberFormat="1" applyFont="1"/>
    <xf numFmtId="3" fontId="4" fillId="0" borderId="8" xfId="0" applyNumberFormat="1" applyFont="1" applyBorder="1" applyAlignment="1">
      <alignment horizontal="center" vertical="center"/>
    </xf>
    <xf numFmtId="3" fontId="36" fillId="0" borderId="8" xfId="0" applyNumberFormat="1" applyFont="1" applyBorder="1" applyAlignment="1">
      <alignment vertical="center"/>
    </xf>
    <xf numFmtId="3" fontId="3" fillId="0" borderId="9" xfId="0" applyNumberFormat="1" applyFont="1" applyBorder="1" applyAlignment="1">
      <alignment horizontal="center" vertical="center"/>
    </xf>
    <xf numFmtId="3" fontId="3" fillId="0" borderId="9" xfId="0" applyNumberFormat="1" applyFont="1" applyBorder="1" applyAlignment="1">
      <alignment vertical="center" wrapText="1" shrinkToFit="1"/>
    </xf>
    <xf numFmtId="165" fontId="3" fillId="0" borderId="0" xfId="1" applyNumberFormat="1" applyFont="1" applyBorder="1" applyAlignment="1">
      <alignment horizontal="center"/>
    </xf>
    <xf numFmtId="165" fontId="3" fillId="0" borderId="0" xfId="1" applyNumberFormat="1" applyFont="1" applyAlignment="1">
      <alignment horizontal="centerContinuous" vertical="center" wrapText="1"/>
    </xf>
    <xf numFmtId="165" fontId="3" fillId="0" borderId="5" xfId="1" applyNumberFormat="1" applyFont="1" applyBorder="1" applyAlignment="1">
      <alignment horizontal="center" vertical="center" wrapText="1"/>
    </xf>
    <xf numFmtId="165" fontId="3" fillId="0" borderId="5" xfId="1" applyNumberFormat="1" applyFont="1" applyBorder="1" applyAlignment="1">
      <alignment horizontal="center" shrinkToFit="1"/>
    </xf>
    <xf numFmtId="165" fontId="8" fillId="0" borderId="7" xfId="1" applyNumberFormat="1" applyFont="1" applyBorder="1" applyAlignment="1">
      <alignment vertical="center" shrinkToFit="1"/>
    </xf>
    <xf numFmtId="0" fontId="19" fillId="0" borderId="14" xfId="5" applyFont="1" applyBorder="1" applyAlignment="1">
      <alignment horizontal="center"/>
    </xf>
    <xf numFmtId="169" fontId="8" fillId="0" borderId="6" xfId="0" applyNumberFormat="1" applyFont="1" applyBorder="1" applyAlignment="1">
      <alignment shrinkToFit="1"/>
    </xf>
    <xf numFmtId="169" fontId="4" fillId="0" borderId="8" xfId="0" applyNumberFormat="1" applyFont="1" applyBorder="1" applyAlignment="1">
      <alignment shrinkToFit="1"/>
    </xf>
    <xf numFmtId="169" fontId="3" fillId="0" borderId="8" xfId="0" applyNumberFormat="1" applyFont="1" applyBorder="1" applyAlignment="1">
      <alignment shrinkToFit="1"/>
    </xf>
    <xf numFmtId="169" fontId="8" fillId="0" borderId="8" xfId="0" applyNumberFormat="1" applyFont="1" applyBorder="1" applyAlignment="1">
      <alignment shrinkToFit="1"/>
    </xf>
    <xf numFmtId="169" fontId="3" fillId="0" borderId="5" xfId="0" applyNumberFormat="1" applyFont="1" applyBorder="1" applyAlignment="1">
      <alignment vertical="center" shrinkToFit="1"/>
    </xf>
    <xf numFmtId="169" fontId="3" fillId="0" borderId="2" xfId="0" applyNumberFormat="1" applyFont="1" applyBorder="1" applyAlignment="1">
      <alignment vertical="center"/>
    </xf>
    <xf numFmtId="169" fontId="3" fillId="0" borderId="3" xfId="0" applyNumberFormat="1" applyFont="1" applyBorder="1" applyAlignment="1">
      <alignment vertical="center" shrinkToFit="1"/>
    </xf>
    <xf numFmtId="169" fontId="3" fillId="0" borderId="4" xfId="0" applyNumberFormat="1" applyFont="1" applyBorder="1" applyAlignment="1">
      <alignment vertical="center" shrinkToFit="1"/>
    </xf>
    <xf numFmtId="169" fontId="4" fillId="0" borderId="5" xfId="0" applyNumberFormat="1" applyFont="1" applyBorder="1" applyAlignment="1">
      <alignment vertical="center" shrinkToFit="1"/>
    </xf>
    <xf numFmtId="169" fontId="4" fillId="2" borderId="5" xfId="0" applyNumberFormat="1" applyFont="1" applyFill="1" applyBorder="1" applyAlignment="1">
      <alignment vertical="center" shrinkToFit="1"/>
    </xf>
    <xf numFmtId="169" fontId="8" fillId="0" borderId="6" xfId="0" applyNumberFormat="1" applyFont="1" applyBorder="1" applyAlignment="1">
      <alignment vertical="center" shrinkToFit="1"/>
    </xf>
    <xf numFmtId="169" fontId="8" fillId="0" borderId="8" xfId="0" applyNumberFormat="1" applyFont="1" applyBorder="1" applyAlignment="1">
      <alignment vertical="center" shrinkToFit="1"/>
    </xf>
    <xf numFmtId="169" fontId="3" fillId="0" borderId="8" xfId="0" applyNumberFormat="1" applyFont="1" applyBorder="1" applyAlignment="1">
      <alignment vertical="center" shrinkToFit="1"/>
    </xf>
    <xf numFmtId="169" fontId="4" fillId="0" borderId="8" xfId="1" applyNumberFormat="1" applyFont="1" applyBorder="1" applyAlignment="1">
      <alignment vertical="center" shrinkToFit="1"/>
    </xf>
    <xf numFmtId="169" fontId="3" fillId="0" borderId="10" xfId="0" applyNumberFormat="1" applyFont="1" applyBorder="1" applyAlignment="1">
      <alignment vertical="center" shrinkToFit="1"/>
    </xf>
    <xf numFmtId="169" fontId="8" fillId="0" borderId="9" xfId="0" applyNumberFormat="1" applyFont="1" applyBorder="1" applyAlignment="1">
      <alignment vertical="center" shrinkToFit="1"/>
    </xf>
    <xf numFmtId="169" fontId="8" fillId="0" borderId="8" xfId="0" applyNumberFormat="1" applyFont="1" applyBorder="1" applyAlignment="1">
      <alignment vertical="center"/>
    </xf>
    <xf numFmtId="169" fontId="18" fillId="0" borderId="8" xfId="0" applyNumberFormat="1" applyFont="1" applyBorder="1" applyAlignment="1">
      <alignment shrinkToFit="1"/>
    </xf>
    <xf numFmtId="169" fontId="17" fillId="0" borderId="8" xfId="0" applyNumberFormat="1" applyFont="1" applyBorder="1" applyAlignment="1">
      <alignment shrinkToFit="1"/>
    </xf>
    <xf numFmtId="164" fontId="8" fillId="0" borderId="6" xfId="1" applyFont="1" applyBorder="1" applyAlignment="1">
      <alignment vertical="center" shrinkToFit="1"/>
    </xf>
    <xf numFmtId="164" fontId="8" fillId="0" borderId="8" xfId="1" applyFont="1" applyBorder="1" applyAlignment="1">
      <alignment vertical="center" shrinkToFit="1"/>
    </xf>
    <xf numFmtId="164" fontId="3" fillId="0" borderId="8" xfId="1" applyFont="1" applyBorder="1" applyAlignment="1">
      <alignment vertical="center" shrinkToFit="1"/>
    </xf>
    <xf numFmtId="164" fontId="4" fillId="0" borderId="8" xfId="1" applyFont="1" applyBorder="1" applyAlignment="1">
      <alignment vertical="center" shrinkToFit="1"/>
    </xf>
    <xf numFmtId="164" fontId="8" fillId="0" borderId="9" xfId="1" applyFont="1" applyBorder="1" applyAlignment="1">
      <alignment vertical="center" shrinkToFit="1"/>
    </xf>
    <xf numFmtId="0" fontId="4" fillId="0" borderId="8" xfId="2" applyNumberFormat="1" applyFont="1" applyBorder="1" applyAlignment="1">
      <alignment vertical="center" shrinkToFit="1"/>
    </xf>
    <xf numFmtId="0" fontId="3" fillId="0" borderId="2" xfId="0" applyFont="1" applyBorder="1" applyAlignment="1">
      <alignment horizontal="center" vertical="center" wrapText="1"/>
    </xf>
    <xf numFmtId="3" fontId="8" fillId="0" borderId="11" xfId="0" applyNumberFormat="1" applyFont="1" applyBorder="1" applyAlignment="1">
      <alignment horizontal="center" shrinkToFit="1"/>
    </xf>
    <xf numFmtId="169" fontId="8" fillId="0" borderId="11" xfId="0" applyNumberFormat="1" applyFont="1" applyBorder="1" applyAlignment="1">
      <alignment horizontal="right" shrinkToFit="1"/>
    </xf>
    <xf numFmtId="3" fontId="40" fillId="0" borderId="8" xfId="2" applyNumberFormat="1" applyFont="1" applyBorder="1" applyAlignment="1">
      <alignment vertical="center" shrinkToFit="1"/>
    </xf>
    <xf numFmtId="3" fontId="8" fillId="0" borderId="8" xfId="0" applyNumberFormat="1" applyFont="1" applyBorder="1" applyAlignment="1">
      <alignment horizontal="centerContinuous"/>
    </xf>
    <xf numFmtId="3" fontId="19" fillId="0" borderId="8" xfId="0" applyNumberFormat="1" applyFont="1" applyBorder="1" applyAlignment="1">
      <alignment horizontal="center"/>
    </xf>
    <xf numFmtId="166"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0" fontId="35" fillId="0" borderId="9" xfId="0" applyFont="1" applyBorder="1" applyAlignment="1">
      <alignment horizontal="left" vertical="center" shrinkToFit="1"/>
    </xf>
    <xf numFmtId="169" fontId="4" fillId="0" borderId="6" xfId="0" applyNumberFormat="1" applyFont="1" applyBorder="1" applyAlignment="1">
      <alignment horizontal="right" vertical="center" shrinkToFit="1"/>
    </xf>
    <xf numFmtId="3" fontId="3" fillId="0" borderId="8" xfId="1" applyNumberFormat="1" applyFont="1" applyBorder="1" applyAlignment="1">
      <alignment vertical="center" shrinkToFit="1"/>
    </xf>
    <xf numFmtId="49" fontId="42" fillId="0" borderId="8" xfId="2" applyNumberFormat="1" applyFont="1" applyBorder="1" applyAlignment="1">
      <alignment horizontal="center" vertical="center"/>
    </xf>
    <xf numFmtId="49" fontId="42" fillId="0" borderId="8" xfId="2" applyNumberFormat="1" applyFont="1" applyBorder="1" applyAlignment="1">
      <alignment vertical="center" wrapText="1"/>
    </xf>
    <xf numFmtId="3" fontId="42" fillId="0" borderId="8" xfId="2" applyNumberFormat="1" applyFont="1" applyBorder="1" applyAlignment="1">
      <alignment vertical="center" shrinkToFit="1"/>
    </xf>
    <xf numFmtId="0" fontId="42" fillId="0" borderId="0" xfId="2" applyFont="1"/>
    <xf numFmtId="165" fontId="4" fillId="0" borderId="0" xfId="1" applyNumberFormat="1" applyFont="1"/>
    <xf numFmtId="3" fontId="3" fillId="0" borderId="0" xfId="3" applyNumberFormat="1" applyFont="1" applyAlignment="1">
      <alignment horizontal="centerContinuous" wrapText="1"/>
    </xf>
    <xf numFmtId="0" fontId="4" fillId="0" borderId="0" xfId="0" applyFont="1" applyAlignment="1">
      <alignment horizontal="centerContinuous" vertical="center" wrapText="1"/>
    </xf>
    <xf numFmtId="165" fontId="3" fillId="0" borderId="0" xfId="1" applyNumberFormat="1" applyFont="1"/>
    <xf numFmtId="165" fontId="3" fillId="0" borderId="0" xfId="0" applyNumberFormat="1" applyFont="1"/>
    <xf numFmtId="3" fontId="3" fillId="0" borderId="8" xfId="0" applyNumberFormat="1" applyFont="1" applyBorder="1"/>
    <xf numFmtId="0" fontId="18" fillId="0" borderId="8" xfId="0" applyFont="1" applyBorder="1" applyAlignment="1">
      <alignment shrinkToFit="1"/>
    </xf>
    <xf numFmtId="3" fontId="18" fillId="0" borderId="8" xfId="0" applyNumberFormat="1" applyFont="1" applyBorder="1"/>
    <xf numFmtId="3" fontId="4" fillId="0" borderId="8" xfId="0" applyNumberFormat="1" applyFont="1" applyBorder="1"/>
    <xf numFmtId="3" fontId="43" fillId="0" borderId="0" xfId="0" applyNumberFormat="1" applyFont="1"/>
    <xf numFmtId="0" fontId="43" fillId="0" borderId="0" xfId="0" applyFont="1"/>
    <xf numFmtId="0" fontId="3" fillId="0" borderId="9" xfId="0" applyFont="1" applyBorder="1" applyAlignment="1">
      <alignment shrinkToFit="1"/>
    </xf>
    <xf numFmtId="3" fontId="3" fillId="0" borderId="9" xfId="0" applyNumberFormat="1" applyFont="1" applyBorder="1"/>
    <xf numFmtId="3" fontId="17" fillId="0" borderId="0" xfId="0" applyNumberFormat="1" applyFont="1"/>
    <xf numFmtId="3" fontId="17" fillId="0" borderId="11" xfId="0" applyNumberFormat="1" applyFont="1" applyBorder="1" applyAlignment="1">
      <alignment horizontal="centerContinuous"/>
    </xf>
    <xf numFmtId="3" fontId="17" fillId="0" borderId="11" xfId="0" applyNumberFormat="1" applyFont="1" applyBorder="1" applyAlignment="1">
      <alignment shrinkToFit="1"/>
    </xf>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168" fontId="4" fillId="0" borderId="8" xfId="0" applyNumberFormat="1" applyFont="1" applyBorder="1" applyAlignment="1">
      <alignment vertical="center" shrinkToFit="1"/>
    </xf>
    <xf numFmtId="3" fontId="3" fillId="0" borderId="8" xfId="0" applyNumberFormat="1" applyFont="1" applyBorder="1" applyAlignment="1">
      <alignment shrinkToFit="1"/>
    </xf>
    <xf numFmtId="168" fontId="8" fillId="0" borderId="9" xfId="0" applyNumberFormat="1" applyFont="1" applyBorder="1" applyAlignment="1">
      <alignment vertical="center" shrinkToFit="1"/>
    </xf>
    <xf numFmtId="169" fontId="8" fillId="0" borderId="6" xfId="0" applyNumberFormat="1" applyFont="1" applyFill="1" applyBorder="1" applyAlignment="1">
      <alignment shrinkToFit="1"/>
    </xf>
    <xf numFmtId="169" fontId="3" fillId="0" borderId="6" xfId="0" applyNumberFormat="1" applyFont="1" applyFill="1" applyBorder="1" applyAlignment="1">
      <alignment shrinkToFit="1"/>
    </xf>
    <xf numFmtId="169" fontId="8" fillId="0" borderId="10" xfId="0" applyNumberFormat="1" applyFont="1" applyFill="1" applyBorder="1" applyAlignment="1">
      <alignment shrinkToFit="1"/>
    </xf>
    <xf numFmtId="169" fontId="10" fillId="0" borderId="8" xfId="0" applyNumberFormat="1" applyFont="1" applyFill="1" applyBorder="1" applyAlignment="1">
      <alignment shrinkToFit="1"/>
    </xf>
    <xf numFmtId="169" fontId="4" fillId="0" borderId="8" xfId="0" applyNumberFormat="1" applyFont="1" applyFill="1" applyBorder="1" applyAlignment="1">
      <alignment shrinkToFit="1"/>
    </xf>
    <xf numFmtId="169" fontId="10" fillId="0" borderId="9" xfId="0" applyNumberFormat="1" applyFont="1" applyFill="1" applyBorder="1" applyAlignment="1">
      <alignment shrinkToFit="1"/>
    </xf>
    <xf numFmtId="169" fontId="10" fillId="0" borderId="6" xfId="0" applyNumberFormat="1" applyFont="1" applyFill="1" applyBorder="1" applyAlignment="1">
      <alignment shrinkToFit="1"/>
    </xf>
    <xf numFmtId="169" fontId="8" fillId="0" borderId="6" xfId="0" applyNumberFormat="1" applyFont="1" applyFill="1" applyBorder="1" applyAlignment="1">
      <alignment horizontal="right" vertical="center" shrinkToFit="1"/>
    </xf>
    <xf numFmtId="169" fontId="30" fillId="0" borderId="6" xfId="0" applyNumberFormat="1" applyFont="1" applyFill="1" applyBorder="1" applyAlignment="1">
      <alignment shrinkToFit="1"/>
    </xf>
    <xf numFmtId="169" fontId="31" fillId="0" borderId="6" xfId="0" applyNumberFormat="1" applyFont="1" applyFill="1" applyBorder="1" applyAlignment="1">
      <alignment shrinkToFit="1"/>
    </xf>
    <xf numFmtId="169" fontId="3" fillId="0" borderId="8" xfId="0" applyNumberFormat="1" applyFont="1" applyFill="1" applyBorder="1" applyAlignment="1">
      <alignment shrinkToFit="1"/>
    </xf>
    <xf numFmtId="169" fontId="3" fillId="0" borderId="8" xfId="0" applyNumberFormat="1" applyFont="1" applyFill="1" applyBorder="1" applyAlignment="1">
      <alignment horizontal="right" vertical="center" shrinkToFit="1"/>
    </xf>
    <xf numFmtId="169" fontId="8" fillId="0" borderId="8" xfId="0" applyNumberFormat="1" applyFont="1" applyFill="1" applyBorder="1" applyAlignment="1">
      <alignment shrinkToFit="1"/>
    </xf>
    <xf numFmtId="169" fontId="8" fillId="0" borderId="9" xfId="0" applyNumberFormat="1" applyFont="1" applyFill="1" applyBorder="1" applyAlignment="1">
      <alignment shrinkToFit="1"/>
    </xf>
    <xf numFmtId="169" fontId="8" fillId="0" borderId="9" xfId="0" applyNumberFormat="1" applyFont="1" applyFill="1" applyBorder="1" applyAlignment="1">
      <alignment horizontal="right" vertical="center" shrinkToFit="1"/>
    </xf>
    <xf numFmtId="3" fontId="8" fillId="3" borderId="8" xfId="2" applyNumberFormat="1" applyFont="1" applyFill="1" applyBorder="1" applyAlignment="1">
      <alignment shrinkToFit="1"/>
    </xf>
    <xf numFmtId="3" fontId="4" fillId="3" borderId="8" xfId="2" applyNumberFormat="1" applyFont="1" applyFill="1" applyBorder="1" applyAlignment="1">
      <alignment vertical="center" shrinkToFit="1"/>
    </xf>
    <xf numFmtId="3" fontId="42" fillId="3" borderId="8" xfId="2" applyNumberFormat="1" applyFont="1" applyFill="1" applyBorder="1" applyAlignment="1">
      <alignment vertical="center" shrinkToFit="1"/>
    </xf>
    <xf numFmtId="3" fontId="40" fillId="3" borderId="8" xfId="2" applyNumberFormat="1" applyFont="1" applyFill="1" applyBorder="1" applyAlignment="1">
      <alignment vertical="center" shrinkToFit="1"/>
    </xf>
    <xf numFmtId="0" fontId="22" fillId="0" borderId="11" xfId="0" applyFont="1" applyBorder="1" applyAlignment="1">
      <alignment horizontal="left" vertical="center" shrinkToFit="1"/>
    </xf>
    <xf numFmtId="0" fontId="4" fillId="0" borderId="0" xfId="0" applyFont="1" applyFill="1" applyAlignment="1">
      <alignment horizontal="center"/>
    </xf>
    <xf numFmtId="0" fontId="4" fillId="0" borderId="0" xfId="0" applyFont="1" applyFill="1"/>
    <xf numFmtId="0" fontId="3" fillId="0" borderId="0" xfId="0" applyFont="1" applyFill="1" applyAlignment="1">
      <alignment horizontal="centerContinuous" vertical="center" wrapText="1"/>
    </xf>
    <xf numFmtId="0" fontId="3" fillId="0" borderId="0" xfId="0" applyFont="1" applyFill="1" applyAlignment="1">
      <alignment horizontal="centerContinuous" vertical="center"/>
    </xf>
    <xf numFmtId="0" fontId="3" fillId="0" borderId="1" xfId="0" applyFont="1" applyFill="1" applyBorder="1" applyAlignment="1"/>
    <xf numFmtId="3" fontId="3" fillId="0" borderId="1" xfId="0" applyNumberFormat="1" applyFont="1" applyFill="1" applyBorder="1" applyAlignment="1"/>
    <xf numFmtId="0" fontId="3" fillId="0" borderId="1" xfId="0" applyFont="1" applyFill="1" applyBorder="1" applyAlignment="1">
      <alignment horizontal="right"/>
    </xf>
    <xf numFmtId="3" fontId="4" fillId="0" borderId="0" xfId="0" applyNumberFormat="1" applyFont="1" applyFill="1"/>
    <xf numFmtId="0" fontId="3" fillId="0" borderId="5" xfId="0" applyFont="1" applyFill="1" applyBorder="1" applyAlignment="1">
      <alignment horizontal="center" vertical="center"/>
    </xf>
    <xf numFmtId="0" fontId="3" fillId="0" borderId="0" xfId="0" applyFont="1" applyFill="1" applyAlignment="1">
      <alignment horizontal="center" vertical="center"/>
    </xf>
    <xf numFmtId="0" fontId="3" fillId="0" borderId="5" xfId="0" applyFont="1" applyFill="1" applyBorder="1" applyAlignment="1">
      <alignment horizontal="center" vertical="center" shrinkToFit="1"/>
    </xf>
    <xf numFmtId="0" fontId="8" fillId="0" borderId="6" xfId="0" applyFont="1" applyFill="1" applyBorder="1" applyAlignment="1">
      <alignment horizontal="center" shrinkToFit="1"/>
    </xf>
    <xf numFmtId="0" fontId="8" fillId="0" borderId="6" xfId="0" applyFont="1" applyFill="1" applyBorder="1" applyAlignment="1">
      <alignment shrinkToFit="1"/>
    </xf>
    <xf numFmtId="0" fontId="8" fillId="0" borderId="0" xfId="0" applyFont="1" applyFill="1"/>
    <xf numFmtId="0" fontId="8" fillId="0" borderId="10" xfId="0" applyFont="1" applyFill="1" applyBorder="1" applyAlignment="1">
      <alignment horizontal="center" shrinkToFit="1"/>
    </xf>
    <xf numFmtId="0" fontId="8" fillId="0" borderId="10" xfId="0" applyFont="1" applyFill="1" applyBorder="1" applyAlignment="1">
      <alignment shrinkToFit="1"/>
    </xf>
    <xf numFmtId="0" fontId="10" fillId="0" borderId="8" xfId="0" applyFont="1" applyFill="1" applyBorder="1" applyAlignment="1">
      <alignment horizontal="center" shrinkToFit="1"/>
    </xf>
    <xf numFmtId="0" fontId="10" fillId="0" borderId="8" xfId="0" applyFont="1" applyFill="1" applyBorder="1" applyAlignment="1">
      <alignment shrinkToFit="1"/>
    </xf>
    <xf numFmtId="0" fontId="10" fillId="0" borderId="0" xfId="0" applyFont="1" applyFill="1"/>
    <xf numFmtId="0" fontId="4" fillId="0" borderId="8" xfId="0" applyFont="1" applyFill="1" applyBorder="1" applyAlignment="1">
      <alignment horizontal="center" shrinkToFit="1"/>
    </xf>
    <xf numFmtId="0" fontId="4" fillId="0" borderId="8" xfId="0" applyFont="1" applyFill="1" applyBorder="1" applyAlignment="1">
      <alignment shrinkToFit="1"/>
    </xf>
    <xf numFmtId="0" fontId="3" fillId="0" borderId="8" xfId="0" applyFont="1" applyFill="1" applyBorder="1" applyAlignment="1">
      <alignment horizontal="center" shrinkToFit="1"/>
    </xf>
    <xf numFmtId="49" fontId="4" fillId="0" borderId="8" xfId="0" applyNumberFormat="1" applyFont="1" applyFill="1" applyBorder="1" applyAlignment="1">
      <alignment shrinkToFit="1"/>
    </xf>
    <xf numFmtId="0" fontId="3" fillId="0" borderId="0" xfId="0" applyFont="1" applyFill="1"/>
    <xf numFmtId="49" fontId="3" fillId="0" borderId="8" xfId="0" applyNumberFormat="1" applyFont="1" applyFill="1" applyBorder="1" applyAlignment="1">
      <alignment shrinkToFit="1"/>
    </xf>
    <xf numFmtId="0" fontId="8" fillId="0" borderId="8" xfId="0" applyFont="1" applyFill="1" applyBorder="1" applyAlignment="1">
      <alignment horizontal="center" shrinkToFit="1"/>
    </xf>
    <xf numFmtId="49" fontId="8" fillId="0" borderId="8" xfId="0" applyNumberFormat="1" applyFont="1" applyFill="1" applyBorder="1" applyAlignment="1">
      <alignment shrinkToFit="1"/>
    </xf>
    <xf numFmtId="0" fontId="8" fillId="0" borderId="9" xfId="0" applyFont="1" applyFill="1" applyBorder="1" applyAlignment="1">
      <alignment horizontal="center" shrinkToFit="1"/>
    </xf>
    <xf numFmtId="49" fontId="8" fillId="0" borderId="9" xfId="0" applyNumberFormat="1" applyFont="1" applyFill="1" applyBorder="1" applyAlignment="1">
      <alignment shrinkToFit="1"/>
    </xf>
    <xf numFmtId="0" fontId="4" fillId="0" borderId="0" xfId="0" applyFont="1" applyFill="1" applyAlignment="1">
      <alignment shrinkToFit="1"/>
    </xf>
    <xf numFmtId="3" fontId="4" fillId="0" borderId="0" xfId="0" applyNumberFormat="1" applyFont="1" applyFill="1" applyAlignment="1">
      <alignment shrinkToFit="1"/>
    </xf>
    <xf numFmtId="169" fontId="4" fillId="0" borderId="0" xfId="0" applyNumberFormat="1" applyFont="1" applyFill="1"/>
    <xf numFmtId="0" fontId="10" fillId="0" borderId="9" xfId="0" applyFont="1" applyFill="1" applyBorder="1" applyAlignment="1">
      <alignment horizontal="center" shrinkToFit="1"/>
    </xf>
    <xf numFmtId="0" fontId="10" fillId="0" borderId="9" xfId="0" applyFont="1" applyFill="1" applyBorder="1" applyAlignment="1">
      <alignment shrinkToFit="1"/>
    </xf>
    <xf numFmtId="165" fontId="4" fillId="0" borderId="0" xfId="0" applyNumberFormat="1" applyFont="1"/>
    <xf numFmtId="0" fontId="22" fillId="0" borderId="8" xfId="0" applyFont="1" applyFill="1" applyBorder="1" applyAlignment="1">
      <alignment horizontal="left" vertical="center" wrapText="1"/>
    </xf>
    <xf numFmtId="0" fontId="7" fillId="0" borderId="11" xfId="0" applyFont="1" applyFill="1" applyBorder="1" applyAlignment="1">
      <alignment horizontal="left" vertical="center" wrapText="1"/>
    </xf>
    <xf numFmtId="3" fontId="3" fillId="0" borderId="0" xfId="0" applyNumberFormat="1" applyFont="1" applyFill="1" applyAlignment="1">
      <alignment horizontal="centerContinuous"/>
    </xf>
    <xf numFmtId="3" fontId="3" fillId="0" borderId="0" xfId="0" applyNumberFormat="1" applyFont="1" applyFill="1" applyAlignment="1">
      <alignment shrinkToFit="1"/>
    </xf>
    <xf numFmtId="3" fontId="3" fillId="0" borderId="0" xfId="0" applyNumberFormat="1" applyFont="1" applyFill="1" applyAlignment="1">
      <alignment horizontal="centerContinuous" shrinkToFit="1"/>
    </xf>
    <xf numFmtId="164" fontId="3" fillId="0" borderId="0" xfId="1" applyFont="1" applyFill="1" applyAlignment="1">
      <alignment shrinkToFit="1"/>
    </xf>
    <xf numFmtId="3" fontId="3" fillId="0" borderId="0" xfId="0" applyNumberFormat="1" applyFont="1" applyFill="1"/>
    <xf numFmtId="3" fontId="4" fillId="0" borderId="0" xfId="0" applyNumberFormat="1" applyFont="1" applyFill="1" applyAlignment="1">
      <alignment horizontal="right"/>
    </xf>
    <xf numFmtId="3" fontId="4" fillId="0" borderId="0" xfId="0" applyNumberFormat="1" applyFont="1" applyFill="1" applyAlignment="1">
      <alignment horizontal="right" shrinkToFit="1"/>
    </xf>
    <xf numFmtId="165" fontId="4" fillId="0" borderId="0" xfId="1" applyNumberFormat="1" applyFont="1" applyFill="1" applyAlignment="1">
      <alignment horizontal="right" shrinkToFit="1"/>
    </xf>
    <xf numFmtId="3" fontId="4" fillId="0" borderId="10" xfId="0" applyNumberFormat="1" applyFont="1" applyBorder="1" applyAlignment="1">
      <alignment horizontal="centerContinuous"/>
    </xf>
    <xf numFmtId="3" fontId="4" fillId="0" borderId="10" xfId="0" applyNumberFormat="1" applyFont="1" applyBorder="1" applyAlignment="1">
      <alignment shrinkToFit="1"/>
    </xf>
    <xf numFmtId="3" fontId="4" fillId="0" borderId="9" xfId="0" applyNumberFormat="1" applyFont="1" applyBorder="1" applyAlignment="1">
      <alignment horizontal="centerContinuous"/>
    </xf>
    <xf numFmtId="3" fontId="4" fillId="0" borderId="9" xfId="0" applyNumberFormat="1" applyFont="1" applyBorder="1" applyAlignment="1">
      <alignment shrinkToFit="1"/>
    </xf>
    <xf numFmtId="169" fontId="4" fillId="0" borderId="9" xfId="0" applyNumberFormat="1" applyFont="1" applyBorder="1" applyAlignment="1">
      <alignment shrinkToFit="1"/>
    </xf>
    <xf numFmtId="0" fontId="41" fillId="0" borderId="8" xfId="0" applyFont="1" applyBorder="1" applyAlignment="1">
      <alignment shrinkToFit="1"/>
    </xf>
    <xf numFmtId="0" fontId="41" fillId="0" borderId="0" xfId="0" applyFont="1"/>
    <xf numFmtId="169" fontId="13" fillId="0" borderId="0" xfId="0" applyNumberFormat="1" applyFont="1"/>
    <xf numFmtId="170" fontId="3" fillId="0" borderId="5" xfId="0" applyNumberFormat="1" applyFont="1" applyBorder="1" applyAlignment="1">
      <alignment vertical="center" shrinkToFit="1"/>
    </xf>
    <xf numFmtId="3" fontId="53" fillId="0" borderId="8" xfId="0" applyNumberFormat="1" applyFont="1" applyBorder="1" applyAlignment="1">
      <alignment vertical="center" shrinkToFit="1"/>
    </xf>
    <xf numFmtId="169" fontId="54" fillId="0" borderId="8" xfId="0" applyNumberFormat="1" applyFont="1" applyBorder="1" applyAlignment="1">
      <alignment vertical="center" shrinkToFit="1"/>
    </xf>
    <xf numFmtId="169" fontId="53" fillId="0" borderId="8" xfId="0" applyNumberFormat="1" applyFont="1" applyBorder="1" applyAlignment="1">
      <alignment vertical="center" shrinkToFit="1"/>
    </xf>
    <xf numFmtId="164" fontId="8" fillId="0" borderId="0" xfId="1" applyFont="1" applyBorder="1"/>
    <xf numFmtId="169" fontId="53" fillId="0" borderId="8" xfId="0" applyNumberFormat="1" applyFont="1" applyFill="1" applyBorder="1" applyAlignment="1">
      <alignment shrinkToFit="1"/>
    </xf>
    <xf numFmtId="169" fontId="22" fillId="0" borderId="0" xfId="5" applyNumberFormat="1" applyFont="1"/>
    <xf numFmtId="164" fontId="4" fillId="0" borderId="0" xfId="1" applyFont="1" applyFill="1"/>
    <xf numFmtId="164" fontId="4" fillId="0" borderId="0" xfId="1" applyFont="1" applyFill="1" applyAlignment="1">
      <alignment shrinkToFit="1"/>
    </xf>
    <xf numFmtId="169" fontId="4" fillId="0" borderId="0" xfId="0" applyNumberFormat="1" applyFont="1" applyFill="1" applyAlignment="1">
      <alignment shrinkToFit="1"/>
    </xf>
    <xf numFmtId="3" fontId="4" fillId="0" borderId="0" xfId="2" applyNumberFormat="1" applyFont="1"/>
    <xf numFmtId="171" fontId="4" fillId="0" borderId="0" xfId="2" applyNumberFormat="1" applyFont="1"/>
    <xf numFmtId="169" fontId="55" fillId="4" borderId="8" xfId="0" applyNumberFormat="1" applyFont="1" applyFill="1" applyBorder="1" applyAlignment="1">
      <alignment horizontal="right" shrinkToFit="1"/>
    </xf>
    <xf numFmtId="169" fontId="29" fillId="0" borderId="6" xfId="0" applyNumberFormat="1" applyFont="1" applyBorder="1" applyAlignment="1">
      <alignment shrinkToFit="1"/>
    </xf>
    <xf numFmtId="169" fontId="29" fillId="0" borderId="8" xfId="0" applyNumberFormat="1" applyFont="1" applyBorder="1" applyAlignment="1">
      <alignment shrinkToFit="1"/>
    </xf>
    <xf numFmtId="169" fontId="19" fillId="0" borderId="8" xfId="0" applyNumberFormat="1" applyFont="1" applyBorder="1" applyAlignment="1">
      <alignment shrinkToFit="1"/>
    </xf>
    <xf numFmtId="169" fontId="22" fillId="0" borderId="8" xfId="0" applyNumberFormat="1" applyFont="1" applyBorder="1" applyAlignment="1">
      <alignment shrinkToFit="1"/>
    </xf>
    <xf numFmtId="169" fontId="22" fillId="0" borderId="11" xfId="0" applyNumberFormat="1" applyFont="1" applyBorder="1" applyAlignment="1">
      <alignment shrinkToFit="1"/>
    </xf>
    <xf numFmtId="169" fontId="19" fillId="0" borderId="9" xfId="0" applyNumberFormat="1" applyFont="1" applyBorder="1" applyAlignment="1">
      <alignment shrinkToFit="1"/>
    </xf>
    <xf numFmtId="169" fontId="22" fillId="0" borderId="9" xfId="0" applyNumberFormat="1" applyFont="1" applyBorder="1" applyAlignment="1">
      <alignment shrinkToFit="1"/>
    </xf>
    <xf numFmtId="169" fontId="22" fillId="0" borderId="0" xfId="0" applyNumberFormat="1" applyFont="1"/>
    <xf numFmtId="169" fontId="19" fillId="0" borderId="0" xfId="0" applyNumberFormat="1" applyFont="1"/>
    <xf numFmtId="169" fontId="12" fillId="0" borderId="0" xfId="0" applyNumberFormat="1" applyFont="1" applyAlignment="1">
      <alignment horizontal="center"/>
    </xf>
    <xf numFmtId="164" fontId="3" fillId="0" borderId="0" xfId="1" applyFont="1" applyBorder="1" applyAlignment="1"/>
    <xf numFmtId="0" fontId="22" fillId="0" borderId="8" xfId="5" applyFont="1" applyBorder="1" applyAlignment="1">
      <alignment horizontal="left" vertical="center" wrapText="1" shrinkToFit="1"/>
    </xf>
    <xf numFmtId="0" fontId="22" fillId="0" borderId="16" xfId="5" applyFont="1" applyBorder="1" applyAlignment="1">
      <alignment horizontal="center" vertical="center" wrapText="1"/>
    </xf>
    <xf numFmtId="164" fontId="4" fillId="0" borderId="0" xfId="1" applyFont="1" applyBorder="1" applyAlignment="1"/>
    <xf numFmtId="0" fontId="29" fillId="0" borderId="17" xfId="5" applyFont="1" applyBorder="1" applyAlignment="1">
      <alignment horizontal="center" vertical="center"/>
    </xf>
    <xf numFmtId="0" fontId="29" fillId="0" borderId="10" xfId="5" applyFont="1" applyBorder="1" applyAlignment="1">
      <alignment horizontal="left" vertical="center" shrinkToFit="1"/>
    </xf>
    <xf numFmtId="169" fontId="29" fillId="0" borderId="6" xfId="5" applyNumberFormat="1" applyFont="1" applyBorder="1" applyAlignment="1">
      <alignment horizontal="right" vertical="center" shrinkToFit="1"/>
    </xf>
    <xf numFmtId="169" fontId="38" fillId="0" borderId="6" xfId="5" applyNumberFormat="1" applyFont="1" applyBorder="1" applyAlignment="1">
      <alignment horizontal="right" vertical="center" shrinkToFit="1"/>
    </xf>
    <xf numFmtId="164" fontId="29" fillId="0" borderId="6" xfId="1" applyFont="1" applyBorder="1" applyAlignment="1">
      <alignment horizontal="right" vertical="center" shrinkToFit="1"/>
    </xf>
    <xf numFmtId="169" fontId="38" fillId="0" borderId="6" xfId="5" applyNumberFormat="1" applyFont="1" applyFill="1" applyBorder="1" applyAlignment="1">
      <alignment horizontal="right" vertical="center" shrinkToFit="1"/>
    </xf>
    <xf numFmtId="0" fontId="22" fillId="0" borderId="16" xfId="5" applyFont="1" applyBorder="1" applyAlignment="1">
      <alignment horizontal="center" vertical="center"/>
    </xf>
    <xf numFmtId="0" fontId="22" fillId="0" borderId="10" xfId="5" applyFont="1" applyBorder="1" applyAlignment="1">
      <alignment horizontal="left" vertical="center" shrinkToFit="1"/>
    </xf>
    <xf numFmtId="169" fontId="22" fillId="0" borderId="8" xfId="5" applyNumberFormat="1" applyFont="1" applyBorder="1" applyAlignment="1">
      <alignment horizontal="right" vertical="center" shrinkToFit="1"/>
    </xf>
    <xf numFmtId="169" fontId="39" fillId="0" borderId="8" xfId="5" applyNumberFormat="1" applyFont="1" applyBorder="1" applyAlignment="1">
      <alignment horizontal="right" vertical="center" shrinkToFit="1"/>
    </xf>
    <xf numFmtId="164" fontId="22" fillId="0" borderId="8" xfId="1" applyFont="1" applyBorder="1" applyAlignment="1">
      <alignment horizontal="right" vertical="center" shrinkToFit="1"/>
    </xf>
    <xf numFmtId="169" fontId="39" fillId="0" borderId="8" xfId="5" applyNumberFormat="1" applyFont="1" applyFill="1" applyBorder="1" applyAlignment="1">
      <alignment horizontal="right" vertical="center" shrinkToFit="1"/>
    </xf>
    <xf numFmtId="0" fontId="22" fillId="0" borderId="8" xfId="5" applyFont="1" applyBorder="1" applyAlignment="1">
      <alignment horizontal="left" vertical="center" shrinkToFit="1"/>
    </xf>
    <xf numFmtId="169" fontId="22" fillId="0" borderId="8" xfId="5" applyNumberFormat="1" applyFont="1" applyFill="1" applyBorder="1" applyAlignment="1">
      <alignment horizontal="right" vertical="center" shrinkToFit="1"/>
    </xf>
    <xf numFmtId="169" fontId="56" fillId="0" borderId="8" xfId="5" applyNumberFormat="1" applyFont="1" applyBorder="1" applyAlignment="1">
      <alignment horizontal="right" vertical="center" shrinkToFit="1"/>
    </xf>
    <xf numFmtId="169" fontId="57" fillId="0" borderId="8" xfId="5" applyNumberFormat="1" applyFont="1" applyBorder="1" applyAlignment="1">
      <alignment horizontal="right" vertical="center" shrinkToFit="1"/>
    </xf>
    <xf numFmtId="0" fontId="29" fillId="0" borderId="16" xfId="5" applyFont="1" applyBorder="1" applyAlignment="1">
      <alignment horizontal="center" vertical="center"/>
    </xf>
    <xf numFmtId="0" fontId="29" fillId="0" borderId="8" xfId="5" applyNumberFormat="1" applyFont="1" applyBorder="1" applyAlignment="1">
      <alignment vertical="center" shrinkToFit="1"/>
    </xf>
    <xf numFmtId="169" fontId="29" fillId="0" borderId="8" xfId="5" applyNumberFormat="1" applyFont="1" applyBorder="1" applyAlignment="1">
      <alignment horizontal="right" vertical="center" shrinkToFit="1"/>
    </xf>
    <xf numFmtId="169" fontId="38" fillId="0" borderId="8" xfId="5" applyNumberFormat="1" applyFont="1" applyBorder="1" applyAlignment="1">
      <alignment horizontal="right" vertical="center" shrinkToFit="1"/>
    </xf>
    <xf numFmtId="164" fontId="29" fillId="0" borderId="8" xfId="1" applyFont="1" applyBorder="1" applyAlignment="1">
      <alignment horizontal="right" vertical="center" shrinkToFit="1"/>
    </xf>
    <xf numFmtId="169" fontId="38" fillId="0" borderId="8" xfId="5" applyNumberFormat="1" applyFont="1" applyFill="1" applyBorder="1" applyAlignment="1">
      <alignment horizontal="right" vertical="center" shrinkToFit="1"/>
    </xf>
    <xf numFmtId="0" fontId="19" fillId="0" borderId="16" xfId="5" applyFont="1" applyBorder="1" applyAlignment="1">
      <alignment horizontal="center" vertical="center"/>
    </xf>
    <xf numFmtId="0" fontId="22" fillId="0" borderId="8" xfId="5" quotePrefix="1" applyNumberFormat="1" applyFont="1" applyBorder="1" applyAlignment="1">
      <alignment vertical="center" shrinkToFit="1"/>
    </xf>
    <xf numFmtId="169" fontId="22" fillId="0" borderId="8" xfId="0" applyNumberFormat="1" applyFont="1" applyBorder="1" applyAlignment="1">
      <alignment horizontal="right" vertical="center" shrinkToFit="1"/>
    </xf>
    <xf numFmtId="169" fontId="39" fillId="0" borderId="8" xfId="0" applyNumberFormat="1" applyFont="1" applyBorder="1" applyAlignment="1">
      <alignment horizontal="right" vertical="center" shrinkToFit="1"/>
    </xf>
    <xf numFmtId="169" fontId="39" fillId="0" borderId="8" xfId="0" applyNumberFormat="1" applyFont="1" applyFill="1" applyBorder="1" applyAlignment="1">
      <alignment horizontal="right" vertical="center" shrinkToFit="1"/>
    </xf>
    <xf numFmtId="1" fontId="38" fillId="0" borderId="8" xfId="5" applyNumberFormat="1" applyFont="1" applyFill="1" applyBorder="1" applyAlignment="1">
      <alignment horizontal="right" vertical="center" shrinkToFit="1"/>
    </xf>
    <xf numFmtId="0" fontId="33" fillId="0" borderId="16" xfId="5" applyFont="1" applyBorder="1" applyAlignment="1">
      <alignment horizontal="center" vertical="center"/>
    </xf>
    <xf numFmtId="0" fontId="22" fillId="0" borderId="8" xfId="5" applyNumberFormat="1" applyFont="1" applyBorder="1" applyAlignment="1">
      <alignment vertical="center" shrinkToFit="1"/>
    </xf>
    <xf numFmtId="0" fontId="22" fillId="0" borderId="8" xfId="5" applyFont="1" applyBorder="1" applyAlignment="1">
      <alignment vertical="center" shrinkToFit="1"/>
    </xf>
    <xf numFmtId="3" fontId="39" fillId="0" borderId="8" xfId="5" applyNumberFormat="1" applyFont="1" applyBorder="1" applyAlignment="1">
      <alignment horizontal="right" vertical="center" shrinkToFit="1"/>
    </xf>
    <xf numFmtId="3" fontId="38" fillId="0" borderId="8" xfId="5" applyNumberFormat="1" applyFont="1" applyBorder="1" applyAlignment="1">
      <alignment horizontal="right" vertical="center" shrinkToFit="1"/>
    </xf>
    <xf numFmtId="0" fontId="29" fillId="0" borderId="18" xfId="5" applyFont="1" applyBorder="1" applyAlignment="1">
      <alignment horizontal="center" vertical="center"/>
    </xf>
    <xf numFmtId="0" fontId="29" fillId="0" borderId="19" xfId="5" applyNumberFormat="1" applyFont="1" applyBorder="1" applyAlignment="1">
      <alignment vertical="center" shrinkToFit="1"/>
    </xf>
    <xf numFmtId="169" fontId="29" fillId="0" borderId="19" xfId="5" applyNumberFormat="1" applyFont="1" applyBorder="1" applyAlignment="1">
      <alignment horizontal="right" vertical="center" shrinkToFit="1"/>
    </xf>
    <xf numFmtId="169" fontId="38" fillId="0" borderId="19" xfId="5" applyNumberFormat="1" applyFont="1" applyBorder="1" applyAlignment="1">
      <alignment horizontal="right" vertical="center" shrinkToFit="1"/>
    </xf>
    <xf numFmtId="164" fontId="29" fillId="0" borderId="19" xfId="1" applyFont="1" applyBorder="1" applyAlignment="1">
      <alignment horizontal="right" vertical="center" shrinkToFit="1"/>
    </xf>
    <xf numFmtId="169" fontId="38" fillId="0" borderId="19" xfId="5" applyNumberFormat="1" applyFont="1" applyFill="1" applyBorder="1" applyAlignment="1">
      <alignment horizontal="right" vertical="center" shrinkToFit="1"/>
    </xf>
    <xf numFmtId="164" fontId="8" fillId="0" borderId="0" xfId="1" applyFont="1" applyBorder="1" applyAlignment="1"/>
    <xf numFmtId="169" fontId="14" fillId="0" borderId="0" xfId="0" applyNumberFormat="1" applyFont="1" applyAlignment="1">
      <alignment horizontal="center"/>
    </xf>
    <xf numFmtId="166" fontId="19" fillId="0" borderId="6" xfId="0" applyNumberFormat="1" applyFont="1" applyBorder="1" applyAlignment="1">
      <alignment horizontal="center"/>
    </xf>
    <xf numFmtId="166" fontId="50" fillId="0" borderId="8" xfId="0" applyNumberFormat="1" applyFont="1" applyBorder="1" applyAlignment="1">
      <alignment horizontal="center"/>
    </xf>
    <xf numFmtId="166" fontId="19" fillId="0" borderId="15" xfId="0" applyNumberFormat="1" applyFont="1" applyBorder="1" applyAlignment="1">
      <alignment horizontal="center"/>
    </xf>
    <xf numFmtId="166" fontId="19" fillId="0" borderId="9" xfId="0" applyNumberFormat="1" applyFont="1" applyBorder="1" applyAlignment="1">
      <alignment horizontal="center"/>
    </xf>
    <xf numFmtId="166" fontId="19" fillId="0" borderId="0" xfId="0" applyNumberFormat="1" applyFont="1" applyAlignment="1">
      <alignment horizontal="center"/>
    </xf>
    <xf numFmtId="166" fontId="19" fillId="0" borderId="10" xfId="0" applyNumberFormat="1" applyFont="1" applyBorder="1" applyAlignment="1">
      <alignment horizontal="center"/>
    </xf>
    <xf numFmtId="0" fontId="22" fillId="0" borderId="10" xfId="0" applyFont="1" applyBorder="1" applyAlignment="1">
      <alignment horizontal="left" vertical="center" shrinkToFit="1"/>
    </xf>
    <xf numFmtId="169" fontId="19" fillId="0" borderId="10" xfId="0" applyNumberFormat="1" applyFont="1" applyBorder="1" applyAlignment="1">
      <alignment shrinkToFit="1"/>
    </xf>
    <xf numFmtId="169" fontId="22" fillId="0" borderId="10" xfId="0" applyNumberFormat="1" applyFont="1" applyBorder="1" applyAlignment="1">
      <alignment shrinkToFit="1"/>
    </xf>
    <xf numFmtId="166" fontId="29" fillId="0" borderId="9" xfId="0" applyNumberFormat="1" applyFont="1" applyBorder="1" applyAlignment="1">
      <alignment horizontal="center"/>
    </xf>
    <xf numFmtId="0" fontId="29" fillId="0" borderId="9" xfId="0" applyFont="1" applyBorder="1" applyAlignment="1">
      <alignment shrinkToFit="1"/>
    </xf>
    <xf numFmtId="169" fontId="29" fillId="0" borderId="9" xfId="0" applyNumberFormat="1" applyFont="1" applyBorder="1" applyAlignment="1">
      <alignment shrinkToFit="1"/>
    </xf>
    <xf numFmtId="164" fontId="4" fillId="0" borderId="0" xfId="1" applyFont="1" applyAlignment="1">
      <alignment shrinkToFit="1"/>
    </xf>
    <xf numFmtId="169" fontId="4" fillId="0" borderId="8" xfId="0" applyNumberFormat="1" applyFont="1" applyBorder="1" applyAlignment="1">
      <alignment horizontal="right" vertical="center" shrinkToFit="1"/>
    </xf>
    <xf numFmtId="3" fontId="22" fillId="0" borderId="8" xfId="0" applyNumberFormat="1" applyFont="1" applyBorder="1" applyAlignment="1">
      <alignment vertical="center" wrapText="1"/>
    </xf>
    <xf numFmtId="3" fontId="8" fillId="0" borderId="11" xfId="0" applyNumberFormat="1" applyFont="1" applyBorder="1" applyAlignment="1">
      <alignment vertical="center" wrapText="1"/>
    </xf>
    <xf numFmtId="0" fontId="18" fillId="0" borderId="1" xfId="0" applyFont="1" applyBorder="1" applyAlignment="1">
      <alignment horizontal="right"/>
    </xf>
    <xf numFmtId="3" fontId="18" fillId="0" borderId="0" xfId="3" applyNumberFormat="1" applyFont="1" applyAlignment="1">
      <alignment horizontal="right"/>
    </xf>
    <xf numFmtId="0" fontId="18" fillId="0" borderId="0" xfId="0" applyFont="1" applyAlignment="1">
      <alignment horizontal="right"/>
    </xf>
    <xf numFmtId="0" fontId="7" fillId="0" borderId="0" xfId="0" applyFont="1"/>
    <xf numFmtId="0" fontId="9" fillId="0" borderId="0" xfId="0" applyFont="1"/>
    <xf numFmtId="166" fontId="9" fillId="0" borderId="6" xfId="0" applyNumberFormat="1" applyFont="1" applyBorder="1" applyAlignment="1">
      <alignment horizontal="center"/>
    </xf>
    <xf numFmtId="0" fontId="9" fillId="0" borderId="6" xfId="0" applyFont="1" applyBorder="1" applyAlignment="1">
      <alignment horizontal="center" shrinkToFit="1"/>
    </xf>
    <xf numFmtId="0" fontId="7" fillId="0" borderId="8" xfId="0" applyFont="1" applyBorder="1" applyAlignment="1">
      <alignment shrinkToFit="1"/>
    </xf>
    <xf numFmtId="169" fontId="7" fillId="0" borderId="8" xfId="0" applyNumberFormat="1" applyFont="1" applyBorder="1" applyAlignment="1">
      <alignment shrinkToFit="1"/>
    </xf>
    <xf numFmtId="0" fontId="7" fillId="0" borderId="9" xfId="0" applyFont="1" applyBorder="1" applyAlignment="1">
      <alignment shrinkToFit="1"/>
    </xf>
    <xf numFmtId="169" fontId="7" fillId="0" borderId="9" xfId="0" applyNumberFormat="1" applyFont="1" applyBorder="1" applyAlignment="1">
      <alignment shrinkToFit="1"/>
    </xf>
    <xf numFmtId="0" fontId="60" fillId="0" borderId="0" xfId="0" applyFont="1" applyAlignment="1">
      <alignment horizontal="right"/>
    </xf>
    <xf numFmtId="3" fontId="7" fillId="0" borderId="8" xfId="0" applyNumberFormat="1" applyFont="1" applyBorder="1" applyAlignment="1">
      <alignment horizontal="center"/>
    </xf>
    <xf numFmtId="3" fontId="7" fillId="0" borderId="9" xfId="0" applyNumberFormat="1" applyFont="1" applyBorder="1" applyAlignment="1">
      <alignment horizontal="center"/>
    </xf>
    <xf numFmtId="0" fontId="4" fillId="0" borderId="8" xfId="4" applyFont="1" applyBorder="1" applyAlignment="1">
      <alignment vertical="center" shrinkToFit="1"/>
    </xf>
    <xf numFmtId="0" fontId="3" fillId="0" borderId="5" xfId="4" applyFont="1" applyBorder="1" applyAlignment="1">
      <alignment horizontal="center" vertical="center" wrapText="1" shrinkToFit="1"/>
    </xf>
    <xf numFmtId="0" fontId="4" fillId="0" borderId="8" xfId="4" applyFont="1" applyBorder="1" applyAlignment="1">
      <alignment horizontal="center" vertical="center" wrapText="1"/>
    </xf>
    <xf numFmtId="0" fontId="4" fillId="0" borderId="8" xfId="4" applyFont="1" applyBorder="1" applyAlignment="1">
      <alignment vertical="center" wrapText="1"/>
    </xf>
    <xf numFmtId="3" fontId="4" fillId="0" borderId="8" xfId="4" applyNumberFormat="1" applyFont="1" applyBorder="1"/>
    <xf numFmtId="169" fontId="4" fillId="0" borderId="6" xfId="0" applyNumberFormat="1" applyFont="1" applyFill="1" applyBorder="1" applyAlignment="1">
      <alignment vertical="center" shrinkToFit="1"/>
    </xf>
    <xf numFmtId="169" fontId="4" fillId="0" borderId="8" xfId="0" applyNumberFormat="1" applyFont="1" applyFill="1" applyBorder="1" applyAlignment="1">
      <alignment vertical="center" shrinkToFit="1"/>
    </xf>
    <xf numFmtId="169" fontId="4" fillId="0" borderId="9" xfId="0" applyNumberFormat="1" applyFont="1" applyFill="1" applyBorder="1" applyAlignment="1">
      <alignment vertical="center" shrinkToFit="1"/>
    </xf>
    <xf numFmtId="169" fontId="3" fillId="0" borderId="5" xfId="0" applyNumberFormat="1" applyFont="1" applyFill="1" applyBorder="1" applyAlignment="1">
      <alignment vertical="center" shrinkToFit="1"/>
    </xf>
    <xf numFmtId="0" fontId="18" fillId="0" borderId="1" xfId="0" applyFont="1" applyFill="1" applyBorder="1" applyAlignment="1">
      <alignment horizontal="right"/>
    </xf>
    <xf numFmtId="0" fontId="4" fillId="0" borderId="6" xfId="0" applyFont="1" applyFill="1" applyBorder="1" applyAlignment="1">
      <alignment horizontal="center" vertical="center"/>
    </xf>
    <xf numFmtId="0" fontId="4" fillId="0" borderId="6" xfId="0" applyFont="1" applyFill="1" applyBorder="1" applyAlignment="1">
      <alignment vertical="center" shrinkToFit="1"/>
    </xf>
    <xf numFmtId="169" fontId="4" fillId="0" borderId="6" xfId="0" applyNumberFormat="1" applyFont="1" applyFill="1" applyBorder="1" applyAlignment="1">
      <alignment horizontal="right" vertical="center" shrinkToFit="1"/>
    </xf>
    <xf numFmtId="0" fontId="4" fillId="0" borderId="8" xfId="0" applyFont="1" applyFill="1" applyBorder="1" applyAlignment="1">
      <alignment horizontal="center" vertical="center"/>
    </xf>
    <xf numFmtId="0" fontId="4" fillId="0" borderId="8" xfId="0" applyFont="1" applyFill="1" applyBorder="1" applyAlignment="1">
      <alignment vertical="center" shrinkToFit="1"/>
    </xf>
    <xf numFmtId="0" fontId="4" fillId="0" borderId="9" xfId="0" applyFont="1" applyFill="1" applyBorder="1" applyAlignment="1">
      <alignment horizontal="center" vertical="center"/>
    </xf>
    <xf numFmtId="0" fontId="4" fillId="0" borderId="9" xfId="0" applyFont="1" applyFill="1" applyBorder="1" applyAlignment="1">
      <alignment vertical="center" shrinkToFit="1"/>
    </xf>
    <xf numFmtId="3" fontId="12" fillId="0" borderId="0" xfId="0" applyNumberFormat="1" applyFont="1" applyFill="1" applyAlignment="1">
      <alignment horizontal="right"/>
    </xf>
    <xf numFmtId="0" fontId="19" fillId="0" borderId="0" xfId="0" applyFont="1" applyAlignment="1"/>
    <xf numFmtId="3" fontId="3" fillId="0" borderId="9" xfId="0" applyNumberFormat="1" applyFont="1" applyBorder="1" applyAlignment="1">
      <alignment vertical="center" shrinkToFit="1"/>
    </xf>
    <xf numFmtId="0" fontId="4" fillId="0" borderId="0" xfId="0" applyFont="1" applyFill="1" applyAlignment="1">
      <alignment vertical="center"/>
    </xf>
    <xf numFmtId="0" fontId="4" fillId="0" borderId="36" xfId="0" applyFont="1" applyFill="1" applyBorder="1"/>
    <xf numFmtId="0" fontId="4" fillId="0" borderId="39" xfId="0" applyFont="1" applyFill="1" applyBorder="1"/>
    <xf numFmtId="0" fontId="4" fillId="0" borderId="32" xfId="0" applyFont="1" applyFill="1" applyBorder="1"/>
    <xf numFmtId="0" fontId="3" fillId="0" borderId="8" xfId="0" applyFont="1" applyBorder="1" applyAlignment="1">
      <alignment vertical="center" wrapText="1"/>
    </xf>
    <xf numFmtId="0" fontId="3" fillId="0" borderId="7"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23" fillId="0" borderId="0" xfId="0" applyFont="1" applyAlignment="1">
      <alignment wrapText="1"/>
    </xf>
    <xf numFmtId="0" fontId="3" fillId="0" borderId="0" xfId="0" applyFont="1" applyAlignment="1">
      <alignment horizontal="center"/>
    </xf>
    <xf numFmtId="0" fontId="3" fillId="0" borderId="0" xfId="0" applyFont="1" applyAlignment="1">
      <alignment shrinkToFit="1"/>
    </xf>
    <xf numFmtId="0" fontId="9" fillId="0" borderId="5" xfId="0" applyFont="1" applyBorder="1" applyAlignment="1">
      <alignment horizontal="center" vertical="center" wrapText="1"/>
    </xf>
    <xf numFmtId="0" fontId="3" fillId="0" borderId="13" xfId="0" applyFont="1" applyFill="1" applyBorder="1" applyAlignment="1">
      <alignment horizontal="center" vertical="center" wrapText="1"/>
    </xf>
    <xf numFmtId="3" fontId="3" fillId="5" borderId="5" xfId="4" applyNumberFormat="1" applyFont="1" applyFill="1" applyBorder="1"/>
    <xf numFmtId="0" fontId="4" fillId="5" borderId="0" xfId="0" applyFont="1" applyFill="1" applyBorder="1"/>
    <xf numFmtId="3" fontId="3" fillId="0" borderId="0" xfId="0" applyNumberFormat="1" applyFont="1" applyAlignment="1">
      <alignment horizontal="center"/>
    </xf>
    <xf numFmtId="3" fontId="3" fillId="0" borderId="13"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0" fontId="4" fillId="0" borderId="7" xfId="0" applyFont="1" applyBorder="1" applyAlignment="1">
      <alignment horizontal="center" vertical="center" wrapText="1"/>
    </xf>
    <xf numFmtId="3" fontId="3" fillId="0" borderId="0" xfId="0" applyNumberFormat="1" applyFont="1" applyFill="1" applyBorder="1" applyAlignment="1">
      <alignment horizontal="center"/>
    </xf>
    <xf numFmtId="3" fontId="3" fillId="0" borderId="1" xfId="0" applyNumberFormat="1" applyFont="1" applyFill="1" applyBorder="1" applyAlignment="1">
      <alignment horizontal="center"/>
    </xf>
    <xf numFmtId="3" fontId="3" fillId="0" borderId="0" xfId="0" applyNumberFormat="1" applyFont="1" applyFill="1" applyBorder="1" applyAlignment="1">
      <alignment horizontal="center" shrinkToFit="1"/>
    </xf>
    <xf numFmtId="0" fontId="4" fillId="0" borderId="20" xfId="0" applyFont="1" applyBorder="1" applyAlignment="1">
      <alignment horizontal="center" vertical="center" wrapText="1"/>
    </xf>
    <xf numFmtId="3" fontId="3" fillId="0" borderId="21" xfId="0" applyNumberFormat="1" applyFont="1" applyBorder="1" applyAlignment="1">
      <alignment horizontal="center" vertical="center" wrapText="1"/>
    </xf>
    <xf numFmtId="3" fontId="3" fillId="0" borderId="22" xfId="0" applyNumberFormat="1" applyFont="1" applyBorder="1" applyAlignment="1">
      <alignment horizontal="center" vertical="center" wrapText="1"/>
    </xf>
    <xf numFmtId="3" fontId="3" fillId="0" borderId="23" xfId="0" applyNumberFormat="1" applyFont="1" applyBorder="1" applyAlignment="1">
      <alignment horizontal="center" vertical="center" wrapText="1"/>
    </xf>
    <xf numFmtId="0" fontId="3" fillId="0" borderId="7" xfId="0" applyFont="1" applyBorder="1" applyAlignment="1">
      <alignment horizontal="center" vertical="center" wrapText="1"/>
    </xf>
    <xf numFmtId="3" fontId="3" fillId="0" borderId="2"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3" fontId="3" fillId="0" borderId="0" xfId="0" applyNumberFormat="1" applyFont="1" applyBorder="1" applyAlignment="1">
      <alignment horizontal="center"/>
    </xf>
    <xf numFmtId="3" fontId="9" fillId="0" borderId="2" xfId="0" applyNumberFormat="1" applyFont="1" applyBorder="1" applyAlignment="1">
      <alignment horizontal="center" vertical="center" wrapText="1"/>
    </xf>
    <xf numFmtId="3" fontId="9" fillId="0" borderId="3" xfId="0" applyNumberFormat="1" applyFont="1" applyBorder="1" applyAlignment="1">
      <alignment horizontal="center" vertical="center" wrapText="1"/>
    </xf>
    <xf numFmtId="3" fontId="9" fillId="0" borderId="4" xfId="0" applyNumberFormat="1" applyFont="1" applyBorder="1" applyAlignment="1">
      <alignment horizontal="center" vertical="center" wrapText="1"/>
    </xf>
    <xf numFmtId="3" fontId="9" fillId="0" borderId="2" xfId="0" applyNumberFormat="1" applyFont="1" applyBorder="1" applyAlignment="1">
      <alignment horizontal="center" vertical="center" shrinkToFit="1"/>
    </xf>
    <xf numFmtId="3" fontId="9" fillId="0" borderId="3" xfId="0" applyNumberFormat="1" applyFont="1" applyBorder="1" applyAlignment="1">
      <alignment horizontal="center" vertical="center" shrinkToFit="1"/>
    </xf>
    <xf numFmtId="3" fontId="9" fillId="0" borderId="4" xfId="0" applyNumberFormat="1" applyFont="1" applyBorder="1" applyAlignment="1">
      <alignment horizontal="center" vertical="center" shrinkToFit="1"/>
    </xf>
    <xf numFmtId="0" fontId="3" fillId="0" borderId="13" xfId="0" applyFont="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right"/>
    </xf>
    <xf numFmtId="0" fontId="3" fillId="0" borderId="13"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xf>
    <xf numFmtId="3" fontId="3" fillId="0" borderId="5" xfId="0" applyNumberFormat="1" applyFont="1" applyBorder="1" applyAlignment="1">
      <alignment horizontal="center" vertical="center" wrapText="1" shrinkToFit="1"/>
    </xf>
    <xf numFmtId="3" fontId="3" fillId="0" borderId="1" xfId="0" applyNumberFormat="1" applyFont="1" applyBorder="1" applyAlignment="1">
      <alignment horizontal="right"/>
    </xf>
    <xf numFmtId="3" fontId="3" fillId="0" borderId="1" xfId="0" applyNumberFormat="1" applyFont="1" applyBorder="1" applyAlignment="1">
      <alignment horizontal="center"/>
    </xf>
    <xf numFmtId="3" fontId="3" fillId="0" borderId="5" xfId="0" applyNumberFormat="1" applyFont="1" applyBorder="1" applyAlignment="1">
      <alignment horizontal="center" vertical="center" shrinkToFi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0" xfId="0" applyFont="1" applyAlignment="1">
      <alignment horizontal="center"/>
    </xf>
    <xf numFmtId="166" fontId="19"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center"/>
    </xf>
    <xf numFmtId="0" fontId="20"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center" vertical="center" wrapText="1"/>
    </xf>
    <xf numFmtId="0" fontId="23" fillId="2" borderId="2" xfId="4" applyFont="1" applyFill="1" applyBorder="1" applyAlignment="1">
      <alignment horizontal="center" vertical="center" wrapText="1"/>
    </xf>
    <xf numFmtId="0" fontId="23" fillId="2" borderId="4" xfId="4" applyFont="1" applyFill="1" applyBorder="1" applyAlignment="1">
      <alignment horizontal="center" vertic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19" fillId="0" borderId="29" xfId="5" applyNumberFormat="1" applyFont="1" applyBorder="1" applyAlignment="1">
      <alignment horizontal="center" vertical="center"/>
    </xf>
    <xf numFmtId="0" fontId="19" fillId="0" borderId="12" xfId="5" applyNumberFormat="1" applyFont="1" applyBorder="1" applyAlignment="1">
      <alignment horizontal="center" vertical="center"/>
    </xf>
    <xf numFmtId="0" fontId="19" fillId="0" borderId="30" xfId="5" applyNumberFormat="1" applyFont="1" applyBorder="1" applyAlignment="1">
      <alignment horizontal="center" vertical="center"/>
    </xf>
    <xf numFmtId="0" fontId="19" fillId="0" borderId="5" xfId="5" applyNumberFormat="1" applyFont="1" applyBorder="1" applyAlignment="1">
      <alignment horizontal="center" vertical="center"/>
    </xf>
    <xf numFmtId="0" fontId="19" fillId="0" borderId="2" xfId="5" applyNumberFormat="1" applyFont="1" applyBorder="1" applyAlignment="1">
      <alignment horizontal="center" vertical="center"/>
    </xf>
    <xf numFmtId="0" fontId="19" fillId="0" borderId="3" xfId="5" applyNumberFormat="1" applyFont="1" applyBorder="1" applyAlignment="1">
      <alignment horizontal="center" vertical="center"/>
    </xf>
    <xf numFmtId="0" fontId="19" fillId="0" borderId="4" xfId="5" applyNumberFormat="1" applyFont="1" applyBorder="1" applyAlignment="1">
      <alignment horizontal="center" vertical="center"/>
    </xf>
    <xf numFmtId="168" fontId="19" fillId="0" borderId="13" xfId="5" applyNumberFormat="1" applyFont="1" applyBorder="1" applyAlignment="1">
      <alignment horizontal="center" vertical="center" wrapText="1"/>
    </xf>
    <xf numFmtId="168" fontId="19" fillId="0" borderId="7" xfId="5" applyNumberFormat="1" applyFont="1" applyBorder="1" applyAlignment="1">
      <alignment horizontal="center" vertical="center" wrapText="1"/>
    </xf>
    <xf numFmtId="168" fontId="19" fillId="0" borderId="25" xfId="5" applyNumberFormat="1" applyFont="1" applyBorder="1" applyAlignment="1">
      <alignment horizontal="center" vertical="center"/>
    </xf>
    <xf numFmtId="168" fontId="19" fillId="0" borderId="26" xfId="5" applyNumberFormat="1" applyFont="1" applyBorder="1" applyAlignment="1">
      <alignment horizontal="center" vertical="center"/>
    </xf>
    <xf numFmtId="168" fontId="19" fillId="0" borderId="27" xfId="5" applyNumberFormat="1" applyFont="1" applyBorder="1" applyAlignment="1">
      <alignment horizontal="center" vertical="center"/>
    </xf>
    <xf numFmtId="168" fontId="19" fillId="0" borderId="28" xfId="5" applyNumberFormat="1" applyFont="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shrinkToFit="1"/>
    </xf>
    <xf numFmtId="0" fontId="3" fillId="0" borderId="5" xfId="0" applyFont="1" applyFill="1" applyBorder="1" applyAlignment="1">
      <alignment horizontal="center" vertical="center" wrapText="1"/>
    </xf>
    <xf numFmtId="0" fontId="3" fillId="0" borderId="5" xfId="2" applyNumberFormat="1" applyFont="1" applyBorder="1" applyAlignment="1">
      <alignment horizontal="center" vertical="center" wrapText="1"/>
    </xf>
    <xf numFmtId="0" fontId="3" fillId="0" borderId="0" xfId="2" applyNumberFormat="1"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xf>
    <xf numFmtId="0" fontId="3" fillId="0" borderId="5" xfId="0" applyFont="1" applyBorder="1" applyAlignment="1">
      <alignment horizontal="center" vertical="center"/>
    </xf>
    <xf numFmtId="0" fontId="3" fillId="0" borderId="5" xfId="3" applyFont="1" applyBorder="1" applyAlignment="1">
      <alignment horizontal="center" vertical="center" wrapText="1"/>
    </xf>
    <xf numFmtId="3" fontId="3" fillId="0" borderId="5" xfId="3" applyNumberFormat="1" applyFont="1" applyBorder="1" applyAlignment="1">
      <alignment horizontal="center" vertical="center" wrapText="1"/>
    </xf>
    <xf numFmtId="0" fontId="4" fillId="0" borderId="5" xfId="3" applyFont="1" applyBorder="1" applyAlignment="1">
      <alignment horizontal="center" vertical="center" wrapText="1"/>
    </xf>
    <xf numFmtId="0" fontId="3" fillId="0" borderId="0" xfId="0" applyFont="1" applyAlignment="1">
      <alignment shrinkToFit="1"/>
    </xf>
    <xf numFmtId="0" fontId="22" fillId="0" borderId="0" xfId="0" applyFont="1" applyAlignment="1">
      <alignment vertical="justify"/>
    </xf>
    <xf numFmtId="0" fontId="3" fillId="0" borderId="0" xfId="0" applyFont="1" applyAlignment="1">
      <alignment horizontal="center" wrapText="1"/>
    </xf>
    <xf numFmtId="0" fontId="36" fillId="0" borderId="0" xfId="0" applyFont="1" applyAlignment="1">
      <alignment horizontal="center"/>
    </xf>
    <xf numFmtId="3" fontId="3" fillId="0" borderId="0" xfId="3" applyNumberFormat="1" applyFont="1" applyAlignment="1">
      <alignment horizontal="center" wrapText="1"/>
    </xf>
    <xf numFmtId="0" fontId="19" fillId="0" borderId="0" xfId="0" applyFont="1" applyAlignment="1">
      <alignment horizontal="left" shrinkToFit="1"/>
    </xf>
    <xf numFmtId="0" fontId="3" fillId="0" borderId="0" xfId="0" applyFont="1" applyAlignment="1">
      <alignment horizontal="left" shrinkToFit="1"/>
    </xf>
    <xf numFmtId="0" fontId="9" fillId="0" borderId="5" xfId="0" applyFont="1" applyBorder="1" applyAlignment="1">
      <alignment horizontal="center" vertical="center" wrapText="1"/>
    </xf>
    <xf numFmtId="0" fontId="58" fillId="0" borderId="0" xfId="0" applyFont="1" applyAlignment="1">
      <alignment horizontal="center" vertical="center"/>
    </xf>
    <xf numFmtId="166" fontId="9" fillId="0" borderId="5" xfId="0" applyNumberFormat="1" applyFont="1" applyBorder="1" applyAlignment="1">
      <alignment horizontal="center" vertical="center" wrapText="1"/>
    </xf>
    <xf numFmtId="0" fontId="59" fillId="0" borderId="5" xfId="0" applyFont="1" applyBorder="1" applyAlignment="1">
      <alignment horizontal="center" vertical="center" wrapText="1"/>
    </xf>
    <xf numFmtId="0" fontId="9" fillId="0" borderId="5" xfId="0" applyFont="1" applyBorder="1" applyAlignment="1">
      <alignment horizontal="center"/>
    </xf>
    <xf numFmtId="0" fontId="23" fillId="0" borderId="0" xfId="0" applyFont="1" applyAlignment="1">
      <alignment horizontal="left" wrapText="1"/>
    </xf>
    <xf numFmtId="0" fontId="3" fillId="5" borderId="2" xfId="4" applyFont="1" applyFill="1" applyBorder="1" applyAlignment="1">
      <alignment horizontal="center" vertical="center" wrapText="1"/>
    </xf>
    <xf numFmtId="0" fontId="3" fillId="5" borderId="4" xfId="4" applyFont="1" applyFill="1" applyBorder="1" applyAlignment="1">
      <alignment horizontal="center" vertical="center" wrapText="1"/>
    </xf>
    <xf numFmtId="0" fontId="4" fillId="0" borderId="0" xfId="0" applyFont="1" applyAlignment="1">
      <alignment horizontal="center" vertical="center" wrapText="1"/>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58" fillId="0" borderId="0" xfId="0" applyFont="1" applyFill="1" applyAlignment="1">
      <alignment horizontal="center" vertical="center" wrapText="1"/>
    </xf>
    <xf numFmtId="0" fontId="58" fillId="0" borderId="0" xfId="0" applyFont="1" applyFill="1" applyAlignment="1">
      <alignment horizontal="center" vertical="center"/>
    </xf>
    <xf numFmtId="0" fontId="18" fillId="0" borderId="0" xfId="0" applyFont="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8" fillId="0" borderId="0" xfId="0" applyFont="1" applyAlignment="1">
      <alignment vertical="center" wrapText="1"/>
    </xf>
    <xf numFmtId="0" fontId="18" fillId="0" borderId="24" xfId="0" applyFont="1" applyBorder="1" applyAlignment="1">
      <alignment horizontal="center"/>
    </xf>
    <xf numFmtId="9" fontId="4" fillId="0" borderId="31" xfId="0" applyNumberFormat="1" applyFont="1" applyBorder="1" applyAlignment="1">
      <alignment horizontal="center" vertical="center" wrapText="1"/>
    </xf>
    <xf numFmtId="0" fontId="1" fillId="0" borderId="0" xfId="0" applyFont="1"/>
    <xf numFmtId="0" fontId="1" fillId="0" borderId="0" xfId="0" applyFont="1" applyAlignment="1">
      <alignment horizontal="center"/>
    </xf>
    <xf numFmtId="0" fontId="3" fillId="0" borderId="10" xfId="0" applyFont="1" applyBorder="1" applyAlignment="1">
      <alignment horizontal="center" vertical="center"/>
    </xf>
    <xf numFmtId="0" fontId="3" fillId="0" borderId="10" xfId="0" applyFont="1" applyBorder="1" applyAlignment="1">
      <alignment vertical="center"/>
    </xf>
    <xf numFmtId="3" fontId="3" fillId="0" borderId="10" xfId="0" applyNumberFormat="1" applyFont="1" applyBorder="1" applyAlignment="1">
      <alignment vertical="center"/>
    </xf>
    <xf numFmtId="0" fontId="1" fillId="0" borderId="8" xfId="0" applyFont="1" applyBorder="1" applyAlignment="1">
      <alignment horizontal="center" vertical="center"/>
    </xf>
    <xf numFmtId="0" fontId="1" fillId="0" borderId="8" xfId="0" applyFont="1" applyBorder="1" applyAlignment="1">
      <alignment vertical="center"/>
    </xf>
    <xf numFmtId="3" fontId="1" fillId="0" borderId="8" xfId="0" applyNumberFormat="1" applyFont="1" applyBorder="1" applyAlignment="1">
      <alignment vertical="center"/>
    </xf>
    <xf numFmtId="0" fontId="1" fillId="0" borderId="0" xfId="0" applyFont="1" applyAlignment="1">
      <alignment horizontal="center" vertical="center" wrapText="1"/>
    </xf>
    <xf numFmtId="0" fontId="1" fillId="0" borderId="8" xfId="0" applyFont="1" applyBorder="1" applyAlignment="1">
      <alignment horizontal="center"/>
    </xf>
    <xf numFmtId="0" fontId="1" fillId="0" borderId="8" xfId="0" applyFont="1" applyBorder="1" applyAlignment="1">
      <alignment shrinkToFit="1"/>
    </xf>
    <xf numFmtId="9" fontId="1" fillId="0" borderId="8" xfId="0" applyNumberFormat="1" applyFont="1" applyBorder="1" applyAlignment="1">
      <alignment horizontal="center"/>
    </xf>
    <xf numFmtId="9" fontId="1" fillId="0" borderId="31" xfId="0" applyNumberFormat="1" applyFont="1" applyBorder="1" applyAlignment="1">
      <alignment horizontal="center" vertical="center" wrapText="1"/>
    </xf>
    <xf numFmtId="9" fontId="1" fillId="0" borderId="32" xfId="0" applyNumberFormat="1" applyFont="1" applyBorder="1" applyAlignment="1">
      <alignment horizontal="center" vertical="center" wrapText="1"/>
    </xf>
    <xf numFmtId="9" fontId="1" fillId="0" borderId="33" xfId="0" applyNumberFormat="1" applyFont="1" applyBorder="1" applyAlignment="1">
      <alignment horizontal="center" vertical="center" wrapText="1"/>
    </xf>
    <xf numFmtId="9" fontId="1" fillId="0" borderId="22" xfId="0" applyNumberFormat="1" applyFont="1" applyBorder="1" applyAlignment="1">
      <alignment horizontal="center" vertical="center" wrapText="1"/>
    </xf>
    <xf numFmtId="9" fontId="1" fillId="0" borderId="0" xfId="0" applyNumberFormat="1" applyFont="1" applyBorder="1" applyAlignment="1">
      <alignment horizontal="center" vertical="center" wrapText="1"/>
    </xf>
    <xf numFmtId="9" fontId="1" fillId="0" borderId="34" xfId="0" applyNumberFormat="1" applyFont="1" applyBorder="1" applyAlignment="1">
      <alignment horizontal="center" vertical="center" wrapText="1"/>
    </xf>
    <xf numFmtId="0" fontId="1" fillId="0" borderId="8" xfId="0" applyFont="1" applyBorder="1" applyAlignment="1">
      <alignment vertical="center" shrinkToFit="1"/>
    </xf>
    <xf numFmtId="9" fontId="1" fillId="0" borderId="35" xfId="0" applyNumberFormat="1" applyFont="1" applyBorder="1" applyAlignment="1">
      <alignment horizontal="center" vertical="center" wrapText="1"/>
    </xf>
    <xf numFmtId="9" fontId="1" fillId="0" borderId="36" xfId="0" applyNumberFormat="1" applyFont="1" applyBorder="1" applyAlignment="1">
      <alignment horizontal="center" vertical="center" wrapText="1"/>
    </xf>
    <xf numFmtId="9" fontId="1" fillId="0" borderId="37" xfId="0" applyNumberFormat="1" applyFont="1" applyBorder="1" applyAlignment="1">
      <alignment horizontal="center" vertical="center" wrapText="1"/>
    </xf>
    <xf numFmtId="9" fontId="1" fillId="0" borderId="8"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0" xfId="0" applyFont="1" applyAlignment="1">
      <alignment horizontal="center" vertical="center" wrapText="1"/>
    </xf>
    <xf numFmtId="0" fontId="1" fillId="0" borderId="3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8" xfId="0" applyFont="1" applyBorder="1"/>
    <xf numFmtId="9" fontId="1" fillId="0" borderId="9" xfId="0" applyNumberFormat="1"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shrinkToFit="1"/>
    </xf>
    <xf numFmtId="9" fontId="1" fillId="0" borderId="6" xfId="0" applyNumberFormat="1" applyFont="1" applyBorder="1" applyAlignment="1">
      <alignment horizontal="center"/>
    </xf>
    <xf numFmtId="0" fontId="1" fillId="0" borderId="9" xfId="0" applyFont="1" applyBorder="1" applyAlignment="1">
      <alignment horizontal="center"/>
    </xf>
    <xf numFmtId="0" fontId="1" fillId="0" borderId="9" xfId="0" applyFont="1" applyBorder="1" applyAlignment="1">
      <alignment shrinkToFit="1"/>
    </xf>
    <xf numFmtId="0" fontId="3" fillId="0" borderId="8" xfId="4" applyFont="1" applyBorder="1" applyAlignment="1">
      <alignment horizontal="center" vertical="center" wrapText="1"/>
    </xf>
    <xf numFmtId="0" fontId="3" fillId="0" borderId="8" xfId="4" applyFont="1" applyBorder="1" applyAlignment="1">
      <alignment vertical="center" wrapText="1"/>
    </xf>
    <xf numFmtId="3" fontId="3" fillId="0" borderId="8" xfId="4" applyNumberFormat="1" applyFont="1" applyBorder="1"/>
    <xf numFmtId="0" fontId="3" fillId="0" borderId="8" xfId="4" applyFont="1" applyBorder="1" applyAlignment="1">
      <alignment horizontal="center" vertical="center" shrinkToFit="1"/>
    </xf>
    <xf numFmtId="0" fontId="3" fillId="0" borderId="8" xfId="4" applyFont="1" applyBorder="1" applyAlignment="1">
      <alignment vertical="center" shrinkToFit="1"/>
    </xf>
    <xf numFmtId="169" fontId="9" fillId="0" borderId="6" xfId="0" applyNumberFormat="1" applyFont="1" applyBorder="1" applyAlignment="1">
      <alignment shrinkToFit="1"/>
    </xf>
    <xf numFmtId="0" fontId="3" fillId="0" borderId="6" xfId="0" applyFont="1" applyBorder="1"/>
    <xf numFmtId="0" fontId="3" fillId="0" borderId="6" xfId="0" applyFont="1" applyBorder="1" applyAlignment="1">
      <alignment horizontal="center" shrinkToFit="1"/>
    </xf>
    <xf numFmtId="3" fontId="3" fillId="0" borderId="6" xfId="0" applyNumberFormat="1" applyFont="1" applyBorder="1" applyAlignment="1">
      <alignment vertical="center" shrinkToFit="1"/>
    </xf>
    <xf numFmtId="0" fontId="3" fillId="0" borderId="9" xfId="0" applyFont="1" applyBorder="1" applyAlignment="1">
      <alignment horizontal="center" vertical="center" wrapText="1"/>
    </xf>
    <xf numFmtId="0" fontId="3" fillId="0" borderId="9" xfId="0" applyFont="1" applyBorder="1" applyAlignment="1">
      <alignment vertical="center" wrapText="1"/>
    </xf>
    <xf numFmtId="0" fontId="3" fillId="0" borderId="7" xfId="0" applyFont="1" applyBorder="1" applyAlignment="1">
      <alignment vertical="center" wrapText="1"/>
    </xf>
    <xf numFmtId="3" fontId="3" fillId="0" borderId="7" xfId="0" applyNumberFormat="1" applyFont="1" applyBorder="1" applyAlignment="1">
      <alignment vertical="center" shrinkToFit="1"/>
    </xf>
    <xf numFmtId="3" fontId="3" fillId="0" borderId="6" xfId="3" applyNumberFormat="1" applyFont="1" applyBorder="1" applyAlignment="1">
      <alignment horizontal="center" vertical="center"/>
    </xf>
    <xf numFmtId="3" fontId="3" fillId="0" borderId="6" xfId="3" applyNumberFormat="1" applyFont="1" applyBorder="1" applyAlignment="1">
      <alignment vertical="center" wrapText="1"/>
    </xf>
    <xf numFmtId="3" fontId="3" fillId="0" borderId="6" xfId="3" applyNumberFormat="1" applyFont="1" applyBorder="1" applyAlignment="1">
      <alignment vertical="center"/>
    </xf>
    <xf numFmtId="3" fontId="3" fillId="0" borderId="8" xfId="3" applyNumberFormat="1" applyFont="1" applyBorder="1" applyAlignment="1">
      <alignment horizontal="center" shrinkToFit="1"/>
    </xf>
    <xf numFmtId="3" fontId="3" fillId="0" borderId="9" xfId="3" applyNumberFormat="1" applyFont="1" applyBorder="1" applyAlignment="1">
      <alignment horizontal="center" vertical="center"/>
    </xf>
    <xf numFmtId="3" fontId="3" fillId="0" borderId="9" xfId="3" applyNumberFormat="1" applyFont="1" applyBorder="1" applyAlignment="1">
      <alignment vertical="center" shrinkToFit="1"/>
    </xf>
    <xf numFmtId="3" fontId="3" fillId="0" borderId="9" xfId="3" applyNumberFormat="1" applyFont="1" applyBorder="1" applyAlignment="1">
      <alignment vertical="center"/>
    </xf>
    <xf numFmtId="3" fontId="1" fillId="0" borderId="0" xfId="0" applyNumberFormat="1" applyFont="1" applyFill="1" applyAlignment="1">
      <alignment horizontal="right"/>
    </xf>
    <xf numFmtId="3" fontId="61" fillId="0" borderId="0" xfId="0" applyNumberFormat="1" applyFont="1" applyFill="1" applyAlignment="1">
      <alignment horizontal="right"/>
    </xf>
    <xf numFmtId="3" fontId="1" fillId="0" borderId="8" xfId="0" applyNumberFormat="1" applyFont="1" applyBorder="1" applyAlignment="1">
      <alignment vertical="center" shrinkToFit="1"/>
    </xf>
    <xf numFmtId="0" fontId="62" fillId="0" borderId="8" xfId="0" applyFont="1" applyBorder="1" applyAlignment="1">
      <alignment vertical="center"/>
    </xf>
    <xf numFmtId="0" fontId="9" fillId="0" borderId="38"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40"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34" xfId="0" applyFont="1" applyFill="1" applyBorder="1" applyAlignment="1">
      <alignment horizontal="center" vertical="center" wrapText="1"/>
    </xf>
    <xf numFmtId="0" fontId="18" fillId="0" borderId="1" xfId="0" applyFont="1" applyBorder="1" applyAlignment="1">
      <alignment horizontal="right"/>
    </xf>
  </cellXfs>
  <cellStyles count="7">
    <cellStyle name="Comma" xfId="1" builtinId="3"/>
    <cellStyle name="Normal" xfId="0" builtinId="0"/>
    <cellStyle name="Normal_Bieu so 2(DPsua)" xfId="2"/>
    <cellStyle name="Normal_DU TOAN  NSNN" xfId="3"/>
    <cellStyle name="Normal_DU TOAN NGAN SACH DIA PHUONG" xfId="4"/>
    <cellStyle name="Normal_In brief" xfId="5"/>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rel="http://schemas.openxmlformats.org/package/2006/relationships" xmlns="http://schemas.openxmlformats.org/package/2006/relationships"><Relationship Target="worksheets/sheet13.xml" Type="http://schemas.openxmlformats.org/officeDocument/2006/relationships/worksheet" Id="rId13"></Relationship><Relationship Target="worksheets/sheet18.xml" Type="http://schemas.openxmlformats.org/officeDocument/2006/relationships/worksheet" Id="rId18"></Relationship><Relationship Target="worksheets/sheet26.xml" Type="http://schemas.openxmlformats.org/officeDocument/2006/relationships/worksheet" Id="rId26"></Relationship><Relationship Target="worksheets/sheet39.xml" Type="http://schemas.openxmlformats.org/officeDocument/2006/relationships/worksheet" Id="rId39"></Relationship><Relationship Target="worksheets/sheet21.xml" Type="http://schemas.openxmlformats.org/officeDocument/2006/relationships/worksheet" Id="rId21"></Relationship><Relationship Target="worksheets/sheet34.xml" Type="http://schemas.openxmlformats.org/officeDocument/2006/relationships/worksheet" Id="rId34"></Relationship><Relationship Target="externalLinks/externalLink3.xml" Type="http://schemas.openxmlformats.org/officeDocument/2006/relationships/externalLink" Id="rId42"></Relationship><Relationship Target="externalLinks/externalLink8.xml" Type="http://schemas.openxmlformats.org/officeDocument/2006/relationships/externalLink" Id="rId47"></Relationship><Relationship Target="externalLinks/externalLink11.xml" Type="http://schemas.openxmlformats.org/officeDocument/2006/relationships/externalLink" Id="rId50"></Relationship><Relationship Target="externalLinks/externalLink16.xml" Type="http://schemas.openxmlformats.org/officeDocument/2006/relationships/externalLink" Id="rId55"></Relationship><Relationship Target="sharedStrings.xml" Type="http://schemas.openxmlformats.org/officeDocument/2006/relationships/sharedStrings" Id="rId63"></Relationship><Relationship Target="worksheets/sheet7.xml" Type="http://schemas.openxmlformats.org/officeDocument/2006/relationships/worksheet" Id="rId7"></Relationship><Relationship Target="worksheets/sheet2.xml" Type="http://schemas.openxmlformats.org/officeDocument/2006/relationships/worksheet" Id="rId2"></Relationship><Relationship Target="worksheets/sheet16.xml" Type="http://schemas.openxmlformats.org/officeDocument/2006/relationships/worksheet" Id="rId16"></Relationship><Relationship Target="worksheets/sheet20.xml" Type="http://schemas.openxmlformats.org/officeDocument/2006/relationships/worksheet" Id="rId20"></Relationship><Relationship Target="worksheets/sheet29.xml" Type="http://schemas.openxmlformats.org/officeDocument/2006/relationships/worksheet" Id="rId29"></Relationship><Relationship Target="externalLinks/externalLink2.xml" Type="http://schemas.openxmlformats.org/officeDocument/2006/relationships/externalLink" Id="rId41"></Relationship><Relationship Target="externalLinks/externalLink15.xml" Type="http://schemas.openxmlformats.org/officeDocument/2006/relationships/externalLink" Id="rId54"></Relationship><Relationship Target="styles.xml" Type="http://schemas.openxmlformats.org/officeDocument/2006/relationships/styles" Id="rId6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24.xml" Type="http://schemas.openxmlformats.org/officeDocument/2006/relationships/worksheet" Id="rId24"></Relationship><Relationship Target="worksheets/sheet32.xml" Type="http://schemas.openxmlformats.org/officeDocument/2006/relationships/worksheet" Id="rId32"></Relationship><Relationship Target="worksheets/sheet37.xml" Type="http://schemas.openxmlformats.org/officeDocument/2006/relationships/worksheet" Id="rId37"></Relationship><Relationship Target="externalLinks/externalLink1.xml" Type="http://schemas.openxmlformats.org/officeDocument/2006/relationships/externalLink" Id="rId40"></Relationship><Relationship Target="externalLinks/externalLink6.xml" Type="http://schemas.openxmlformats.org/officeDocument/2006/relationships/externalLink" Id="rId45"></Relationship><Relationship Target="externalLinks/externalLink14.xml" Type="http://schemas.openxmlformats.org/officeDocument/2006/relationships/externalLink" Id="rId53"></Relationship><Relationship Target="externalLinks/externalLink19.xml" Type="http://schemas.openxmlformats.org/officeDocument/2006/relationships/externalLink" Id="rId58"></Relationship><Relationship Target="worksheets/sheet5.xml" Type="http://schemas.openxmlformats.org/officeDocument/2006/relationships/worksheet" Id="rId5"></Relationship><Relationship Target="worksheets/sheet15.xml" Type="http://schemas.openxmlformats.org/officeDocument/2006/relationships/worksheet" Id="rId15"></Relationship><Relationship Target="worksheets/sheet23.xml" Type="http://schemas.openxmlformats.org/officeDocument/2006/relationships/worksheet" Id="rId23"></Relationship><Relationship Target="worksheets/sheet28.xml" Type="http://schemas.openxmlformats.org/officeDocument/2006/relationships/worksheet" Id="rId28"></Relationship><Relationship Target="worksheets/sheet36.xml" Type="http://schemas.openxmlformats.org/officeDocument/2006/relationships/worksheet" Id="rId36"></Relationship><Relationship Target="externalLinks/externalLink10.xml" Type="http://schemas.openxmlformats.org/officeDocument/2006/relationships/externalLink" Id="rId49"></Relationship><Relationship Target="externalLinks/externalLink18.xml" Type="http://schemas.openxmlformats.org/officeDocument/2006/relationships/externalLink" Id="rId57"></Relationship><Relationship Target="theme/theme1.xml" Type="http://schemas.openxmlformats.org/officeDocument/2006/relationships/theme" Id="rId61"></Relationship><Relationship Target="worksheets/sheet10.xml" Type="http://schemas.openxmlformats.org/officeDocument/2006/relationships/worksheet" Id="rId10"></Relationship><Relationship Target="worksheets/sheet19.xml" Type="http://schemas.openxmlformats.org/officeDocument/2006/relationships/worksheet" Id="rId19"></Relationship><Relationship Target="worksheets/sheet31.xml" Type="http://schemas.openxmlformats.org/officeDocument/2006/relationships/worksheet" Id="rId31"></Relationship><Relationship Target="externalLinks/externalLink5.xml" Type="http://schemas.openxmlformats.org/officeDocument/2006/relationships/externalLink" Id="rId44"></Relationship><Relationship Target="externalLinks/externalLink13.xml" Type="http://schemas.openxmlformats.org/officeDocument/2006/relationships/externalLink" Id="rId52"></Relationship><Relationship Target="externalLinks/externalLink21.xml" Type="http://schemas.openxmlformats.org/officeDocument/2006/relationships/externalLink" Id="rId6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worksheets/sheet14.xml" Type="http://schemas.openxmlformats.org/officeDocument/2006/relationships/worksheet" Id="rId14"></Relationship><Relationship Target="worksheets/sheet22.xml" Type="http://schemas.openxmlformats.org/officeDocument/2006/relationships/worksheet" Id="rId22"></Relationship><Relationship Target="worksheets/sheet27.xml" Type="http://schemas.openxmlformats.org/officeDocument/2006/relationships/worksheet" Id="rId27"></Relationship><Relationship Target="worksheets/sheet30.xml" Type="http://schemas.openxmlformats.org/officeDocument/2006/relationships/worksheet" Id="rId30"></Relationship><Relationship Target="worksheets/sheet35.xml" Type="http://schemas.openxmlformats.org/officeDocument/2006/relationships/worksheet" Id="rId35"></Relationship><Relationship Target="externalLinks/externalLink4.xml" Type="http://schemas.openxmlformats.org/officeDocument/2006/relationships/externalLink" Id="rId43"></Relationship><Relationship Target="externalLinks/externalLink9.xml" Type="http://schemas.openxmlformats.org/officeDocument/2006/relationships/externalLink" Id="rId48"></Relationship><Relationship Target="externalLinks/externalLink17.xml" Type="http://schemas.openxmlformats.org/officeDocument/2006/relationships/externalLink" Id="rId56"></Relationship><Relationship Target="calcChain.xml" Type="http://schemas.openxmlformats.org/officeDocument/2006/relationships/calcChain" Id="rId64"></Relationship><Relationship Target="worksheets/sheet8.xml" Type="http://schemas.openxmlformats.org/officeDocument/2006/relationships/worksheet" Id="rId8"></Relationship><Relationship Target="externalLinks/externalLink12.xml" Type="http://schemas.openxmlformats.org/officeDocument/2006/relationships/externalLink" Id="rId51"></Relationship><Relationship Target="worksheets/sheet3.xml" Type="http://schemas.openxmlformats.org/officeDocument/2006/relationships/worksheet" Id="rId3"></Relationship><Relationship Target="worksheets/sheet12.xml" Type="http://schemas.openxmlformats.org/officeDocument/2006/relationships/worksheet" Id="rId12"></Relationship><Relationship Target="worksheets/sheet17.xml" Type="http://schemas.openxmlformats.org/officeDocument/2006/relationships/worksheet" Id="rId17"></Relationship><Relationship Target="worksheets/sheet25.xml" Type="http://schemas.openxmlformats.org/officeDocument/2006/relationships/worksheet" Id="rId25"></Relationship><Relationship Target="worksheets/sheet33.xml" Type="http://schemas.openxmlformats.org/officeDocument/2006/relationships/worksheet" Id="rId33"></Relationship><Relationship Target="worksheets/sheet38.xml" Type="http://schemas.openxmlformats.org/officeDocument/2006/relationships/worksheet" Id="rId38"></Relationship><Relationship Target="externalLinks/externalLink7.xml" Type="http://schemas.openxmlformats.org/officeDocument/2006/relationships/externalLink" Id="rId46"></Relationship><Relationship Target="externalLinks/externalLink20.xml" Type="http://schemas.openxmlformats.org/officeDocument/2006/relationships/externalLink" Id="rId59"></Relationship></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17</xdr:row>
      <xdr:rowOff>209550</xdr:rowOff>
    </xdr:from>
    <xdr:to>
      <xdr:col>10</xdr:col>
      <xdr:colOff>76200</xdr:colOff>
      <xdr:row>18</xdr:row>
      <xdr:rowOff>200025</xdr:rowOff>
    </xdr:to>
    <xdr:sp macro="" textlink="">
      <xdr:nvSpPr>
        <xdr:cNvPr id="5498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54990"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54991"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17</xdr:row>
      <xdr:rowOff>209550</xdr:rowOff>
    </xdr:from>
    <xdr:to>
      <xdr:col>10</xdr:col>
      <xdr:colOff>76200</xdr:colOff>
      <xdr:row>18</xdr:row>
      <xdr:rowOff>200025</xdr:rowOff>
    </xdr:to>
    <xdr:sp macro="" textlink="">
      <xdr:nvSpPr>
        <xdr:cNvPr id="80958"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8095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76200</xdr:colOff>
      <xdr:row>1</xdr:row>
      <xdr:rowOff>224518</xdr:rowOff>
    </xdr:to>
    <xdr:sp macro="" textlink="">
      <xdr:nvSpPr>
        <xdr:cNvPr id="78171" name="Text Box 1"/>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2" name="Text Box 19"/>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3" name="Text Box 27"/>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4" name="Text Box 5"/>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78175" name="Text Box 5"/>
        <xdr:cNvSpPr txBox="1">
          <a:spLocks noChangeArrowheads="1"/>
        </xdr:cNvSpPr>
      </xdr:nvSpPr>
      <xdr:spPr bwMode="auto">
        <a:xfrm>
          <a:off x="4572000" y="3800475"/>
          <a:ext cx="76200" cy="2000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7"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8"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Relationships xmlns:rel="http://schemas.openxmlformats.org/package/2006/relationships" xmlns="http://schemas.openxmlformats.org/package/2006/relationships"><Relationship TargetMode="External" Target="/Dropbox/Nam%202014/Du%20toan%20NSNN%202015/DP/Giao%20toan%20thu%20chi%20ngan%20sach%20cho%20huyen%20thi%202015.xls" Type="http://schemas.openxmlformats.org/officeDocument/2006/relationships/externalLinkPath" Id="rId1"></Relationship></Relationships>
</file>

<file path=xl/externalLinks/_rels/externalLink10.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X%20Hong%20Ngu.xls" Type="http://schemas.openxmlformats.org/officeDocument/2006/relationships/externalLinkPath" Id="rId1"></Relationship></Relationships>
</file>

<file path=xl/externalLinks/_rels/externalLink11.xml.rels><?xml version="1.0" encoding="UTF-8" ?><Relationships xmlns:rel="http://schemas.openxmlformats.org/package/2006/relationships" xmlns="http://schemas.openxmlformats.org/package/2006/relationships"><Relationship TargetMode="External" Target="/Nam%202012/CCTL%20%20theo%20ND22%20nam%202011/Bien%20ban%20tham%20dinh/Tan%20Hong.xls" Type="http://schemas.openxmlformats.org/officeDocument/2006/relationships/externalLinkPath" Id="rId1"></Relationship></Relationships>
</file>

<file path=xl/externalLinks/_rels/externalLink12.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am%20Nong.xls" Type="http://schemas.openxmlformats.org/officeDocument/2006/relationships/externalLinkPath" Id="rId1"></Relationship></Relationships>
</file>

<file path=xl/externalLinks/_rels/externalLink13.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hanh%20Binh%20sau.xls" Type="http://schemas.openxmlformats.org/officeDocument/2006/relationships/externalLinkPath" Id="rId1"></Relationship></Relationships>
</file>

<file path=xl/externalLinks/_rels/externalLink14.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P%20Cao%20Lanh.xls" Type="http://schemas.openxmlformats.org/officeDocument/2006/relationships/externalLinkPath" Id="rId1"></Relationship></Relationships>
</file>

<file path=xl/externalLinks/_rels/externalLink15.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H.%20Cao%20Lanh.xls" Type="http://schemas.openxmlformats.org/officeDocument/2006/relationships/externalLinkPath" Id="rId1"></Relationship></Relationships>
</file>

<file path=xl/externalLinks/_rels/externalLink16.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hap%20Muoi.xls" Type="http://schemas.openxmlformats.org/officeDocument/2006/relationships/externalLinkPath" Id="rId1"></Relationship></Relationships>
</file>

<file path=xl/externalLinks/_rels/externalLink17.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Lap%20Vo.xls" Type="http://schemas.openxmlformats.org/officeDocument/2006/relationships/externalLinkPath" Id="rId1"></Relationship></Relationships>
</file>

<file path=xl/externalLinks/_rels/externalLink18.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Lai%20Vung.xls" Type="http://schemas.openxmlformats.org/officeDocument/2006/relationships/externalLinkPath" Id="rId1"></Relationship></Relationships>
</file>

<file path=xl/externalLinks/_rels/externalLink19.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TX%20Sa%20Dec.xls" Type="http://schemas.openxmlformats.org/officeDocument/2006/relationships/externalLinkPath" Id="rId1"></Relationship></Relationships>
</file>

<file path=xl/externalLinks/_rels/externalLink2.xml.rels><?xml version="1.0" encoding="UTF-8" ?><Relationships xmlns:rel="http://schemas.openxmlformats.org/package/2006/relationships" xmlns="http://schemas.openxmlformats.org/package/2006/relationships"><Relationship TargetMode="External" Target="/Nam%202010/UBND%20Tinh/Du%20toan%202011/Ngay%2026-11-2010/Uth%20thu-chi%202010-%20dt%202011%20ngay%2026-11-2010.xls" Type="http://schemas.openxmlformats.org/officeDocument/2006/relationships/externalLinkPath" Id="rId1"></Relationship></Relationships>
</file>

<file path=xl/externalLinks/_rels/externalLink20.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Chau%20Thanh.xls" Type="http://schemas.openxmlformats.org/officeDocument/2006/relationships/externalLinkPath" Id="rId1"></Relationship></Relationships>
</file>

<file path=xl/externalLinks/_rels/externalLink21.xml.rels><?xml version="1.0" encoding="UTF-8" ?><Relationships xmlns:rel="http://schemas.openxmlformats.org/package/2006/relationships" xmlns="http://schemas.openxmlformats.org/package/2006/relationships"><Relationship TargetMode="External" Target="/Nam%202010/Dinh%20muc%20chi%20TX%202011-2015/Dong%20Thap/Du%20toan%20chi%20thuong%20xuyen%20cua%20NSH%20nam%202011.xls" Type="http://schemas.openxmlformats.org/officeDocument/2006/relationships/externalLinkPath" Id="rId1"></Relationship></Relationships>
</file>

<file path=xl/externalLinks/_rels/externalLink3.xml.rels><?xml version="1.0" encoding="UTF-8" ?><Relationships xmlns:rel="http://schemas.openxmlformats.org/package/2006/relationships" xmlns="http://schemas.openxmlformats.org/package/2006/relationships"><Relationship TargetMode="External" Target="/Nam%202013/Du%20toan%20NSNN%202014/DP/Uth%20thu-chi%202013-%20dt%202014-DP.xls" Type="http://schemas.openxmlformats.org/officeDocument/2006/relationships/externalLinkPath" Id="rId1"></Relationship></Relationships>
</file>

<file path=xl/externalLinks/_rels/externalLink4.xml.rels><?xml version="1.0" encoding="UTF-8" ?><Relationships xmlns:rel="http://schemas.openxmlformats.org/package/2006/relationships" xmlns="http://schemas.openxmlformats.org/package/2006/relationships"><Relationship TargetMode="External" Target="/Nam%202012/Du%20Toan%20NSNN%202013/BTC/UTH%202012-%20Du%20toan%202013%20vong%201-BTC.xls" Type="http://schemas.openxmlformats.org/officeDocument/2006/relationships/externalLinkPath" Id="rId1"></Relationship></Relationships>
</file>

<file path=xl/externalLinks/_rels/externalLink5.xml.rels><?xml version="1.0" encoding="UTF-8" ?><Relationships xmlns:rel="http://schemas.openxmlformats.org/package/2006/relationships" xmlns="http://schemas.openxmlformats.org/package/2006/relationships"><Relationship TargetMode="External" Target="/Nam%202010/Dinh%20muc%20chi%20TX%202011-2015/Dong%20Thap/Uth%20thu-chi%202010-%20dt%202011-phu%20luc%201-2-3-4-5-6-7-8-9-10.xls" Type="http://schemas.openxmlformats.org/officeDocument/2006/relationships/externalLinkPath" Id="rId1"></Relationship></Relationships>
</file>

<file path=xl/externalLinks/_rels/externalLink6.xml.rels><?xml version="1.0" encoding="UTF-8" ?><Relationships xmlns:rel="http://schemas.openxmlformats.org/package/2006/relationships" xmlns="http://schemas.openxmlformats.org/package/2006/relationships"><Relationship TargetMode="External" Target="/Nam%202009/UBND%20Tinh/Du%20toan%20NSNN%202010/DP/HDND_UBND/DU%20TOAN%20NSNN%202010-HDND.xls" Type="http://schemas.openxmlformats.org/officeDocument/2006/relationships/externalLinkPath" Id="rId1"></Relationship></Relationships>
</file>

<file path=xl/externalLinks/_rels/externalLink7.xml.rels><?xml version="1.0" encoding="UTF-8" ?><Relationships xmlns:rel="http://schemas.openxmlformats.org/package/2006/relationships" xmlns="http://schemas.openxmlformats.org/package/2006/relationships"><Relationship TargetMode="External" Target="/Nam%202007/Bangtinh/DT2008-DP%204-10-2007/Uth%20thu-chi%202007-%20dt%202008.xls" Type="http://schemas.openxmlformats.org/officeDocument/2006/relationships/externalLinkPath" Id="rId1"></Relationship></Relationships>
</file>

<file path=xl/externalLinks/_rels/externalLink8.xml.rels><?xml version="1.0" encoding="UTF-8" ?><Relationships xmlns:rel="http://schemas.openxmlformats.org/package/2006/relationships" xmlns="http://schemas.openxmlformats.org/package/2006/relationships"><Relationship TargetMode="External" Target="/Nam%202011/Du%20toan%20NSNN%202012/DP/Nam%202012/CCTL%20%20theo%20ND22%20nam%202011/Tong%20hop%20bien%20che%20toan%20tinh%20nam%202011.xls" Type="http://schemas.openxmlformats.org/officeDocument/2006/relationships/externalLinkPath" Id="rId1"></Relationship></Relationships>
</file>

<file path=xl/externalLinks/_rels/externalLink9.xml.rels><?xml version="1.0" encoding="UTF-8" ?><Relationships xmlns:rel="http://schemas.openxmlformats.org/package/2006/relationships" xmlns="http://schemas.openxmlformats.org/package/2006/relationships"><Relationship TargetMode="External" Target="/Nam%202011/Du%20toan%20NSNN%202012/DP/Nam%202012/CCTL%20%20theo%20ND22%20nam%202011/Bien%20ban%20tham%20dinh/Hong%20Ngu.xls" Type="http://schemas.openxmlformats.org/officeDocument/2006/relationships/externalLinkPath" Id="rId1"></Relationship></Relationships>
</file>

<file path=xl/externalLinks/externalLink1.xml><?xml version="1.0" encoding="utf-8"?>
<externalLink xmlns="http://schemas.openxmlformats.org/spreadsheetml/2006/main">
  <externalBook xmlns:r="http://schemas.openxmlformats.org/officeDocument/2006/relationships" r:id="rId1">
    <sheetNames>
      <sheetName val="TỔNG HỢP"/>
      <sheetName val="HỒNG NGỰ "/>
      <sheetName val="TX.HỒNG NGỰ"/>
      <sheetName val="TÂN HỒNG"/>
      <sheetName val="TAM NÔNG"/>
      <sheetName val="THANH BÌNH"/>
      <sheetName val="TP CAO LÃNH"/>
      <sheetName val="H. CAO LÃNH"/>
      <sheetName val="THÁP MƯỜI"/>
      <sheetName val="LẤP VÒ"/>
      <sheetName val="LAI VUNG"/>
      <sheetName val="TP SA ĐÉC"/>
      <sheetName val="CHÂU THÀNH"/>
    </sheetNames>
    <sheetDataSet>
      <sheetData sheetId="0"/>
      <sheetData sheetId="1">
        <row r="97">
          <cell r="B97">
            <v>0</v>
          </cell>
        </row>
        <row r="100">
          <cell r="B100">
            <v>4000</v>
          </cell>
        </row>
      </sheetData>
      <sheetData sheetId="2">
        <row r="97">
          <cell r="B97">
            <v>0</v>
          </cell>
        </row>
        <row r="100">
          <cell r="B100">
            <v>19900</v>
          </cell>
        </row>
      </sheetData>
      <sheetData sheetId="3">
        <row r="97">
          <cell r="B97">
            <v>0</v>
          </cell>
        </row>
        <row r="100">
          <cell r="B100">
            <v>7800</v>
          </cell>
        </row>
      </sheetData>
      <sheetData sheetId="4">
        <row r="97">
          <cell r="B97">
            <v>0</v>
          </cell>
        </row>
        <row r="100">
          <cell r="B100">
            <v>21890</v>
          </cell>
        </row>
      </sheetData>
      <sheetData sheetId="5">
        <row r="97">
          <cell r="B97">
            <v>0</v>
          </cell>
        </row>
        <row r="100">
          <cell r="B100">
            <v>6500</v>
          </cell>
        </row>
      </sheetData>
      <sheetData sheetId="6">
        <row r="97">
          <cell r="B97">
            <v>0</v>
          </cell>
        </row>
        <row r="100">
          <cell r="B100">
            <v>7200</v>
          </cell>
        </row>
      </sheetData>
      <sheetData sheetId="7">
        <row r="97">
          <cell r="B97">
            <v>0</v>
          </cell>
        </row>
        <row r="100">
          <cell r="B100">
            <v>24800</v>
          </cell>
        </row>
      </sheetData>
      <sheetData sheetId="8">
        <row r="97">
          <cell r="B97">
            <v>0</v>
          </cell>
        </row>
        <row r="100">
          <cell r="B100">
            <v>10800</v>
          </cell>
        </row>
      </sheetData>
      <sheetData sheetId="9">
        <row r="97">
          <cell r="B97">
            <v>0</v>
          </cell>
        </row>
        <row r="100">
          <cell r="B100">
            <v>19000</v>
          </cell>
        </row>
      </sheetData>
      <sheetData sheetId="10">
        <row r="97">
          <cell r="B97">
            <v>0</v>
          </cell>
        </row>
        <row r="100">
          <cell r="B100">
            <v>26300</v>
          </cell>
        </row>
      </sheetData>
      <sheetData sheetId="11">
        <row r="97">
          <cell r="B97">
            <v>0</v>
          </cell>
        </row>
        <row r="100">
          <cell r="B100">
            <v>2500</v>
          </cell>
        </row>
      </sheetData>
      <sheetData sheetId="12">
        <row r="97">
          <cell r="B97">
            <v>0</v>
          </cell>
        </row>
        <row r="100">
          <cell r="B100">
            <v>27000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3222.9496276923073</v>
          </cell>
        </row>
      </sheetData>
      <sheetData sheetId="2"/>
      <sheetData sheetId="3"/>
      <sheetData sheetId="4"/>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
      <sheetName val="Sheet10"/>
    </sheetNames>
    <sheetDataSet>
      <sheetData sheetId="0" refreshError="1"/>
      <sheetData sheetId="1" refreshError="1">
        <row r="12">
          <cell r="E12">
            <v>5212.9138000000003</v>
          </cell>
        </row>
      </sheetData>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L1"/>
      <sheetName val="PL2"/>
      <sheetName val="PL3"/>
      <sheetName val="Sheet10"/>
    </sheetNames>
    <sheetDataSet>
      <sheetData sheetId="0"/>
      <sheetData sheetId="1">
        <row r="12">
          <cell r="E12">
            <v>4601.4765000000007</v>
          </cell>
        </row>
      </sheetData>
      <sheetData sheetId="2"/>
      <sheetData sheetId="3"/>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6585.1248999999998</v>
          </cell>
        </row>
      </sheetData>
      <sheetData sheetId="2"/>
      <sheetData sheetId="3"/>
      <sheetData sheetId="4"/>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6243.1586329999991</v>
          </cell>
        </row>
      </sheetData>
      <sheetData sheetId="2"/>
      <sheetData sheetId="3"/>
      <sheetData sheetId="4"/>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7751.22163946</v>
          </cell>
        </row>
      </sheetData>
      <sheetData sheetId="2"/>
      <sheetData sheetId="3"/>
      <sheetData sheetId="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6792.0674953900098</v>
          </cell>
        </row>
      </sheetData>
      <sheetData sheetId="2"/>
      <sheetData sheetId="3"/>
      <sheetData sheetId="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7370.8468199999998</v>
          </cell>
        </row>
      </sheetData>
      <sheetData sheetId="2"/>
      <sheetData sheetId="3"/>
      <sheetData sheetId="4"/>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6347.48189</v>
          </cell>
        </row>
      </sheetData>
      <sheetData sheetId="2"/>
      <sheetData sheetId="3"/>
      <sheetData sheetId="4"/>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3617.1070872307696</v>
          </cell>
        </row>
      </sheetData>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hụ lục số 1"/>
      <sheetName val="Phụ lục số 2"/>
      <sheetName val="Phụ lục số 3"/>
      <sheetName val="Phụ lục số 4"/>
      <sheetName val="Phụ lục số 5"/>
      <sheetName val="Phụ lục số 6"/>
      <sheetName val="Phụ lục số 8"/>
      <sheetName val="Phụ lục số 7"/>
      <sheetName val="Phụ lục số 9"/>
      <sheetName val="Phụ lục số 10"/>
      <sheetName val="Phụ lục số 1- HĐND"/>
      <sheetName val="Phụ lục số 2- HĐND"/>
      <sheetName val="Phụ lục số 3- HĐND"/>
      <sheetName val="Phụ lục số 4- HĐND"/>
      <sheetName val="TLTT 8 tháng"/>
      <sheetName val="Phụ lục số xxx"/>
    </sheetNames>
    <sheetDataSet>
      <sheetData sheetId="0" refreshError="1"/>
      <sheetData sheetId="1" refreshError="1"/>
      <sheetData sheetId="2" refreshError="1"/>
      <sheetData sheetId="3" refreshError="1"/>
      <sheetData sheetId="4" refreshError="1"/>
      <sheetData sheetId="5" refreshError="1">
        <row r="23">
          <cell r="H23">
            <v>5330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5607.1582838788863</v>
          </cell>
        </row>
      </sheetData>
      <sheetData sheetId="2"/>
      <sheetData sheetId="3"/>
      <sheetData sheetId="4"/>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UTH Thu 2010- Du toan Thu 2011"/>
      <sheetName val="Thu NSH nam 2011"/>
      <sheetName val="Chi NSH 2011"/>
      <sheetName val="Cân đối thu-chi NSH 2011"/>
      <sheetName val="Chi TX NS huyện 2011"/>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ị xã Sa Đéc"/>
      <sheetName val="Châu Thành"/>
    </sheetNames>
    <sheetDataSet>
      <sheetData sheetId="0"/>
      <sheetData sheetId="1"/>
      <sheetData sheetId="2"/>
      <sheetData sheetId="3"/>
      <sheetData sheetId="4"/>
      <sheetData sheetId="5"/>
      <sheetData sheetId="6">
        <row r="9">
          <cell r="G9">
            <v>93430</v>
          </cell>
        </row>
      </sheetData>
      <sheetData sheetId="7">
        <row r="9">
          <cell r="G9">
            <v>47530</v>
          </cell>
        </row>
      </sheetData>
      <sheetData sheetId="8">
        <row r="9">
          <cell r="G9">
            <v>81000</v>
          </cell>
        </row>
      </sheetData>
      <sheetData sheetId="9">
        <row r="9">
          <cell r="G9">
            <v>71290</v>
          </cell>
        </row>
        <row r="40">
          <cell r="G40">
            <v>1170</v>
          </cell>
        </row>
      </sheetData>
      <sheetData sheetId="10">
        <row r="9">
          <cell r="G9">
            <v>99710</v>
          </cell>
        </row>
      </sheetData>
      <sheetData sheetId="11">
        <row r="9">
          <cell r="G9">
            <v>98480</v>
          </cell>
        </row>
      </sheetData>
      <sheetData sheetId="12">
        <row r="9">
          <cell r="G9">
            <v>124200</v>
          </cell>
        </row>
      </sheetData>
      <sheetData sheetId="13">
        <row r="9">
          <cell r="G9">
            <v>97960</v>
          </cell>
        </row>
      </sheetData>
      <sheetData sheetId="14">
        <row r="9">
          <cell r="G9">
            <v>110320</v>
          </cell>
        </row>
      </sheetData>
      <sheetData sheetId="15">
        <row r="9">
          <cell r="G9">
            <v>95420</v>
          </cell>
        </row>
      </sheetData>
      <sheetData sheetId="16">
        <row r="9">
          <cell r="G9">
            <v>58630</v>
          </cell>
        </row>
      </sheetData>
      <sheetData sheetId="17">
        <row r="9">
          <cell r="G9">
            <v>85900</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hụ lục số 1"/>
      <sheetName val="Phụ lục số 2"/>
      <sheetName val="Phụ lục số 3_2"/>
      <sheetName val="Phụ lục số 4"/>
      <sheetName val="Phụ lục số 3"/>
      <sheetName val="Phụ lục số 5"/>
      <sheetName val="Phụ lục số 6"/>
      <sheetName val="Phụ lục số 7"/>
      <sheetName val="Phụ lục số 8"/>
      <sheetName val="Thu NSH"/>
      <sheetName val="Chi NSH"/>
      <sheetName val="TLTT nam 2014-huyen"/>
      <sheetName val="10% tiết kiệm tăng thêm 2013"/>
      <sheetName val="Phụ lục số 1- HĐND"/>
      <sheetName val="Bố trí"/>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SNGD"/>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Thu NSH 2012-2013"/>
      <sheetName val="TLTT 8 tháng"/>
      <sheetName val="Phụ lục số xxx"/>
    </sheetNames>
    <sheetDataSet>
      <sheetData sheetId="0"/>
      <sheetData sheetId="1"/>
      <sheetData sheetId="2"/>
      <sheetData sheetId="3"/>
      <sheetData sheetId="4"/>
      <sheetData sheetId="5"/>
      <sheetData sheetId="6"/>
      <sheetData sheetId="7"/>
      <sheetData sheetId="8"/>
      <sheetData sheetId="9"/>
      <sheetData sheetId="10"/>
      <sheetData sheetId="11">
        <row r="19">
          <cell r="C19">
            <v>1058315</v>
          </cell>
          <cell r="D19">
            <v>92240</v>
          </cell>
          <cell r="E19">
            <v>55010</v>
          </cell>
          <cell r="F19">
            <v>80720</v>
          </cell>
          <cell r="G19">
            <v>72395</v>
          </cell>
          <cell r="H19">
            <v>93440</v>
          </cell>
          <cell r="I19">
            <v>95690</v>
          </cell>
          <cell r="J19">
            <v>118365</v>
          </cell>
          <cell r="K19">
            <v>95540</v>
          </cell>
          <cell r="L19">
            <v>111120</v>
          </cell>
          <cell r="M19">
            <v>92000</v>
          </cell>
          <cell r="N19">
            <v>59150</v>
          </cell>
          <cell r="O19">
            <v>92645</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hụ lục số x"/>
      <sheetName val="Biểu số 1"/>
      <sheetName val="Phụ lục số x (2)"/>
      <sheetName val="Phụ lục số 1"/>
      <sheetName val="Phụ lục số 2"/>
      <sheetName val="CS, che do 2012-2013"/>
      <sheetName val="TLTT-2012-2013"/>
      <sheetName val="PL6_BS 02"/>
      <sheetName val="Phụ lục số 4"/>
      <sheetName val="Ngân sách cấp TLTT cả năm 2011"/>
      <sheetName val="Phụ lục 5"/>
      <sheetName val="PL6_BS 03"/>
      <sheetName val="PL6_BS 23"/>
      <sheetName val="Vay no, DTTC"/>
      <sheetName val="KT-XH"/>
      <sheetName val="XSKT"/>
      <sheetName val="TLTT NĐ 22-2011"/>
      <sheetName val="ASXH 2010-2011"/>
      <sheetName val="TLTT NĐ 166 33-2009"/>
      <sheetName val="Phụ lục số 1 (2)"/>
      <sheetName val="26"/>
      <sheetName val="Von dau tu"/>
      <sheetName val="Phụ lục số 2- tính TLTT cả năm"/>
      <sheetName val="Thuyết minh BS khác năm 2012"/>
      <sheetName val="Nhu cầu TLTT NĐ 22-8 tháng"/>
      <sheetName val="Ngân sách cấp TLTT 8 tháng"/>
      <sheetName val="Nhu cầu TLTT NĐ 22 năm 2011"/>
      <sheetName val="ASXH 2010-2011 (2)"/>
      <sheetName val="Phụ lục số 1 (3)"/>
      <sheetName val="ASXH 2012-2013"/>
    </sheetNames>
    <sheetDataSet>
      <sheetData sheetId="0">
        <row r="8">
          <cell r="D8">
            <v>3400000</v>
          </cell>
          <cell r="I8">
            <v>3488000</v>
          </cell>
        </row>
      </sheetData>
      <sheetData sheetId="1"/>
      <sheetData sheetId="2"/>
      <sheetData sheetId="3"/>
      <sheetData sheetId="4">
        <row r="14">
          <cell r="E14">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hụ lục số 1"/>
      <sheetName val="Phụ lục số 3"/>
      <sheetName val="Phụ lục số 2a"/>
      <sheetName val="Phụ lục số 2b"/>
      <sheetName val="Phụ lục số 2a- không có TLTT"/>
      <sheetName val="Phụ lục số 4"/>
      <sheetName val="Phụ lục số 5"/>
      <sheetName val="Phụ lục số 6"/>
      <sheetName val="Phụ lục số 7"/>
      <sheetName val="Phụ lục số 8"/>
      <sheetName val="Phụ lục số 9"/>
      <sheetName val="Phụ lục số 10"/>
      <sheetName val="Phụ lục huy động vốn đầu tư"/>
      <sheetName val="Nguồn và nhu cầu TLTT 2010"/>
      <sheetName val="TLTT nam 2010 cua huyen"/>
      <sheetName val="SNGD-ĐT 2009"/>
      <sheetName val="Sheet2"/>
      <sheetName val="Thu NSH 2009"/>
      <sheetName val="Chi NSH 2009"/>
      <sheetName val="CĐ NSH 2009"/>
      <sheetName val="NC 166-2008"/>
      <sheetName val="Sheet1"/>
      <sheetName val="Tiết kiệm 10% tăng thêm 2010"/>
    </sheetNames>
    <sheetDataSet>
      <sheetData sheetId="0">
        <row r="56">
          <cell r="C56">
            <v>658310</v>
          </cell>
          <cell r="N56">
            <v>1086030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hụ lục số 1-HĐND"/>
      <sheetName val="Phụ lục số 2-HĐND"/>
      <sheetName val="Phụ lục số 3-HĐND"/>
      <sheetName val="Phụ lục số 4-HĐND"/>
    </sheetNames>
    <sheetDataSet>
      <sheetData sheetId="0">
        <row r="15">
          <cell r="C15">
            <v>528905</v>
          </cell>
        </row>
        <row r="16">
          <cell r="C16">
            <v>1633485</v>
          </cell>
        </row>
        <row r="21">
          <cell r="C21">
            <v>138267</v>
          </cell>
        </row>
      </sheetData>
      <sheetData sheetId="1">
        <row r="10">
          <cell r="C10">
            <v>22545</v>
          </cell>
        </row>
        <row r="11">
          <cell r="C11">
            <v>1092205</v>
          </cell>
        </row>
        <row r="15">
          <cell r="C15">
            <v>37422</v>
          </cell>
        </row>
      </sheetData>
      <sheetData sheetId="2"/>
      <sheetData sheetId="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hu NSNN"/>
      <sheetName val="Cân đối"/>
      <sheetName val="Chi NSĐP"/>
      <sheetName val="Thu NSH năm 2008"/>
      <sheetName val="Chi NSH năm 2008"/>
      <sheetName val="CĐNS huyện 2008"/>
      <sheetName val="KH cấp phát bổ sung năm 2007"/>
      <sheetName val="Nhu cầu NĐ 94"/>
      <sheetName val="Cân đối (2)"/>
      <sheetName val="Sheet3"/>
      <sheetName val="Cân đối NSĐP"/>
      <sheetName val="Cân đối NS cấp Tỉnh"/>
      <sheetName val="Cân đối NS huyện"/>
      <sheetName val="Sheet1"/>
      <sheetName val="Sheet2"/>
      <sheetName val="Nhu cầu TLTT của huyện (2)"/>
      <sheetName val="CCTL năm 2008 của huyện"/>
      <sheetName val="Cân đối (3)"/>
      <sheetName val="SNGDĐT năm 2008"/>
      <sheetName val="Nhu cầu TLTT của huyện"/>
      <sheetName val="CCTL năm 2008 của huyện (2)"/>
      <sheetName val="SNGDĐT năm 2008 (2)"/>
      <sheetName val="CCTL năm 2008 của huyện (3)"/>
      <sheetName val="Nhu cầu TLTT của huyện (3)"/>
    </sheetNames>
    <sheetDataSet>
      <sheetData sheetId="0"/>
      <sheetData sheetId="1"/>
      <sheetData sheetId="2">
        <row r="11">
          <cell r="O11">
            <v>1320490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ien che"/>
      <sheetName val="Chenh lech"/>
      <sheetName val="NCTT"/>
    </sheetNames>
    <sheetDataSet>
      <sheetData sheetId="0">
        <row r="11">
          <cell r="AH11">
            <v>1425</v>
          </cell>
          <cell r="AP11">
            <v>858</v>
          </cell>
          <cell r="AX11">
            <v>1284</v>
          </cell>
          <cell r="BF11">
            <v>1317</v>
          </cell>
          <cell r="BN11">
            <v>1746</v>
          </cell>
          <cell r="BV11">
            <v>1641</v>
          </cell>
          <cell r="CD11">
            <v>2136</v>
          </cell>
          <cell r="CL11">
            <v>1995</v>
          </cell>
          <cell r="CT11">
            <v>1837</v>
          </cell>
          <cell r="DB11">
            <v>1683</v>
          </cell>
          <cell r="DJ11">
            <v>971</v>
          </cell>
          <cell r="DR11">
            <v>1512</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6178.2529238699999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rel="http://schemas.openxmlformats.org/package/2006/relationships" xmlns="http://schemas.openxmlformats.org/package/2006/relationships"><Relationship Target="../comments1.xml" Type="http://schemas.openxmlformats.org/officeDocument/2006/relationships/comments" Id="rId3"></Relationship><Relationship Target="../drawings/vmlDrawing1.vml" Type="http://schemas.openxmlformats.org/officeDocument/2006/relationships/vmlDrawing" Id="rId2"></Relationship><Relationship Target="../printerSettings/printerSettings1.bin" Type="http://schemas.openxmlformats.org/officeDocument/2006/relationships/printerSettings" Id="rId1"></Relationship></Relationships>
</file>

<file path=xl/worksheets/_rels/sheet10.xml.rels><?xml version="1.0" encoding="UTF-8" ?><Relationships xmlns:rel="http://schemas.openxmlformats.org/package/2006/relationships" xmlns="http://schemas.openxmlformats.org/package/2006/relationships"><Relationship Target="../comments9.xml" Type="http://schemas.openxmlformats.org/officeDocument/2006/relationships/comments" Id="rId3"></Relationship><Relationship Target="../drawings/vmlDrawing9.vml" Type="http://schemas.openxmlformats.org/officeDocument/2006/relationships/vmlDrawing" Id="rId2"></Relationship><Relationship Target="../printerSettings/printerSettings10.bin" Type="http://schemas.openxmlformats.org/officeDocument/2006/relationships/printerSettings" Id="rId1"></Relationship></Relationships>
</file>

<file path=xl/worksheets/_rels/sheet11.xml.rels><?xml version="1.0" encoding="UTF-8" ?><Relationships xmlns:rel="http://schemas.openxmlformats.org/package/2006/relationships" xmlns="http://schemas.openxmlformats.org/package/2006/relationships"><Relationship Target="../printerSettings/printerSettings11.bin" Type="http://schemas.openxmlformats.org/officeDocument/2006/relationships/printerSettings" Id="rId1"></Relationship></Relationships>
</file>

<file path=xl/worksheets/_rels/sheet12.xml.rels><?xml version="1.0" encoding="UTF-8" ?><Relationships xmlns:rel="http://schemas.openxmlformats.org/package/2006/relationships" xmlns="http://schemas.openxmlformats.org/package/2006/relationships"><Relationship Target="../comments10.xml" Type="http://schemas.openxmlformats.org/officeDocument/2006/relationships/comments" Id="rId3"></Relationship><Relationship Target="../drawings/vmlDrawing10.vml" Type="http://schemas.openxmlformats.org/officeDocument/2006/relationships/vmlDrawing" Id="rId2"></Relationship><Relationship Target="../printerSettings/printerSettings12.bin" Type="http://schemas.openxmlformats.org/officeDocument/2006/relationships/printerSettings" Id="rId1"></Relationship></Relationships>
</file>

<file path=xl/worksheets/_rels/sheet13.xml.rels><?xml version="1.0" encoding="UTF-8" ?><Relationships xmlns:rel="http://schemas.openxmlformats.org/package/2006/relationships" xmlns="http://schemas.openxmlformats.org/package/2006/relationships"><Relationship Target="../printerSettings/printerSettings13.bin" Type="http://schemas.openxmlformats.org/officeDocument/2006/relationships/printerSettings" Id="rId1"></Relationship></Relationships>
</file>

<file path=xl/worksheets/_rels/sheet14.xml.rels><?xml version="1.0" encoding="UTF-8" ?><Relationships xmlns:rel="http://schemas.openxmlformats.org/package/2006/relationships" xmlns="http://schemas.openxmlformats.org/package/2006/relationships"><Relationship Target="../printerSettings/printerSettings14.bin" Type="http://schemas.openxmlformats.org/officeDocument/2006/relationships/printerSettings" Id="rId1"></Relationship></Relationships>
</file>

<file path=xl/worksheets/_rels/sheet15.xml.rels><?xml version="1.0" encoding="UTF-8" ?><Relationships xmlns:rel="http://schemas.openxmlformats.org/package/2006/relationships" xmlns="http://schemas.openxmlformats.org/package/2006/relationships"><Relationship Target="../printerSettings/printerSettings15.bin" Type="http://schemas.openxmlformats.org/officeDocument/2006/relationships/printerSettings" Id="rId1"></Relationship></Relationships>
</file>

<file path=xl/worksheets/_rels/sheet16.xml.rels><?xml version="1.0" encoding="UTF-8" ?><Relationships xmlns:rel="http://schemas.openxmlformats.org/package/2006/relationships" xmlns="http://schemas.openxmlformats.org/package/2006/relationships"><Relationship Target="../printerSettings/printerSettings16.bin" Type="http://schemas.openxmlformats.org/officeDocument/2006/relationships/printerSettings" Id="rId1"></Relationship></Relationships>
</file>

<file path=xl/worksheets/_rels/sheet17.xml.rels><?xml version="1.0" encoding="UTF-8" ?><Relationships xmlns:rel="http://schemas.openxmlformats.org/package/2006/relationships" xmlns="http://schemas.openxmlformats.org/package/2006/relationships"><Relationship Target="../printerSettings/printerSettings17.bin" Type="http://schemas.openxmlformats.org/officeDocument/2006/relationships/printerSettings" Id="rId1"></Relationship></Relationships>
</file>

<file path=xl/worksheets/_rels/sheet18.xml.rels><?xml version="1.0" encoding="UTF-8" ?><Relationships xmlns:rel="http://schemas.openxmlformats.org/package/2006/relationships" xmlns="http://schemas.openxmlformats.org/package/2006/relationships"><Relationship Target="../comments11.xml" Type="http://schemas.openxmlformats.org/officeDocument/2006/relationships/comments" Id="rId3"></Relationship><Relationship Target="../drawings/vmlDrawing11.vml" Type="http://schemas.openxmlformats.org/officeDocument/2006/relationships/vmlDrawing" Id="rId2"></Relationship><Relationship Target="../printerSettings/printerSettings18.bin" Type="http://schemas.openxmlformats.org/officeDocument/2006/relationships/printerSettings" Id="rId1"></Relationship></Relationships>
</file>

<file path=xl/worksheets/_rels/sheet19.xml.rels><?xml version="1.0" encoding="UTF-8" ?><Relationships xmlns:rel="http://schemas.openxmlformats.org/package/2006/relationships" xmlns="http://schemas.openxmlformats.org/package/2006/relationships"><Relationship Target="../printerSettings/printerSettings19.bin" Type="http://schemas.openxmlformats.org/officeDocument/2006/relationships/printerSettings" Id="rId1"></Relationship></Relationships>
</file>

<file path=xl/worksheets/_rels/sheet2.xml.rels><?xml version="1.0" encoding="UTF-8" ?><Relationships xmlns:rel="http://schemas.openxmlformats.org/package/2006/relationships" xmlns="http://schemas.openxmlformats.org/package/2006/relationships"><Relationship Target="../comments2.xml" Type="http://schemas.openxmlformats.org/officeDocument/2006/relationships/comments" Id="rId3"></Relationship><Relationship Target="../drawings/vmlDrawing2.vml" Type="http://schemas.openxmlformats.org/officeDocument/2006/relationships/vmlDrawing" Id="rId2"></Relationship><Relationship Target="../printerSettings/printerSettings2.bin" Type="http://schemas.openxmlformats.org/officeDocument/2006/relationships/printerSettings" Id="rId1"></Relationship></Relationships>
</file>

<file path=xl/worksheets/_rels/sheet20.xml.rels><?xml version="1.0" encoding="UTF-8" ?><Relationships xmlns:rel="http://schemas.openxmlformats.org/package/2006/relationships" xmlns="http://schemas.openxmlformats.org/package/2006/relationships"><Relationship Target="../comments12.xml" Type="http://schemas.openxmlformats.org/officeDocument/2006/relationships/comments" Id="rId3"></Relationship><Relationship Target="../drawings/vmlDrawing12.vml" Type="http://schemas.openxmlformats.org/officeDocument/2006/relationships/vmlDrawing" Id="rId2"></Relationship><Relationship Target="../printerSettings/printerSettings20.bin" Type="http://schemas.openxmlformats.org/officeDocument/2006/relationships/printerSettings" Id="rId1"></Relationship></Relationships>
</file>

<file path=xl/worksheets/_rels/sheet21.xml.rels><?xml version="1.0" encoding="UTF-8" ?><Relationships xmlns:rel="http://schemas.openxmlformats.org/package/2006/relationships" xmlns="http://schemas.openxmlformats.org/package/2006/relationships"><Relationship Target="../comments13.xml" Type="http://schemas.openxmlformats.org/officeDocument/2006/relationships/comments" Id="rId3"></Relationship><Relationship Target="../drawings/vmlDrawing13.vml" Type="http://schemas.openxmlformats.org/officeDocument/2006/relationships/vmlDrawing" Id="rId2"></Relationship><Relationship Target="../printerSettings/printerSettings21.bin" Type="http://schemas.openxmlformats.org/officeDocument/2006/relationships/printerSettings" Id="rId1"></Relationship></Relationships>
</file>

<file path=xl/worksheets/_rels/sheet22.xml.rels><?xml version="1.0" encoding="UTF-8" ?><Relationships xmlns:rel="http://schemas.openxmlformats.org/package/2006/relationships" xmlns="http://schemas.openxmlformats.org/package/2006/relationships"><Relationship Target="../drawings/vmlDrawing14.vml" Type="http://schemas.openxmlformats.org/officeDocument/2006/relationships/vmlDrawing" Id="rId3"></Relationship><Relationship Target="../drawings/drawing2.xml" Type="http://schemas.openxmlformats.org/officeDocument/2006/relationships/drawing" Id="rId2"></Relationship><Relationship Target="../printerSettings/printerSettings22.bin" Type="http://schemas.openxmlformats.org/officeDocument/2006/relationships/printerSettings" Id="rId1"></Relationship><Relationship Target="../comments14.xml" Type="http://schemas.openxmlformats.org/officeDocument/2006/relationships/comments" Id="rId4"></Relationship></Relationships>
</file>

<file path=xl/worksheets/_rels/sheet23.xml.rels><?xml version="1.0" encoding="UTF-8" ?><Relationships xmlns:rel="http://schemas.openxmlformats.org/package/2006/relationships" xmlns="http://schemas.openxmlformats.org/package/2006/relationships"><Relationship Target="../printerSettings/printerSettings23.bin" Type="http://schemas.openxmlformats.org/officeDocument/2006/relationships/printerSettings" Id="rId1"></Relationship></Relationships>
</file>

<file path=xl/worksheets/_rels/sheet24.xml.rels><?xml version="1.0" encoding="UTF-8" ?><Relationships xmlns:rel="http://schemas.openxmlformats.org/package/2006/relationships" xmlns="http://schemas.openxmlformats.org/package/2006/relationships"><Relationship Target="../printerSettings/printerSettings24.bin" Type="http://schemas.openxmlformats.org/officeDocument/2006/relationships/printerSettings" Id="rId1"></Relationship></Relationships>
</file>

<file path=xl/worksheets/_rels/sheet25.xml.rels><?xml version="1.0" encoding="UTF-8" ?><Relationships xmlns:rel="http://schemas.openxmlformats.org/package/2006/relationships" xmlns="http://schemas.openxmlformats.org/package/2006/relationships"><Relationship Target="../comments15.xml" Type="http://schemas.openxmlformats.org/officeDocument/2006/relationships/comments" Id="rId3"></Relationship><Relationship Target="../drawings/vmlDrawing15.vml" Type="http://schemas.openxmlformats.org/officeDocument/2006/relationships/vmlDrawing" Id="rId2"></Relationship><Relationship Target="../printerSettings/printerSettings25.bin" Type="http://schemas.openxmlformats.org/officeDocument/2006/relationships/printerSettings" Id="rId1"></Relationship></Relationships>
</file>

<file path=xl/worksheets/_rels/sheet26.xml.rels><?xml version="1.0" encoding="UTF-8" ?><Relationships xmlns:rel="http://schemas.openxmlformats.org/package/2006/relationships" xmlns="http://schemas.openxmlformats.org/package/2006/relationships"><Relationship Target="../comments16.xml" Type="http://schemas.openxmlformats.org/officeDocument/2006/relationships/comments" Id="rId3"></Relationship><Relationship Target="../drawings/vmlDrawing16.vml" Type="http://schemas.openxmlformats.org/officeDocument/2006/relationships/vmlDrawing" Id="rId2"></Relationship><Relationship Target="../printerSettings/printerSettings26.bin" Type="http://schemas.openxmlformats.org/officeDocument/2006/relationships/printerSettings" Id="rId1"></Relationship></Relationships>
</file>

<file path=xl/worksheets/_rels/sheet27.xml.rels><?xml version="1.0" encoding="UTF-8" ?><Relationships xmlns:rel="http://schemas.openxmlformats.org/package/2006/relationships" xmlns="http://schemas.openxmlformats.org/package/2006/relationships"><Relationship Target="../comments17.xml" Type="http://schemas.openxmlformats.org/officeDocument/2006/relationships/comments" Id="rId3"></Relationship><Relationship Target="../drawings/vmlDrawing17.vml" Type="http://schemas.openxmlformats.org/officeDocument/2006/relationships/vmlDrawing" Id="rId2"></Relationship><Relationship Target="../printerSettings/printerSettings27.bin" Type="http://schemas.openxmlformats.org/officeDocument/2006/relationships/printerSettings" Id="rId1"></Relationship></Relationships>
</file>

<file path=xl/worksheets/_rels/sheet28.xml.rels><?xml version="1.0" encoding="UTF-8" ?><Relationships xmlns:rel="http://schemas.openxmlformats.org/package/2006/relationships" xmlns="http://schemas.openxmlformats.org/package/2006/relationships"><Relationship Target="../printerSettings/printerSettings28.bin" Type="http://schemas.openxmlformats.org/officeDocument/2006/relationships/printerSettings" Id="rId1"></Relationship></Relationships>
</file>

<file path=xl/worksheets/_rels/sheet29.xml.rels><?xml version="1.0" encoding="UTF-8" ?><Relationships xmlns:rel="http://schemas.openxmlformats.org/package/2006/relationships" xmlns="http://schemas.openxmlformats.org/package/2006/relationships"><Relationship Target="../printerSettings/printerSettings29.bin" Type="http://schemas.openxmlformats.org/officeDocument/2006/relationships/printerSettings" Id="rId1"></Relationship></Relationships>
</file>

<file path=xl/worksheets/_rels/sheet3.xml.rels><?xml version="1.0" encoding="UTF-8" ?><Relationships xmlns:rel="http://schemas.openxmlformats.org/package/2006/relationships" xmlns="http://schemas.openxmlformats.org/package/2006/relationships"><Relationship Target="../comments3.xml" Type="http://schemas.openxmlformats.org/officeDocument/2006/relationships/comments" Id="rId3"></Relationship><Relationship Target="../drawings/vmlDrawing3.vml" Type="http://schemas.openxmlformats.org/officeDocument/2006/relationships/vmlDrawing" Id="rId2"></Relationship><Relationship Target="../printerSettings/printerSettings3.bin" Type="http://schemas.openxmlformats.org/officeDocument/2006/relationships/printerSettings" Id="rId1"></Relationship></Relationships>
</file>

<file path=xl/worksheets/_rels/sheet30.xml.rels><?xml version="1.0" encoding="UTF-8" ?><Relationships xmlns:rel="http://schemas.openxmlformats.org/package/2006/relationships" xmlns="http://schemas.openxmlformats.org/package/2006/relationships"><Relationship Target="../printerSettings/printerSettings30.bin" Type="http://schemas.openxmlformats.org/officeDocument/2006/relationships/printerSettings" Id="rId1"></Relationship></Relationships>
</file>

<file path=xl/worksheets/_rels/sheet31.xml.rels><?xml version="1.0" encoding="UTF-8" ?><Relationships xmlns:rel="http://schemas.openxmlformats.org/package/2006/relationships" xmlns="http://schemas.openxmlformats.org/package/2006/relationships"><Relationship Target="../printerSettings/printerSettings31.bin" Type="http://schemas.openxmlformats.org/officeDocument/2006/relationships/printerSettings" Id="rId1"></Relationship></Relationships>
</file>

<file path=xl/worksheets/_rels/sheet32.xml.rels><?xml version="1.0" encoding="UTF-8" ?><Relationships xmlns:rel="http://schemas.openxmlformats.org/package/2006/relationships" xmlns="http://schemas.openxmlformats.org/package/2006/relationships"><Relationship Target="../drawings/drawing3.xml" Type="http://schemas.openxmlformats.org/officeDocument/2006/relationships/drawing" Id="rId2"></Relationship><Relationship Target="../printerSettings/printerSettings32.bin" Type="http://schemas.openxmlformats.org/officeDocument/2006/relationships/printerSettings" Id="rId1"></Relationship></Relationships>
</file>

<file path=xl/worksheets/_rels/sheet33.xml.rels><?xml version="1.0" encoding="UTF-8" ?><Relationships xmlns:rel="http://schemas.openxmlformats.org/package/2006/relationships" xmlns="http://schemas.openxmlformats.org/package/2006/relationships"><Relationship Target="../printerSettings/printerSettings33.bin" Type="http://schemas.openxmlformats.org/officeDocument/2006/relationships/printerSettings" Id="rId1"></Relationship></Relationships>
</file>

<file path=xl/worksheets/_rels/sheet34.xml.rels><?xml version="1.0" encoding="UTF-8" ?><Relationships xmlns:rel="http://schemas.openxmlformats.org/package/2006/relationships" xmlns="http://schemas.openxmlformats.org/package/2006/relationships"><Relationship Target="../printerSettings/printerSettings34.bin" Type="http://schemas.openxmlformats.org/officeDocument/2006/relationships/printerSettings" Id="rId1"></Relationship></Relationships>
</file>

<file path=xl/worksheets/_rels/sheet35.xml.rels><?xml version="1.0" encoding="UTF-8" ?><Relationships xmlns:rel="http://schemas.openxmlformats.org/package/2006/relationships" xmlns="http://schemas.openxmlformats.org/package/2006/relationships"><Relationship Target="../printerSettings/printerSettings35.bin" Type="http://schemas.openxmlformats.org/officeDocument/2006/relationships/printerSettings" Id="rId1"></Relationship></Relationships>
</file>

<file path=xl/worksheets/_rels/sheet36.xml.rels><?xml version="1.0" encoding="UTF-8" ?><Relationships xmlns:rel="http://schemas.openxmlformats.org/package/2006/relationships" xmlns="http://schemas.openxmlformats.org/package/2006/relationships"><Relationship Target="../printerSettings/printerSettings36.bin" Type="http://schemas.openxmlformats.org/officeDocument/2006/relationships/printerSettings" Id="rId1"></Relationship></Relationships>
</file>

<file path=xl/worksheets/_rels/sheet37.xml.rels><?xml version="1.0" encoding="UTF-8" ?><Relationships xmlns:rel="http://schemas.openxmlformats.org/package/2006/relationships" xmlns="http://schemas.openxmlformats.org/package/2006/relationships"><Relationship Target="../printerSettings/printerSettings37.bin" Type="http://schemas.openxmlformats.org/officeDocument/2006/relationships/printerSettings" Id="rId1"></Relationship></Relationships>
</file>

<file path=xl/worksheets/_rels/sheet4.xml.rels><?xml version="1.0" encoding="UTF-8" ?><Relationships xmlns:rel="http://schemas.openxmlformats.org/package/2006/relationships" xmlns="http://schemas.openxmlformats.org/package/2006/relationships"><Relationship Target="../comments4.xml" Type="http://schemas.openxmlformats.org/officeDocument/2006/relationships/comments" Id="rId3"></Relationship><Relationship Target="../drawings/vmlDrawing4.vml" Type="http://schemas.openxmlformats.org/officeDocument/2006/relationships/vmlDrawing" Id="rId2"></Relationship><Relationship Target="../printerSettings/printerSettings4.bin" Type="http://schemas.openxmlformats.org/officeDocument/2006/relationships/printerSettings" Id="rId1"></Relationship></Relationships>
</file>

<file path=xl/worksheets/_rels/sheet5.xml.rels><?xml version="1.0" encoding="UTF-8" ?><Relationships xmlns:rel="http://schemas.openxmlformats.org/package/2006/relationships" xmlns="http://schemas.openxmlformats.org/package/2006/relationships"><Relationship Target="../comments5.xml" Type="http://schemas.openxmlformats.org/officeDocument/2006/relationships/comments" Id="rId3"></Relationship><Relationship Target="../drawings/vmlDrawing5.vml" Type="http://schemas.openxmlformats.org/officeDocument/2006/relationships/vmlDrawing" Id="rId2"></Relationship><Relationship Target="../printerSettings/printerSettings5.bin" Type="http://schemas.openxmlformats.org/officeDocument/2006/relationships/printerSettings" Id="rId1"></Relationship></Relationships>
</file>

<file path=xl/worksheets/_rels/sheet6.xml.rels><?xml version="1.0" encoding="UTF-8" ?><Relationships xmlns:rel="http://schemas.openxmlformats.org/package/2006/relationships" xmlns="http://schemas.openxmlformats.org/package/2006/relationships"><Relationship Target="../drawings/vmlDrawing6.vml" Type="http://schemas.openxmlformats.org/officeDocument/2006/relationships/vmlDrawing" Id="rId3"></Relationship><Relationship Target="../drawings/drawing1.xml" Type="http://schemas.openxmlformats.org/officeDocument/2006/relationships/drawing" Id="rId2"></Relationship><Relationship Target="../printerSettings/printerSettings6.bin" Type="http://schemas.openxmlformats.org/officeDocument/2006/relationships/printerSettings" Id="rId1"></Relationship><Relationship Target="../comments6.xml" Type="http://schemas.openxmlformats.org/officeDocument/2006/relationships/comments" Id="rId4"></Relationship></Relationships>
</file>

<file path=xl/worksheets/_rels/sheet7.xml.rels><?xml version="1.0" encoding="UTF-8" ?><Relationships xmlns:rel="http://schemas.openxmlformats.org/package/2006/relationships" xmlns="http://schemas.openxmlformats.org/package/2006/relationships"><Relationship Target="../comments7.xml" Type="http://schemas.openxmlformats.org/officeDocument/2006/relationships/comments" Id="rId3"></Relationship><Relationship Target="../drawings/vmlDrawing7.vml" Type="http://schemas.openxmlformats.org/officeDocument/2006/relationships/vmlDrawing" Id="rId2"></Relationship><Relationship Target="../printerSettings/printerSettings7.bin" Type="http://schemas.openxmlformats.org/officeDocument/2006/relationships/printerSettings" Id="rId1"></Relationship></Relationships>
</file>

<file path=xl/worksheets/_rels/sheet8.xml.rels><?xml version="1.0" encoding="UTF-8" ?><Relationships xmlns:rel="http://schemas.openxmlformats.org/package/2006/relationships" xmlns="http://schemas.openxmlformats.org/package/2006/relationships"><Relationship Target="../printerSettings/printerSettings8.bin" Type="http://schemas.openxmlformats.org/officeDocument/2006/relationships/printerSettings" Id="rId1"></Relationship></Relationships>
</file>

<file path=xl/worksheets/_rels/sheet9.xml.rels><?xml version="1.0" encoding="UTF-8" ?><Relationships xmlns:rel="http://schemas.openxmlformats.org/package/2006/relationships" xmlns="http://schemas.openxmlformats.org/package/2006/relationships"><Relationship Target="../comments8.xml" Type="http://schemas.openxmlformats.org/officeDocument/2006/relationships/comments" Id="rId3"></Relationship><Relationship Target="../drawings/vmlDrawing8.vml" Type="http://schemas.openxmlformats.org/officeDocument/2006/relationships/vmlDrawing" Id="rId2"></Relationship><Relationship Target="../printerSettings/printerSettings9.bin" Type="http://schemas.openxmlformats.org/officeDocument/2006/relationships/printerSettings" Id="rId1"></Relationship></Relationships>
</file>

<file path=xl/worksheets/sheet1.xml><?xml version="1.0" encoding="utf-8"?>
<worksheet xmlns="http://schemas.openxmlformats.org/spreadsheetml/2006/main" xmlns:r="http://schemas.openxmlformats.org/officeDocument/2006/relationships">
  <sheetPr codeName="Sheet1">
    <tabColor indexed="10"/>
  </sheetPr>
  <dimension ref="A1:AE80"/>
  <sheetViews>
    <sheetView zoomScale="87" zoomScaleNormal="87" workbookViewId="0">
      <pane xSplit="7" ySplit="12" topLeftCell="H5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75" style="5" customWidth="1"/>
    <col min="2" max="2" width="27" style="5" customWidth="1"/>
    <col min="3" max="3" width="8.375" style="5" customWidth="1"/>
    <col min="4" max="7" width="8.125" style="5" hidden="1" customWidth="1"/>
    <col min="8" max="8" width="8.125" style="5" customWidth="1"/>
    <col min="9" max="9" width="6.625" style="5" customWidth="1"/>
    <col min="10" max="14" width="8.125" style="5" customWidth="1"/>
    <col min="15" max="15" width="6.625" style="5" customWidth="1"/>
    <col min="16" max="16" width="6.75" style="5" customWidth="1"/>
    <col min="17" max="17" width="10.75" style="5" customWidth="1"/>
    <col min="18" max="19" width="8.125" style="5" customWidth="1"/>
    <col min="20" max="20" width="9.875" style="5" bestFit="1" customWidth="1"/>
    <col min="21" max="16384" width="9" style="5"/>
  </cols>
  <sheetData>
    <row r="1" spans="1:31" s="2" customFormat="1" ht="21" hidden="1" customHeight="1">
      <c r="A1" s="653" t="s">
        <v>753</v>
      </c>
      <c r="B1" s="653"/>
      <c r="C1" s="653" t="s">
        <v>714</v>
      </c>
      <c r="D1" s="653"/>
      <c r="E1" s="653"/>
      <c r="F1" s="653"/>
      <c r="G1" s="653"/>
      <c r="H1" s="653"/>
      <c r="I1" s="653"/>
      <c r="J1" s="653"/>
      <c r="K1" s="653"/>
      <c r="L1" s="653"/>
      <c r="M1" s="653"/>
      <c r="N1" s="653"/>
      <c r="O1" s="653"/>
      <c r="P1" s="653"/>
      <c r="Q1" s="653"/>
    </row>
    <row r="2" spans="1:31" s="2" customFormat="1" ht="21" hidden="1" customHeight="1">
      <c r="A2" s="653" t="s">
        <v>754</v>
      </c>
      <c r="B2" s="653"/>
      <c r="C2" s="653" t="s">
        <v>700</v>
      </c>
      <c r="D2" s="653"/>
      <c r="E2" s="653"/>
      <c r="F2" s="653"/>
      <c r="G2" s="653"/>
      <c r="H2" s="653"/>
      <c r="I2" s="653"/>
      <c r="J2" s="653"/>
      <c r="K2" s="653"/>
      <c r="L2" s="653"/>
      <c r="M2" s="653"/>
      <c r="N2" s="653"/>
      <c r="O2" s="653"/>
      <c r="P2" s="653"/>
      <c r="Q2" s="653"/>
    </row>
    <row r="3" spans="1:31" ht="17.25" hidden="1" customHeight="1">
      <c r="A3" s="656" t="s">
        <v>629</v>
      </c>
      <c r="B3" s="656"/>
      <c r="C3" s="657" t="s">
        <v>715</v>
      </c>
      <c r="D3" s="657"/>
      <c r="E3" s="657"/>
      <c r="F3" s="657"/>
      <c r="G3" s="657"/>
      <c r="H3" s="657"/>
      <c r="I3" s="657"/>
      <c r="J3" s="657"/>
      <c r="K3" s="657"/>
      <c r="L3" s="657"/>
      <c r="M3" s="657"/>
      <c r="N3" s="657"/>
      <c r="O3" s="657"/>
      <c r="P3" s="657"/>
      <c r="Q3" s="657"/>
      <c r="S3" s="51" t="s">
        <v>738</v>
      </c>
    </row>
    <row r="4" spans="1:31" ht="17.25" hidden="1" customHeight="1">
      <c r="A4" s="3"/>
      <c r="B4" s="3"/>
      <c r="C4" s="4"/>
      <c r="D4" s="4"/>
      <c r="E4" s="4"/>
      <c r="F4" s="4"/>
      <c r="G4" s="4"/>
      <c r="H4" s="4"/>
      <c r="I4" s="4"/>
      <c r="J4" s="4"/>
      <c r="K4" s="4"/>
      <c r="L4" s="4"/>
      <c r="M4" s="4"/>
    </row>
    <row r="5" spans="1:31" s="2" customFormat="1" ht="31.5">
      <c r="A5" s="40" t="s">
        <v>865</v>
      </c>
      <c r="B5" s="39"/>
      <c r="C5" s="39"/>
      <c r="D5" s="39"/>
      <c r="E5" s="39"/>
      <c r="F5" s="39"/>
      <c r="G5" s="39"/>
      <c r="H5" s="39"/>
      <c r="I5" s="39"/>
      <c r="J5" s="39"/>
      <c r="K5" s="39"/>
      <c r="L5" s="39"/>
      <c r="M5" s="39"/>
      <c r="N5" s="39"/>
      <c r="O5" s="39"/>
      <c r="P5" s="39"/>
      <c r="Q5" s="39"/>
      <c r="R5" s="39"/>
      <c r="S5" s="39"/>
    </row>
    <row r="6" spans="1:31" s="2" customFormat="1">
      <c r="A6" s="504"/>
      <c r="B6" s="504"/>
      <c r="C6" s="504"/>
      <c r="D6" s="504"/>
      <c r="E6" s="659"/>
      <c r="F6" s="659"/>
      <c r="G6" s="659"/>
      <c r="H6" s="505"/>
      <c r="I6" s="506"/>
      <c r="J6" s="506"/>
      <c r="K6" s="661"/>
      <c r="L6" s="661"/>
      <c r="M6" s="661"/>
      <c r="N6" s="505"/>
      <c r="O6" s="507"/>
      <c r="P6" s="508"/>
      <c r="Q6" s="508"/>
      <c r="R6" s="508"/>
      <c r="S6" s="508"/>
    </row>
    <row r="7" spans="1:31">
      <c r="B7" s="6"/>
      <c r="C7" s="509"/>
      <c r="D7" s="509"/>
      <c r="E7" s="660"/>
      <c r="F7" s="660"/>
      <c r="G7" s="660"/>
      <c r="H7" s="510"/>
      <c r="I7" s="511"/>
      <c r="J7" s="47"/>
      <c r="L7" s="60"/>
      <c r="S7" s="37" t="s">
        <v>713</v>
      </c>
    </row>
    <row r="8" spans="1:31" s="10" customFormat="1" ht="21.75" customHeight="1">
      <c r="A8" s="654" t="s">
        <v>630</v>
      </c>
      <c r="B8" s="654" t="s">
        <v>631</v>
      </c>
      <c r="C8" s="663" t="s">
        <v>619</v>
      </c>
      <c r="D8" s="8"/>
      <c r="E8" s="8"/>
      <c r="F8" s="8"/>
      <c r="G8" s="9"/>
      <c r="H8" s="46" t="s">
        <v>858</v>
      </c>
      <c r="I8" s="8"/>
      <c r="J8" s="8"/>
      <c r="K8" s="8"/>
      <c r="L8" s="8"/>
      <c r="M8" s="9"/>
      <c r="N8" s="46" t="s">
        <v>859</v>
      </c>
      <c r="O8" s="8"/>
      <c r="P8" s="8"/>
      <c r="Q8" s="8"/>
      <c r="R8" s="8"/>
      <c r="S8" s="9"/>
    </row>
    <row r="9" spans="1:31" s="10" customFormat="1" ht="15.75" customHeight="1">
      <c r="A9" s="662"/>
      <c r="B9" s="662"/>
      <c r="C9" s="664"/>
      <c r="D9" s="654" t="s">
        <v>632</v>
      </c>
      <c r="E9" s="7" t="s">
        <v>633</v>
      </c>
      <c r="F9" s="8"/>
      <c r="G9" s="9"/>
      <c r="H9" s="654" t="s">
        <v>703</v>
      </c>
      <c r="I9" s="654" t="s">
        <v>580</v>
      </c>
      <c r="J9" s="654" t="s">
        <v>632</v>
      </c>
      <c r="K9" s="7" t="s">
        <v>633</v>
      </c>
      <c r="L9" s="8"/>
      <c r="M9" s="9"/>
      <c r="N9" s="654" t="s">
        <v>703</v>
      </c>
      <c r="O9" s="654" t="s">
        <v>860</v>
      </c>
      <c r="P9" s="654" t="s">
        <v>632</v>
      </c>
      <c r="Q9" s="7" t="s">
        <v>633</v>
      </c>
      <c r="R9" s="8"/>
      <c r="S9" s="9"/>
      <c r="U9" s="10" t="s">
        <v>936</v>
      </c>
    </row>
    <row r="10" spans="1:31" s="10" customFormat="1" ht="79.5" customHeight="1">
      <c r="A10" s="658"/>
      <c r="B10" s="658"/>
      <c r="C10" s="665"/>
      <c r="D10" s="655"/>
      <c r="E10" s="11" t="s">
        <v>634</v>
      </c>
      <c r="F10" s="11" t="s">
        <v>635</v>
      </c>
      <c r="G10" s="11" t="s">
        <v>708</v>
      </c>
      <c r="H10" s="658"/>
      <c r="I10" s="658"/>
      <c r="J10" s="658"/>
      <c r="K10" s="11" t="s">
        <v>634</v>
      </c>
      <c r="L10" s="11" t="s">
        <v>635</v>
      </c>
      <c r="M10" s="11" t="s">
        <v>708</v>
      </c>
      <c r="N10" s="658"/>
      <c r="O10" s="658"/>
      <c r="P10" s="658"/>
      <c r="Q10" s="11" t="s">
        <v>634</v>
      </c>
      <c r="R10" s="11" t="s">
        <v>635</v>
      </c>
      <c r="S10" s="11" t="s">
        <v>708</v>
      </c>
    </row>
    <row r="11" spans="1:31" s="12" customFormat="1">
      <c r="A11" s="26">
        <v>1</v>
      </c>
      <c r="B11" s="26">
        <v>2</v>
      </c>
      <c r="C11" s="26">
        <v>3</v>
      </c>
      <c r="D11" s="26"/>
      <c r="E11" s="26"/>
      <c r="F11" s="26"/>
      <c r="G11" s="26"/>
      <c r="H11" s="26" t="s">
        <v>724</v>
      </c>
      <c r="I11" s="45" t="s">
        <v>719</v>
      </c>
      <c r="J11" s="26">
        <v>6</v>
      </c>
      <c r="K11" s="26" t="s">
        <v>720</v>
      </c>
      <c r="L11" s="26">
        <v>8</v>
      </c>
      <c r="M11" s="26">
        <v>9</v>
      </c>
      <c r="N11" s="26" t="s">
        <v>722</v>
      </c>
      <c r="O11" s="26" t="s">
        <v>727</v>
      </c>
      <c r="P11" s="26">
        <v>12</v>
      </c>
      <c r="Q11" s="26" t="s">
        <v>723</v>
      </c>
      <c r="R11" s="26">
        <v>14</v>
      </c>
      <c r="S11" s="26">
        <v>15</v>
      </c>
    </row>
    <row r="12" spans="1:31" s="24" customFormat="1">
      <c r="A12" s="111" t="s">
        <v>639</v>
      </c>
      <c r="B12" s="74" t="s">
        <v>640</v>
      </c>
      <c r="C12" s="394">
        <f t="shared" ref="C12:H12" si="0">SUM(C13,C53)</f>
        <v>3975220</v>
      </c>
      <c r="D12" s="384">
        <f t="shared" si="0"/>
        <v>723400</v>
      </c>
      <c r="E12" s="384">
        <f t="shared" si="0"/>
        <v>3251820</v>
      </c>
      <c r="F12" s="384">
        <f t="shared" si="0"/>
        <v>1735230</v>
      </c>
      <c r="G12" s="384">
        <f t="shared" si="0"/>
        <v>1516590</v>
      </c>
      <c r="H12" s="394">
        <f t="shared" si="0"/>
        <v>2747700</v>
      </c>
      <c r="I12" s="403">
        <f>H12/C12*100</f>
        <v>69.120702753558291</v>
      </c>
      <c r="J12" s="394">
        <f>SUM(J13,J53)</f>
        <v>259400</v>
      </c>
      <c r="K12" s="394">
        <f>SUM(K13,K53)</f>
        <v>2488300</v>
      </c>
      <c r="L12" s="394">
        <f>SUM(L13,L53)</f>
        <v>1562335</v>
      </c>
      <c r="M12" s="394">
        <f>SUM(M13,M53)</f>
        <v>925965</v>
      </c>
      <c r="N12" s="394">
        <f>SUM(N13,N53)</f>
        <v>3173000</v>
      </c>
      <c r="O12" s="403">
        <f>N12/H12*100</f>
        <v>115.47840011646105</v>
      </c>
      <c r="P12" s="394">
        <f>SUM(P13,P53)</f>
        <v>418400</v>
      </c>
      <c r="Q12" s="394">
        <f>SUM(Q13,Q53)</f>
        <v>2754600</v>
      </c>
      <c r="R12" s="394">
        <f>SUM(R13,R53)</f>
        <v>1731300</v>
      </c>
      <c r="S12" s="394">
        <f>SUM(S13,S53)</f>
        <v>1023300</v>
      </c>
      <c r="T12" s="24">
        <f>+N12-C12</f>
        <v>-802220</v>
      </c>
      <c r="W12" s="24">
        <v>1434</v>
      </c>
      <c r="Y12" s="24">
        <f>+W12/6</f>
        <v>239</v>
      </c>
      <c r="Z12" s="24">
        <v>1662</v>
      </c>
      <c r="AA12" s="24">
        <f>+Z12-W12</f>
        <v>228</v>
      </c>
      <c r="AB12" s="24">
        <v>1834</v>
      </c>
      <c r="AC12" s="24">
        <f>+AB12-Z12</f>
        <v>172</v>
      </c>
      <c r="AD12" s="24">
        <v>1992</v>
      </c>
      <c r="AE12" s="24">
        <f>+AD12-AB12</f>
        <v>158</v>
      </c>
    </row>
    <row r="13" spans="1:31" s="24" customFormat="1">
      <c r="A13" s="99" t="s">
        <v>641</v>
      </c>
      <c r="B13" s="63" t="s">
        <v>642</v>
      </c>
      <c r="C13" s="395">
        <f t="shared" ref="C13:H13" si="1">SUM(C14,C21,C28,C34,C41:C52)</f>
        <v>3345220</v>
      </c>
      <c r="D13" s="387">
        <f t="shared" si="1"/>
        <v>93400</v>
      </c>
      <c r="E13" s="387">
        <f t="shared" si="1"/>
        <v>3251820</v>
      </c>
      <c r="F13" s="387">
        <f t="shared" si="1"/>
        <v>1735230</v>
      </c>
      <c r="G13" s="387">
        <f t="shared" si="1"/>
        <v>1516590</v>
      </c>
      <c r="H13" s="395">
        <f t="shared" si="1"/>
        <v>2597700</v>
      </c>
      <c r="I13" s="404">
        <f>H13/C13*100</f>
        <v>77.654085530996468</v>
      </c>
      <c r="J13" s="395">
        <f>SUM(J14,J21,J28,J34,J41:J52)</f>
        <v>109400</v>
      </c>
      <c r="K13" s="395">
        <f>SUM(K14,K21,K28,K34,K41:K52)</f>
        <v>2488300</v>
      </c>
      <c r="L13" s="395">
        <f>SUM(L14,L21,L28,L34,L41:L52)</f>
        <v>1562335</v>
      </c>
      <c r="M13" s="395">
        <f>SUM(M14,M21,M28,M34,M41:M52)</f>
        <v>925965</v>
      </c>
      <c r="N13" s="395">
        <f>SUM(N14,N21,N28,N34,N41:N52)</f>
        <v>2873000</v>
      </c>
      <c r="O13" s="404">
        <f>N13/H13*100</f>
        <v>110.59783654771529</v>
      </c>
      <c r="P13" s="395">
        <f>SUM(P14,P21,P28,P34,P41:P52)</f>
        <v>118400</v>
      </c>
      <c r="Q13" s="395">
        <f>SUM(Q14,Q21,Q28,Q34,Q41:Q52)</f>
        <v>2754600</v>
      </c>
      <c r="R13" s="395">
        <f>SUM(R14,R21,R28,R34,R41:R52)</f>
        <v>1731300</v>
      </c>
      <c r="S13" s="395">
        <f>SUM(S14,S21,S28,S34,S41:S52)</f>
        <v>1023300</v>
      </c>
      <c r="T13" s="24">
        <f>H13-H48</f>
        <v>2397700</v>
      </c>
      <c r="U13" s="24">
        <f>+N13-N48</f>
        <v>2623000</v>
      </c>
      <c r="V13" s="524">
        <f>U13/T13%</f>
        <v>109.39650498394295</v>
      </c>
      <c r="X13" s="24">
        <f>+W13-2740</f>
        <v>-2740</v>
      </c>
      <c r="AA13" s="24">
        <f>+AA12-Y12</f>
        <v>-11</v>
      </c>
      <c r="AC13" s="24">
        <f>+AC12-AA12</f>
        <v>-56</v>
      </c>
      <c r="AE13" s="24">
        <f>+AE12-AC12</f>
        <v>-14</v>
      </c>
    </row>
    <row r="14" spans="1:31" s="14" customFormat="1" ht="15" customHeight="1">
      <c r="A14" s="269">
        <v>1</v>
      </c>
      <c r="B14" s="36" t="s">
        <v>812</v>
      </c>
      <c r="C14" s="396">
        <f t="shared" ref="C14:H14" si="2">SUM(C15:C20)</f>
        <v>450000</v>
      </c>
      <c r="D14" s="386">
        <f t="shared" si="2"/>
        <v>400</v>
      </c>
      <c r="E14" s="386">
        <f t="shared" si="2"/>
        <v>449600</v>
      </c>
      <c r="F14" s="386">
        <f t="shared" si="2"/>
        <v>449600</v>
      </c>
      <c r="G14" s="386">
        <f t="shared" si="2"/>
        <v>0</v>
      </c>
      <c r="H14" s="396">
        <f t="shared" si="2"/>
        <v>235000</v>
      </c>
      <c r="I14" s="405">
        <f>H14/C14*100</f>
        <v>52.222222222222229</v>
      </c>
      <c r="J14" s="396">
        <f>SUM(J15:J20)</f>
        <v>400</v>
      </c>
      <c r="K14" s="396">
        <f>SUM(K15:K20)</f>
        <v>234600</v>
      </c>
      <c r="L14" s="396">
        <f>SUM(L15:L20)</f>
        <v>234600</v>
      </c>
      <c r="M14" s="396">
        <f>SUM(M15:M20)</f>
        <v>0</v>
      </c>
      <c r="N14" s="396">
        <f>SUM(N15:N20)</f>
        <v>260000</v>
      </c>
      <c r="O14" s="405">
        <f>N14/H14*100</f>
        <v>110.63829787234043</v>
      </c>
      <c r="P14" s="396">
        <f>SUM(P15:P20)</f>
        <v>400</v>
      </c>
      <c r="Q14" s="396">
        <f>SUM(Q15:Q20)</f>
        <v>259600</v>
      </c>
      <c r="R14" s="396">
        <f>SUM(R15:R20)</f>
        <v>259600</v>
      </c>
      <c r="S14" s="396">
        <f>SUM(S15:S20)</f>
        <v>0</v>
      </c>
      <c r="T14" s="14">
        <f>K13-K48</f>
        <v>2288300</v>
      </c>
      <c r="AA14" s="14">
        <f>+AA12/Y12%</f>
        <v>95.397489539748946</v>
      </c>
      <c r="AC14" s="14">
        <f>+AC12/AA12%</f>
        <v>75.438596491228083</v>
      </c>
      <c r="AE14" s="14">
        <f>+AE12/AC12%</f>
        <v>91.860465116279073</v>
      </c>
    </row>
    <row r="15" spans="1:31" s="14" customFormat="1" ht="15.75" hidden="1" customHeight="1">
      <c r="A15" s="113"/>
      <c r="B15" s="38" t="s">
        <v>643</v>
      </c>
      <c r="C15" s="38">
        <f>333340</f>
        <v>333340</v>
      </c>
      <c r="D15" s="385">
        <v>0</v>
      </c>
      <c r="E15" s="385">
        <f t="shared" ref="E15:E20" si="3">C15-D15</f>
        <v>333340</v>
      </c>
      <c r="F15" s="385">
        <f>E15-G15</f>
        <v>333340</v>
      </c>
      <c r="G15" s="385">
        <v>0</v>
      </c>
      <c r="H15" s="38">
        <f>140340</f>
        <v>140340</v>
      </c>
      <c r="I15" s="406"/>
      <c r="J15" s="261"/>
      <c r="K15" s="261">
        <f>H15-J15</f>
        <v>140340</v>
      </c>
      <c r="L15" s="261">
        <f t="shared" ref="L15:L27" si="4">K15</f>
        <v>140340</v>
      </c>
      <c r="M15" s="261">
        <v>0</v>
      </c>
      <c r="N15" s="38">
        <v>152320</v>
      </c>
      <c r="O15" s="406"/>
      <c r="P15" s="261"/>
      <c r="Q15" s="261">
        <f t="shared" ref="Q15:Q20" si="5">N15-P15</f>
        <v>152320</v>
      </c>
      <c r="R15" s="261">
        <f t="shared" ref="R15:R20" si="6">Q15</f>
        <v>152320</v>
      </c>
      <c r="S15" s="261">
        <v>0</v>
      </c>
    </row>
    <row r="16" spans="1:31" s="14" customFormat="1" ht="15.75" hidden="1" customHeight="1">
      <c r="A16" s="113"/>
      <c r="B16" s="38" t="s">
        <v>644</v>
      </c>
      <c r="C16" s="38">
        <v>60000</v>
      </c>
      <c r="D16" s="385">
        <v>0</v>
      </c>
      <c r="E16" s="385">
        <f t="shared" si="3"/>
        <v>60000</v>
      </c>
      <c r="F16" s="385">
        <f t="shared" ref="F16:F33" si="7">E16-G16</f>
        <v>60000</v>
      </c>
      <c r="G16" s="385">
        <v>0</v>
      </c>
      <c r="H16" s="38">
        <v>39000</v>
      </c>
      <c r="I16" s="406"/>
      <c r="J16" s="261"/>
      <c r="K16" s="261">
        <f t="shared" ref="K16:K27" si="8">H16-J16</f>
        <v>39000</v>
      </c>
      <c r="L16" s="261">
        <f t="shared" si="4"/>
        <v>39000</v>
      </c>
      <c r="M16" s="261">
        <v>0</v>
      </c>
      <c r="N16" s="38">
        <v>42000</v>
      </c>
      <c r="O16" s="406"/>
      <c r="P16" s="261"/>
      <c r="Q16" s="261">
        <f t="shared" si="5"/>
        <v>42000</v>
      </c>
      <c r="R16" s="261">
        <f t="shared" si="6"/>
        <v>42000</v>
      </c>
      <c r="S16" s="261">
        <v>0</v>
      </c>
    </row>
    <row r="17" spans="1:31" s="14" customFormat="1" ht="15.75" hidden="1" customHeight="1">
      <c r="A17" s="113"/>
      <c r="B17" s="38" t="s">
        <v>645</v>
      </c>
      <c r="C17" s="38">
        <v>56000</v>
      </c>
      <c r="D17" s="385">
        <v>0</v>
      </c>
      <c r="E17" s="385">
        <f t="shared" si="3"/>
        <v>56000</v>
      </c>
      <c r="F17" s="385">
        <f t="shared" si="7"/>
        <v>56000</v>
      </c>
      <c r="G17" s="385">
        <v>0</v>
      </c>
      <c r="H17" s="38">
        <v>55000</v>
      </c>
      <c r="I17" s="406"/>
      <c r="J17" s="261"/>
      <c r="K17" s="261">
        <f t="shared" si="8"/>
        <v>55000</v>
      </c>
      <c r="L17" s="261">
        <f t="shared" si="4"/>
        <v>55000</v>
      </c>
      <c r="M17" s="261">
        <v>0</v>
      </c>
      <c r="N17" s="38">
        <v>65000</v>
      </c>
      <c r="O17" s="406"/>
      <c r="P17" s="261"/>
      <c r="Q17" s="261">
        <f t="shared" si="5"/>
        <v>65000</v>
      </c>
      <c r="R17" s="261">
        <f t="shared" si="6"/>
        <v>65000</v>
      </c>
      <c r="S17" s="261">
        <v>0</v>
      </c>
    </row>
    <row r="18" spans="1:31" s="14" customFormat="1" ht="15.75" hidden="1" customHeight="1">
      <c r="A18" s="113"/>
      <c r="B18" s="38" t="s">
        <v>646</v>
      </c>
      <c r="C18" s="38">
        <v>0</v>
      </c>
      <c r="D18" s="385">
        <v>0</v>
      </c>
      <c r="E18" s="385">
        <f t="shared" si="3"/>
        <v>0</v>
      </c>
      <c r="F18" s="385">
        <f t="shared" si="7"/>
        <v>0</v>
      </c>
      <c r="G18" s="385">
        <v>0</v>
      </c>
      <c r="H18" s="38">
        <f>C18*1.05</f>
        <v>0</v>
      </c>
      <c r="I18" s="406"/>
      <c r="J18" s="261"/>
      <c r="K18" s="261">
        <f t="shared" si="8"/>
        <v>0</v>
      </c>
      <c r="L18" s="261">
        <f t="shared" si="4"/>
        <v>0</v>
      </c>
      <c r="M18" s="261">
        <v>0</v>
      </c>
      <c r="N18" s="38">
        <v>0</v>
      </c>
      <c r="O18" s="406"/>
      <c r="P18" s="261"/>
      <c r="Q18" s="261">
        <f t="shared" si="5"/>
        <v>0</v>
      </c>
      <c r="R18" s="261">
        <f t="shared" si="6"/>
        <v>0</v>
      </c>
      <c r="S18" s="261">
        <v>0</v>
      </c>
    </row>
    <row r="19" spans="1:31" s="14" customFormat="1" ht="15.75" hidden="1" customHeight="1">
      <c r="A19" s="113"/>
      <c r="B19" s="38" t="s">
        <v>647</v>
      </c>
      <c r="C19" s="38">
        <v>260</v>
      </c>
      <c r="D19" s="385">
        <v>0</v>
      </c>
      <c r="E19" s="385">
        <f t="shared" si="3"/>
        <v>260</v>
      </c>
      <c r="F19" s="385">
        <f t="shared" si="7"/>
        <v>260</v>
      </c>
      <c r="G19" s="385">
        <v>0</v>
      </c>
      <c r="H19" s="38">
        <v>260</v>
      </c>
      <c r="I19" s="406"/>
      <c r="J19" s="261"/>
      <c r="K19" s="261">
        <f t="shared" si="8"/>
        <v>260</v>
      </c>
      <c r="L19" s="261">
        <f t="shared" si="4"/>
        <v>260</v>
      </c>
      <c r="M19" s="261">
        <v>0</v>
      </c>
      <c r="N19" s="38">
        <v>280</v>
      </c>
      <c r="O19" s="406"/>
      <c r="P19" s="261"/>
      <c r="Q19" s="261">
        <f t="shared" si="5"/>
        <v>280</v>
      </c>
      <c r="R19" s="261">
        <f t="shared" si="6"/>
        <v>280</v>
      </c>
      <c r="S19" s="261">
        <v>0</v>
      </c>
    </row>
    <row r="20" spans="1:31" s="14" customFormat="1" ht="15.75" hidden="1" customHeight="1">
      <c r="A20" s="113"/>
      <c r="B20" s="38" t="s">
        <v>704</v>
      </c>
      <c r="C20" s="38">
        <v>400</v>
      </c>
      <c r="D20" s="385">
        <f>C20</f>
        <v>400</v>
      </c>
      <c r="E20" s="385">
        <f t="shared" si="3"/>
        <v>0</v>
      </c>
      <c r="F20" s="385">
        <f t="shared" si="7"/>
        <v>0</v>
      </c>
      <c r="G20" s="385">
        <v>0</v>
      </c>
      <c r="H20" s="38">
        <v>400</v>
      </c>
      <c r="I20" s="406"/>
      <c r="J20" s="261">
        <f>H20</f>
        <v>400</v>
      </c>
      <c r="K20" s="261">
        <f t="shared" si="8"/>
        <v>0</v>
      </c>
      <c r="L20" s="261">
        <f t="shared" si="4"/>
        <v>0</v>
      </c>
      <c r="M20" s="261">
        <v>0</v>
      </c>
      <c r="N20" s="38">
        <v>400</v>
      </c>
      <c r="O20" s="406"/>
      <c r="P20" s="261">
        <f>N20</f>
        <v>400</v>
      </c>
      <c r="Q20" s="261">
        <f t="shared" si="5"/>
        <v>0</v>
      </c>
      <c r="R20" s="261">
        <f t="shared" si="6"/>
        <v>0</v>
      </c>
      <c r="S20" s="261">
        <v>0</v>
      </c>
    </row>
    <row r="21" spans="1:31" s="14" customFormat="1">
      <c r="A21" s="269">
        <v>2</v>
      </c>
      <c r="B21" s="36" t="s">
        <v>813</v>
      </c>
      <c r="C21" s="396">
        <f t="shared" ref="C21:H21" si="9">SUM(C22:C27)</f>
        <v>270000</v>
      </c>
      <c r="D21" s="386">
        <f t="shared" si="9"/>
        <v>0</v>
      </c>
      <c r="E21" s="386">
        <f t="shared" si="9"/>
        <v>270000</v>
      </c>
      <c r="F21" s="386">
        <f t="shared" si="9"/>
        <v>270000</v>
      </c>
      <c r="G21" s="386">
        <f t="shared" si="9"/>
        <v>0</v>
      </c>
      <c r="H21" s="396">
        <f t="shared" si="9"/>
        <v>300000</v>
      </c>
      <c r="I21" s="405">
        <f>H21/C21*100</f>
        <v>111.11111111111111</v>
      </c>
      <c r="J21" s="396">
        <f>SUM(J22:J27)</f>
        <v>0</v>
      </c>
      <c r="K21" s="396">
        <f>SUM(K22:K27)</f>
        <v>300000</v>
      </c>
      <c r="L21" s="396">
        <f>SUM(L22:L27)</f>
        <v>300000</v>
      </c>
      <c r="M21" s="396">
        <f>SUM(M22:M27)</f>
        <v>0</v>
      </c>
      <c r="N21" s="396">
        <f>SUM(N22:N27)</f>
        <v>330000</v>
      </c>
      <c r="O21" s="405">
        <f>N21/H21*100</f>
        <v>110.00000000000001</v>
      </c>
      <c r="P21" s="396">
        <f>SUM(P22:P27)</f>
        <v>0</v>
      </c>
      <c r="Q21" s="396">
        <f>SUM(Q22:Q27)</f>
        <v>330000</v>
      </c>
      <c r="R21" s="396">
        <f>SUM(R22:R27)</f>
        <v>330000</v>
      </c>
      <c r="S21" s="396">
        <f>SUM(S22:S27)</f>
        <v>0</v>
      </c>
      <c r="AA21" s="14">
        <f>100-AA14</f>
        <v>4.6025104602510538</v>
      </c>
      <c r="AC21" s="14">
        <f>100-AC14</f>
        <v>24.561403508771917</v>
      </c>
      <c r="AE21" s="14">
        <f>100-AE14</f>
        <v>8.1395348837209269</v>
      </c>
    </row>
    <row r="22" spans="1:31" s="14" customFormat="1" ht="15.75" hidden="1" customHeight="1">
      <c r="A22" s="113"/>
      <c r="B22" s="38" t="s">
        <v>643</v>
      </c>
      <c r="C22" s="38">
        <v>179150</v>
      </c>
      <c r="D22" s="385">
        <v>0</v>
      </c>
      <c r="E22" s="385">
        <f t="shared" ref="E22:E27" si="10">C22-D22</f>
        <v>179150</v>
      </c>
      <c r="F22" s="385">
        <f t="shared" si="7"/>
        <v>179150</v>
      </c>
      <c r="G22" s="385">
        <v>0</v>
      </c>
      <c r="H22" s="38">
        <v>214840</v>
      </c>
      <c r="I22" s="406"/>
      <c r="J22" s="261"/>
      <c r="K22" s="261">
        <f t="shared" si="8"/>
        <v>214840</v>
      </c>
      <c r="L22" s="261">
        <f t="shared" si="4"/>
        <v>214840</v>
      </c>
      <c r="M22" s="261">
        <v>0</v>
      </c>
      <c r="N22" s="521">
        <v>230700</v>
      </c>
      <c r="O22" s="406"/>
      <c r="P22" s="261"/>
      <c r="Q22" s="261">
        <f t="shared" ref="Q22:Q27" si="11">N22-P22</f>
        <v>230700</v>
      </c>
      <c r="R22" s="261">
        <f t="shared" ref="R22:R27" si="12">Q22</f>
        <v>230700</v>
      </c>
      <c r="S22" s="261">
        <v>0</v>
      </c>
    </row>
    <row r="23" spans="1:31" s="14" customFormat="1" ht="15.75" hidden="1" customHeight="1">
      <c r="A23" s="113"/>
      <c r="B23" s="38" t="s">
        <v>644</v>
      </c>
      <c r="C23" s="38">
        <v>77500</v>
      </c>
      <c r="D23" s="385">
        <v>0</v>
      </c>
      <c r="E23" s="385">
        <f t="shared" si="10"/>
        <v>77500</v>
      </c>
      <c r="F23" s="385">
        <f t="shared" si="7"/>
        <v>77500</v>
      </c>
      <c r="G23" s="385">
        <v>0</v>
      </c>
      <c r="H23" s="38">
        <v>70000</v>
      </c>
      <c r="I23" s="406"/>
      <c r="J23" s="261"/>
      <c r="K23" s="261">
        <f t="shared" si="8"/>
        <v>70000</v>
      </c>
      <c r="L23" s="261">
        <f t="shared" si="4"/>
        <v>70000</v>
      </c>
      <c r="M23" s="261">
        <v>0</v>
      </c>
      <c r="N23" s="38">
        <v>84000</v>
      </c>
      <c r="O23" s="406"/>
      <c r="P23" s="261"/>
      <c r="Q23" s="261">
        <f t="shared" si="11"/>
        <v>84000</v>
      </c>
      <c r="R23" s="261">
        <f t="shared" si="12"/>
        <v>84000</v>
      </c>
      <c r="S23" s="261">
        <v>0</v>
      </c>
    </row>
    <row r="24" spans="1:31" s="14" customFormat="1" ht="15.75" hidden="1" customHeight="1">
      <c r="A24" s="113"/>
      <c r="B24" s="38" t="s">
        <v>645</v>
      </c>
      <c r="C24" s="38">
        <v>150</v>
      </c>
      <c r="D24" s="385">
        <v>0</v>
      </c>
      <c r="E24" s="385">
        <f t="shared" si="10"/>
        <v>150</v>
      </c>
      <c r="F24" s="385">
        <f t="shared" si="7"/>
        <v>150</v>
      </c>
      <c r="G24" s="385">
        <v>0</v>
      </c>
      <c r="H24" s="38">
        <v>120</v>
      </c>
      <c r="I24" s="406"/>
      <c r="J24" s="261"/>
      <c r="K24" s="261">
        <f t="shared" si="8"/>
        <v>120</v>
      </c>
      <c r="L24" s="261">
        <f t="shared" si="4"/>
        <v>120</v>
      </c>
      <c r="M24" s="261">
        <v>0</v>
      </c>
      <c r="N24" s="38">
        <v>150</v>
      </c>
      <c r="O24" s="406"/>
      <c r="P24" s="261"/>
      <c r="Q24" s="261">
        <f t="shared" si="11"/>
        <v>150</v>
      </c>
      <c r="R24" s="261">
        <f t="shared" si="12"/>
        <v>150</v>
      </c>
      <c r="S24" s="261">
        <v>0</v>
      </c>
    </row>
    <row r="25" spans="1:31" s="14" customFormat="1" ht="15.75" hidden="1" customHeight="1">
      <c r="A25" s="113"/>
      <c r="B25" s="38" t="s">
        <v>646</v>
      </c>
      <c r="C25" s="38">
        <v>12000</v>
      </c>
      <c r="D25" s="385">
        <v>0</v>
      </c>
      <c r="E25" s="385">
        <f t="shared" si="10"/>
        <v>12000</v>
      </c>
      <c r="F25" s="385">
        <f t="shared" si="7"/>
        <v>12000</v>
      </c>
      <c r="G25" s="385">
        <v>0</v>
      </c>
      <c r="H25" s="38">
        <v>14000</v>
      </c>
      <c r="I25" s="406"/>
      <c r="J25" s="261"/>
      <c r="K25" s="261">
        <f t="shared" si="8"/>
        <v>14000</v>
      </c>
      <c r="L25" s="261">
        <f t="shared" si="4"/>
        <v>14000</v>
      </c>
      <c r="M25" s="261">
        <v>0</v>
      </c>
      <c r="N25" s="38">
        <v>14000</v>
      </c>
      <c r="O25" s="406"/>
      <c r="P25" s="261"/>
      <c r="Q25" s="261">
        <f t="shared" si="11"/>
        <v>14000</v>
      </c>
      <c r="R25" s="261">
        <f t="shared" si="12"/>
        <v>14000</v>
      </c>
      <c r="S25" s="261">
        <v>0</v>
      </c>
    </row>
    <row r="26" spans="1:31" s="14" customFormat="1" ht="15.75" hidden="1" customHeight="1">
      <c r="A26" s="113"/>
      <c r="B26" s="38" t="s">
        <v>647</v>
      </c>
      <c r="C26" s="38">
        <v>300</v>
      </c>
      <c r="D26" s="385">
        <v>0</v>
      </c>
      <c r="E26" s="385">
        <f t="shared" si="10"/>
        <v>300</v>
      </c>
      <c r="F26" s="385">
        <f t="shared" si="7"/>
        <v>300</v>
      </c>
      <c r="G26" s="385">
        <v>0</v>
      </c>
      <c r="H26" s="38">
        <v>300</v>
      </c>
      <c r="I26" s="406"/>
      <c r="J26" s="261"/>
      <c r="K26" s="261">
        <f t="shared" si="8"/>
        <v>300</v>
      </c>
      <c r="L26" s="261">
        <f t="shared" si="4"/>
        <v>300</v>
      </c>
      <c r="M26" s="261">
        <v>0</v>
      </c>
      <c r="N26" s="38">
        <v>350</v>
      </c>
      <c r="O26" s="406"/>
      <c r="P26" s="261"/>
      <c r="Q26" s="261">
        <f t="shared" si="11"/>
        <v>350</v>
      </c>
      <c r="R26" s="261">
        <f t="shared" si="12"/>
        <v>350</v>
      </c>
      <c r="S26" s="261">
        <v>0</v>
      </c>
    </row>
    <row r="27" spans="1:31" s="14" customFormat="1" ht="15.75" hidden="1" customHeight="1">
      <c r="A27" s="113"/>
      <c r="B27" s="38" t="s">
        <v>704</v>
      </c>
      <c r="C27" s="38">
        <v>900</v>
      </c>
      <c r="D27" s="385">
        <v>0</v>
      </c>
      <c r="E27" s="385">
        <f t="shared" si="10"/>
        <v>900</v>
      </c>
      <c r="F27" s="385">
        <f t="shared" si="7"/>
        <v>900</v>
      </c>
      <c r="G27" s="385">
        <v>0</v>
      </c>
      <c r="H27" s="38">
        <v>740</v>
      </c>
      <c r="I27" s="406"/>
      <c r="J27" s="261"/>
      <c r="K27" s="261">
        <f t="shared" si="8"/>
        <v>740</v>
      </c>
      <c r="L27" s="261">
        <f t="shared" si="4"/>
        <v>740</v>
      </c>
      <c r="M27" s="261">
        <v>0</v>
      </c>
      <c r="N27" s="38">
        <v>800</v>
      </c>
      <c r="O27" s="406"/>
      <c r="P27" s="261"/>
      <c r="Q27" s="261">
        <f t="shared" si="11"/>
        <v>800</v>
      </c>
      <c r="R27" s="261">
        <f t="shared" si="12"/>
        <v>800</v>
      </c>
      <c r="S27" s="261">
        <v>0</v>
      </c>
    </row>
    <row r="28" spans="1:31" s="14" customFormat="1" ht="16.5" customHeight="1">
      <c r="A28" s="269">
        <v>3</v>
      </c>
      <c r="B28" s="36" t="s">
        <v>705</v>
      </c>
      <c r="C28" s="396">
        <f t="shared" ref="C28:H28" si="13">SUM(C29:C33)</f>
        <v>10000</v>
      </c>
      <c r="D28" s="386">
        <f t="shared" si="13"/>
        <v>0</v>
      </c>
      <c r="E28" s="386">
        <f t="shared" si="13"/>
        <v>10000</v>
      </c>
      <c r="F28" s="386">
        <f t="shared" si="13"/>
        <v>10000</v>
      </c>
      <c r="G28" s="386">
        <f t="shared" si="13"/>
        <v>0</v>
      </c>
      <c r="H28" s="396">
        <f t="shared" si="13"/>
        <v>18000</v>
      </c>
      <c r="I28" s="405">
        <f>H28/C28*100</f>
        <v>180</v>
      </c>
      <c r="J28" s="396">
        <f>SUM(J29:J33)</f>
        <v>0</v>
      </c>
      <c r="K28" s="396">
        <f>SUM(K29:K33)</f>
        <v>18000</v>
      </c>
      <c r="L28" s="396">
        <f>SUM(L29:L33)</f>
        <v>18000</v>
      </c>
      <c r="M28" s="396">
        <f>SUM(M29:M33)</f>
        <v>0</v>
      </c>
      <c r="N28" s="396">
        <f>SUM(N29:N33)</f>
        <v>20500</v>
      </c>
      <c r="O28" s="405">
        <f>N28/H28*100</f>
        <v>113.88888888888889</v>
      </c>
      <c r="P28" s="396">
        <f>SUM(P29:P33)</f>
        <v>0</v>
      </c>
      <c r="Q28" s="396">
        <f>SUM(Q29:Q33)</f>
        <v>20500</v>
      </c>
      <c r="R28" s="396">
        <f>SUM(R29:R33)</f>
        <v>20500</v>
      </c>
      <c r="S28" s="396">
        <f>SUM(S29:S33)</f>
        <v>0</v>
      </c>
      <c r="W28" s="14">
        <v>1549</v>
      </c>
      <c r="Y28" s="24">
        <f>+W28/6</f>
        <v>258.16666666666669</v>
      </c>
      <c r="Z28" s="14">
        <v>1803</v>
      </c>
      <c r="AA28" s="24">
        <f>+Z28-W28</f>
        <v>254</v>
      </c>
      <c r="AB28" s="14">
        <v>2040</v>
      </c>
      <c r="AC28" s="24">
        <f>+AB28-Z28</f>
        <v>237</v>
      </c>
      <c r="AD28" s="14">
        <v>2224</v>
      </c>
      <c r="AE28" s="24">
        <f>+AD28-AB28</f>
        <v>184</v>
      </c>
    </row>
    <row r="29" spans="1:31" s="14" customFormat="1" ht="15.75" hidden="1" customHeight="1">
      <c r="A29" s="113"/>
      <c r="B29" s="38" t="s">
        <v>643</v>
      </c>
      <c r="C29" s="38">
        <v>5600</v>
      </c>
      <c r="D29" s="385">
        <v>0</v>
      </c>
      <c r="E29" s="385">
        <f>C29-D29</f>
        <v>5600</v>
      </c>
      <c r="F29" s="385">
        <f t="shared" si="7"/>
        <v>5600</v>
      </c>
      <c r="G29" s="385">
        <v>0</v>
      </c>
      <c r="H29" s="38">
        <v>6000</v>
      </c>
      <c r="I29" s="406"/>
      <c r="J29" s="261">
        <f>0</f>
        <v>0</v>
      </c>
      <c r="K29" s="261">
        <f>H29-J29</f>
        <v>6000</v>
      </c>
      <c r="L29" s="261">
        <f>K29-M29</f>
        <v>6000</v>
      </c>
      <c r="M29" s="261">
        <v>0</v>
      </c>
      <c r="N29" s="38">
        <v>7000</v>
      </c>
      <c r="O29" s="406"/>
      <c r="P29" s="261"/>
      <c r="Q29" s="261">
        <f>N29-P29</f>
        <v>7000</v>
      </c>
      <c r="R29" s="261">
        <f>Q29-S29</f>
        <v>7000</v>
      </c>
      <c r="S29" s="261">
        <v>0</v>
      </c>
    </row>
    <row r="30" spans="1:31" s="14" customFormat="1" ht="15.75" hidden="1" customHeight="1">
      <c r="A30" s="113"/>
      <c r="B30" s="38" t="s">
        <v>644</v>
      </c>
      <c r="C30" s="38">
        <v>4200</v>
      </c>
      <c r="D30" s="385">
        <v>0</v>
      </c>
      <c r="E30" s="385">
        <f>C30-D30</f>
        <v>4200</v>
      </c>
      <c r="F30" s="385">
        <f t="shared" si="7"/>
        <v>4200</v>
      </c>
      <c r="G30" s="385">
        <v>0</v>
      </c>
      <c r="H30" s="38">
        <v>11890</v>
      </c>
      <c r="I30" s="406"/>
      <c r="J30" s="261">
        <f>0</f>
        <v>0</v>
      </c>
      <c r="K30" s="261">
        <f>H30-J30</f>
        <v>11890</v>
      </c>
      <c r="L30" s="261">
        <f>K30-M30</f>
        <v>11890</v>
      </c>
      <c r="M30" s="261">
        <v>0</v>
      </c>
      <c r="N30" s="38">
        <v>13380</v>
      </c>
      <c r="O30" s="406"/>
      <c r="P30" s="261"/>
      <c r="Q30" s="261">
        <f>N30-P30</f>
        <v>13380</v>
      </c>
      <c r="R30" s="261">
        <f>Q30-S30</f>
        <v>13380</v>
      </c>
      <c r="S30" s="261">
        <v>0</v>
      </c>
    </row>
    <row r="31" spans="1:31" s="14" customFormat="1" ht="15.75" hidden="1" customHeight="1">
      <c r="A31" s="113"/>
      <c r="B31" s="38" t="s">
        <v>646</v>
      </c>
      <c r="C31" s="38"/>
      <c r="D31" s="385"/>
      <c r="E31" s="385"/>
      <c r="F31" s="385"/>
      <c r="G31" s="385"/>
      <c r="H31" s="38">
        <v>40</v>
      </c>
      <c r="I31" s="406"/>
      <c r="J31" s="261">
        <v>0</v>
      </c>
      <c r="K31" s="261">
        <f>H31-J31</f>
        <v>40</v>
      </c>
      <c r="L31" s="261">
        <f>K31-M31</f>
        <v>40</v>
      </c>
      <c r="M31" s="261">
        <v>0</v>
      </c>
      <c r="N31" s="38">
        <v>40</v>
      </c>
      <c r="O31" s="406"/>
      <c r="P31" s="261"/>
      <c r="Q31" s="261">
        <f>N31-P31</f>
        <v>40</v>
      </c>
      <c r="R31" s="261">
        <f>Q31-S31</f>
        <v>40</v>
      </c>
      <c r="S31" s="261">
        <v>0</v>
      </c>
    </row>
    <row r="32" spans="1:31" s="14" customFormat="1" ht="15.75" hidden="1" customHeight="1">
      <c r="A32" s="113"/>
      <c r="B32" s="38" t="s">
        <v>647</v>
      </c>
      <c r="C32" s="38">
        <v>50</v>
      </c>
      <c r="D32" s="385">
        <v>0</v>
      </c>
      <c r="E32" s="385">
        <f>C32-D32</f>
        <v>50</v>
      </c>
      <c r="F32" s="385">
        <f t="shared" si="7"/>
        <v>50</v>
      </c>
      <c r="G32" s="385">
        <v>0</v>
      </c>
      <c r="H32" s="38">
        <v>50</v>
      </c>
      <c r="I32" s="406"/>
      <c r="J32" s="261">
        <f>0</f>
        <v>0</v>
      </c>
      <c r="K32" s="261">
        <f>H32-J32</f>
        <v>50</v>
      </c>
      <c r="L32" s="261">
        <f>K32-M32</f>
        <v>50</v>
      </c>
      <c r="M32" s="261">
        <v>0</v>
      </c>
      <c r="N32" s="38">
        <v>60</v>
      </c>
      <c r="O32" s="406"/>
      <c r="P32" s="261"/>
      <c r="Q32" s="261">
        <f>N32-P32</f>
        <v>60</v>
      </c>
      <c r="R32" s="261">
        <f>Q32-S32</f>
        <v>60</v>
      </c>
      <c r="S32" s="261">
        <v>0</v>
      </c>
    </row>
    <row r="33" spans="1:31" s="14" customFormat="1" ht="15.75" hidden="1" customHeight="1">
      <c r="A33" s="113"/>
      <c r="B33" s="38" t="s">
        <v>803</v>
      </c>
      <c r="C33" s="38">
        <v>150</v>
      </c>
      <c r="D33" s="385">
        <f>SUM(D34:D39)</f>
        <v>0</v>
      </c>
      <c r="E33" s="385">
        <f>C33-D33</f>
        <v>150</v>
      </c>
      <c r="F33" s="385">
        <f t="shared" si="7"/>
        <v>150</v>
      </c>
      <c r="G33" s="385">
        <v>0</v>
      </c>
      <c r="H33" s="38">
        <f>20</f>
        <v>20</v>
      </c>
      <c r="I33" s="406"/>
      <c r="J33" s="261">
        <f>0</f>
        <v>0</v>
      </c>
      <c r="K33" s="261">
        <f>H33-J33</f>
        <v>20</v>
      </c>
      <c r="L33" s="261">
        <f>K33-M33</f>
        <v>20</v>
      </c>
      <c r="M33" s="261">
        <v>0</v>
      </c>
      <c r="N33" s="38">
        <f>20</f>
        <v>20</v>
      </c>
      <c r="O33" s="406"/>
      <c r="P33" s="261"/>
      <c r="Q33" s="261">
        <f>N33-P33</f>
        <v>20</v>
      </c>
      <c r="R33" s="261">
        <f>Q33-S33</f>
        <v>20</v>
      </c>
      <c r="S33" s="261">
        <v>0</v>
      </c>
    </row>
    <row r="34" spans="1:31" s="13" customFormat="1">
      <c r="A34" s="269">
        <v>4</v>
      </c>
      <c r="B34" s="36" t="s">
        <v>814</v>
      </c>
      <c r="C34" s="396">
        <f>SUM(C35:C40)</f>
        <v>1151000</v>
      </c>
      <c r="D34" s="386">
        <f>SUM(D35:D40)</f>
        <v>0</v>
      </c>
      <c r="E34" s="386">
        <f>SUM(E35:E40)</f>
        <v>1151000</v>
      </c>
      <c r="F34" s="386">
        <f>SUM(F35:F40)</f>
        <v>220630</v>
      </c>
      <c r="G34" s="386">
        <f>SUM(G35:G40)</f>
        <v>930370</v>
      </c>
      <c r="H34" s="396">
        <f>SUM(H35:H40)</f>
        <v>600000</v>
      </c>
      <c r="I34" s="405">
        <f>H34/C34*100</f>
        <v>52.128583840139008</v>
      </c>
      <c r="J34" s="396">
        <f>SUM(J35:J40)</f>
        <v>0</v>
      </c>
      <c r="K34" s="396">
        <f>SUM(K35:K40)</f>
        <v>600000</v>
      </c>
      <c r="L34" s="396">
        <f>SUM(L35:L40)</f>
        <v>113435</v>
      </c>
      <c r="M34" s="396">
        <f>SUM(M35:M40)</f>
        <v>486565</v>
      </c>
      <c r="N34" s="396">
        <f>SUM(N35:N40)</f>
        <v>650000</v>
      </c>
      <c r="O34" s="405">
        <f>N34/H34*100</f>
        <v>108.33333333333333</v>
      </c>
      <c r="P34" s="396">
        <f>SUM(P35:P40)</f>
        <v>0</v>
      </c>
      <c r="Q34" s="396">
        <f>SUM(Q35:Q40)</f>
        <v>650000</v>
      </c>
      <c r="R34" s="396">
        <f>SUM(R35:R40)</f>
        <v>125200</v>
      </c>
      <c r="S34" s="396">
        <f>SUM(S35:S40)</f>
        <v>524800</v>
      </c>
      <c r="AA34" s="24">
        <f>+AA28-Y28</f>
        <v>-4.1666666666666856</v>
      </c>
      <c r="AC34" s="24">
        <f>+AC28-AA28</f>
        <v>-17</v>
      </c>
      <c r="AE34" s="24">
        <f>+AE28-AC28</f>
        <v>-53</v>
      </c>
    </row>
    <row r="35" spans="1:31" s="14" customFormat="1" ht="15.75" hidden="1" customHeight="1">
      <c r="A35" s="113"/>
      <c r="B35" s="38" t="s">
        <v>643</v>
      </c>
      <c r="C35" s="261">
        <f>920053</f>
        <v>920053</v>
      </c>
      <c r="D35" s="385">
        <v>0</v>
      </c>
      <c r="E35" s="385">
        <f t="shared" ref="E35:E42" si="14">C35-D35</f>
        <v>920053</v>
      </c>
      <c r="F35" s="385">
        <f t="shared" ref="F35:F40" si="15">E35-G35</f>
        <v>165024</v>
      </c>
      <c r="G35" s="385">
        <v>755029</v>
      </c>
      <c r="H35" s="261">
        <f>'Thu NSH'!G11</f>
        <v>372205</v>
      </c>
      <c r="I35" s="406"/>
      <c r="J35" s="261">
        <f>0</f>
        <v>0</v>
      </c>
      <c r="K35" s="261">
        <f t="shared" ref="K35:K40" si="16">H35-J35</f>
        <v>372205</v>
      </c>
      <c r="L35" s="385">
        <f t="shared" ref="L35:L40" si="17">K35-M35</f>
        <v>62350</v>
      </c>
      <c r="M35" s="261">
        <f>'Thu NSH'!H11</f>
        <v>309855</v>
      </c>
      <c r="N35" s="261">
        <f>'Thu NSH'!I11</f>
        <v>403480</v>
      </c>
      <c r="O35" s="406"/>
      <c r="P35" s="261"/>
      <c r="Q35" s="261">
        <f t="shared" ref="Q35:Q40" si="18">N35-P35</f>
        <v>403480</v>
      </c>
      <c r="R35" s="385">
        <f t="shared" ref="R35:R40" si="19">Q35-S35</f>
        <v>68900</v>
      </c>
      <c r="S35" s="261">
        <f>'Thu NSH'!J11</f>
        <v>334580</v>
      </c>
    </row>
    <row r="36" spans="1:31" s="14" customFormat="1" ht="15.75" hidden="1" customHeight="1">
      <c r="A36" s="113"/>
      <c r="B36" s="38" t="s">
        <v>644</v>
      </c>
      <c r="C36" s="261">
        <v>193684</v>
      </c>
      <c r="D36" s="385">
        <v>0</v>
      </c>
      <c r="E36" s="385">
        <f t="shared" si="14"/>
        <v>193684</v>
      </c>
      <c r="F36" s="385">
        <f t="shared" si="15"/>
        <v>49200</v>
      </c>
      <c r="G36" s="385">
        <v>144484</v>
      </c>
      <c r="H36" s="261">
        <f>'Thu NSH'!G12</f>
        <v>189340</v>
      </c>
      <c r="I36" s="406"/>
      <c r="J36" s="261">
        <f>0</f>
        <v>0</v>
      </c>
      <c r="K36" s="261">
        <f t="shared" si="16"/>
        <v>189340</v>
      </c>
      <c r="L36" s="385">
        <f t="shared" si="17"/>
        <v>46000</v>
      </c>
      <c r="M36" s="261">
        <f>'Thu NSH'!H12</f>
        <v>143340</v>
      </c>
      <c r="N36" s="261">
        <f>'Thu NSH'!I12</f>
        <v>208535</v>
      </c>
      <c r="O36" s="406"/>
      <c r="P36" s="261"/>
      <c r="Q36" s="261">
        <f t="shared" si="18"/>
        <v>208535</v>
      </c>
      <c r="R36" s="385">
        <f t="shared" si="19"/>
        <v>50750</v>
      </c>
      <c r="S36" s="261">
        <f>'Thu NSH'!J12</f>
        <v>157785</v>
      </c>
    </row>
    <row r="37" spans="1:31" s="14" customFormat="1" ht="15.75" hidden="1" customHeight="1">
      <c r="A37" s="113"/>
      <c r="B37" s="38" t="s">
        <v>645</v>
      </c>
      <c r="C37" s="261">
        <v>4536</v>
      </c>
      <c r="D37" s="385">
        <v>0</v>
      </c>
      <c r="E37" s="385">
        <f t="shared" si="14"/>
        <v>4536</v>
      </c>
      <c r="F37" s="385">
        <f t="shared" si="15"/>
        <v>4536</v>
      </c>
      <c r="G37" s="385">
        <v>0</v>
      </c>
      <c r="H37" s="261">
        <f>'Thu NSH'!G13</f>
        <v>4225</v>
      </c>
      <c r="I37" s="406"/>
      <c r="J37" s="261"/>
      <c r="K37" s="261">
        <f t="shared" si="16"/>
        <v>4225</v>
      </c>
      <c r="L37" s="385">
        <f t="shared" si="17"/>
        <v>4225</v>
      </c>
      <c r="M37" s="261"/>
      <c r="N37" s="261">
        <f>'Thu NSH'!I13</f>
        <v>4720</v>
      </c>
      <c r="O37" s="406"/>
      <c r="P37" s="261"/>
      <c r="Q37" s="261">
        <f t="shared" si="18"/>
        <v>4720</v>
      </c>
      <c r="R37" s="385">
        <f t="shared" si="19"/>
        <v>4720</v>
      </c>
      <c r="S37" s="261">
        <f>'Thu NSH'!J13</f>
        <v>0</v>
      </c>
    </row>
    <row r="38" spans="1:31" s="14" customFormat="1" ht="15.75" hidden="1" customHeight="1">
      <c r="A38" s="113"/>
      <c r="B38" s="38" t="s">
        <v>646</v>
      </c>
      <c r="C38" s="261">
        <v>1870</v>
      </c>
      <c r="D38" s="385">
        <v>0</v>
      </c>
      <c r="E38" s="385">
        <f t="shared" si="14"/>
        <v>1870</v>
      </c>
      <c r="F38" s="385">
        <f t="shared" si="15"/>
        <v>1870</v>
      </c>
      <c r="G38" s="385">
        <v>0</v>
      </c>
      <c r="H38" s="261">
        <f>'Thu NSH'!G14</f>
        <v>860</v>
      </c>
      <c r="I38" s="406"/>
      <c r="J38" s="261"/>
      <c r="K38" s="261">
        <f t="shared" si="16"/>
        <v>860</v>
      </c>
      <c r="L38" s="385">
        <f t="shared" si="17"/>
        <v>860</v>
      </c>
      <c r="M38" s="261"/>
      <c r="N38" s="261">
        <f>'Thu NSH'!I14</f>
        <v>830</v>
      </c>
      <c r="O38" s="406"/>
      <c r="P38" s="261"/>
      <c r="Q38" s="261">
        <f t="shared" si="18"/>
        <v>830</v>
      </c>
      <c r="R38" s="385">
        <f t="shared" si="19"/>
        <v>830</v>
      </c>
      <c r="S38" s="261">
        <f>'Thu NSH'!J14</f>
        <v>0</v>
      </c>
    </row>
    <row r="39" spans="1:31" s="14" customFormat="1" ht="15.75" hidden="1" customHeight="1">
      <c r="A39" s="113"/>
      <c r="B39" s="38" t="s">
        <v>647</v>
      </c>
      <c r="C39" s="261">
        <v>19407</v>
      </c>
      <c r="D39" s="385">
        <v>0</v>
      </c>
      <c r="E39" s="385">
        <f t="shared" si="14"/>
        <v>19407</v>
      </c>
      <c r="F39" s="385">
        <f t="shared" si="15"/>
        <v>0</v>
      </c>
      <c r="G39" s="385">
        <f>E39</f>
        <v>19407</v>
      </c>
      <c r="H39" s="261">
        <f>'Thu NSH'!G15</f>
        <v>19685</v>
      </c>
      <c r="I39" s="406"/>
      <c r="J39" s="261"/>
      <c r="K39" s="261">
        <f t="shared" si="16"/>
        <v>19685</v>
      </c>
      <c r="L39" s="385">
        <f t="shared" si="17"/>
        <v>0</v>
      </c>
      <c r="M39" s="261">
        <f>H39</f>
        <v>19685</v>
      </c>
      <c r="N39" s="261">
        <f>'Thu NSH'!I15</f>
        <v>20495</v>
      </c>
      <c r="O39" s="406"/>
      <c r="P39" s="261"/>
      <c r="Q39" s="261">
        <f t="shared" si="18"/>
        <v>20495</v>
      </c>
      <c r="R39" s="385">
        <f t="shared" si="19"/>
        <v>0</v>
      </c>
      <c r="S39" s="261">
        <f>'Thu NSH'!J15</f>
        <v>20495</v>
      </c>
    </row>
    <row r="40" spans="1:31" s="14" customFormat="1" ht="15.75" hidden="1" customHeight="1">
      <c r="A40" s="113"/>
      <c r="B40" s="38" t="s">
        <v>648</v>
      </c>
      <c r="C40" s="261">
        <v>11450</v>
      </c>
      <c r="D40" s="385">
        <v>0</v>
      </c>
      <c r="E40" s="385">
        <f t="shared" si="14"/>
        <v>11450</v>
      </c>
      <c r="F40" s="385">
        <f t="shared" si="15"/>
        <v>0</v>
      </c>
      <c r="G40" s="385">
        <f>E40</f>
        <v>11450</v>
      </c>
      <c r="H40" s="261">
        <f>'Thu NSH'!G16</f>
        <v>13685</v>
      </c>
      <c r="I40" s="406"/>
      <c r="J40" s="261"/>
      <c r="K40" s="261">
        <f t="shared" si="16"/>
        <v>13685</v>
      </c>
      <c r="L40" s="385">
        <f t="shared" si="17"/>
        <v>0</v>
      </c>
      <c r="M40" s="261">
        <f>H40</f>
        <v>13685</v>
      </c>
      <c r="N40" s="261">
        <f>'Thu NSH'!I16</f>
        <v>11940</v>
      </c>
      <c r="O40" s="406"/>
      <c r="P40" s="261"/>
      <c r="Q40" s="261">
        <f t="shared" si="18"/>
        <v>11940</v>
      </c>
      <c r="R40" s="385">
        <f t="shared" si="19"/>
        <v>0</v>
      </c>
      <c r="S40" s="261">
        <f>'Thu NSH'!J16</f>
        <v>11940</v>
      </c>
    </row>
    <row r="41" spans="1:31" s="14" customFormat="1">
      <c r="A41" s="269">
        <v>5</v>
      </c>
      <c r="B41" s="36" t="s">
        <v>649</v>
      </c>
      <c r="C41" s="396">
        <v>97000</v>
      </c>
      <c r="D41" s="386">
        <v>0</v>
      </c>
      <c r="E41" s="386">
        <f t="shared" si="14"/>
        <v>97000</v>
      </c>
      <c r="F41" s="386">
        <v>0</v>
      </c>
      <c r="G41" s="386">
        <f>E41-F41</f>
        <v>97000</v>
      </c>
      <c r="H41" s="396">
        <f>'Thu NSH'!G18</f>
        <v>90000</v>
      </c>
      <c r="I41" s="405">
        <f>H41/C41*100</f>
        <v>92.783505154639172</v>
      </c>
      <c r="J41" s="396">
        <f>0</f>
        <v>0</v>
      </c>
      <c r="K41" s="396">
        <f>H41-J41</f>
        <v>90000</v>
      </c>
      <c r="L41" s="396">
        <f t="shared" ref="L41:L52" si="20">K41-M41</f>
        <v>0</v>
      </c>
      <c r="M41" s="396">
        <f>H41</f>
        <v>90000</v>
      </c>
      <c r="N41" s="396">
        <f>'Thu NSH'!I18</f>
        <v>97000</v>
      </c>
      <c r="O41" s="405">
        <f>N41/H41*100</f>
        <v>107.77777777777777</v>
      </c>
      <c r="P41" s="396">
        <f>0</f>
        <v>0</v>
      </c>
      <c r="Q41" s="396">
        <f>N41-P41</f>
        <v>97000</v>
      </c>
      <c r="R41" s="396">
        <f t="shared" ref="R41:R52" si="21">Q41-S41</f>
        <v>0</v>
      </c>
      <c r="S41" s="396">
        <f>N41</f>
        <v>97000</v>
      </c>
      <c r="AA41" s="14">
        <f>+AA28/Y28%</f>
        <v>98.386055519690103</v>
      </c>
      <c r="AC41" s="14">
        <f>+AC28/AA28%</f>
        <v>93.30708661417323</v>
      </c>
      <c r="AE41" s="14">
        <f>+AE28/AC28%</f>
        <v>77.637130801687761</v>
      </c>
    </row>
    <row r="42" spans="1:31" s="14" customFormat="1">
      <c r="A42" s="269">
        <v>6</v>
      </c>
      <c r="B42" s="36" t="s">
        <v>706</v>
      </c>
      <c r="C42" s="396">
        <v>0</v>
      </c>
      <c r="D42" s="386">
        <v>0</v>
      </c>
      <c r="E42" s="386">
        <f t="shared" si="14"/>
        <v>0</v>
      </c>
      <c r="F42" s="386">
        <v>0</v>
      </c>
      <c r="G42" s="386">
        <f>E42</f>
        <v>0</v>
      </c>
      <c r="H42" s="396">
        <f>'Thu NSH'!G19</f>
        <v>500</v>
      </c>
      <c r="I42" s="405"/>
      <c r="J42" s="396">
        <f>0</f>
        <v>0</v>
      </c>
      <c r="K42" s="396">
        <f t="shared" ref="K42:K52" si="22">H42-J42</f>
        <v>500</v>
      </c>
      <c r="L42" s="396">
        <f t="shared" si="20"/>
        <v>0</v>
      </c>
      <c r="M42" s="396">
        <f>H42</f>
        <v>500</v>
      </c>
      <c r="N42" s="396">
        <f>'Thu NSH'!I19</f>
        <v>500</v>
      </c>
      <c r="O42" s="405"/>
      <c r="P42" s="396">
        <f>0</f>
        <v>0</v>
      </c>
      <c r="Q42" s="396">
        <f t="shared" ref="Q42:Q52" si="23">N42-P42</f>
        <v>500</v>
      </c>
      <c r="R42" s="396">
        <f t="shared" si="21"/>
        <v>0</v>
      </c>
      <c r="S42" s="396">
        <f>N42</f>
        <v>500</v>
      </c>
      <c r="AA42" s="14">
        <f>100-AA41</f>
        <v>1.6139444803098968</v>
      </c>
      <c r="AC42" s="14">
        <f>100-AC41</f>
        <v>6.6929133858267704</v>
      </c>
      <c r="AE42" s="14">
        <f>100-AE41</f>
        <v>22.362869198312239</v>
      </c>
    </row>
    <row r="43" spans="1:31" s="14" customFormat="1">
      <c r="A43" s="269">
        <v>7</v>
      </c>
      <c r="B43" s="36" t="s">
        <v>565</v>
      </c>
      <c r="C43" s="396">
        <v>8150</v>
      </c>
      <c r="D43" s="386">
        <v>0</v>
      </c>
      <c r="E43" s="386">
        <f>C43-D43</f>
        <v>8150</v>
      </c>
      <c r="F43" s="386">
        <v>0</v>
      </c>
      <c r="G43" s="386">
        <f>E43-F43</f>
        <v>8150</v>
      </c>
      <c r="H43" s="396">
        <f>'Thu NSH'!G20</f>
        <v>8000</v>
      </c>
      <c r="I43" s="405">
        <f t="shared" ref="I43:I53" si="24">H43/C43*100</f>
        <v>98.159509202453989</v>
      </c>
      <c r="J43" s="396">
        <f>0</f>
        <v>0</v>
      </c>
      <c r="K43" s="396">
        <f t="shared" si="22"/>
        <v>8000</v>
      </c>
      <c r="L43" s="396">
        <f t="shared" si="20"/>
        <v>0</v>
      </c>
      <c r="M43" s="396">
        <f>H43</f>
        <v>8000</v>
      </c>
      <c r="N43" s="396">
        <f>'Thu NSH'!I20</f>
        <v>8000</v>
      </c>
      <c r="O43" s="405">
        <f>N43/H43*100</f>
        <v>100</v>
      </c>
      <c r="P43" s="396">
        <f>0</f>
        <v>0</v>
      </c>
      <c r="Q43" s="396">
        <f t="shared" si="23"/>
        <v>8000</v>
      </c>
      <c r="R43" s="396">
        <f t="shared" si="21"/>
        <v>0</v>
      </c>
      <c r="S43" s="396">
        <f>N43</f>
        <v>8000</v>
      </c>
    </row>
    <row r="44" spans="1:31" s="14" customFormat="1">
      <c r="A44" s="269">
        <v>8</v>
      </c>
      <c r="B44" s="36" t="s">
        <v>788</v>
      </c>
      <c r="C44" s="396">
        <v>205000</v>
      </c>
      <c r="D44" s="386">
        <v>0</v>
      </c>
      <c r="E44" s="386">
        <f>C44-D44</f>
        <v>205000</v>
      </c>
      <c r="F44" s="386">
        <f>E44-G44</f>
        <v>205000</v>
      </c>
      <c r="G44" s="386">
        <v>0</v>
      </c>
      <c r="H44" s="396">
        <v>235000</v>
      </c>
      <c r="I44" s="405">
        <f t="shared" si="24"/>
        <v>114.63414634146341</v>
      </c>
      <c r="J44" s="396">
        <f>0</f>
        <v>0</v>
      </c>
      <c r="K44" s="396">
        <f t="shared" si="22"/>
        <v>235000</v>
      </c>
      <c r="L44" s="396">
        <f t="shared" si="20"/>
        <v>235000</v>
      </c>
      <c r="M44" s="396">
        <v>0</v>
      </c>
      <c r="N44" s="396">
        <v>263000</v>
      </c>
      <c r="O44" s="405">
        <f>N44/H44*100</f>
        <v>111.91489361702128</v>
      </c>
      <c r="P44" s="396">
        <f>0</f>
        <v>0</v>
      </c>
      <c r="Q44" s="396">
        <f t="shared" si="23"/>
        <v>263000</v>
      </c>
      <c r="R44" s="396">
        <f>Q44-S44</f>
        <v>263000</v>
      </c>
      <c r="S44" s="396">
        <v>0</v>
      </c>
    </row>
    <row r="45" spans="1:31" s="14" customFormat="1">
      <c r="A45" s="269">
        <v>9</v>
      </c>
      <c r="B45" s="36" t="s">
        <v>440</v>
      </c>
      <c r="C45" s="396">
        <v>500000</v>
      </c>
      <c r="D45" s="386">
        <v>0</v>
      </c>
      <c r="E45" s="386">
        <f>C45-D45</f>
        <v>500000</v>
      </c>
      <c r="F45" s="386">
        <f>E45-G45</f>
        <v>500000</v>
      </c>
      <c r="G45" s="386">
        <v>0</v>
      </c>
      <c r="H45" s="396">
        <v>550000</v>
      </c>
      <c r="I45" s="405">
        <f t="shared" si="24"/>
        <v>110.00000000000001</v>
      </c>
      <c r="J45" s="396">
        <f>0</f>
        <v>0</v>
      </c>
      <c r="K45" s="396">
        <f t="shared" si="22"/>
        <v>550000</v>
      </c>
      <c r="L45" s="396">
        <f t="shared" si="20"/>
        <v>550000</v>
      </c>
      <c r="M45" s="396">
        <v>0</v>
      </c>
      <c r="N45" s="396">
        <v>650000</v>
      </c>
      <c r="O45" s="405">
        <f>N45/H45*100</f>
        <v>118.18181818181819</v>
      </c>
      <c r="P45" s="396">
        <f>0</f>
        <v>0</v>
      </c>
      <c r="Q45" s="396">
        <f t="shared" si="23"/>
        <v>650000</v>
      </c>
      <c r="R45" s="396">
        <f t="shared" si="21"/>
        <v>650000</v>
      </c>
      <c r="S45" s="396">
        <v>0</v>
      </c>
    </row>
    <row r="46" spans="1:31" s="14" customFormat="1">
      <c r="A46" s="269">
        <v>10</v>
      </c>
      <c r="B46" s="36" t="s">
        <v>650</v>
      </c>
      <c r="C46" s="396">
        <f>119000</f>
        <v>119000</v>
      </c>
      <c r="D46" s="386">
        <v>23000</v>
      </c>
      <c r="E46" s="386">
        <f>C46-D46</f>
        <v>96000</v>
      </c>
      <c r="F46" s="386">
        <f>E46-G46</f>
        <v>30000</v>
      </c>
      <c r="G46" s="386">
        <v>66000</v>
      </c>
      <c r="H46" s="522">
        <f>25000+30200+77800</f>
        <v>133000</v>
      </c>
      <c r="I46" s="405">
        <f t="shared" si="24"/>
        <v>111.76470588235294</v>
      </c>
      <c r="J46" s="396">
        <v>25000</v>
      </c>
      <c r="K46" s="396">
        <f t="shared" si="22"/>
        <v>108000</v>
      </c>
      <c r="L46" s="396">
        <f t="shared" si="20"/>
        <v>30200</v>
      </c>
      <c r="M46" s="522">
        <f>'Thu NSH'!H21</f>
        <v>77800</v>
      </c>
      <c r="N46" s="522">
        <f>27000+30000+76000</f>
        <v>133000</v>
      </c>
      <c r="O46" s="405">
        <f>N46/H46*100</f>
        <v>100</v>
      </c>
      <c r="P46" s="396">
        <v>27000</v>
      </c>
      <c r="Q46" s="396">
        <f>R46+S46</f>
        <v>106000</v>
      </c>
      <c r="R46" s="396">
        <f>N46-P46-S46</f>
        <v>28000</v>
      </c>
      <c r="S46" s="522">
        <f>'Thu NSH'!J21</f>
        <v>78000</v>
      </c>
    </row>
    <row r="47" spans="1:31" s="14" customFormat="1">
      <c r="A47" s="269">
        <v>11</v>
      </c>
      <c r="B47" s="36" t="s">
        <v>707</v>
      </c>
      <c r="C47" s="396">
        <v>0</v>
      </c>
      <c r="D47" s="386">
        <v>0</v>
      </c>
      <c r="E47" s="386">
        <v>0</v>
      </c>
      <c r="F47" s="386">
        <v>0</v>
      </c>
      <c r="G47" s="386">
        <v>0</v>
      </c>
      <c r="H47" s="396">
        <v>0</v>
      </c>
      <c r="I47" s="405"/>
      <c r="J47" s="396">
        <f>0</f>
        <v>0</v>
      </c>
      <c r="K47" s="396">
        <f t="shared" si="22"/>
        <v>0</v>
      </c>
      <c r="L47" s="396">
        <f t="shared" si="20"/>
        <v>0</v>
      </c>
      <c r="M47" s="396">
        <f>H47</f>
        <v>0</v>
      </c>
      <c r="N47" s="396">
        <v>0</v>
      </c>
      <c r="O47" s="405"/>
      <c r="P47" s="396">
        <f>0</f>
        <v>0</v>
      </c>
      <c r="Q47" s="396">
        <f>N47-P47</f>
        <v>0</v>
      </c>
      <c r="R47" s="396">
        <f>Q47-S47</f>
        <v>0</v>
      </c>
      <c r="S47" s="396">
        <f>N47</f>
        <v>0</v>
      </c>
    </row>
    <row r="48" spans="1:31" s="14" customFormat="1">
      <c r="A48" s="269">
        <v>12</v>
      </c>
      <c r="B48" s="36" t="s">
        <v>651</v>
      </c>
      <c r="C48" s="396">
        <v>350000</v>
      </c>
      <c r="D48" s="386">
        <v>0</v>
      </c>
      <c r="E48" s="386">
        <f>F48+G48</f>
        <v>350000</v>
      </c>
      <c r="F48" s="386">
        <v>0</v>
      </c>
      <c r="G48" s="386">
        <f>C48</f>
        <v>350000</v>
      </c>
      <c r="H48" s="396">
        <v>200000</v>
      </c>
      <c r="I48" s="405">
        <f t="shared" si="24"/>
        <v>57.142857142857139</v>
      </c>
      <c r="J48" s="396">
        <f>0</f>
        <v>0</v>
      </c>
      <c r="K48" s="396">
        <f t="shared" si="22"/>
        <v>200000</v>
      </c>
      <c r="L48" s="396">
        <f t="shared" si="20"/>
        <v>0</v>
      </c>
      <c r="M48" s="522">
        <f>'Thu NSH'!H23</f>
        <v>200000</v>
      </c>
      <c r="N48" s="396">
        <v>250000</v>
      </c>
      <c r="O48" s="405">
        <f t="shared" ref="O48:O55" si="25">N48/H48*100</f>
        <v>125</v>
      </c>
      <c r="P48" s="396">
        <f>0</f>
        <v>0</v>
      </c>
      <c r="Q48" s="396">
        <f>N48-P48</f>
        <v>250000</v>
      </c>
      <c r="R48" s="396">
        <f>Q48-S48</f>
        <v>0</v>
      </c>
      <c r="S48" s="522">
        <f>'Thu NSH'!J23</f>
        <v>250000</v>
      </c>
    </row>
    <row r="49" spans="1:19" s="14" customFormat="1">
      <c r="A49" s="269">
        <v>13</v>
      </c>
      <c r="B49" s="36" t="s">
        <v>790</v>
      </c>
      <c r="C49" s="396">
        <v>21270</v>
      </c>
      <c r="D49" s="386">
        <v>0</v>
      </c>
      <c r="E49" s="386">
        <f>C49</f>
        <v>21270</v>
      </c>
      <c r="F49" s="386">
        <v>0</v>
      </c>
      <c r="G49" s="386">
        <f>E49-F49</f>
        <v>21270</v>
      </c>
      <c r="H49" s="396">
        <f>'Thu NSH'!G22</f>
        <v>21000</v>
      </c>
      <c r="I49" s="405">
        <f t="shared" si="24"/>
        <v>98.73060648801129</v>
      </c>
      <c r="J49" s="396">
        <f>0</f>
        <v>0</v>
      </c>
      <c r="K49" s="396">
        <f t="shared" si="22"/>
        <v>21000</v>
      </c>
      <c r="L49" s="396">
        <f t="shared" si="20"/>
        <v>0</v>
      </c>
      <c r="M49" s="396">
        <f>H49</f>
        <v>21000</v>
      </c>
      <c r="N49" s="396">
        <f>'Thu NSH'!I22</f>
        <v>22000</v>
      </c>
      <c r="O49" s="405">
        <f t="shared" si="25"/>
        <v>104.76190476190477</v>
      </c>
      <c r="P49" s="396">
        <f>0</f>
        <v>0</v>
      </c>
      <c r="Q49" s="396">
        <f t="shared" si="23"/>
        <v>22000</v>
      </c>
      <c r="R49" s="396">
        <f t="shared" si="21"/>
        <v>0</v>
      </c>
      <c r="S49" s="396">
        <f>N49</f>
        <v>22000</v>
      </c>
    </row>
    <row r="50" spans="1:19" s="14" customFormat="1">
      <c r="A50" s="269">
        <v>14</v>
      </c>
      <c r="B50" s="36" t="s">
        <v>768</v>
      </c>
      <c r="C50" s="396">
        <v>0</v>
      </c>
      <c r="D50" s="386">
        <v>0</v>
      </c>
      <c r="E50" s="386">
        <v>0</v>
      </c>
      <c r="F50" s="386">
        <v>0</v>
      </c>
      <c r="G50" s="386">
        <v>0</v>
      </c>
      <c r="H50" s="396">
        <v>200</v>
      </c>
      <c r="I50" s="405"/>
      <c r="J50" s="396"/>
      <c r="K50" s="396">
        <f>H50-J50</f>
        <v>200</v>
      </c>
      <c r="L50" s="396">
        <f>K50-M50</f>
        <v>200</v>
      </c>
      <c r="M50" s="396"/>
      <c r="N50" s="396">
        <v>0</v>
      </c>
      <c r="O50" s="405">
        <f t="shared" si="25"/>
        <v>0</v>
      </c>
      <c r="P50" s="396">
        <f>0</f>
        <v>0</v>
      </c>
      <c r="Q50" s="396">
        <f>N50-P50</f>
        <v>0</v>
      </c>
      <c r="R50" s="396">
        <f>Q50-S50</f>
        <v>0</v>
      </c>
      <c r="S50" s="396">
        <v>0</v>
      </c>
    </row>
    <row r="51" spans="1:19" s="14" customFormat="1">
      <c r="A51" s="269">
        <v>14</v>
      </c>
      <c r="B51" s="36" t="s">
        <v>652</v>
      </c>
      <c r="C51" s="396">
        <f>152200</f>
        <v>152200</v>
      </c>
      <c r="D51" s="386">
        <v>70000</v>
      </c>
      <c r="E51" s="386">
        <f>C51-D51</f>
        <v>82200</v>
      </c>
      <c r="F51" s="386">
        <f>E51-G51</f>
        <v>50000</v>
      </c>
      <c r="G51" s="386">
        <v>32200</v>
      </c>
      <c r="H51" s="396">
        <v>195000</v>
      </c>
      <c r="I51" s="405">
        <f t="shared" si="24"/>
        <v>128.1208935611038</v>
      </c>
      <c r="J51" s="396">
        <f>120000*70%</f>
        <v>84000</v>
      </c>
      <c r="K51" s="396">
        <f t="shared" si="22"/>
        <v>111000</v>
      </c>
      <c r="L51" s="396">
        <f t="shared" si="20"/>
        <v>80900</v>
      </c>
      <c r="M51" s="522">
        <f>'Thu NSH'!H24</f>
        <v>30100</v>
      </c>
      <c r="N51" s="396">
        <v>177000</v>
      </c>
      <c r="O51" s="405">
        <f t="shared" si="25"/>
        <v>90.769230769230774</v>
      </c>
      <c r="P51" s="396">
        <f>130000*70%</f>
        <v>91000</v>
      </c>
      <c r="Q51" s="396">
        <f>N51-P51</f>
        <v>86000</v>
      </c>
      <c r="R51" s="396">
        <f>Q51-S51</f>
        <v>55000</v>
      </c>
      <c r="S51" s="522">
        <f>'Thu NSH'!J24</f>
        <v>31000</v>
      </c>
    </row>
    <row r="52" spans="1:19" s="14" customFormat="1">
      <c r="A52" s="269">
        <v>15</v>
      </c>
      <c r="B52" s="36" t="s">
        <v>653</v>
      </c>
      <c r="C52" s="396">
        <v>11600</v>
      </c>
      <c r="D52" s="386">
        <v>0</v>
      </c>
      <c r="E52" s="386">
        <f>F52+G52</f>
        <v>11600</v>
      </c>
      <c r="F52" s="386">
        <v>0</v>
      </c>
      <c r="G52" s="386">
        <f>C52</f>
        <v>11600</v>
      </c>
      <c r="H52" s="396">
        <f>'Thu NSH'!G25</f>
        <v>12000</v>
      </c>
      <c r="I52" s="405">
        <f t="shared" si="24"/>
        <v>103.44827586206897</v>
      </c>
      <c r="J52" s="396">
        <f>0</f>
        <v>0</v>
      </c>
      <c r="K52" s="396">
        <f t="shared" si="22"/>
        <v>12000</v>
      </c>
      <c r="L52" s="396">
        <f t="shared" si="20"/>
        <v>0</v>
      </c>
      <c r="M52" s="396">
        <f>H52</f>
        <v>12000</v>
      </c>
      <c r="N52" s="396">
        <f>'Thu NSH'!I25</f>
        <v>12000</v>
      </c>
      <c r="O52" s="405">
        <f t="shared" si="25"/>
        <v>100</v>
      </c>
      <c r="P52" s="396">
        <f>0</f>
        <v>0</v>
      </c>
      <c r="Q52" s="396">
        <f t="shared" si="23"/>
        <v>12000</v>
      </c>
      <c r="R52" s="396">
        <f t="shared" si="21"/>
        <v>0</v>
      </c>
      <c r="S52" s="396">
        <f>N52</f>
        <v>12000</v>
      </c>
    </row>
    <row r="53" spans="1:19" s="54" customFormat="1" ht="17.25" customHeight="1">
      <c r="A53" s="99" t="s">
        <v>654</v>
      </c>
      <c r="B53" s="63" t="s">
        <v>815</v>
      </c>
      <c r="C53" s="395">
        <f t="shared" ref="C53:H53" si="26">SUM(C54:C55)</f>
        <v>630000</v>
      </c>
      <c r="D53" s="387">
        <f t="shared" si="26"/>
        <v>630000</v>
      </c>
      <c r="E53" s="387">
        <f t="shared" si="26"/>
        <v>0</v>
      </c>
      <c r="F53" s="387">
        <f t="shared" si="26"/>
        <v>0</v>
      </c>
      <c r="G53" s="387">
        <f t="shared" si="26"/>
        <v>0</v>
      </c>
      <c r="H53" s="395">
        <f t="shared" si="26"/>
        <v>150000</v>
      </c>
      <c r="I53" s="404">
        <f t="shared" si="24"/>
        <v>23.809523809523807</v>
      </c>
      <c r="J53" s="395">
        <f>H53</f>
        <v>150000</v>
      </c>
      <c r="K53" s="395">
        <f>H53-J53</f>
        <v>0</v>
      </c>
      <c r="L53" s="395">
        <f>K53-M53</f>
        <v>0</v>
      </c>
      <c r="M53" s="395">
        <v>0</v>
      </c>
      <c r="N53" s="395">
        <f>SUM(N54:N55)</f>
        <v>300000</v>
      </c>
      <c r="O53" s="404">
        <f t="shared" si="25"/>
        <v>200</v>
      </c>
      <c r="P53" s="395">
        <f>N53</f>
        <v>300000</v>
      </c>
      <c r="Q53" s="395">
        <f>N53-P53</f>
        <v>0</v>
      </c>
      <c r="R53" s="395">
        <f>Q53-S53</f>
        <v>0</v>
      </c>
      <c r="S53" s="395">
        <v>0</v>
      </c>
    </row>
    <row r="54" spans="1:19" s="14" customFormat="1" hidden="1">
      <c r="A54" s="113"/>
      <c r="B54" s="38" t="s">
        <v>655</v>
      </c>
      <c r="C54" s="261">
        <v>390000</v>
      </c>
      <c r="D54" s="385">
        <f>C54</f>
        <v>390000</v>
      </c>
      <c r="E54" s="385">
        <v>0</v>
      </c>
      <c r="F54" s="385">
        <v>0</v>
      </c>
      <c r="G54" s="385">
        <v>0</v>
      </c>
      <c r="H54" s="261">
        <v>95000</v>
      </c>
      <c r="I54" s="406"/>
      <c r="J54" s="261">
        <f>H54</f>
        <v>95000</v>
      </c>
      <c r="K54" s="261">
        <v>0</v>
      </c>
      <c r="L54" s="261">
        <v>0</v>
      </c>
      <c r="M54" s="261">
        <v>0</v>
      </c>
      <c r="N54" s="261">
        <v>145000</v>
      </c>
      <c r="O54" s="406">
        <f t="shared" si="25"/>
        <v>152.63157894736844</v>
      </c>
      <c r="P54" s="261">
        <f>N54</f>
        <v>145000</v>
      </c>
      <c r="Q54" s="261">
        <v>0</v>
      </c>
      <c r="R54" s="261">
        <v>0</v>
      </c>
      <c r="S54" s="261">
        <v>0</v>
      </c>
    </row>
    <row r="55" spans="1:19" s="14" customFormat="1" hidden="1">
      <c r="A55" s="113"/>
      <c r="B55" s="38" t="s">
        <v>656</v>
      </c>
      <c r="C55" s="261">
        <v>240000</v>
      </c>
      <c r="D55" s="385">
        <f>C55</f>
        <v>240000</v>
      </c>
      <c r="E55" s="385">
        <v>0</v>
      </c>
      <c r="F55" s="385">
        <v>0</v>
      </c>
      <c r="G55" s="385">
        <f>SUM(G56,G57)</f>
        <v>0</v>
      </c>
      <c r="H55" s="261">
        <v>55000</v>
      </c>
      <c r="I55" s="406"/>
      <c r="J55" s="261">
        <f>H55</f>
        <v>55000</v>
      </c>
      <c r="K55" s="261">
        <v>0</v>
      </c>
      <c r="L55" s="261">
        <v>0</v>
      </c>
      <c r="M55" s="261">
        <v>0</v>
      </c>
      <c r="N55" s="261">
        <f>300000-N54</f>
        <v>155000</v>
      </c>
      <c r="O55" s="406">
        <f t="shared" si="25"/>
        <v>281.81818181818181</v>
      </c>
      <c r="P55" s="261">
        <f>N55</f>
        <v>155000</v>
      </c>
      <c r="Q55" s="261">
        <v>0</v>
      </c>
      <c r="R55" s="261">
        <v>0</v>
      </c>
      <c r="S55" s="261">
        <v>0</v>
      </c>
    </row>
    <row r="56" spans="1:19" s="24" customFormat="1">
      <c r="A56" s="99" t="s">
        <v>657</v>
      </c>
      <c r="B56" s="63" t="s">
        <v>658</v>
      </c>
      <c r="C56" s="395">
        <f t="shared" ref="C56:H56" si="27">SUM(C57:C58)</f>
        <v>3335272</v>
      </c>
      <c r="D56" s="387">
        <f t="shared" si="27"/>
        <v>0</v>
      </c>
      <c r="E56" s="387">
        <f t="shared" si="27"/>
        <v>3335272</v>
      </c>
      <c r="F56" s="387">
        <f t="shared" si="27"/>
        <v>3335272</v>
      </c>
      <c r="G56" s="387">
        <f t="shared" si="27"/>
        <v>0</v>
      </c>
      <c r="H56" s="395">
        <f t="shared" si="27"/>
        <v>3335272</v>
      </c>
      <c r="I56" s="404">
        <f>H56/C56*100</f>
        <v>100</v>
      </c>
      <c r="J56" s="395">
        <f>SUM(J57:J58)</f>
        <v>0</v>
      </c>
      <c r="K56" s="395">
        <f>SUM(K57:K58)</f>
        <v>3335272</v>
      </c>
      <c r="L56" s="395">
        <f>SUM(L57:L58)</f>
        <v>3335272</v>
      </c>
      <c r="M56" s="395">
        <f>SUM(M57:M58)</f>
        <v>0</v>
      </c>
      <c r="N56" s="395">
        <f>SUM(N57:N58)</f>
        <v>3995484</v>
      </c>
      <c r="O56" s="404"/>
      <c r="P56" s="395">
        <f>SUM(P57:P58)</f>
        <v>0</v>
      </c>
      <c r="Q56" s="395">
        <f>SUM(Q57:Q58)</f>
        <v>3995484</v>
      </c>
      <c r="R56" s="395">
        <f>SUM(R57:R58)</f>
        <v>3995484</v>
      </c>
      <c r="S56" s="395">
        <f>SUM(S57:S58)</f>
        <v>0</v>
      </c>
    </row>
    <row r="57" spans="1:19" s="24" customFormat="1">
      <c r="A57" s="99" t="s">
        <v>641</v>
      </c>
      <c r="B57" s="63" t="s">
        <v>659</v>
      </c>
      <c r="C57" s="395">
        <f>1174152</f>
        <v>1174152</v>
      </c>
      <c r="D57" s="387"/>
      <c r="E57" s="387">
        <f>F57+G57</f>
        <v>1174152</v>
      </c>
      <c r="F57" s="387">
        <v>1174152</v>
      </c>
      <c r="G57" s="387">
        <v>0</v>
      </c>
      <c r="H57" s="395">
        <v>1174152</v>
      </c>
      <c r="I57" s="395"/>
      <c r="J57" s="395">
        <v>0</v>
      </c>
      <c r="K57" s="395">
        <f>H57</f>
        <v>1174152</v>
      </c>
      <c r="L57" s="395">
        <f>K57</f>
        <v>1174152</v>
      </c>
      <c r="M57" s="395">
        <v>0</v>
      </c>
      <c r="N57" s="395">
        <f>1174152</f>
        <v>1174152</v>
      </c>
      <c r="O57" s="404"/>
      <c r="P57" s="395">
        <v>0</v>
      </c>
      <c r="Q57" s="395">
        <f>N57</f>
        <v>1174152</v>
      </c>
      <c r="R57" s="395">
        <f>Q57</f>
        <v>1174152</v>
      </c>
      <c r="S57" s="395">
        <v>0</v>
      </c>
    </row>
    <row r="58" spans="1:19" s="24" customFormat="1">
      <c r="A58" s="99" t="s">
        <v>654</v>
      </c>
      <c r="B58" s="63" t="s">
        <v>660</v>
      </c>
      <c r="C58" s="395">
        <f t="shared" ref="C58:H58" si="28">SUM(C59:C62)</f>
        <v>2161120</v>
      </c>
      <c r="D58" s="395">
        <f t="shared" si="28"/>
        <v>0</v>
      </c>
      <c r="E58" s="395">
        <f t="shared" si="28"/>
        <v>2161120</v>
      </c>
      <c r="F58" s="395">
        <f t="shared" si="28"/>
        <v>2161120</v>
      </c>
      <c r="G58" s="395">
        <f t="shared" si="28"/>
        <v>0</v>
      </c>
      <c r="H58" s="395">
        <f t="shared" si="28"/>
        <v>2161120</v>
      </c>
      <c r="I58" s="395"/>
      <c r="J58" s="395">
        <f>SUM(J59:J62)</f>
        <v>0</v>
      </c>
      <c r="K58" s="395">
        <f>H58</f>
        <v>2161120</v>
      </c>
      <c r="L58" s="395">
        <f>K58</f>
        <v>2161120</v>
      </c>
      <c r="M58" s="395">
        <f>SUM(M59:M62)</f>
        <v>0</v>
      </c>
      <c r="N58" s="395">
        <f>SUM(N59:N62)</f>
        <v>2821332</v>
      </c>
      <c r="O58" s="404"/>
      <c r="P58" s="395">
        <f>SUM(P59:P62)</f>
        <v>0</v>
      </c>
      <c r="Q58" s="395">
        <f>SUM(Q59:Q62)</f>
        <v>2821332</v>
      </c>
      <c r="R58" s="395">
        <f>SUM(R59:R62)</f>
        <v>2821332</v>
      </c>
      <c r="S58" s="395">
        <f>SUM(S59:S62)</f>
        <v>0</v>
      </c>
    </row>
    <row r="59" spans="1:19" s="13" customFormat="1">
      <c r="A59" s="113">
        <v>1</v>
      </c>
      <c r="B59" s="38" t="s">
        <v>437</v>
      </c>
      <c r="C59" s="261">
        <v>82256</v>
      </c>
      <c r="D59" s="38">
        <v>0</v>
      </c>
      <c r="E59" s="38">
        <f t="shared" ref="E59:E65" si="29">F59+G59</f>
        <v>82256</v>
      </c>
      <c r="F59" s="38">
        <f>C59</f>
        <v>82256</v>
      </c>
      <c r="G59" s="261">
        <v>0</v>
      </c>
      <c r="H59" s="261">
        <f>C59</f>
        <v>82256</v>
      </c>
      <c r="I59" s="261"/>
      <c r="J59" s="261">
        <v>0</v>
      </c>
      <c r="K59" s="261">
        <f>H59-J59</f>
        <v>82256</v>
      </c>
      <c r="L59" s="261">
        <f>K59-M59</f>
        <v>82256</v>
      </c>
      <c r="M59" s="261">
        <v>0</v>
      </c>
      <c r="N59" s="261">
        <f>'Phụ lục số 8'!C7</f>
        <v>76245</v>
      </c>
      <c r="O59" s="261"/>
      <c r="P59" s="261">
        <v>0</v>
      </c>
      <c r="Q59" s="261">
        <f>N59-P59</f>
        <v>76245</v>
      </c>
      <c r="R59" s="261">
        <f>Q59-S59</f>
        <v>76245</v>
      </c>
      <c r="S59" s="261">
        <v>0</v>
      </c>
    </row>
    <row r="60" spans="1:19" s="33" customFormat="1">
      <c r="A60" s="270">
        <v>2</v>
      </c>
      <c r="B60" s="38" t="s">
        <v>755</v>
      </c>
      <c r="C60" s="261">
        <v>336800</v>
      </c>
      <c r="D60" s="38">
        <v>0</v>
      </c>
      <c r="E60" s="38">
        <f t="shared" si="29"/>
        <v>336800</v>
      </c>
      <c r="F60" s="38">
        <f>C60</f>
        <v>336800</v>
      </c>
      <c r="G60" s="261">
        <v>0</v>
      </c>
      <c r="H60" s="261">
        <f>C60</f>
        <v>336800</v>
      </c>
      <c r="I60" s="261"/>
      <c r="J60" s="261">
        <v>0</v>
      </c>
      <c r="K60" s="261">
        <f>H60-J60</f>
        <v>336800</v>
      </c>
      <c r="L60" s="261">
        <f>K60-M60</f>
        <v>336800</v>
      </c>
      <c r="M60" s="261">
        <v>0</v>
      </c>
      <c r="N60" s="261">
        <f>'Phụ lục số 8'!C25</f>
        <v>372200</v>
      </c>
      <c r="O60" s="397"/>
      <c r="P60" s="261">
        <v>0</v>
      </c>
      <c r="Q60" s="261">
        <f>N60-P60</f>
        <v>372200</v>
      </c>
      <c r="R60" s="261">
        <f>Q60-S60</f>
        <v>372200</v>
      </c>
      <c r="S60" s="261">
        <v>0</v>
      </c>
    </row>
    <row r="61" spans="1:19" s="33" customFormat="1" ht="63" customHeight="1">
      <c r="A61" s="270">
        <v>3</v>
      </c>
      <c r="B61" s="32" t="s">
        <v>750</v>
      </c>
      <c r="C61" s="261">
        <v>371682</v>
      </c>
      <c r="D61" s="38"/>
      <c r="E61" s="38">
        <f t="shared" si="29"/>
        <v>371682</v>
      </c>
      <c r="F61" s="38">
        <f>C61</f>
        <v>371682</v>
      </c>
      <c r="G61" s="261">
        <v>0</v>
      </c>
      <c r="H61" s="261">
        <f>C61</f>
        <v>371682</v>
      </c>
      <c r="I61" s="261"/>
      <c r="J61" s="261">
        <v>0</v>
      </c>
      <c r="K61" s="261">
        <f>H61-J61</f>
        <v>371682</v>
      </c>
      <c r="L61" s="261">
        <f>K61-M61</f>
        <v>371682</v>
      </c>
      <c r="M61" s="261">
        <v>0</v>
      </c>
      <c r="N61" s="523">
        <f>'Phụ lục số 8'!C39</f>
        <v>867650</v>
      </c>
      <c r="O61" s="261"/>
      <c r="P61" s="261">
        <v>0</v>
      </c>
      <c r="Q61" s="261">
        <f>N61-P61</f>
        <v>867650</v>
      </c>
      <c r="R61" s="261">
        <f>Q61-S61</f>
        <v>867650</v>
      </c>
      <c r="S61" s="261">
        <v>0</v>
      </c>
    </row>
    <row r="62" spans="1:19" s="33" customFormat="1">
      <c r="A62" s="270">
        <v>4</v>
      </c>
      <c r="B62" s="38" t="s">
        <v>594</v>
      </c>
      <c r="C62" s="261">
        <f>834939+215423+320020</f>
        <v>1370382</v>
      </c>
      <c r="D62" s="98">
        <v>0</v>
      </c>
      <c r="E62" s="38">
        <f t="shared" si="29"/>
        <v>1370382</v>
      </c>
      <c r="F62" s="38">
        <f>C62</f>
        <v>1370382</v>
      </c>
      <c r="G62" s="385">
        <v>0</v>
      </c>
      <c r="H62" s="261">
        <f>C62</f>
        <v>1370382</v>
      </c>
      <c r="I62" s="261"/>
      <c r="J62" s="261"/>
      <c r="K62" s="261">
        <f>H62-J62</f>
        <v>1370382</v>
      </c>
      <c r="L62" s="261">
        <f>K62-M62</f>
        <v>1370382</v>
      </c>
      <c r="M62" s="261">
        <v>0</v>
      </c>
      <c r="N62" s="261">
        <f>834939+215423+320020+134855</f>
        <v>1505237</v>
      </c>
      <c r="O62" s="261"/>
      <c r="P62" s="261"/>
      <c r="Q62" s="261">
        <f>N62-P62</f>
        <v>1505237</v>
      </c>
      <c r="R62" s="261">
        <f>Q62-S62</f>
        <v>1505237</v>
      </c>
      <c r="S62" s="261">
        <v>0</v>
      </c>
    </row>
    <row r="63" spans="1:19" s="24" customFormat="1">
      <c r="A63" s="99" t="s">
        <v>661</v>
      </c>
      <c r="B63" s="63" t="s">
        <v>751</v>
      </c>
      <c r="C63" s="395">
        <f>400000</f>
        <v>400000</v>
      </c>
      <c r="D63" s="387">
        <v>0</v>
      </c>
      <c r="E63" s="387">
        <f t="shared" si="29"/>
        <v>400000</v>
      </c>
      <c r="F63" s="387">
        <f>400000</f>
        <v>400000</v>
      </c>
      <c r="G63" s="387">
        <v>0</v>
      </c>
      <c r="H63" s="395">
        <v>800000</v>
      </c>
      <c r="I63" s="395">
        <f>H63/C63*100</f>
        <v>200</v>
      </c>
      <c r="J63" s="395">
        <v>0</v>
      </c>
      <c r="K63" s="395">
        <f>H63</f>
        <v>800000</v>
      </c>
      <c r="L63" s="395">
        <f>K63</f>
        <v>800000</v>
      </c>
      <c r="M63" s="395">
        <v>0</v>
      </c>
      <c r="N63" s="395">
        <f>600000</f>
        <v>600000</v>
      </c>
      <c r="O63" s="395"/>
      <c r="P63" s="395">
        <v>0</v>
      </c>
      <c r="Q63" s="395">
        <f>SUM(R63:S63)</f>
        <v>600000</v>
      </c>
      <c r="R63" s="395">
        <f>N63</f>
        <v>600000</v>
      </c>
      <c r="S63" s="395">
        <v>0</v>
      </c>
    </row>
    <row r="64" spans="1:19" s="24" customFormat="1" ht="15.75" customHeight="1">
      <c r="A64" s="99" t="s">
        <v>701</v>
      </c>
      <c r="B64" s="63" t="s">
        <v>438</v>
      </c>
      <c r="C64" s="395">
        <f>E64</f>
        <v>62200</v>
      </c>
      <c r="D64" s="97">
        <v>0</v>
      </c>
      <c r="E64" s="97">
        <f t="shared" si="29"/>
        <v>62200</v>
      </c>
      <c r="F64" s="97">
        <v>0</v>
      </c>
      <c r="G64" s="97">
        <v>62200</v>
      </c>
      <c r="H64" s="395">
        <f>K64</f>
        <v>62200</v>
      </c>
      <c r="I64" s="395"/>
      <c r="J64" s="395">
        <v>0</v>
      </c>
      <c r="K64" s="395">
        <f>SUM(L64:M64)</f>
        <v>62200</v>
      </c>
      <c r="L64" s="395"/>
      <c r="M64" s="395">
        <v>62200</v>
      </c>
      <c r="N64" s="395">
        <f>R64+S64</f>
        <v>156850</v>
      </c>
      <c r="O64" s="400"/>
      <c r="P64" s="395">
        <v>0</v>
      </c>
      <c r="Q64" s="395">
        <f>SUM(R64:S64)</f>
        <v>156850</v>
      </c>
      <c r="R64" s="395">
        <f>ROUND(358982-270897,-2)</f>
        <v>88100</v>
      </c>
      <c r="S64" s="395">
        <f>'Chi NSH'!H14</f>
        <v>68750</v>
      </c>
    </row>
    <row r="65" spans="1:19" s="24" customFormat="1" ht="15.75" hidden="1" customHeight="1">
      <c r="A65" s="99" t="s">
        <v>780</v>
      </c>
      <c r="B65" s="63" t="s">
        <v>583</v>
      </c>
      <c r="C65" s="395">
        <f>F65</f>
        <v>0</v>
      </c>
      <c r="D65" s="387">
        <v>0</v>
      </c>
      <c r="E65" s="387">
        <f t="shared" si="29"/>
        <v>0</v>
      </c>
      <c r="F65" s="387"/>
      <c r="G65" s="387"/>
      <c r="H65" s="395">
        <f>+L65+M65</f>
        <v>0</v>
      </c>
      <c r="I65" s="395"/>
      <c r="J65" s="395"/>
      <c r="K65" s="395">
        <f>SUM(L65:M65)</f>
        <v>0</v>
      </c>
      <c r="L65" s="395"/>
      <c r="M65" s="395"/>
      <c r="N65" s="395">
        <f>Q65</f>
        <v>0</v>
      </c>
      <c r="O65" s="400"/>
      <c r="P65" s="395"/>
      <c r="Q65" s="395">
        <f>SUM(R65:S65)</f>
        <v>0</v>
      </c>
      <c r="R65" s="395"/>
      <c r="S65" s="395">
        <v>0</v>
      </c>
    </row>
    <row r="66" spans="1:19" s="24" customFormat="1">
      <c r="A66" s="115"/>
      <c r="B66" s="52" t="s">
        <v>961</v>
      </c>
      <c r="C66" s="399">
        <f t="shared" ref="C66:H66" si="30">SUM(C12,C56,C63,C64,C65)</f>
        <v>7772692</v>
      </c>
      <c r="D66" s="399">
        <f t="shared" si="30"/>
        <v>723400</v>
      </c>
      <c r="E66" s="399">
        <f t="shared" si="30"/>
        <v>7049292</v>
      </c>
      <c r="F66" s="399">
        <f t="shared" si="30"/>
        <v>5470502</v>
      </c>
      <c r="G66" s="399">
        <f t="shared" si="30"/>
        <v>1578790</v>
      </c>
      <c r="H66" s="399">
        <f t="shared" si="30"/>
        <v>6945172</v>
      </c>
      <c r="I66" s="399"/>
      <c r="J66" s="399">
        <f>SUM(J12,J56,J63,J64,J65)</f>
        <v>259400</v>
      </c>
      <c r="K66" s="399">
        <f>SUM(K12,K56,K63,K64,K65)</f>
        <v>6685772</v>
      </c>
      <c r="L66" s="399">
        <f>SUM(L12,L56,L63,L64,L65)</f>
        <v>5697607</v>
      </c>
      <c r="M66" s="399">
        <f>SUM(M12,M56,M63,M64,M65)</f>
        <v>988165</v>
      </c>
      <c r="N66" s="399">
        <f>SUM(N12,N56,N63,N64,N65)</f>
        <v>7925334</v>
      </c>
      <c r="O66" s="399"/>
      <c r="P66" s="399">
        <f>SUM(P12,P56,P63,P64,P65)</f>
        <v>418400</v>
      </c>
      <c r="Q66" s="399">
        <f>SUM(Q12,Q56,Q63,Q64,Q65)</f>
        <v>7506934</v>
      </c>
      <c r="R66" s="399">
        <f>SUM(R12,R56,R63,R64,R65)</f>
        <v>6414884</v>
      </c>
      <c r="S66" s="399">
        <f>SUM(S12,S56,S63,S64,S65)</f>
        <v>1092050</v>
      </c>
    </row>
    <row r="69" spans="1:19">
      <c r="H69" s="44">
        <f>+H12-C12</f>
        <v>-1227520</v>
      </c>
      <c r="I69" s="600">
        <f>100-I12</f>
        <v>30.879297246441709</v>
      </c>
    </row>
    <row r="71" spans="1:19">
      <c r="H71" s="44"/>
    </row>
    <row r="76" spans="1:19">
      <c r="Q76" s="44"/>
    </row>
    <row r="79" spans="1:19">
      <c r="R79" s="44"/>
    </row>
    <row r="80" spans="1:19">
      <c r="R80" s="44"/>
    </row>
  </sheetData>
  <mergeCells count="19">
    <mergeCell ref="H9:H10"/>
    <mergeCell ref="B8:B10"/>
    <mergeCell ref="C8:C10"/>
    <mergeCell ref="A1:B1"/>
    <mergeCell ref="A2:B2"/>
    <mergeCell ref="D9:D10"/>
    <mergeCell ref="A3:B3"/>
    <mergeCell ref="C1:Q1"/>
    <mergeCell ref="C2:Q2"/>
    <mergeCell ref="C3:Q3"/>
    <mergeCell ref="J9:J10"/>
    <mergeCell ref="O9:O10"/>
    <mergeCell ref="P9:P10"/>
    <mergeCell ref="E6:G6"/>
    <mergeCell ref="E7:G7"/>
    <mergeCell ref="N9:N10"/>
    <mergeCell ref="K6:M6"/>
    <mergeCell ref="I9:I10"/>
    <mergeCell ref="A8:A10"/>
  </mergeCells>
  <phoneticPr fontId="2" type="noConversion"/>
  <printOptions horizontalCentered="1"/>
  <pageMargins left="0" right="0" top="0.39370078740157483" bottom="0.39370078740157483" header="0" footer="0"/>
  <pageSetup paperSize="9" orientation="landscape" r:id="rId1"/>
  <headerFooter alignWithMargins="0">
    <oddHeader>&amp;R&amp;10&amp;A</oddHeader>
    <oddFooter>&amp;C&amp;"Tahoma,Regular"&amp;8
&amp;R&amp;9&amp;P/&amp;N</oddFooter>
  </headerFooter>
  <ignoredErrors>
    <ignoredError sqref="O12:O14 Q28 Q46:R46 I56 E28:F28 E21:F21 E34:F34 Q34:R34 O34 J34:M34 I12:I14 E58 O21 Q21:R21 I21 I28 K28 O28 I34 G42 M48 P51 S48" formula="1"/>
    <ignoredError sqref="D34 D13 G58:H58 D58 S58 J58 P58 H28 M58 N13:N14 H21 J21 M21:N21 S21 P21 M28:N28 P28 H34 H13 N34" formulaRange="1"/>
    <ignoredError sqref="K21:L21" formula="1" formulaRange="1"/>
  </ignoredErrors>
  <legacyDrawing r:id="rId2"/>
</worksheet>
</file>

<file path=xl/worksheets/sheet10.xml><?xml version="1.0" encoding="utf-8"?>
<worksheet xmlns="http://schemas.openxmlformats.org/spreadsheetml/2006/main" xmlns:r="http://schemas.openxmlformats.org/officeDocument/2006/relationships">
  <sheetPr codeName="Sheet11">
    <tabColor indexed="8"/>
    <pageSetUpPr fitToPage="1"/>
  </sheetPr>
  <dimension ref="A1:DB42"/>
  <sheetViews>
    <sheetView zoomScale="80" workbookViewId="0">
      <pane xSplit="3" ySplit="7" topLeftCell="J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2.75"/>
  <cols>
    <col min="1" max="1" width="4.375" style="277" bestFit="1" customWidth="1"/>
    <col min="2" max="2" width="43.125" style="277" customWidth="1"/>
    <col min="3" max="3" width="10.625" style="296" customWidth="1"/>
    <col min="4" max="8" width="10.625" style="277" customWidth="1"/>
    <col min="9" max="10" width="8.625" style="277" customWidth="1"/>
    <col min="11" max="16" width="10.625" style="277" customWidth="1"/>
    <col min="17" max="18" width="8.625" style="277" customWidth="1"/>
    <col min="19" max="24" width="10.625" style="277" customWidth="1"/>
    <col min="25" max="26" width="8.625" style="277" customWidth="1"/>
    <col min="27" max="32" width="10.625" style="277" customWidth="1"/>
    <col min="33" max="34" width="8.625" style="277" customWidth="1"/>
    <col min="35" max="40" width="10.625" style="277" customWidth="1"/>
    <col min="41" max="42" width="8.625" style="277" customWidth="1"/>
    <col min="43" max="48" width="10.625" style="277" customWidth="1"/>
    <col min="49" max="50" width="8.625" style="277" customWidth="1"/>
    <col min="51" max="56" width="10.625" style="277" customWidth="1"/>
    <col min="57" max="58" width="8.625" style="277" customWidth="1"/>
    <col min="59" max="64" width="10.625" style="277" customWidth="1"/>
    <col min="65" max="66" width="8.625" style="277" customWidth="1"/>
    <col min="67" max="72" width="10.625" style="277" customWidth="1"/>
    <col min="73" max="74" width="8.625" style="277" customWidth="1"/>
    <col min="75" max="80" width="10.625" style="277" customWidth="1"/>
    <col min="81" max="82" width="8.625" style="277" customWidth="1"/>
    <col min="83" max="88" width="10.625" style="277" customWidth="1"/>
    <col min="89" max="90" width="8.625" style="277" customWidth="1"/>
    <col min="91" max="96" width="10.625" style="277" customWidth="1"/>
    <col min="97" max="98" width="8.625" style="277" customWidth="1"/>
    <col min="99" max="104" width="10.625" style="277" customWidth="1"/>
    <col min="105" max="106" width="8.625" style="277" customWidth="1"/>
    <col min="107" max="16384" width="9" style="277"/>
  </cols>
  <sheetData>
    <row r="1" spans="1:106" ht="22.5" customHeight="1">
      <c r="C1" s="278" t="s">
        <v>884</v>
      </c>
      <c r="D1" s="278"/>
      <c r="E1" s="278"/>
      <c r="F1" s="278"/>
      <c r="G1" s="279"/>
      <c r="H1" s="279"/>
      <c r="I1" s="279"/>
      <c r="J1" s="279"/>
      <c r="K1" s="278" t="s">
        <v>884</v>
      </c>
      <c r="L1" s="278"/>
      <c r="M1" s="280"/>
      <c r="N1" s="280"/>
      <c r="O1" s="280"/>
      <c r="P1" s="280"/>
      <c r="Q1" s="280"/>
      <c r="R1" s="280"/>
      <c r="S1" s="278" t="s">
        <v>884</v>
      </c>
      <c r="T1" s="278"/>
      <c r="U1" s="280"/>
      <c r="V1" s="280"/>
      <c r="W1" s="280"/>
      <c r="X1" s="280"/>
      <c r="Y1" s="280"/>
      <c r="Z1" s="280"/>
      <c r="AA1" s="278" t="s">
        <v>884</v>
      </c>
      <c r="AB1" s="279"/>
      <c r="AC1" s="279"/>
      <c r="AD1" s="279"/>
      <c r="AE1" s="279"/>
      <c r="AF1" s="279"/>
      <c r="AG1" s="279"/>
      <c r="AH1" s="279"/>
      <c r="AI1" s="278" t="s">
        <v>884</v>
      </c>
      <c r="AJ1" s="279"/>
      <c r="AK1" s="279"/>
      <c r="AL1" s="279"/>
      <c r="AM1" s="279"/>
      <c r="AN1" s="279"/>
      <c r="AO1" s="279"/>
      <c r="AP1" s="279"/>
      <c r="AQ1" s="278" t="s">
        <v>884</v>
      </c>
      <c r="AR1" s="279"/>
      <c r="AS1" s="279"/>
      <c r="AT1" s="279"/>
      <c r="AU1" s="279"/>
      <c r="AV1" s="279"/>
      <c r="AW1" s="279"/>
      <c r="AX1" s="279"/>
      <c r="AY1" s="278" t="s">
        <v>884</v>
      </c>
      <c r="AZ1" s="279"/>
      <c r="BA1" s="279"/>
      <c r="BB1" s="279"/>
      <c r="BC1" s="279"/>
      <c r="BD1" s="279"/>
      <c r="BE1" s="279"/>
      <c r="BF1" s="279"/>
      <c r="BG1" s="278" t="s">
        <v>884</v>
      </c>
      <c r="BH1" s="279"/>
      <c r="BI1" s="279"/>
      <c r="BJ1" s="279"/>
      <c r="BK1" s="279"/>
      <c r="BL1" s="279"/>
      <c r="BM1" s="279"/>
      <c r="BN1" s="279"/>
      <c r="BO1" s="278" t="s">
        <v>884</v>
      </c>
      <c r="BP1" s="279"/>
      <c r="BQ1" s="279"/>
      <c r="BR1" s="279"/>
      <c r="BS1" s="279"/>
      <c r="BT1" s="279"/>
      <c r="BU1" s="279"/>
      <c r="BV1" s="279"/>
      <c r="BW1" s="278" t="s">
        <v>884</v>
      </c>
      <c r="BX1" s="279"/>
      <c r="BY1" s="279"/>
      <c r="BZ1" s="279"/>
      <c r="CA1" s="279"/>
      <c r="CB1" s="279"/>
      <c r="CC1" s="279"/>
      <c r="CD1" s="279"/>
      <c r="CE1" s="278" t="s">
        <v>884</v>
      </c>
      <c r="CF1" s="279"/>
      <c r="CG1" s="279"/>
      <c r="CH1" s="279"/>
      <c r="CI1" s="279"/>
      <c r="CJ1" s="279"/>
      <c r="CK1" s="279"/>
      <c r="CL1" s="279"/>
      <c r="CM1" s="278" t="s">
        <v>884</v>
      </c>
      <c r="CN1" s="279"/>
      <c r="CO1" s="279"/>
      <c r="CP1" s="279"/>
      <c r="CQ1" s="279"/>
      <c r="CR1" s="279"/>
      <c r="CS1" s="279"/>
      <c r="CT1" s="279"/>
      <c r="CU1" s="278" t="s">
        <v>884</v>
      </c>
      <c r="CV1" s="279"/>
      <c r="CW1" s="279"/>
      <c r="CX1" s="279"/>
      <c r="CY1" s="279"/>
      <c r="CZ1" s="279"/>
      <c r="DA1" s="279"/>
      <c r="DB1" s="279"/>
    </row>
    <row r="2" spans="1:106" s="281" customFormat="1" ht="18" customHeight="1" thickBot="1">
      <c r="B2" s="282"/>
      <c r="C2" s="283"/>
      <c r="D2" s="282"/>
      <c r="E2" s="282"/>
      <c r="F2" s="282"/>
      <c r="G2" s="282"/>
      <c r="H2" s="282"/>
      <c r="J2" s="284" t="s">
        <v>766</v>
      </c>
      <c r="Q2" s="284"/>
      <c r="R2" s="284" t="s">
        <v>766</v>
      </c>
      <c r="Y2" s="284"/>
      <c r="Z2" s="284" t="s">
        <v>766</v>
      </c>
      <c r="AG2" s="284"/>
      <c r="AH2" s="284" t="s">
        <v>766</v>
      </c>
      <c r="AO2" s="284"/>
      <c r="AP2" s="284" t="s">
        <v>766</v>
      </c>
      <c r="AW2" s="284"/>
      <c r="AX2" s="284" t="s">
        <v>766</v>
      </c>
      <c r="BE2" s="284"/>
      <c r="BF2" s="284" t="s">
        <v>766</v>
      </c>
      <c r="BM2" s="284"/>
      <c r="BN2" s="284" t="s">
        <v>766</v>
      </c>
      <c r="BU2" s="284"/>
      <c r="BV2" s="284" t="s">
        <v>766</v>
      </c>
      <c r="CC2" s="284"/>
      <c r="CD2" s="284" t="s">
        <v>766</v>
      </c>
      <c r="CK2" s="284"/>
      <c r="CL2" s="284" t="s">
        <v>766</v>
      </c>
      <c r="CS2" s="284"/>
      <c r="CT2" s="284" t="s">
        <v>766</v>
      </c>
      <c r="DB2" s="284" t="s">
        <v>766</v>
      </c>
    </row>
    <row r="3" spans="1:106" s="285" customFormat="1" ht="21" customHeight="1">
      <c r="A3" s="719" t="s">
        <v>769</v>
      </c>
      <c r="B3" s="721" t="s">
        <v>493</v>
      </c>
      <c r="C3" s="728" t="s">
        <v>770</v>
      </c>
      <c r="D3" s="729"/>
      <c r="E3" s="729"/>
      <c r="F3" s="729"/>
      <c r="G3" s="729"/>
      <c r="H3" s="729"/>
      <c r="I3" s="729"/>
      <c r="J3" s="730"/>
      <c r="K3" s="728" t="s">
        <v>831</v>
      </c>
      <c r="L3" s="729"/>
      <c r="M3" s="729"/>
      <c r="N3" s="729"/>
      <c r="O3" s="729"/>
      <c r="P3" s="729"/>
      <c r="Q3" s="729"/>
      <c r="R3" s="730"/>
      <c r="S3" s="728" t="s">
        <v>494</v>
      </c>
      <c r="T3" s="729"/>
      <c r="U3" s="729"/>
      <c r="V3" s="729"/>
      <c r="W3" s="729"/>
      <c r="X3" s="729"/>
      <c r="Y3" s="729"/>
      <c r="Z3" s="730"/>
      <c r="AA3" s="728" t="s">
        <v>833</v>
      </c>
      <c r="AB3" s="729"/>
      <c r="AC3" s="729"/>
      <c r="AD3" s="729"/>
      <c r="AE3" s="729"/>
      <c r="AF3" s="729"/>
      <c r="AG3" s="729"/>
      <c r="AH3" s="730"/>
      <c r="AI3" s="728" t="s">
        <v>834</v>
      </c>
      <c r="AJ3" s="729"/>
      <c r="AK3" s="729"/>
      <c r="AL3" s="729"/>
      <c r="AM3" s="729"/>
      <c r="AN3" s="729"/>
      <c r="AO3" s="729"/>
      <c r="AP3" s="730"/>
      <c r="AQ3" s="728" t="s">
        <v>495</v>
      </c>
      <c r="AR3" s="729"/>
      <c r="AS3" s="729"/>
      <c r="AT3" s="729"/>
      <c r="AU3" s="729"/>
      <c r="AV3" s="729"/>
      <c r="AW3" s="729"/>
      <c r="AX3" s="730"/>
      <c r="AY3" s="728" t="s">
        <v>496</v>
      </c>
      <c r="AZ3" s="729"/>
      <c r="BA3" s="729"/>
      <c r="BB3" s="729"/>
      <c r="BC3" s="729"/>
      <c r="BD3" s="729"/>
      <c r="BE3" s="729"/>
      <c r="BF3" s="730"/>
      <c r="BG3" s="728" t="s">
        <v>497</v>
      </c>
      <c r="BH3" s="729"/>
      <c r="BI3" s="729"/>
      <c r="BJ3" s="729"/>
      <c r="BK3" s="729"/>
      <c r="BL3" s="729"/>
      <c r="BM3" s="729"/>
      <c r="BN3" s="730"/>
      <c r="BO3" s="728" t="s">
        <v>838</v>
      </c>
      <c r="BP3" s="729"/>
      <c r="BQ3" s="729"/>
      <c r="BR3" s="729"/>
      <c r="BS3" s="729"/>
      <c r="BT3" s="729"/>
      <c r="BU3" s="729"/>
      <c r="BV3" s="730"/>
      <c r="BW3" s="728" t="s">
        <v>839</v>
      </c>
      <c r="BX3" s="729"/>
      <c r="BY3" s="729"/>
      <c r="BZ3" s="729"/>
      <c r="CA3" s="729"/>
      <c r="CB3" s="729"/>
      <c r="CC3" s="729"/>
      <c r="CD3" s="730"/>
      <c r="CE3" s="728" t="s">
        <v>840</v>
      </c>
      <c r="CF3" s="729"/>
      <c r="CG3" s="729"/>
      <c r="CH3" s="729"/>
      <c r="CI3" s="729"/>
      <c r="CJ3" s="729"/>
      <c r="CK3" s="729"/>
      <c r="CL3" s="730"/>
      <c r="CM3" s="728" t="s">
        <v>196</v>
      </c>
      <c r="CN3" s="729"/>
      <c r="CO3" s="729"/>
      <c r="CP3" s="729"/>
      <c r="CQ3" s="729"/>
      <c r="CR3" s="729"/>
      <c r="CS3" s="729"/>
      <c r="CT3" s="730"/>
      <c r="CU3" s="728" t="s">
        <v>841</v>
      </c>
      <c r="CV3" s="729"/>
      <c r="CW3" s="729"/>
      <c r="CX3" s="729"/>
      <c r="CY3" s="729"/>
      <c r="CZ3" s="729"/>
      <c r="DA3" s="729"/>
      <c r="DB3" s="731"/>
    </row>
    <row r="4" spans="1:106" s="286" customFormat="1" ht="24.95" customHeight="1">
      <c r="A4" s="720"/>
      <c r="B4" s="722"/>
      <c r="C4" s="723" t="s">
        <v>885</v>
      </c>
      <c r="D4" s="724"/>
      <c r="E4" s="725"/>
      <c r="F4" s="723" t="s">
        <v>886</v>
      </c>
      <c r="G4" s="724"/>
      <c r="H4" s="725"/>
      <c r="I4" s="726" t="s">
        <v>887</v>
      </c>
      <c r="J4" s="726" t="s">
        <v>888</v>
      </c>
      <c r="K4" s="723" t="s">
        <v>885</v>
      </c>
      <c r="L4" s="724"/>
      <c r="M4" s="725"/>
      <c r="N4" s="723" t="s">
        <v>886</v>
      </c>
      <c r="O4" s="724"/>
      <c r="P4" s="725"/>
      <c r="Q4" s="726" t="s">
        <v>887</v>
      </c>
      <c r="R4" s="726" t="s">
        <v>888</v>
      </c>
      <c r="S4" s="723" t="s">
        <v>885</v>
      </c>
      <c r="T4" s="724"/>
      <c r="U4" s="725"/>
      <c r="V4" s="723" t="s">
        <v>886</v>
      </c>
      <c r="W4" s="724"/>
      <c r="X4" s="725"/>
      <c r="Y4" s="726" t="s">
        <v>887</v>
      </c>
      <c r="Z4" s="726" t="s">
        <v>888</v>
      </c>
      <c r="AA4" s="723" t="s">
        <v>885</v>
      </c>
      <c r="AB4" s="724"/>
      <c r="AC4" s="725"/>
      <c r="AD4" s="723" t="s">
        <v>886</v>
      </c>
      <c r="AE4" s="724"/>
      <c r="AF4" s="725"/>
      <c r="AG4" s="726" t="s">
        <v>887</v>
      </c>
      <c r="AH4" s="726" t="s">
        <v>888</v>
      </c>
      <c r="AI4" s="723" t="s">
        <v>885</v>
      </c>
      <c r="AJ4" s="724"/>
      <c r="AK4" s="725"/>
      <c r="AL4" s="723" t="s">
        <v>886</v>
      </c>
      <c r="AM4" s="724"/>
      <c r="AN4" s="725"/>
      <c r="AO4" s="726" t="s">
        <v>887</v>
      </c>
      <c r="AP4" s="726" t="s">
        <v>888</v>
      </c>
      <c r="AQ4" s="723" t="s">
        <v>885</v>
      </c>
      <c r="AR4" s="724"/>
      <c r="AS4" s="725"/>
      <c r="AT4" s="723" t="s">
        <v>886</v>
      </c>
      <c r="AU4" s="724"/>
      <c r="AV4" s="725"/>
      <c r="AW4" s="726" t="s">
        <v>887</v>
      </c>
      <c r="AX4" s="726" t="s">
        <v>888</v>
      </c>
      <c r="AY4" s="723" t="s">
        <v>885</v>
      </c>
      <c r="AZ4" s="724"/>
      <c r="BA4" s="725"/>
      <c r="BB4" s="723" t="s">
        <v>886</v>
      </c>
      <c r="BC4" s="724"/>
      <c r="BD4" s="725"/>
      <c r="BE4" s="726" t="s">
        <v>887</v>
      </c>
      <c r="BF4" s="726" t="s">
        <v>888</v>
      </c>
      <c r="BG4" s="723" t="s">
        <v>885</v>
      </c>
      <c r="BH4" s="724"/>
      <c r="BI4" s="725"/>
      <c r="BJ4" s="723" t="s">
        <v>886</v>
      </c>
      <c r="BK4" s="724"/>
      <c r="BL4" s="725"/>
      <c r="BM4" s="726" t="s">
        <v>887</v>
      </c>
      <c r="BN4" s="726" t="s">
        <v>888</v>
      </c>
      <c r="BO4" s="723" t="s">
        <v>885</v>
      </c>
      <c r="BP4" s="724"/>
      <c r="BQ4" s="725"/>
      <c r="BR4" s="723" t="s">
        <v>886</v>
      </c>
      <c r="BS4" s="724"/>
      <c r="BT4" s="725"/>
      <c r="BU4" s="726" t="s">
        <v>887</v>
      </c>
      <c r="BV4" s="726" t="s">
        <v>888</v>
      </c>
      <c r="BW4" s="723" t="s">
        <v>885</v>
      </c>
      <c r="BX4" s="724"/>
      <c r="BY4" s="725"/>
      <c r="BZ4" s="723" t="s">
        <v>886</v>
      </c>
      <c r="CA4" s="724"/>
      <c r="CB4" s="725"/>
      <c r="CC4" s="726" t="s">
        <v>887</v>
      </c>
      <c r="CD4" s="726" t="s">
        <v>888</v>
      </c>
      <c r="CE4" s="723" t="s">
        <v>885</v>
      </c>
      <c r="CF4" s="724"/>
      <c r="CG4" s="725"/>
      <c r="CH4" s="723" t="s">
        <v>886</v>
      </c>
      <c r="CI4" s="724"/>
      <c r="CJ4" s="725"/>
      <c r="CK4" s="726" t="s">
        <v>887</v>
      </c>
      <c r="CL4" s="726" t="s">
        <v>888</v>
      </c>
      <c r="CM4" s="723" t="s">
        <v>885</v>
      </c>
      <c r="CN4" s="724"/>
      <c r="CO4" s="725"/>
      <c r="CP4" s="723" t="s">
        <v>886</v>
      </c>
      <c r="CQ4" s="724"/>
      <c r="CR4" s="725"/>
      <c r="CS4" s="726" t="s">
        <v>887</v>
      </c>
      <c r="CT4" s="726" t="s">
        <v>888</v>
      </c>
      <c r="CU4" s="723" t="s">
        <v>885</v>
      </c>
      <c r="CV4" s="724"/>
      <c r="CW4" s="725"/>
      <c r="CX4" s="723" t="s">
        <v>886</v>
      </c>
      <c r="CY4" s="724"/>
      <c r="CZ4" s="725"/>
      <c r="DA4" s="726" t="s">
        <v>887</v>
      </c>
      <c r="DB4" s="726" t="s">
        <v>888</v>
      </c>
    </row>
    <row r="5" spans="1:106" s="286" customFormat="1" ht="116.25" customHeight="1">
      <c r="A5" s="720"/>
      <c r="B5" s="722"/>
      <c r="C5" s="287" t="s">
        <v>621</v>
      </c>
      <c r="D5" s="287" t="s">
        <v>902</v>
      </c>
      <c r="E5" s="287" t="s">
        <v>903</v>
      </c>
      <c r="F5" s="287" t="s">
        <v>621</v>
      </c>
      <c r="G5" s="287" t="s">
        <v>904</v>
      </c>
      <c r="H5" s="287" t="s">
        <v>621</v>
      </c>
      <c r="I5" s="727"/>
      <c r="J5" s="727"/>
      <c r="K5" s="287" t="s">
        <v>621</v>
      </c>
      <c r="L5" s="287" t="s">
        <v>902</v>
      </c>
      <c r="M5" s="287" t="s">
        <v>903</v>
      </c>
      <c r="N5" s="287" t="s">
        <v>621</v>
      </c>
      <c r="O5" s="287" t="s">
        <v>904</v>
      </c>
      <c r="P5" s="287" t="s">
        <v>621</v>
      </c>
      <c r="Q5" s="727"/>
      <c r="R5" s="727"/>
      <c r="S5" s="287" t="s">
        <v>621</v>
      </c>
      <c r="T5" s="287" t="s">
        <v>902</v>
      </c>
      <c r="U5" s="287" t="s">
        <v>903</v>
      </c>
      <c r="V5" s="287" t="s">
        <v>621</v>
      </c>
      <c r="W5" s="287" t="s">
        <v>904</v>
      </c>
      <c r="X5" s="287" t="s">
        <v>621</v>
      </c>
      <c r="Y5" s="727"/>
      <c r="Z5" s="727"/>
      <c r="AA5" s="287" t="s">
        <v>621</v>
      </c>
      <c r="AB5" s="287" t="s">
        <v>902</v>
      </c>
      <c r="AC5" s="287" t="s">
        <v>903</v>
      </c>
      <c r="AD5" s="287" t="s">
        <v>621</v>
      </c>
      <c r="AE5" s="287" t="s">
        <v>904</v>
      </c>
      <c r="AF5" s="287" t="s">
        <v>621</v>
      </c>
      <c r="AG5" s="727"/>
      <c r="AH5" s="727"/>
      <c r="AI5" s="287" t="s">
        <v>621</v>
      </c>
      <c r="AJ5" s="287" t="s">
        <v>902</v>
      </c>
      <c r="AK5" s="287" t="s">
        <v>903</v>
      </c>
      <c r="AL5" s="287" t="s">
        <v>621</v>
      </c>
      <c r="AM5" s="287" t="s">
        <v>904</v>
      </c>
      <c r="AN5" s="287" t="s">
        <v>621</v>
      </c>
      <c r="AO5" s="727"/>
      <c r="AP5" s="727"/>
      <c r="AQ5" s="287" t="s">
        <v>621</v>
      </c>
      <c r="AR5" s="287" t="s">
        <v>902</v>
      </c>
      <c r="AS5" s="287" t="s">
        <v>903</v>
      </c>
      <c r="AT5" s="287" t="s">
        <v>621</v>
      </c>
      <c r="AU5" s="287" t="s">
        <v>904</v>
      </c>
      <c r="AV5" s="287" t="s">
        <v>621</v>
      </c>
      <c r="AW5" s="727"/>
      <c r="AX5" s="727"/>
      <c r="AY5" s="287" t="s">
        <v>621</v>
      </c>
      <c r="AZ5" s="287" t="s">
        <v>902</v>
      </c>
      <c r="BA5" s="287" t="s">
        <v>903</v>
      </c>
      <c r="BB5" s="287" t="s">
        <v>621</v>
      </c>
      <c r="BC5" s="287" t="s">
        <v>904</v>
      </c>
      <c r="BD5" s="287" t="s">
        <v>621</v>
      </c>
      <c r="BE5" s="727"/>
      <c r="BF5" s="727"/>
      <c r="BG5" s="287" t="s">
        <v>621</v>
      </c>
      <c r="BH5" s="287" t="s">
        <v>902</v>
      </c>
      <c r="BI5" s="287" t="s">
        <v>903</v>
      </c>
      <c r="BJ5" s="287" t="s">
        <v>621</v>
      </c>
      <c r="BK5" s="287" t="s">
        <v>904</v>
      </c>
      <c r="BL5" s="287" t="s">
        <v>621</v>
      </c>
      <c r="BM5" s="727"/>
      <c r="BN5" s="727"/>
      <c r="BO5" s="287" t="s">
        <v>621</v>
      </c>
      <c r="BP5" s="287" t="s">
        <v>902</v>
      </c>
      <c r="BQ5" s="287" t="s">
        <v>903</v>
      </c>
      <c r="BR5" s="287" t="s">
        <v>621</v>
      </c>
      <c r="BS5" s="287" t="s">
        <v>904</v>
      </c>
      <c r="BT5" s="287" t="s">
        <v>621</v>
      </c>
      <c r="BU5" s="727"/>
      <c r="BV5" s="727"/>
      <c r="BW5" s="287" t="s">
        <v>621</v>
      </c>
      <c r="BX5" s="287" t="s">
        <v>902</v>
      </c>
      <c r="BY5" s="287" t="s">
        <v>903</v>
      </c>
      <c r="BZ5" s="287" t="s">
        <v>621</v>
      </c>
      <c r="CA5" s="287" t="s">
        <v>904</v>
      </c>
      <c r="CB5" s="287" t="s">
        <v>621</v>
      </c>
      <c r="CC5" s="727"/>
      <c r="CD5" s="727"/>
      <c r="CE5" s="287" t="s">
        <v>621</v>
      </c>
      <c r="CF5" s="287" t="s">
        <v>902</v>
      </c>
      <c r="CG5" s="287" t="s">
        <v>903</v>
      </c>
      <c r="CH5" s="287" t="s">
        <v>621</v>
      </c>
      <c r="CI5" s="287" t="s">
        <v>904</v>
      </c>
      <c r="CJ5" s="287" t="s">
        <v>621</v>
      </c>
      <c r="CK5" s="727"/>
      <c r="CL5" s="727"/>
      <c r="CM5" s="287" t="s">
        <v>621</v>
      </c>
      <c r="CN5" s="287" t="s">
        <v>902</v>
      </c>
      <c r="CO5" s="287" t="s">
        <v>903</v>
      </c>
      <c r="CP5" s="287" t="s">
        <v>621</v>
      </c>
      <c r="CQ5" s="287" t="s">
        <v>904</v>
      </c>
      <c r="CR5" s="287" t="s">
        <v>621</v>
      </c>
      <c r="CS5" s="727"/>
      <c r="CT5" s="727"/>
      <c r="CU5" s="287" t="s">
        <v>621</v>
      </c>
      <c r="CV5" s="287" t="s">
        <v>902</v>
      </c>
      <c r="CW5" s="287" t="s">
        <v>903</v>
      </c>
      <c r="CX5" s="287" t="s">
        <v>621</v>
      </c>
      <c r="CY5" s="287" t="s">
        <v>904</v>
      </c>
      <c r="CZ5" s="287" t="s">
        <v>621</v>
      </c>
      <c r="DA5" s="727"/>
      <c r="DB5" s="727"/>
    </row>
    <row r="6" spans="1:106" s="291" customFormat="1">
      <c r="A6" s="288" t="s">
        <v>639</v>
      </c>
      <c r="B6" s="289" t="s">
        <v>657</v>
      </c>
      <c r="C6" s="290">
        <v>1</v>
      </c>
      <c r="D6" s="290">
        <f>C6+1</f>
        <v>2</v>
      </c>
      <c r="E6" s="290">
        <v>3</v>
      </c>
      <c r="F6" s="290">
        <v>4</v>
      </c>
      <c r="G6" s="290">
        <v>5</v>
      </c>
      <c r="H6" s="290">
        <v>6</v>
      </c>
      <c r="I6" s="289" t="s">
        <v>596</v>
      </c>
      <c r="J6" s="289" t="s">
        <v>597</v>
      </c>
      <c r="K6" s="290">
        <v>1</v>
      </c>
      <c r="L6" s="290">
        <f>K6+1</f>
        <v>2</v>
      </c>
      <c r="M6" s="290">
        <v>3</v>
      </c>
      <c r="N6" s="290">
        <v>4</v>
      </c>
      <c r="O6" s="290">
        <v>5</v>
      </c>
      <c r="P6" s="290">
        <v>6</v>
      </c>
      <c r="Q6" s="289" t="s">
        <v>596</v>
      </c>
      <c r="R6" s="289" t="s">
        <v>597</v>
      </c>
      <c r="S6" s="290">
        <v>1</v>
      </c>
      <c r="T6" s="290">
        <f>S6+1</f>
        <v>2</v>
      </c>
      <c r="U6" s="290">
        <v>3</v>
      </c>
      <c r="V6" s="290">
        <v>4</v>
      </c>
      <c r="W6" s="290">
        <v>5</v>
      </c>
      <c r="X6" s="290">
        <v>6</v>
      </c>
      <c r="Y6" s="289" t="s">
        <v>596</v>
      </c>
      <c r="Z6" s="289" t="s">
        <v>597</v>
      </c>
      <c r="AA6" s="290">
        <v>1</v>
      </c>
      <c r="AB6" s="290">
        <f>AA6+1</f>
        <v>2</v>
      </c>
      <c r="AC6" s="290">
        <v>3</v>
      </c>
      <c r="AD6" s="290">
        <v>4</v>
      </c>
      <c r="AE6" s="290">
        <v>5</v>
      </c>
      <c r="AF6" s="290">
        <v>6</v>
      </c>
      <c r="AG6" s="289" t="s">
        <v>596</v>
      </c>
      <c r="AH6" s="289" t="s">
        <v>597</v>
      </c>
      <c r="AI6" s="290">
        <v>1</v>
      </c>
      <c r="AJ6" s="290">
        <f>AI6+1</f>
        <v>2</v>
      </c>
      <c r="AK6" s="290">
        <v>3</v>
      </c>
      <c r="AL6" s="290">
        <v>4</v>
      </c>
      <c r="AM6" s="290">
        <v>5</v>
      </c>
      <c r="AN6" s="290">
        <v>6</v>
      </c>
      <c r="AO6" s="289" t="s">
        <v>596</v>
      </c>
      <c r="AP6" s="289" t="s">
        <v>597</v>
      </c>
      <c r="AQ6" s="290">
        <v>1</v>
      </c>
      <c r="AR6" s="290">
        <f>AQ6+1</f>
        <v>2</v>
      </c>
      <c r="AS6" s="290">
        <v>3</v>
      </c>
      <c r="AT6" s="290">
        <v>4</v>
      </c>
      <c r="AU6" s="290">
        <v>5</v>
      </c>
      <c r="AV6" s="290">
        <v>6</v>
      </c>
      <c r="AW6" s="289" t="s">
        <v>596</v>
      </c>
      <c r="AX6" s="289" t="s">
        <v>597</v>
      </c>
      <c r="AY6" s="290">
        <v>1</v>
      </c>
      <c r="AZ6" s="290">
        <f>AY6+1</f>
        <v>2</v>
      </c>
      <c r="BA6" s="290">
        <v>3</v>
      </c>
      <c r="BB6" s="290">
        <v>4</v>
      </c>
      <c r="BC6" s="290">
        <v>5</v>
      </c>
      <c r="BD6" s="290">
        <v>6</v>
      </c>
      <c r="BE6" s="289" t="s">
        <v>596</v>
      </c>
      <c r="BF6" s="289" t="s">
        <v>597</v>
      </c>
      <c r="BG6" s="290">
        <v>1</v>
      </c>
      <c r="BH6" s="290">
        <f>BG6+1</f>
        <v>2</v>
      </c>
      <c r="BI6" s="290">
        <v>3</v>
      </c>
      <c r="BJ6" s="290">
        <v>4</v>
      </c>
      <c r="BK6" s="290">
        <v>5</v>
      </c>
      <c r="BL6" s="290">
        <v>6</v>
      </c>
      <c r="BM6" s="289" t="s">
        <v>596</v>
      </c>
      <c r="BN6" s="289" t="s">
        <v>597</v>
      </c>
      <c r="BO6" s="290">
        <v>1</v>
      </c>
      <c r="BP6" s="290">
        <f>BO6+1</f>
        <v>2</v>
      </c>
      <c r="BQ6" s="290">
        <v>3</v>
      </c>
      <c r="BR6" s="290">
        <v>4</v>
      </c>
      <c r="BS6" s="290">
        <v>5</v>
      </c>
      <c r="BT6" s="290">
        <v>6</v>
      </c>
      <c r="BU6" s="289" t="s">
        <v>596</v>
      </c>
      <c r="BV6" s="289" t="s">
        <v>597</v>
      </c>
      <c r="BW6" s="290">
        <v>1</v>
      </c>
      <c r="BX6" s="290">
        <f>BW6+1</f>
        <v>2</v>
      </c>
      <c r="BY6" s="290">
        <v>3</v>
      </c>
      <c r="BZ6" s="290">
        <v>4</v>
      </c>
      <c r="CA6" s="290">
        <v>5</v>
      </c>
      <c r="CB6" s="290">
        <v>6</v>
      </c>
      <c r="CC6" s="289" t="s">
        <v>596</v>
      </c>
      <c r="CD6" s="289" t="s">
        <v>597</v>
      </c>
      <c r="CE6" s="290">
        <v>1</v>
      </c>
      <c r="CF6" s="290">
        <f>CE6+1</f>
        <v>2</v>
      </c>
      <c r="CG6" s="290">
        <v>3</v>
      </c>
      <c r="CH6" s="290">
        <v>4</v>
      </c>
      <c r="CI6" s="290">
        <v>5</v>
      </c>
      <c r="CJ6" s="290">
        <v>6</v>
      </c>
      <c r="CK6" s="289" t="s">
        <v>596</v>
      </c>
      <c r="CL6" s="289" t="s">
        <v>597</v>
      </c>
      <c r="CM6" s="290">
        <v>1</v>
      </c>
      <c r="CN6" s="290">
        <f>CM6+1</f>
        <v>2</v>
      </c>
      <c r="CO6" s="290">
        <v>3</v>
      </c>
      <c r="CP6" s="290">
        <v>4</v>
      </c>
      <c r="CQ6" s="290">
        <v>5</v>
      </c>
      <c r="CR6" s="290">
        <v>6</v>
      </c>
      <c r="CS6" s="289" t="s">
        <v>596</v>
      </c>
      <c r="CT6" s="289" t="s">
        <v>597</v>
      </c>
      <c r="CU6" s="290">
        <v>1</v>
      </c>
      <c r="CV6" s="290">
        <f>CU6+1</f>
        <v>2</v>
      </c>
      <c r="CW6" s="290">
        <v>3</v>
      </c>
      <c r="CX6" s="290">
        <v>4</v>
      </c>
      <c r="CY6" s="290">
        <v>5</v>
      </c>
      <c r="CZ6" s="290">
        <v>6</v>
      </c>
      <c r="DA6" s="289" t="s">
        <v>596</v>
      </c>
      <c r="DB6" s="383" t="s">
        <v>597</v>
      </c>
    </row>
    <row r="7" spans="1:106" s="292" customFormat="1" ht="18.95" customHeight="1">
      <c r="A7" s="547" t="s">
        <v>641</v>
      </c>
      <c r="B7" s="548" t="s">
        <v>498</v>
      </c>
      <c r="C7" s="549">
        <f>SUM(C8:C14)</f>
        <v>4102970</v>
      </c>
      <c r="D7" s="550"/>
      <c r="E7" s="549">
        <f>SUM(E8:E14)</f>
        <v>3971463</v>
      </c>
      <c r="F7" s="549">
        <f>SUM(F8:F14)</f>
        <v>4177521</v>
      </c>
      <c r="G7" s="550">
        <f>SUM(G8:G12)</f>
        <v>0</v>
      </c>
      <c r="H7" s="549">
        <f>SUM(H8:H14)</f>
        <v>4177521</v>
      </c>
      <c r="I7" s="551">
        <f>IF(C7=0,0,F7/C7%)</f>
        <v>101.81700085547787</v>
      </c>
      <c r="J7" s="549">
        <f>F7-C7</f>
        <v>74551</v>
      </c>
      <c r="K7" s="549">
        <f>SUM(K8:K14)</f>
        <v>318295</v>
      </c>
      <c r="L7" s="549"/>
      <c r="M7" s="549">
        <f>SUM(M8:M14)</f>
        <v>315295</v>
      </c>
      <c r="N7" s="549">
        <f>SUM(N8:N14)</f>
        <v>328855</v>
      </c>
      <c r="O7" s="549"/>
      <c r="P7" s="549">
        <f>SUM(P8:P14)</f>
        <v>328855</v>
      </c>
      <c r="Q7" s="551">
        <f>IF(K7=0,0,N7/K7%)</f>
        <v>103.31767699775367</v>
      </c>
      <c r="R7" s="549">
        <f t="shared" ref="R7:R17" si="0">N7-K7</f>
        <v>10560</v>
      </c>
      <c r="S7" s="549">
        <f>SUM(S8:S14)</f>
        <v>246200</v>
      </c>
      <c r="T7" s="549"/>
      <c r="U7" s="549">
        <f>SUM(U8:U14)</f>
        <v>221200</v>
      </c>
      <c r="V7" s="549">
        <f>SUM(V8:V14)</f>
        <v>236680</v>
      </c>
      <c r="W7" s="550"/>
      <c r="X7" s="549">
        <f>SUM(X8:X14)</f>
        <v>236680</v>
      </c>
      <c r="Y7" s="551">
        <f>IF(S7=0,0,V7/S7%)</f>
        <v>96.133225020308686</v>
      </c>
      <c r="Z7" s="549">
        <f>V7-S7</f>
        <v>-9520</v>
      </c>
      <c r="AA7" s="549">
        <f>SUM(AA8:AA14)</f>
        <v>286345</v>
      </c>
      <c r="AB7" s="549"/>
      <c r="AC7" s="549">
        <f>SUM(AC8:AC14)</f>
        <v>283350</v>
      </c>
      <c r="AD7" s="549">
        <f>SUM(AD8:AD14)</f>
        <v>302155</v>
      </c>
      <c r="AE7" s="550"/>
      <c r="AF7" s="549">
        <f>SUM(AF8:AF14)</f>
        <v>302155</v>
      </c>
      <c r="AG7" s="551">
        <f>IF(AA7=0,0,AD7/AA7%)</f>
        <v>105.52131170441251</v>
      </c>
      <c r="AH7" s="549">
        <f>AD7-AA7</f>
        <v>15810</v>
      </c>
      <c r="AI7" s="549">
        <f>SUM(AI8:AI14)</f>
        <v>271235</v>
      </c>
      <c r="AJ7" s="549"/>
      <c r="AK7" s="549">
        <f>SUM(AK8:AK14)</f>
        <v>266235</v>
      </c>
      <c r="AL7" s="549">
        <f>SUM(AL8:AL14)</f>
        <v>283470</v>
      </c>
      <c r="AM7" s="550"/>
      <c r="AN7" s="549">
        <f>SUM(AN8:AN14)</f>
        <v>283470</v>
      </c>
      <c r="AO7" s="551">
        <f>IF(AI7=0,0,AL7/AI7%)</f>
        <v>104.51084852618578</v>
      </c>
      <c r="AP7" s="549">
        <f>AL7-AI7</f>
        <v>12235</v>
      </c>
      <c r="AQ7" s="549">
        <f>SUM(AQ8:AQ14)</f>
        <v>330450</v>
      </c>
      <c r="AR7" s="549"/>
      <c r="AS7" s="549">
        <f>SUM(AS8:AS14)</f>
        <v>336412</v>
      </c>
      <c r="AT7" s="549">
        <f>SUM(AT8:AT14)</f>
        <v>358235</v>
      </c>
      <c r="AU7" s="550"/>
      <c r="AV7" s="549">
        <f>SUM(AV8:AV14)</f>
        <v>358235</v>
      </c>
      <c r="AW7" s="551">
        <f>IF(AQ7=0,0,AT7/AQ7%)</f>
        <v>108.40823119987895</v>
      </c>
      <c r="AX7" s="549">
        <f>AT7-AQ7</f>
        <v>27785</v>
      </c>
      <c r="AY7" s="549">
        <f>SUM(AY8:AY14)</f>
        <v>390830</v>
      </c>
      <c r="AZ7" s="549"/>
      <c r="BA7" s="549">
        <f>SUM(BA8:BA14)</f>
        <v>344830</v>
      </c>
      <c r="BB7" s="549">
        <f>SUM(BB8:BB14)</f>
        <v>362790</v>
      </c>
      <c r="BC7" s="549"/>
      <c r="BD7" s="549">
        <f>SUM(BD8:BD14)</f>
        <v>362790</v>
      </c>
      <c r="BE7" s="551">
        <f>IF(AY7=0,0,BB7/AY7%)</f>
        <v>92.825525164393724</v>
      </c>
      <c r="BF7" s="549">
        <f>BB7-AY7</f>
        <v>-28040</v>
      </c>
      <c r="BG7" s="549">
        <f>SUM(BG8:BG14)</f>
        <v>441545</v>
      </c>
      <c r="BH7" s="549"/>
      <c r="BI7" s="549">
        <f>SUM(BI8:BI14)</f>
        <v>421545</v>
      </c>
      <c r="BJ7" s="549">
        <f>SUM(BJ8:BJ14)</f>
        <v>460728</v>
      </c>
      <c r="BK7" s="550"/>
      <c r="BL7" s="549">
        <f>SUM(BL8:BL14)</f>
        <v>460728</v>
      </c>
      <c r="BM7" s="551">
        <f>IF(BG7=0,0,BJ7/BG7%)</f>
        <v>104.34451754634296</v>
      </c>
      <c r="BN7" s="549">
        <f>BJ7-BG7</f>
        <v>19183</v>
      </c>
      <c r="BO7" s="549">
        <f>SUM(BO8:BO14)</f>
        <v>363955</v>
      </c>
      <c r="BP7" s="549"/>
      <c r="BQ7" s="549">
        <f>SUM(BQ8:BQ14)</f>
        <v>352481</v>
      </c>
      <c r="BR7" s="549">
        <f>SUM(BR8:BR14)</f>
        <v>382169</v>
      </c>
      <c r="BS7" s="550"/>
      <c r="BT7" s="549">
        <f>SUM(BT8:BT14)</f>
        <v>382169</v>
      </c>
      <c r="BU7" s="551">
        <f>IF(BO7=0,0,BR7/BO7%)</f>
        <v>105.00446483768597</v>
      </c>
      <c r="BV7" s="549">
        <f>BR7-BO7</f>
        <v>18214</v>
      </c>
      <c r="BW7" s="549">
        <f>SUM(BW8:BW14)</f>
        <v>416275</v>
      </c>
      <c r="BX7" s="549"/>
      <c r="BY7" s="549">
        <f>SUM(BY8:BY14)</f>
        <v>401275</v>
      </c>
      <c r="BZ7" s="549">
        <f>SUM(BZ8:BZ14)</f>
        <v>412180</v>
      </c>
      <c r="CA7" s="550"/>
      <c r="CB7" s="549">
        <f>SUM(CB8:CB14)</f>
        <v>412180</v>
      </c>
      <c r="CC7" s="551">
        <f>IF(BW7=0,0,BZ7/BW7%)</f>
        <v>99.016275298780855</v>
      </c>
      <c r="CD7" s="549">
        <f>BZ7-BW7</f>
        <v>-4095</v>
      </c>
      <c r="CE7" s="549">
        <f>SUM(CE8:CE14)</f>
        <v>325830</v>
      </c>
      <c r="CF7" s="549"/>
      <c r="CG7" s="549">
        <f>SUM(CG8:CG14)</f>
        <v>319830</v>
      </c>
      <c r="CH7" s="549">
        <f>SUM(CH8:CH14)</f>
        <v>329214</v>
      </c>
      <c r="CI7" s="550"/>
      <c r="CJ7" s="549">
        <f>SUM(CJ8:CJ14)</f>
        <v>329214</v>
      </c>
      <c r="CK7" s="551">
        <f>IF(CE7=0,0,CH7/CE7%)</f>
        <v>101.03857839977903</v>
      </c>
      <c r="CL7" s="549">
        <f>CH7-CE7</f>
        <v>3384</v>
      </c>
      <c r="CM7" s="549">
        <f>SUM(CM8:CM14)</f>
        <v>387790</v>
      </c>
      <c r="CN7" s="549"/>
      <c r="CO7" s="549">
        <f>SUM(CO8:CO14)</f>
        <v>384790</v>
      </c>
      <c r="CP7" s="549">
        <f>SUM(CP8:CP14)</f>
        <v>391445</v>
      </c>
      <c r="CQ7" s="549"/>
      <c r="CR7" s="549">
        <f>SUM(CR8:CR14)</f>
        <v>391445</v>
      </c>
      <c r="CS7" s="551">
        <f>IF(CM7=0,0,CP7/CM7%)</f>
        <v>100.94252043631862</v>
      </c>
      <c r="CT7" s="549">
        <f>CP7-CM7</f>
        <v>3655</v>
      </c>
      <c r="CU7" s="549">
        <f>SUM(CU8:CU14)</f>
        <v>324220</v>
      </c>
      <c r="CV7" s="549"/>
      <c r="CW7" s="549">
        <f>SUM(CW8:CW14)</f>
        <v>324220</v>
      </c>
      <c r="CX7" s="549">
        <f>SUM(CX8:CX14)</f>
        <v>329600</v>
      </c>
      <c r="CY7" s="552"/>
      <c r="CZ7" s="549">
        <f>SUM(CZ8:CZ14)</f>
        <v>329600</v>
      </c>
      <c r="DA7" s="551">
        <f>IF(CU7=0,0,CX7/CU7%)</f>
        <v>101.65936709641602</v>
      </c>
      <c r="DB7" s="549">
        <f>CX7-CU7</f>
        <v>5380</v>
      </c>
    </row>
    <row r="8" spans="1:106" s="293" customFormat="1" ht="18.95" customHeight="1">
      <c r="A8" s="553">
        <v>1</v>
      </c>
      <c r="B8" s="554" t="s">
        <v>409</v>
      </c>
      <c r="C8" s="555">
        <f t="shared" ref="C8:E14" si="1">+K8+S8+AA8+AI8+AQ8+AY8+BG8+BO8+BW8+CE8+CM8+CU8</f>
        <v>1516590</v>
      </c>
      <c r="D8" s="556"/>
      <c r="E8" s="555">
        <f t="shared" si="1"/>
        <v>925965</v>
      </c>
      <c r="F8" s="555">
        <f>SUM(N8,V8,AD8,AL8,AT8,BB8,BJ8,BR8,BZ8,CH8,CP8,CX8)</f>
        <v>1023300</v>
      </c>
      <c r="G8" s="556">
        <f>SUM(O8,W8,AE8,AM8,AU8,BC8,BK8,BS8,CA8,CI8,CQ8,CY8)</f>
        <v>0</v>
      </c>
      <c r="H8" s="555">
        <f>SUM(P8,X8,AF8,AN8,AV8,BD8,BL8,BT8,CB8,CJ8,CR8,CZ8)</f>
        <v>1023300</v>
      </c>
      <c r="I8" s="557">
        <f>IF(C8=0,0,F8/C8%)</f>
        <v>67.473740430834965</v>
      </c>
      <c r="J8" s="555">
        <f>F8-C8</f>
        <v>-493290</v>
      </c>
      <c r="K8" s="555">
        <f>'Thu NSH'!P8</f>
        <v>49940</v>
      </c>
      <c r="L8" s="555"/>
      <c r="M8" s="555">
        <f>'Thu NSH'!T8</f>
        <v>24010</v>
      </c>
      <c r="N8" s="555">
        <f>'Thu NSH'!V8</f>
        <v>30890</v>
      </c>
      <c r="O8" s="555"/>
      <c r="P8" s="555">
        <f t="shared" ref="P8:P14" si="2">N8</f>
        <v>30890</v>
      </c>
      <c r="Q8" s="557">
        <f>IF(K8=0,0,N8/K8%)</f>
        <v>61.854225070084105</v>
      </c>
      <c r="R8" s="555">
        <f t="shared" si="0"/>
        <v>-19050</v>
      </c>
      <c r="S8" s="555">
        <f>'Thu NSH'!AB8</f>
        <v>109320</v>
      </c>
      <c r="T8" s="555"/>
      <c r="U8" s="555">
        <f>'Thu NSH'!AF8</f>
        <v>79340</v>
      </c>
      <c r="V8" s="555">
        <f>'Thu NSH'!AH8</f>
        <v>74300</v>
      </c>
      <c r="W8" s="556"/>
      <c r="X8" s="555">
        <f t="shared" ref="X8:X14" si="3">V8</f>
        <v>74300</v>
      </c>
      <c r="Y8" s="557">
        <f>IF(S8=0,0,V8/S8%)</f>
        <v>67.965605561653859</v>
      </c>
      <c r="Z8" s="555">
        <f>V8-S8</f>
        <v>-35020</v>
      </c>
      <c r="AA8" s="555">
        <f>'Thu NSH'!AN8</f>
        <v>25045</v>
      </c>
      <c r="AB8" s="555"/>
      <c r="AC8" s="555">
        <f>'Thu NSH'!AR8</f>
        <v>22050</v>
      </c>
      <c r="AD8" s="555">
        <f>'Thu NSH'!AT8</f>
        <v>21850</v>
      </c>
      <c r="AE8" s="556"/>
      <c r="AF8" s="555">
        <f t="shared" ref="AF8:AF14" si="4">AD8</f>
        <v>21850</v>
      </c>
      <c r="AG8" s="557">
        <f>IF(AA8=0,0,AD8/AA8%)</f>
        <v>87.242962667199052</v>
      </c>
      <c r="AH8" s="555">
        <f>AD8-AA8</f>
        <v>-3195</v>
      </c>
      <c r="AI8" s="555">
        <f>'Thu NSH'!AZ8</f>
        <v>39060</v>
      </c>
      <c r="AJ8" s="555"/>
      <c r="AK8" s="555">
        <f>'Thu NSH'!BD8</f>
        <v>32119</v>
      </c>
      <c r="AL8" s="555">
        <f>'Thu NSH'!BF8</f>
        <v>33590</v>
      </c>
      <c r="AM8" s="556"/>
      <c r="AN8" s="555">
        <f t="shared" ref="AN8:AN14" si="5">AL8</f>
        <v>33590</v>
      </c>
      <c r="AO8" s="557">
        <f>IF(AI8=0,0,AL8/AI8%)</f>
        <v>85.995903737839214</v>
      </c>
      <c r="AP8" s="555">
        <f>AL8-AI8</f>
        <v>-5470</v>
      </c>
      <c r="AQ8" s="555">
        <f>'Thu NSH'!BL8</f>
        <v>74830</v>
      </c>
      <c r="AR8" s="555"/>
      <c r="AS8" s="555">
        <f>'Thu NSH'!BP8</f>
        <v>80792</v>
      </c>
      <c r="AT8" s="555">
        <f>'Thu NSH'!BR8</f>
        <v>97290</v>
      </c>
      <c r="AU8" s="556"/>
      <c r="AV8" s="555">
        <f t="shared" ref="AV8:AV14" si="6">AT8</f>
        <v>97290</v>
      </c>
      <c r="AW8" s="557">
        <f>IF(AQ8=0,0,AT8/AQ8%)</f>
        <v>130.01469998663637</v>
      </c>
      <c r="AX8" s="555">
        <f>AT8-AQ8</f>
        <v>22460</v>
      </c>
      <c r="AY8" s="555">
        <f>'Thu NSH'!BX8</f>
        <v>257480</v>
      </c>
      <c r="AZ8" s="555"/>
      <c r="BA8" s="555">
        <f>'Thu NSH'!CB8</f>
        <v>200260</v>
      </c>
      <c r="BB8" s="555">
        <f>'Thu NSH'!CD8</f>
        <v>222880</v>
      </c>
      <c r="BC8" s="555"/>
      <c r="BD8" s="555">
        <f t="shared" ref="BD8:BD14" si="7">BB8</f>
        <v>222880</v>
      </c>
      <c r="BE8" s="557">
        <f>IF(AY8=0,0,BB8/AY8%)</f>
        <v>86.562063072860028</v>
      </c>
      <c r="BF8" s="555">
        <f>BB8-AY8</f>
        <v>-34600</v>
      </c>
      <c r="BG8" s="555">
        <f>'Thu NSH'!CJ8</f>
        <v>86960</v>
      </c>
      <c r="BH8" s="555"/>
      <c r="BI8" s="555">
        <f>'Thu NSH'!CN8</f>
        <v>64016</v>
      </c>
      <c r="BJ8" s="555">
        <f>'Thu NSH'!CP8</f>
        <v>81220</v>
      </c>
      <c r="BK8" s="556"/>
      <c r="BL8" s="555">
        <f t="shared" ref="BL8:BL14" si="8">BJ8</f>
        <v>81220</v>
      </c>
      <c r="BM8" s="557">
        <f>IF(BG8=0,0,BJ8/BG8%)</f>
        <v>93.399264029438825</v>
      </c>
      <c r="BN8" s="555">
        <f>BJ8-BG8</f>
        <v>-5740</v>
      </c>
      <c r="BO8" s="555">
        <f>'Thu NSH'!CV8</f>
        <v>70570</v>
      </c>
      <c r="BP8" s="555"/>
      <c r="BQ8" s="555">
        <f>'Thu NSH'!CZ8</f>
        <v>59096</v>
      </c>
      <c r="BR8" s="555">
        <f>'Thu NSH'!DB8</f>
        <v>74500</v>
      </c>
      <c r="BS8" s="556"/>
      <c r="BT8" s="555">
        <f t="shared" ref="BT8:BT14" si="9">BR8</f>
        <v>74500</v>
      </c>
      <c r="BU8" s="557">
        <f>IF(BO8=0,0,BR8/BO8%)</f>
        <v>105.56893864248264</v>
      </c>
      <c r="BV8" s="555">
        <f>BR8-BO8</f>
        <v>3930</v>
      </c>
      <c r="BW8" s="555">
        <f>'Thu NSH'!DH8</f>
        <v>281330</v>
      </c>
      <c r="BX8" s="555"/>
      <c r="BY8" s="555">
        <f>'Thu NSH'!DL8</f>
        <v>88930</v>
      </c>
      <c r="BZ8" s="555">
        <f>'Thu NSH'!DN8</f>
        <v>92870</v>
      </c>
      <c r="CA8" s="556"/>
      <c r="CB8" s="555">
        <f t="shared" ref="CB8:CB14" si="10">BZ8</f>
        <v>92870</v>
      </c>
      <c r="CC8" s="557">
        <f>IF(BW8=0,0,BZ8/BW8%)</f>
        <v>33.011054633348735</v>
      </c>
      <c r="CD8" s="555">
        <f>BZ8-BW8</f>
        <v>-188460</v>
      </c>
      <c r="CE8" s="555">
        <f>'Thu NSH'!DT8</f>
        <v>81795</v>
      </c>
      <c r="CF8" s="555"/>
      <c r="CG8" s="555">
        <f>'Thu NSH'!DX8</f>
        <v>63350</v>
      </c>
      <c r="CH8" s="555">
        <f>'Thu NSH'!DZ8</f>
        <v>71090</v>
      </c>
      <c r="CI8" s="556"/>
      <c r="CJ8" s="555">
        <f t="shared" ref="CJ8:CJ14" si="11">CH8</f>
        <v>71090</v>
      </c>
      <c r="CK8" s="557">
        <f>IF(CE8=0,0,CH8/CE8%)</f>
        <v>86.912402958616042</v>
      </c>
      <c r="CL8" s="555">
        <f>CH8-CE8</f>
        <v>-10705</v>
      </c>
      <c r="CM8" s="555">
        <f>'Thu NSH'!EF8</f>
        <v>300360</v>
      </c>
      <c r="CN8" s="555"/>
      <c r="CO8" s="555">
        <f>'Thu NSH'!EJ8</f>
        <v>145240</v>
      </c>
      <c r="CP8" s="555">
        <f>'Thu NSH'!EL8</f>
        <v>157440</v>
      </c>
      <c r="CQ8" s="555"/>
      <c r="CR8" s="555">
        <f t="shared" ref="CR8:CR14" si="12">CP8</f>
        <v>157440</v>
      </c>
      <c r="CS8" s="557">
        <f>IF(CM8=0,0,CP8/CM8%)</f>
        <v>52.417099480623257</v>
      </c>
      <c r="CT8" s="555">
        <f>CP8-CM8</f>
        <v>-142920</v>
      </c>
      <c r="CU8" s="555">
        <f>'Thu NSH'!ER8</f>
        <v>139900</v>
      </c>
      <c r="CV8" s="555"/>
      <c r="CW8" s="555">
        <f>'Thu NSH'!EV8</f>
        <v>66762</v>
      </c>
      <c r="CX8" s="555">
        <f>'Thu NSH'!EX8</f>
        <v>65380</v>
      </c>
      <c r="CY8" s="558"/>
      <c r="CZ8" s="555">
        <f t="shared" ref="CZ8:CZ14" si="13">CX8</f>
        <v>65380</v>
      </c>
      <c r="DA8" s="557">
        <f>IF(CU8=0,0,CX8/CU8%)</f>
        <v>46.733380986418872</v>
      </c>
      <c r="DB8" s="555">
        <f>CX8-CU8</f>
        <v>-74520</v>
      </c>
    </row>
    <row r="9" spans="1:106" s="293" customFormat="1" ht="18.95" customHeight="1">
      <c r="A9" s="553">
        <v>2</v>
      </c>
      <c r="B9" s="559" t="s">
        <v>499</v>
      </c>
      <c r="C9" s="555">
        <f t="shared" si="1"/>
        <v>1153620</v>
      </c>
      <c r="D9" s="556"/>
      <c r="E9" s="555">
        <f t="shared" si="1"/>
        <v>1153620</v>
      </c>
      <c r="F9" s="555">
        <f t="shared" ref="F9:H14" si="14">SUM(N9,V9,AD9,AL9,AT9,BB9,BJ9,BR9,BZ9,CH9,CP9,CX9)</f>
        <v>1153620</v>
      </c>
      <c r="G9" s="556">
        <f t="shared" si="14"/>
        <v>0</v>
      </c>
      <c r="H9" s="555">
        <f t="shared" si="14"/>
        <v>1153620</v>
      </c>
      <c r="I9" s="557">
        <f>IF(C9=0,0,F9/C9%)</f>
        <v>100</v>
      </c>
      <c r="J9" s="560">
        <f>F9-C9</f>
        <v>0</v>
      </c>
      <c r="K9" s="555">
        <v>138230</v>
      </c>
      <c r="L9" s="555"/>
      <c r="M9" s="555">
        <f t="shared" ref="M9:M14" si="15">K9</f>
        <v>138230</v>
      </c>
      <c r="N9" s="555">
        <f>K9</f>
        <v>138230</v>
      </c>
      <c r="O9" s="555"/>
      <c r="P9" s="555">
        <f t="shared" si="2"/>
        <v>138230</v>
      </c>
      <c r="Q9" s="557">
        <f>IF(K9=0,0,N9/K9%)</f>
        <v>100</v>
      </c>
      <c r="R9" s="555">
        <f t="shared" si="0"/>
        <v>0</v>
      </c>
      <c r="S9" s="555">
        <v>72140</v>
      </c>
      <c r="T9" s="555"/>
      <c r="U9" s="555">
        <f t="shared" ref="U9:U14" si="16">S9</f>
        <v>72140</v>
      </c>
      <c r="V9" s="555">
        <f>S9</f>
        <v>72140</v>
      </c>
      <c r="W9" s="556"/>
      <c r="X9" s="555">
        <f t="shared" si="3"/>
        <v>72140</v>
      </c>
      <c r="Y9" s="557">
        <f>IF(S9=0,0,V9/S9%)</f>
        <v>100</v>
      </c>
      <c r="Z9" s="555">
        <f>V9-S9</f>
        <v>0</v>
      </c>
      <c r="AA9" s="555">
        <v>135930</v>
      </c>
      <c r="AB9" s="555"/>
      <c r="AC9" s="555">
        <f>AA9</f>
        <v>135930</v>
      </c>
      <c r="AD9" s="555">
        <f>AA9</f>
        <v>135930</v>
      </c>
      <c r="AE9" s="556"/>
      <c r="AF9" s="555">
        <f t="shared" si="4"/>
        <v>135930</v>
      </c>
      <c r="AG9" s="557">
        <f>IF(AA9=0,0,AD9/AA9%)</f>
        <v>100</v>
      </c>
      <c r="AH9" s="555">
        <f>AD9-AA9</f>
        <v>0</v>
      </c>
      <c r="AI9" s="555">
        <v>113580</v>
      </c>
      <c r="AJ9" s="555"/>
      <c r="AK9" s="555">
        <f t="shared" ref="AK9:AK14" si="17">AI9</f>
        <v>113580</v>
      </c>
      <c r="AL9" s="555">
        <f>AI9</f>
        <v>113580</v>
      </c>
      <c r="AM9" s="556"/>
      <c r="AN9" s="555">
        <f t="shared" si="5"/>
        <v>113580</v>
      </c>
      <c r="AO9" s="557">
        <f>IF(AI9=0,0,AL9/AI9%)</f>
        <v>100</v>
      </c>
      <c r="AP9" s="555">
        <f>AL9-AI9</f>
        <v>0</v>
      </c>
      <c r="AQ9" s="555">
        <v>140800</v>
      </c>
      <c r="AR9" s="555"/>
      <c r="AS9" s="555">
        <f t="shared" ref="AS9:AS14" si="18">AQ9</f>
        <v>140800</v>
      </c>
      <c r="AT9" s="555">
        <f>AQ9</f>
        <v>140800</v>
      </c>
      <c r="AU9" s="556"/>
      <c r="AV9" s="555">
        <f t="shared" si="6"/>
        <v>140800</v>
      </c>
      <c r="AW9" s="557">
        <f>IF(AQ9=0,0,AT9/AQ9%)</f>
        <v>100</v>
      </c>
      <c r="AX9" s="555">
        <f>AT9-AQ9</f>
        <v>0</v>
      </c>
      <c r="AY9" s="555">
        <v>0</v>
      </c>
      <c r="AZ9" s="555"/>
      <c r="BA9" s="555">
        <f t="shared" ref="BA9:BA14" si="19">AY9</f>
        <v>0</v>
      </c>
      <c r="BB9" s="555">
        <f>AY9</f>
        <v>0</v>
      </c>
      <c r="BC9" s="555"/>
      <c r="BD9" s="555">
        <f t="shared" si="7"/>
        <v>0</v>
      </c>
      <c r="BE9" s="557">
        <f>IF(AY9=0,0,BB9/AY9%)</f>
        <v>0</v>
      </c>
      <c r="BF9" s="555">
        <f>BB9-AY9</f>
        <v>0</v>
      </c>
      <c r="BG9" s="555">
        <v>181315</v>
      </c>
      <c r="BH9" s="555"/>
      <c r="BI9" s="555">
        <f t="shared" ref="BI9:BI14" si="20">BG9</f>
        <v>181315</v>
      </c>
      <c r="BJ9" s="555">
        <f>BG9</f>
        <v>181315</v>
      </c>
      <c r="BK9" s="556"/>
      <c r="BL9" s="555">
        <f t="shared" si="8"/>
        <v>181315</v>
      </c>
      <c r="BM9" s="557">
        <f>IF(BG9=0,0,BJ9/BG9%)</f>
        <v>100</v>
      </c>
      <c r="BN9" s="555">
        <f>BJ9-BG9</f>
        <v>0</v>
      </c>
      <c r="BO9" s="555">
        <v>144865</v>
      </c>
      <c r="BP9" s="555"/>
      <c r="BQ9" s="555">
        <f t="shared" ref="BQ9:BQ14" si="21">BO9</f>
        <v>144865</v>
      </c>
      <c r="BR9" s="555">
        <f>BO9</f>
        <v>144865</v>
      </c>
      <c r="BS9" s="556"/>
      <c r="BT9" s="555">
        <f t="shared" si="9"/>
        <v>144865</v>
      </c>
      <c r="BU9" s="557">
        <f>IF(BO9=0,0,BR9/BO9%)</f>
        <v>100</v>
      </c>
      <c r="BV9" s="555">
        <f>BR9-BO9</f>
        <v>0</v>
      </c>
      <c r="BW9" s="555">
        <v>15490</v>
      </c>
      <c r="BX9" s="555"/>
      <c r="BY9" s="555">
        <f t="shared" ref="BY9:BY14" si="22">BW9</f>
        <v>15490</v>
      </c>
      <c r="BZ9" s="555">
        <f>BW9</f>
        <v>15490</v>
      </c>
      <c r="CA9" s="556"/>
      <c r="CB9" s="555">
        <f t="shared" si="10"/>
        <v>15490</v>
      </c>
      <c r="CC9" s="557">
        <f>IF(BW9=0,0,BZ9/BW9%)</f>
        <v>100</v>
      </c>
      <c r="CD9" s="555">
        <f>BZ9-BW9</f>
        <v>0</v>
      </c>
      <c r="CE9" s="555">
        <v>137020</v>
      </c>
      <c r="CF9" s="555"/>
      <c r="CG9" s="555">
        <f t="shared" ref="CG9:CG14" si="23">CE9</f>
        <v>137020</v>
      </c>
      <c r="CH9" s="555">
        <f>CE9</f>
        <v>137020</v>
      </c>
      <c r="CI9" s="556"/>
      <c r="CJ9" s="555">
        <f t="shared" si="11"/>
        <v>137020</v>
      </c>
      <c r="CK9" s="557">
        <f>IF(CE9=0,0,CH9/CE9%)</f>
        <v>100</v>
      </c>
      <c r="CL9" s="555">
        <f>CH9-CE9</f>
        <v>0</v>
      </c>
      <c r="CM9" s="555">
        <v>0</v>
      </c>
      <c r="CN9" s="555"/>
      <c r="CO9" s="555">
        <f t="shared" ref="CO9:CO14" si="24">CM9</f>
        <v>0</v>
      </c>
      <c r="CP9" s="555">
        <f>CM9</f>
        <v>0</v>
      </c>
      <c r="CQ9" s="555"/>
      <c r="CR9" s="555">
        <f t="shared" si="12"/>
        <v>0</v>
      </c>
      <c r="CS9" s="557">
        <f>IF(CM9=0,0,CP9/CM9%)</f>
        <v>0</v>
      </c>
      <c r="CT9" s="555">
        <f>CP9-CM9</f>
        <v>0</v>
      </c>
      <c r="CU9" s="555">
        <v>74250</v>
      </c>
      <c r="CV9" s="555"/>
      <c r="CW9" s="555">
        <f t="shared" ref="CW9:CW14" si="25">CU9</f>
        <v>74250</v>
      </c>
      <c r="CX9" s="555">
        <f>CU9</f>
        <v>74250</v>
      </c>
      <c r="CY9" s="558"/>
      <c r="CZ9" s="555">
        <f t="shared" si="13"/>
        <v>74250</v>
      </c>
      <c r="DA9" s="557">
        <f>IF(CU9=0,0,CX9/CU9%)</f>
        <v>100</v>
      </c>
      <c r="DB9" s="555">
        <f>CX9-CU9</f>
        <v>0</v>
      </c>
    </row>
    <row r="10" spans="1:106" s="293" customFormat="1" ht="26.25" customHeight="1">
      <c r="A10" s="545">
        <v>3</v>
      </c>
      <c r="B10" s="544" t="s">
        <v>957</v>
      </c>
      <c r="C10" s="555">
        <f t="shared" si="1"/>
        <v>232260</v>
      </c>
      <c r="D10" s="556"/>
      <c r="E10" s="555">
        <f t="shared" si="1"/>
        <v>232260</v>
      </c>
      <c r="F10" s="555">
        <f t="shared" si="14"/>
        <v>312228</v>
      </c>
      <c r="G10" s="556">
        <f t="shared" si="14"/>
        <v>0</v>
      </c>
      <c r="H10" s="555">
        <f t="shared" si="14"/>
        <v>312228</v>
      </c>
      <c r="I10" s="557">
        <f t="shared" ref="I10:I25" si="26">IF(C10=0,0,F10/C10%)</f>
        <v>134.43037974683546</v>
      </c>
      <c r="J10" s="560">
        <f t="shared" ref="J10:J22" si="27">F10-C10</f>
        <v>79968</v>
      </c>
      <c r="K10" s="555">
        <f>8620+9000</f>
        <v>17620</v>
      </c>
      <c r="L10" s="555"/>
      <c r="M10" s="555">
        <f t="shared" si="15"/>
        <v>17620</v>
      </c>
      <c r="N10" s="555">
        <v>21210</v>
      </c>
      <c r="O10" s="555"/>
      <c r="P10" s="555">
        <f t="shared" si="2"/>
        <v>21210</v>
      </c>
      <c r="Q10" s="557">
        <f t="shared" ref="Q10:Q25" si="28">IF(K10=0,0,N10/K10%)</f>
        <v>120.37457434733258</v>
      </c>
      <c r="R10" s="555">
        <f t="shared" si="0"/>
        <v>3590</v>
      </c>
      <c r="S10" s="555">
        <f>6760+3000</f>
        <v>9760</v>
      </c>
      <c r="T10" s="555"/>
      <c r="U10" s="555">
        <f t="shared" si="16"/>
        <v>9760</v>
      </c>
      <c r="V10" s="555">
        <f>6760/2+3000+6200</f>
        <v>12580</v>
      </c>
      <c r="W10" s="556"/>
      <c r="X10" s="555">
        <f t="shared" si="3"/>
        <v>12580</v>
      </c>
      <c r="Y10" s="557">
        <f t="shared" ref="Y10:Y25" si="29">IF(S10=0,0,V10/S10%)</f>
        <v>128.89344262295083</v>
      </c>
      <c r="Z10" s="555">
        <f t="shared" ref="Z10:Z22" si="30">V10-S10</f>
        <v>2820</v>
      </c>
      <c r="AA10" s="555">
        <f>14750+6000</f>
        <v>20750</v>
      </c>
      <c r="AB10" s="555"/>
      <c r="AC10" s="555">
        <f>14750+6000</f>
        <v>20750</v>
      </c>
      <c r="AD10" s="555">
        <f>14750/2+6000+17300</f>
        <v>30675</v>
      </c>
      <c r="AE10" s="556"/>
      <c r="AF10" s="555">
        <f t="shared" si="4"/>
        <v>30675</v>
      </c>
      <c r="AG10" s="557">
        <f t="shared" ref="AG10:AG25" si="31">IF(AA10=0,0,AD10/AA10%)</f>
        <v>147.83132530120483</v>
      </c>
      <c r="AH10" s="555">
        <f t="shared" ref="AH10:AH22" si="32">AD10-AA10</f>
        <v>9925</v>
      </c>
      <c r="AI10" s="555">
        <f>20720+9000</f>
        <v>29720</v>
      </c>
      <c r="AJ10" s="555"/>
      <c r="AK10" s="555">
        <f t="shared" si="17"/>
        <v>29720</v>
      </c>
      <c r="AL10" s="555">
        <f>20720/2+9000+22300</f>
        <v>41660</v>
      </c>
      <c r="AM10" s="556"/>
      <c r="AN10" s="555">
        <f t="shared" si="5"/>
        <v>41660</v>
      </c>
      <c r="AO10" s="557">
        <f t="shared" ref="AO10:AO25" si="33">IF(AI10=0,0,AL10/AI10%)</f>
        <v>140.17496635262449</v>
      </c>
      <c r="AP10" s="555">
        <f t="shared" ref="AP10:AP22" si="34">AL10-AI10</f>
        <v>11940</v>
      </c>
      <c r="AQ10" s="555">
        <f>14500+6000</f>
        <v>20500</v>
      </c>
      <c r="AR10" s="555"/>
      <c r="AS10" s="555">
        <f t="shared" si="18"/>
        <v>20500</v>
      </c>
      <c r="AT10" s="555">
        <f>14500/2+6000+16400</f>
        <v>29650</v>
      </c>
      <c r="AU10" s="556"/>
      <c r="AV10" s="555">
        <f t="shared" si="6"/>
        <v>29650</v>
      </c>
      <c r="AW10" s="557">
        <f t="shared" ref="AW10:AW25" si="35">IF(AQ10=0,0,AT10/AQ10%)</f>
        <v>144.63414634146341</v>
      </c>
      <c r="AX10" s="555">
        <f t="shared" ref="AX10:AX22" si="36">AT10-AQ10</f>
        <v>9150</v>
      </c>
      <c r="AY10" s="555">
        <f>2500+6000</f>
        <v>8500</v>
      </c>
      <c r="AZ10" s="555"/>
      <c r="BA10" s="555">
        <f t="shared" si="19"/>
        <v>8500</v>
      </c>
      <c r="BB10" s="555">
        <f>2500/2+6000+2400</f>
        <v>9650</v>
      </c>
      <c r="BC10" s="555"/>
      <c r="BD10" s="555">
        <f t="shared" si="7"/>
        <v>9650</v>
      </c>
      <c r="BE10" s="557">
        <f t="shared" ref="BE10:BE25" si="37">IF(AY10=0,0,BB10/AY10%)</f>
        <v>113.52941176470588</v>
      </c>
      <c r="BF10" s="555">
        <f t="shared" ref="BF10:BF22" si="38">BB10-AY10</f>
        <v>1150</v>
      </c>
      <c r="BG10" s="555">
        <f>21300+12000</f>
        <v>33300</v>
      </c>
      <c r="BH10" s="555"/>
      <c r="BI10" s="555">
        <f t="shared" si="20"/>
        <v>33300</v>
      </c>
      <c r="BJ10" s="555">
        <f>21300/2+12000+21300</f>
        <v>43950</v>
      </c>
      <c r="BK10" s="556"/>
      <c r="BL10" s="555">
        <f t="shared" si="8"/>
        <v>43950</v>
      </c>
      <c r="BM10" s="557">
        <f t="shared" ref="BM10:BM25" si="39">IF(BG10=0,0,BJ10/BG10%)</f>
        <v>131.98198198198199</v>
      </c>
      <c r="BN10" s="555">
        <f t="shared" ref="BN10:BN22" si="40">BJ10-BG10</f>
        <v>10650</v>
      </c>
      <c r="BO10" s="555">
        <f>22650+9000</f>
        <v>31650</v>
      </c>
      <c r="BP10" s="555"/>
      <c r="BQ10" s="555">
        <f t="shared" si="21"/>
        <v>31650</v>
      </c>
      <c r="BR10" s="555">
        <f>22650/2+9000+27499</f>
        <v>47824</v>
      </c>
      <c r="BS10" s="556"/>
      <c r="BT10" s="555">
        <f t="shared" si="9"/>
        <v>47824</v>
      </c>
      <c r="BU10" s="557">
        <f t="shared" ref="BU10:BU25" si="41">IF(BO10=0,0,BR10/BO10%)</f>
        <v>151.10268562401265</v>
      </c>
      <c r="BV10" s="555">
        <f t="shared" ref="BV10:BV22" si="42">BR10-BO10</f>
        <v>16174</v>
      </c>
      <c r="BW10" s="555">
        <f>9700+9000</f>
        <v>18700</v>
      </c>
      <c r="BX10" s="555"/>
      <c r="BY10" s="555">
        <f t="shared" si="22"/>
        <v>18700</v>
      </c>
      <c r="BZ10" s="555">
        <f>9700/2+9000+10000</f>
        <v>23850</v>
      </c>
      <c r="CA10" s="556"/>
      <c r="CB10" s="555">
        <f t="shared" si="10"/>
        <v>23850</v>
      </c>
      <c r="CC10" s="557">
        <f t="shared" ref="CC10:CC25" si="43">IF(BW10=0,0,BZ10/BW10%)</f>
        <v>127.54010695187166</v>
      </c>
      <c r="CD10" s="555">
        <f t="shared" ref="CD10:CD22" si="44">BZ10-BW10</f>
        <v>5150</v>
      </c>
      <c r="CE10" s="555">
        <f>9700+9000</f>
        <v>18700</v>
      </c>
      <c r="CF10" s="555"/>
      <c r="CG10" s="555">
        <f t="shared" si="23"/>
        <v>18700</v>
      </c>
      <c r="CH10" s="555">
        <f>9700/2+9000+9399</f>
        <v>23249</v>
      </c>
      <c r="CI10" s="556"/>
      <c r="CJ10" s="555">
        <f t="shared" si="11"/>
        <v>23249</v>
      </c>
      <c r="CK10" s="557">
        <f t="shared" ref="CK10:CK25" si="45">IF(CE10=0,0,CH10/CE10%)</f>
        <v>124.32620320855615</v>
      </c>
      <c r="CL10" s="555">
        <f t="shared" ref="CL10:CL22" si="46">CH10-CE10</f>
        <v>4549</v>
      </c>
      <c r="CM10" s="555">
        <f>1800+3000</f>
        <v>4800</v>
      </c>
      <c r="CN10" s="555"/>
      <c r="CO10" s="555">
        <f t="shared" si="24"/>
        <v>4800</v>
      </c>
      <c r="CP10" s="555">
        <f>1800/2+3000+1400</f>
        <v>5300</v>
      </c>
      <c r="CQ10" s="555"/>
      <c r="CR10" s="555">
        <f t="shared" si="12"/>
        <v>5300</v>
      </c>
      <c r="CS10" s="557">
        <f t="shared" ref="CS10:CS25" si="47">IF(CM10=0,0,CP10/CM10%)</f>
        <v>110.41666666666667</v>
      </c>
      <c r="CT10" s="555">
        <f t="shared" ref="CT10:CT22" si="48">CP10-CM10</f>
        <v>500</v>
      </c>
      <c r="CU10" s="555">
        <f>9260+9000</f>
        <v>18260</v>
      </c>
      <c r="CV10" s="555"/>
      <c r="CW10" s="555">
        <f t="shared" si="25"/>
        <v>18260</v>
      </c>
      <c r="CX10" s="555">
        <f>9260/2+9000+9000</f>
        <v>22630</v>
      </c>
      <c r="CY10" s="558"/>
      <c r="CZ10" s="555">
        <f t="shared" si="13"/>
        <v>22630</v>
      </c>
      <c r="DA10" s="557">
        <f t="shared" ref="DA10:DA25" si="49">IF(CU10=0,0,CX10/CU10%)</f>
        <v>123.93209200438116</v>
      </c>
      <c r="DB10" s="555">
        <f t="shared" ref="DB10:DB22" si="50">CX10-CU10</f>
        <v>4370</v>
      </c>
    </row>
    <row r="11" spans="1:106" s="293" customFormat="1" ht="18.95" customHeight="1">
      <c r="A11" s="553">
        <v>4</v>
      </c>
      <c r="B11" s="559" t="s">
        <v>521</v>
      </c>
      <c r="C11" s="555">
        <f t="shared" si="1"/>
        <v>217765</v>
      </c>
      <c r="D11" s="556"/>
      <c r="E11" s="555">
        <f t="shared" si="1"/>
        <v>217765</v>
      </c>
      <c r="F11" s="555">
        <f t="shared" si="14"/>
        <v>244063</v>
      </c>
      <c r="G11" s="556">
        <f t="shared" si="14"/>
        <v>0</v>
      </c>
      <c r="H11" s="555">
        <f t="shared" si="14"/>
        <v>244063</v>
      </c>
      <c r="I11" s="557">
        <f t="shared" si="26"/>
        <v>112.07632080453699</v>
      </c>
      <c r="J11" s="560">
        <f>F11-C11</f>
        <v>26298</v>
      </c>
      <c r="K11" s="555">
        <f>29675-1500</f>
        <v>28175</v>
      </c>
      <c r="L11" s="555"/>
      <c r="M11" s="555">
        <f t="shared" si="15"/>
        <v>28175</v>
      </c>
      <c r="N11" s="555">
        <f>27975-20</f>
        <v>27955</v>
      </c>
      <c r="O11" s="555"/>
      <c r="P11" s="555">
        <f t="shared" si="2"/>
        <v>27955</v>
      </c>
      <c r="Q11" s="557">
        <f t="shared" si="28"/>
        <v>99.219165927240468</v>
      </c>
      <c r="R11" s="555">
        <f t="shared" si="0"/>
        <v>-220</v>
      </c>
      <c r="S11" s="555">
        <v>7880</v>
      </c>
      <c r="T11" s="555"/>
      <c r="U11" s="555">
        <f t="shared" si="16"/>
        <v>7880</v>
      </c>
      <c r="V11" s="555">
        <f>15980-170</f>
        <v>15810</v>
      </c>
      <c r="W11" s="556"/>
      <c r="X11" s="555">
        <f t="shared" si="3"/>
        <v>15810</v>
      </c>
      <c r="Y11" s="557">
        <f t="shared" si="29"/>
        <v>200.63451776649748</v>
      </c>
      <c r="Z11" s="555">
        <f>V11-S11</f>
        <v>7930</v>
      </c>
      <c r="AA11" s="555">
        <f>30460-9500</f>
        <v>20960</v>
      </c>
      <c r="AB11" s="555"/>
      <c r="AC11" s="555">
        <f>AA11</f>
        <v>20960</v>
      </c>
      <c r="AD11" s="560">
        <f>21660-20</f>
        <v>21640</v>
      </c>
      <c r="AE11" s="560"/>
      <c r="AF11" s="560">
        <f t="shared" si="4"/>
        <v>21640</v>
      </c>
      <c r="AG11" s="557">
        <f t="shared" si="31"/>
        <v>103.2442748091603</v>
      </c>
      <c r="AH11" s="555">
        <f t="shared" si="32"/>
        <v>680</v>
      </c>
      <c r="AI11" s="555">
        <f>21980-5000</f>
        <v>16980</v>
      </c>
      <c r="AJ11" s="555"/>
      <c r="AK11" s="555">
        <f t="shared" si="17"/>
        <v>16980</v>
      </c>
      <c r="AL11" s="555">
        <f>15245-30</f>
        <v>15215</v>
      </c>
      <c r="AM11" s="556"/>
      <c r="AN11" s="555">
        <f t="shared" si="5"/>
        <v>15215</v>
      </c>
      <c r="AO11" s="557">
        <f t="shared" si="33"/>
        <v>89.605418138987034</v>
      </c>
      <c r="AP11" s="555">
        <f t="shared" si="34"/>
        <v>-1765</v>
      </c>
      <c r="AQ11" s="555">
        <v>18630</v>
      </c>
      <c r="AR11" s="555"/>
      <c r="AS11" s="555">
        <f t="shared" si="18"/>
        <v>18630</v>
      </c>
      <c r="AT11" s="555">
        <f>23295-20</f>
        <v>23275</v>
      </c>
      <c r="AU11" s="556"/>
      <c r="AV11" s="555">
        <f t="shared" si="6"/>
        <v>23275</v>
      </c>
      <c r="AW11" s="557">
        <f t="shared" si="35"/>
        <v>124.93290391841116</v>
      </c>
      <c r="AX11" s="555">
        <f t="shared" si="36"/>
        <v>4645</v>
      </c>
      <c r="AY11" s="555">
        <f>29000-17000</f>
        <v>12000</v>
      </c>
      <c r="AZ11" s="555"/>
      <c r="BA11" s="555">
        <f t="shared" si="19"/>
        <v>12000</v>
      </c>
      <c r="BB11" s="555">
        <f>17010-370</f>
        <v>16640</v>
      </c>
      <c r="BC11" s="555"/>
      <c r="BD11" s="555">
        <f t="shared" si="7"/>
        <v>16640</v>
      </c>
      <c r="BE11" s="557">
        <f t="shared" si="37"/>
        <v>138.66666666666666</v>
      </c>
      <c r="BF11" s="555">
        <f t="shared" si="38"/>
        <v>4640</v>
      </c>
      <c r="BG11" s="555">
        <f>36005-13000</f>
        <v>23005</v>
      </c>
      <c r="BH11" s="555"/>
      <c r="BI11" s="555">
        <f t="shared" si="20"/>
        <v>23005</v>
      </c>
      <c r="BJ11" s="560">
        <f>31193-40</f>
        <v>31153</v>
      </c>
      <c r="BK11" s="558"/>
      <c r="BL11" s="560">
        <f t="shared" si="8"/>
        <v>31153</v>
      </c>
      <c r="BM11" s="557">
        <f t="shared" si="39"/>
        <v>135.41838730710714</v>
      </c>
      <c r="BN11" s="555">
        <f t="shared" si="40"/>
        <v>8148</v>
      </c>
      <c r="BO11" s="555">
        <f>27670-12000</f>
        <v>15670</v>
      </c>
      <c r="BP11" s="555"/>
      <c r="BQ11" s="555">
        <f t="shared" si="21"/>
        <v>15670</v>
      </c>
      <c r="BR11" s="555">
        <f>13890-20</f>
        <v>13870</v>
      </c>
      <c r="BS11" s="556"/>
      <c r="BT11" s="555">
        <f t="shared" si="9"/>
        <v>13870</v>
      </c>
      <c r="BU11" s="557">
        <f t="shared" si="41"/>
        <v>88.513082322910023</v>
      </c>
      <c r="BV11" s="555">
        <f t="shared" si="42"/>
        <v>-1800</v>
      </c>
      <c r="BW11" s="555">
        <v>26145</v>
      </c>
      <c r="BX11" s="555"/>
      <c r="BY11" s="555">
        <f t="shared" si="22"/>
        <v>26145</v>
      </c>
      <c r="BZ11" s="555">
        <f>27780-40</f>
        <v>27740</v>
      </c>
      <c r="CA11" s="556"/>
      <c r="CB11" s="555">
        <f t="shared" si="10"/>
        <v>27740</v>
      </c>
      <c r="CC11" s="557">
        <f t="shared" si="43"/>
        <v>106.1005928475808</v>
      </c>
      <c r="CD11" s="555">
        <f t="shared" si="44"/>
        <v>1595</v>
      </c>
      <c r="CE11" s="555">
        <v>20725</v>
      </c>
      <c r="CF11" s="555"/>
      <c r="CG11" s="555">
        <f t="shared" si="23"/>
        <v>20725</v>
      </c>
      <c r="CH11" s="555">
        <f>18710-50</f>
        <v>18660</v>
      </c>
      <c r="CI11" s="556"/>
      <c r="CJ11" s="555">
        <f t="shared" si="11"/>
        <v>18660</v>
      </c>
      <c r="CK11" s="557">
        <f t="shared" si="45"/>
        <v>90.036188178528349</v>
      </c>
      <c r="CL11" s="555">
        <f t="shared" si="46"/>
        <v>-2065</v>
      </c>
      <c r="CM11" s="555">
        <f>20430-10000</f>
        <v>10430</v>
      </c>
      <c r="CN11" s="555"/>
      <c r="CO11" s="555">
        <f t="shared" si="24"/>
        <v>10430</v>
      </c>
      <c r="CP11" s="555">
        <f>12085-220</f>
        <v>11865</v>
      </c>
      <c r="CQ11" s="555"/>
      <c r="CR11" s="555">
        <f t="shared" si="12"/>
        <v>11865</v>
      </c>
      <c r="CS11" s="557">
        <f t="shared" si="47"/>
        <v>113.75838926174497</v>
      </c>
      <c r="CT11" s="555">
        <f t="shared" si="48"/>
        <v>1435</v>
      </c>
      <c r="CU11" s="555">
        <f>26985-9820</f>
        <v>17165</v>
      </c>
      <c r="CV11" s="555"/>
      <c r="CW11" s="555">
        <f t="shared" si="25"/>
        <v>17165</v>
      </c>
      <c r="CX11" s="555">
        <f>20310-70</f>
        <v>20240</v>
      </c>
      <c r="CY11" s="558"/>
      <c r="CZ11" s="555">
        <f t="shared" si="13"/>
        <v>20240</v>
      </c>
      <c r="DA11" s="557">
        <f t="shared" si="49"/>
        <v>117.91436061753568</v>
      </c>
      <c r="DB11" s="555">
        <f t="shared" si="50"/>
        <v>3075</v>
      </c>
    </row>
    <row r="12" spans="1:106" s="293" customFormat="1" ht="18.95" customHeight="1">
      <c r="A12" s="553">
        <v>5</v>
      </c>
      <c r="B12" s="559" t="s">
        <v>905</v>
      </c>
      <c r="C12" s="555">
        <f t="shared" si="1"/>
        <v>842715</v>
      </c>
      <c r="D12" s="556"/>
      <c r="E12" s="555">
        <f t="shared" si="1"/>
        <v>842715</v>
      </c>
      <c r="F12" s="555">
        <f t="shared" si="14"/>
        <v>1085290</v>
      </c>
      <c r="G12" s="556">
        <f t="shared" si="14"/>
        <v>0</v>
      </c>
      <c r="H12" s="555">
        <f t="shared" si="14"/>
        <v>1085290</v>
      </c>
      <c r="I12" s="557">
        <f t="shared" si="26"/>
        <v>128.78493915499308</v>
      </c>
      <c r="J12" s="560">
        <f t="shared" si="27"/>
        <v>242575</v>
      </c>
      <c r="K12" s="555">
        <v>82830</v>
      </c>
      <c r="L12" s="555"/>
      <c r="M12" s="555">
        <f t="shared" si="15"/>
        <v>82830</v>
      </c>
      <c r="N12" s="555">
        <f>K12+'TLTT nam 2015-huyen'!D24-'TLTT nam 2015-huyen'!D25</f>
        <v>96930</v>
      </c>
      <c r="O12" s="555"/>
      <c r="P12" s="555">
        <f t="shared" si="2"/>
        <v>96930</v>
      </c>
      <c r="Q12" s="557">
        <f t="shared" si="28"/>
        <v>117.02281781963057</v>
      </c>
      <c r="R12" s="555">
        <f t="shared" si="0"/>
        <v>14100</v>
      </c>
      <c r="S12" s="555">
        <v>47100</v>
      </c>
      <c r="T12" s="555"/>
      <c r="U12" s="555">
        <f t="shared" si="16"/>
        <v>47100</v>
      </c>
      <c r="V12" s="555">
        <f>S12+'TLTT nam 2015-huyen'!E24-'TLTT nam 2015-huyen'!E25</f>
        <v>56840</v>
      </c>
      <c r="W12" s="556"/>
      <c r="X12" s="555">
        <f t="shared" si="3"/>
        <v>56840</v>
      </c>
      <c r="Y12" s="557">
        <f t="shared" si="29"/>
        <v>120.67940552016985</v>
      </c>
      <c r="Z12" s="555">
        <f t="shared" si="30"/>
        <v>9740</v>
      </c>
      <c r="AA12" s="555">
        <v>74160</v>
      </c>
      <c r="AB12" s="555"/>
      <c r="AC12" s="555">
        <f>AA12</f>
        <v>74160</v>
      </c>
      <c r="AD12" s="555">
        <f>AA12+'TLTT nam 2015-huyen'!F24-'TLTT nam 2015-huyen'!F25</f>
        <v>82130</v>
      </c>
      <c r="AE12" s="556"/>
      <c r="AF12" s="555">
        <f t="shared" si="4"/>
        <v>82130</v>
      </c>
      <c r="AG12" s="557">
        <f t="shared" si="31"/>
        <v>110.74703344120819</v>
      </c>
      <c r="AH12" s="555">
        <f t="shared" si="32"/>
        <v>7970</v>
      </c>
      <c r="AI12" s="555">
        <v>66895</v>
      </c>
      <c r="AJ12" s="555"/>
      <c r="AK12" s="555">
        <f t="shared" si="17"/>
        <v>66895</v>
      </c>
      <c r="AL12" s="555">
        <f>AI12+'TLTT nam 2015-huyen'!G24-'TLTT nam 2015-huyen'!G25</f>
        <v>71055</v>
      </c>
      <c r="AM12" s="556"/>
      <c r="AN12" s="555">
        <f t="shared" si="5"/>
        <v>71055</v>
      </c>
      <c r="AO12" s="557">
        <f t="shared" si="33"/>
        <v>106.21870094924881</v>
      </c>
      <c r="AP12" s="555">
        <f t="shared" si="34"/>
        <v>4160</v>
      </c>
      <c r="AQ12" s="555">
        <v>75690</v>
      </c>
      <c r="AR12" s="555"/>
      <c r="AS12" s="555">
        <f t="shared" si="18"/>
        <v>75690</v>
      </c>
      <c r="AT12" s="561">
        <f>AQ12+'TLTT nam 2015-huyen'!H24-'TLTT nam 2015-huyen'!H25</f>
        <v>52350</v>
      </c>
      <c r="AU12" s="556"/>
      <c r="AV12" s="555">
        <f t="shared" si="6"/>
        <v>52350</v>
      </c>
      <c r="AW12" s="557">
        <f t="shared" si="35"/>
        <v>69.163694015061438</v>
      </c>
      <c r="AX12" s="555">
        <f t="shared" si="36"/>
        <v>-23340</v>
      </c>
      <c r="AY12" s="555">
        <v>95850</v>
      </c>
      <c r="AZ12" s="555"/>
      <c r="BA12" s="555">
        <f t="shared" si="19"/>
        <v>95850</v>
      </c>
      <c r="BB12" s="555">
        <f>AY12+'TLTT nam 2015-huyen'!I24-'TLTT nam 2015-huyen'!I25</f>
        <v>96620</v>
      </c>
      <c r="BC12" s="555"/>
      <c r="BD12" s="555">
        <f t="shared" si="7"/>
        <v>96620</v>
      </c>
      <c r="BE12" s="557">
        <f t="shared" si="37"/>
        <v>100.80333854981743</v>
      </c>
      <c r="BF12" s="555">
        <f t="shared" si="38"/>
        <v>770</v>
      </c>
      <c r="BG12" s="555">
        <v>103965</v>
      </c>
      <c r="BH12" s="555"/>
      <c r="BI12" s="555">
        <f t="shared" si="20"/>
        <v>103965</v>
      </c>
      <c r="BJ12" s="555">
        <f>BG12+'TLTT nam 2015-huyen'!J24-'TLTT nam 2015-huyen'!J25</f>
        <v>103470</v>
      </c>
      <c r="BK12" s="556"/>
      <c r="BL12" s="555">
        <f t="shared" si="8"/>
        <v>103470</v>
      </c>
      <c r="BM12" s="557">
        <f t="shared" si="39"/>
        <v>99.523878228249885</v>
      </c>
      <c r="BN12" s="555">
        <f t="shared" si="40"/>
        <v>-495</v>
      </c>
      <c r="BO12" s="555">
        <v>89200</v>
      </c>
      <c r="BP12" s="555"/>
      <c r="BQ12" s="555">
        <f t="shared" si="21"/>
        <v>89200</v>
      </c>
      <c r="BR12" s="555">
        <f>BO12+'TLTT nam 2015-huyen'!K24-'TLTT nam 2015-huyen'!K25</f>
        <v>83570</v>
      </c>
      <c r="BS12" s="556"/>
      <c r="BT12" s="555">
        <f t="shared" si="9"/>
        <v>83570</v>
      </c>
      <c r="BU12" s="557">
        <f t="shared" si="41"/>
        <v>93.688340807174882</v>
      </c>
      <c r="BV12" s="555">
        <f t="shared" si="42"/>
        <v>-5630</v>
      </c>
      <c r="BW12" s="555">
        <v>74610</v>
      </c>
      <c r="BX12" s="555"/>
      <c r="BY12" s="555">
        <f t="shared" si="22"/>
        <v>74610</v>
      </c>
      <c r="BZ12" s="555">
        <f>BW12+'TLTT nam 2015-huyen'!L24-'TLTT nam 2015-huyen'!L25</f>
        <v>165500</v>
      </c>
      <c r="CA12" s="556"/>
      <c r="CB12" s="555">
        <f t="shared" si="10"/>
        <v>165500</v>
      </c>
      <c r="CC12" s="557">
        <f t="shared" si="43"/>
        <v>221.82013134968503</v>
      </c>
      <c r="CD12" s="555">
        <f t="shared" si="44"/>
        <v>90890</v>
      </c>
      <c r="CE12" s="555">
        <v>67590</v>
      </c>
      <c r="CF12" s="555"/>
      <c r="CG12" s="555">
        <f t="shared" si="23"/>
        <v>67590</v>
      </c>
      <c r="CH12" s="555">
        <f>CE12+'TLTT nam 2015-huyen'!M24-'TLTT nam 2015-huyen'!M25+615</f>
        <v>65995</v>
      </c>
      <c r="CI12" s="556"/>
      <c r="CJ12" s="555">
        <f t="shared" si="11"/>
        <v>65995</v>
      </c>
      <c r="CK12" s="557">
        <f t="shared" si="45"/>
        <v>97.640183459091588</v>
      </c>
      <c r="CL12" s="555">
        <f t="shared" si="46"/>
        <v>-1595</v>
      </c>
      <c r="CM12" s="555">
        <v>0</v>
      </c>
      <c r="CN12" s="555"/>
      <c r="CO12" s="555">
        <f t="shared" si="24"/>
        <v>0</v>
      </c>
      <c r="CP12" s="555">
        <f>CM12+'TLTT nam 2015-huyen'!N24-'TLTT nam 2015-huyen'!N25+720+(116000-62200)</f>
        <v>113440</v>
      </c>
      <c r="CQ12" s="556"/>
      <c r="CR12" s="555">
        <f t="shared" si="12"/>
        <v>113440</v>
      </c>
      <c r="CS12" s="557">
        <f t="shared" si="47"/>
        <v>0</v>
      </c>
      <c r="CT12" s="555">
        <f t="shared" si="48"/>
        <v>113440</v>
      </c>
      <c r="CU12" s="555">
        <v>64825</v>
      </c>
      <c r="CV12" s="555"/>
      <c r="CW12" s="555">
        <f t="shared" si="25"/>
        <v>64825</v>
      </c>
      <c r="CX12" s="555">
        <f>CU12+'TLTT nam 2015-huyen'!O24-'TLTT nam 2015-huyen'!O25+240</f>
        <v>97390</v>
      </c>
      <c r="CY12" s="558"/>
      <c r="CZ12" s="555">
        <f t="shared" si="13"/>
        <v>97390</v>
      </c>
      <c r="DA12" s="557">
        <f t="shared" si="49"/>
        <v>150.23524874662553</v>
      </c>
      <c r="DB12" s="555">
        <f t="shared" si="50"/>
        <v>32565</v>
      </c>
    </row>
    <row r="13" spans="1:106" s="293" customFormat="1" ht="18.95" customHeight="1">
      <c r="A13" s="553">
        <v>6</v>
      </c>
      <c r="B13" s="559" t="s">
        <v>928</v>
      </c>
      <c r="C13" s="555">
        <f t="shared" si="1"/>
        <v>77820</v>
      </c>
      <c r="D13" s="556"/>
      <c r="E13" s="555">
        <f t="shared" si="1"/>
        <v>536938</v>
      </c>
      <c r="F13" s="555">
        <f t="shared" si="14"/>
        <v>290270</v>
      </c>
      <c r="G13" s="556">
        <f t="shared" si="14"/>
        <v>0</v>
      </c>
      <c r="H13" s="555">
        <f t="shared" si="14"/>
        <v>290270</v>
      </c>
      <c r="I13" s="557">
        <f t="shared" si="26"/>
        <v>373.00179902338726</v>
      </c>
      <c r="J13" s="560">
        <f t="shared" si="27"/>
        <v>212450</v>
      </c>
      <c r="K13" s="555">
        <v>1500</v>
      </c>
      <c r="L13" s="555"/>
      <c r="M13" s="555">
        <f>K13+IF('Thu NSH'!T30&lt;0,-'Thu NSH'!T30,0)</f>
        <v>24430</v>
      </c>
      <c r="N13" s="555">
        <f>K13+IF('Thu NSH'!V33&lt;0,-'Thu NSH'!V33,0)</f>
        <v>9530</v>
      </c>
      <c r="O13" s="555"/>
      <c r="P13" s="555">
        <f t="shared" si="2"/>
        <v>9530</v>
      </c>
      <c r="Q13" s="557">
        <f t="shared" si="28"/>
        <v>635.33333333333337</v>
      </c>
      <c r="R13" s="555">
        <f t="shared" si="0"/>
        <v>8030</v>
      </c>
      <c r="S13" s="555">
        <v>0</v>
      </c>
      <c r="T13" s="555"/>
      <c r="U13" s="555">
        <f>S13+IF('Thu NSH'!AF30&lt;0,-'Thu NSH'!AF30,0)</f>
        <v>4980</v>
      </c>
      <c r="V13" s="562">
        <f>S13+IF('Thu NSH'!AH33&lt;0,-'Thu NSH'!AH33,0)</f>
        <v>5010</v>
      </c>
      <c r="W13" s="556"/>
      <c r="X13" s="555">
        <f t="shared" si="3"/>
        <v>5010</v>
      </c>
      <c r="Y13" s="557">
        <f t="shared" si="29"/>
        <v>0</v>
      </c>
      <c r="Z13" s="555">
        <f t="shared" si="30"/>
        <v>5010</v>
      </c>
      <c r="AA13" s="555">
        <v>9500</v>
      </c>
      <c r="AB13" s="555"/>
      <c r="AC13" s="555">
        <f>AA13+IF('Thu NSH'!AR30&lt;0,-'Thu NSH'!AR30,0)</f>
        <v>9500</v>
      </c>
      <c r="AD13" s="555">
        <f>AA13+IF('Thu NSH'!AT33&lt;0,-'Thu NSH'!AT33,0)</f>
        <v>9500</v>
      </c>
      <c r="AE13" s="556"/>
      <c r="AF13" s="555">
        <f t="shared" si="4"/>
        <v>9500</v>
      </c>
      <c r="AG13" s="557">
        <f t="shared" si="31"/>
        <v>100</v>
      </c>
      <c r="AH13" s="555">
        <f t="shared" si="32"/>
        <v>0</v>
      </c>
      <c r="AI13" s="555">
        <v>5000</v>
      </c>
      <c r="AJ13" s="555"/>
      <c r="AK13" s="555">
        <f>AI13+IF('Thu NSH'!BD30&lt;0,-'Thu NSH'!BD30,0)</f>
        <v>6941</v>
      </c>
      <c r="AL13" s="555">
        <f>AI13+IF('Thu NSH'!BF33&lt;0,-'Thu NSH'!BF33,0)</f>
        <v>7240</v>
      </c>
      <c r="AM13" s="556"/>
      <c r="AN13" s="555">
        <f t="shared" si="5"/>
        <v>7240</v>
      </c>
      <c r="AO13" s="557">
        <f t="shared" si="33"/>
        <v>144.80000000000001</v>
      </c>
      <c r="AP13" s="555">
        <f t="shared" si="34"/>
        <v>2240</v>
      </c>
      <c r="AQ13" s="555">
        <v>0</v>
      </c>
      <c r="AR13" s="555"/>
      <c r="AS13" s="555">
        <f>AQ13+IF('Thu NSH'!BP30&lt;0,-'Thu NSH'!BP30,0)</f>
        <v>0</v>
      </c>
      <c r="AT13" s="555">
        <f>AQ13+IF('Thu NSH'!BR33&lt;0,-'Thu NSH'!BR33,0)</f>
        <v>0</v>
      </c>
      <c r="AU13" s="556"/>
      <c r="AV13" s="555">
        <f t="shared" si="6"/>
        <v>0</v>
      </c>
      <c r="AW13" s="557">
        <f t="shared" si="35"/>
        <v>0</v>
      </c>
      <c r="AX13" s="555">
        <f t="shared" si="36"/>
        <v>0</v>
      </c>
      <c r="AY13" s="555">
        <v>17000</v>
      </c>
      <c r="AZ13" s="555"/>
      <c r="BA13" s="555">
        <f>AY13+IF('Thu NSH'!CB30&lt;0,-'Thu NSH'!CB30,0)</f>
        <v>28220</v>
      </c>
      <c r="BB13" s="555">
        <f>AY13+IF('Thu NSH'!CD33&lt;0,-'Thu NSH'!CD33,0)</f>
        <v>17000</v>
      </c>
      <c r="BC13" s="555"/>
      <c r="BD13" s="555">
        <f t="shared" si="7"/>
        <v>17000</v>
      </c>
      <c r="BE13" s="557">
        <f t="shared" si="37"/>
        <v>100</v>
      </c>
      <c r="BF13" s="555">
        <f t="shared" si="38"/>
        <v>0</v>
      </c>
      <c r="BG13" s="555">
        <v>13000</v>
      </c>
      <c r="BH13" s="555"/>
      <c r="BI13" s="555">
        <f>BG13+IF('Thu NSH'!CN30&lt;0,-'Thu NSH'!CN30,0)</f>
        <v>15944</v>
      </c>
      <c r="BJ13" s="555">
        <f>BG13+IF('Thu NSH'!CP33&lt;0,-'Thu NSH'!CP33,0)</f>
        <v>13370</v>
      </c>
      <c r="BK13" s="556"/>
      <c r="BL13" s="555">
        <f t="shared" si="8"/>
        <v>13370</v>
      </c>
      <c r="BM13" s="557">
        <f t="shared" si="39"/>
        <v>102.84615384615384</v>
      </c>
      <c r="BN13" s="555">
        <f t="shared" si="40"/>
        <v>370</v>
      </c>
      <c r="BO13" s="555">
        <v>12000</v>
      </c>
      <c r="BP13" s="555"/>
      <c r="BQ13" s="555">
        <f>BO13+IF('Thu NSH'!CZ30&lt;0,-'Thu NSH'!CZ30,0)</f>
        <v>12000</v>
      </c>
      <c r="BR13" s="555">
        <f>BO13+IF('Thu NSH'!DB33&lt;0,-'Thu NSH'!DB33,0)</f>
        <v>12000</v>
      </c>
      <c r="BS13" s="556"/>
      <c r="BT13" s="555">
        <f t="shared" si="9"/>
        <v>12000</v>
      </c>
      <c r="BU13" s="557">
        <f t="shared" si="41"/>
        <v>100</v>
      </c>
      <c r="BV13" s="555">
        <f t="shared" si="42"/>
        <v>0</v>
      </c>
      <c r="BW13" s="555">
        <v>0</v>
      </c>
      <c r="BX13" s="555"/>
      <c r="BY13" s="555">
        <f>BW13+IF('Thu NSH'!DL30&lt;0,-'Thu NSH'!DL30,0)</f>
        <v>177400</v>
      </c>
      <c r="BZ13" s="555">
        <f>BW13+IF('Thu NSH'!DN33&lt;0,-'Thu NSH'!DN33,0)</f>
        <v>86730</v>
      </c>
      <c r="CA13" s="556"/>
      <c r="CB13" s="555">
        <f t="shared" si="10"/>
        <v>86730</v>
      </c>
      <c r="CC13" s="557">
        <f t="shared" si="43"/>
        <v>0</v>
      </c>
      <c r="CD13" s="555">
        <f t="shared" si="44"/>
        <v>86730</v>
      </c>
      <c r="CE13" s="555">
        <v>0</v>
      </c>
      <c r="CF13" s="555"/>
      <c r="CG13" s="555">
        <f>CE13+IF('Thu NSH'!DX30&lt;0,-'Thu NSH'!DX30,0)</f>
        <v>12445</v>
      </c>
      <c r="CH13" s="555">
        <f>CE13+IF('Thu NSH'!DZ33&lt;0,-'Thu NSH'!DZ33,0)</f>
        <v>3850</v>
      </c>
      <c r="CI13" s="556"/>
      <c r="CJ13" s="555">
        <f t="shared" si="11"/>
        <v>3850</v>
      </c>
      <c r="CK13" s="557">
        <f t="shared" si="45"/>
        <v>0</v>
      </c>
      <c r="CL13" s="555">
        <f t="shared" si="46"/>
        <v>3850</v>
      </c>
      <c r="CM13" s="555">
        <v>10000</v>
      </c>
      <c r="CN13" s="555"/>
      <c r="CO13" s="555">
        <f>CM13+IF('Thu NSH'!EJ30&lt;0,-'Thu NSH'!EJ30,0)</f>
        <v>162120</v>
      </c>
      <c r="CP13" s="561">
        <f>CM13+IF('Thu NSH'!EL33&lt;0,-'Thu NSH'!EL33,0)</f>
        <v>81460</v>
      </c>
      <c r="CQ13" s="556"/>
      <c r="CR13" s="555">
        <f t="shared" si="12"/>
        <v>81460</v>
      </c>
      <c r="CS13" s="557">
        <f t="shared" si="47"/>
        <v>814.6</v>
      </c>
      <c r="CT13" s="555">
        <f t="shared" si="48"/>
        <v>71460</v>
      </c>
      <c r="CU13" s="555">
        <v>9820</v>
      </c>
      <c r="CV13" s="555"/>
      <c r="CW13" s="555">
        <f>CU13+IF('Thu NSH'!EV30&lt;0,-'Thu NSH'!EV30,0)</f>
        <v>82958</v>
      </c>
      <c r="CX13" s="555">
        <f>CU13+IF('Thu NSH'!EX33&lt;0,-'Thu NSH'!EX33,0)</f>
        <v>44580</v>
      </c>
      <c r="CY13" s="558"/>
      <c r="CZ13" s="555">
        <f t="shared" si="13"/>
        <v>44580</v>
      </c>
      <c r="DA13" s="557">
        <f t="shared" si="49"/>
        <v>453.97148676171076</v>
      </c>
      <c r="DB13" s="555">
        <f t="shared" si="50"/>
        <v>34760</v>
      </c>
    </row>
    <row r="14" spans="1:106" s="293" customFormat="1" ht="18.95" customHeight="1">
      <c r="A14" s="553">
        <v>7</v>
      </c>
      <c r="B14" s="559" t="s">
        <v>517</v>
      </c>
      <c r="C14" s="555">
        <f t="shared" si="1"/>
        <v>62200</v>
      </c>
      <c r="D14" s="556"/>
      <c r="E14" s="555">
        <f t="shared" si="1"/>
        <v>62200</v>
      </c>
      <c r="F14" s="555">
        <f t="shared" si="14"/>
        <v>68750</v>
      </c>
      <c r="G14" s="556">
        <f t="shared" si="14"/>
        <v>0</v>
      </c>
      <c r="H14" s="555">
        <f t="shared" si="14"/>
        <v>68750</v>
      </c>
      <c r="I14" s="557">
        <f t="shared" si="26"/>
        <v>110.53054662379421</v>
      </c>
      <c r="J14" s="555">
        <f t="shared" si="27"/>
        <v>6550</v>
      </c>
      <c r="K14" s="555"/>
      <c r="L14" s="555"/>
      <c r="M14" s="555">
        <f t="shared" si="15"/>
        <v>0</v>
      </c>
      <c r="N14" s="555">
        <f>'TLTT nam 2015-huyen'!D9</f>
        <v>4110</v>
      </c>
      <c r="O14" s="555"/>
      <c r="P14" s="555">
        <f t="shared" si="2"/>
        <v>4110</v>
      </c>
      <c r="Q14" s="557">
        <f t="shared" si="28"/>
        <v>0</v>
      </c>
      <c r="R14" s="555">
        <f t="shared" si="0"/>
        <v>4110</v>
      </c>
      <c r="S14" s="555">
        <v>0</v>
      </c>
      <c r="T14" s="555"/>
      <c r="U14" s="555">
        <f t="shared" si="16"/>
        <v>0</v>
      </c>
      <c r="V14" s="555">
        <f>'TLTT nam 2015-huyen'!E9</f>
        <v>0</v>
      </c>
      <c r="W14" s="556"/>
      <c r="X14" s="555">
        <f t="shared" si="3"/>
        <v>0</v>
      </c>
      <c r="Y14" s="557">
        <f t="shared" si="29"/>
        <v>0</v>
      </c>
      <c r="Z14" s="555">
        <f t="shared" si="30"/>
        <v>0</v>
      </c>
      <c r="AA14" s="555">
        <v>0</v>
      </c>
      <c r="AB14" s="555"/>
      <c r="AC14" s="555">
        <f>AA14</f>
        <v>0</v>
      </c>
      <c r="AD14" s="555">
        <f>'TLTT nam 2015-huyen'!F9</f>
        <v>430</v>
      </c>
      <c r="AE14" s="556"/>
      <c r="AF14" s="555">
        <f t="shared" si="4"/>
        <v>430</v>
      </c>
      <c r="AG14" s="557">
        <f t="shared" si="31"/>
        <v>0</v>
      </c>
      <c r="AH14" s="555">
        <f t="shared" si="32"/>
        <v>430</v>
      </c>
      <c r="AI14" s="555">
        <v>0</v>
      </c>
      <c r="AJ14" s="555"/>
      <c r="AK14" s="555">
        <f t="shared" si="17"/>
        <v>0</v>
      </c>
      <c r="AL14" s="555">
        <f>'TLTT nam 2015-huyen'!G9</f>
        <v>1130</v>
      </c>
      <c r="AM14" s="556"/>
      <c r="AN14" s="555">
        <f t="shared" si="5"/>
        <v>1130</v>
      </c>
      <c r="AO14" s="557">
        <f t="shared" si="33"/>
        <v>0</v>
      </c>
      <c r="AP14" s="555">
        <f t="shared" si="34"/>
        <v>1130</v>
      </c>
      <c r="AQ14" s="555"/>
      <c r="AR14" s="555"/>
      <c r="AS14" s="555">
        <f t="shared" si="18"/>
        <v>0</v>
      </c>
      <c r="AT14" s="555">
        <f>'TLTT nam 2015-huyen'!H9</f>
        <v>14870</v>
      </c>
      <c r="AU14" s="556"/>
      <c r="AV14" s="555">
        <f t="shared" si="6"/>
        <v>14870</v>
      </c>
      <c r="AW14" s="557">
        <f t="shared" si="35"/>
        <v>0</v>
      </c>
      <c r="AX14" s="555">
        <f t="shared" si="36"/>
        <v>14870</v>
      </c>
      <c r="AY14" s="555"/>
      <c r="AZ14" s="555"/>
      <c r="BA14" s="555">
        <f t="shared" si="19"/>
        <v>0</v>
      </c>
      <c r="BB14" s="555">
        <f>'TLTT nam 2015-huyen'!I9</f>
        <v>0</v>
      </c>
      <c r="BC14" s="555"/>
      <c r="BD14" s="555">
        <f t="shared" si="7"/>
        <v>0</v>
      </c>
      <c r="BE14" s="557">
        <f t="shared" si="37"/>
        <v>0</v>
      </c>
      <c r="BF14" s="555">
        <f t="shared" si="38"/>
        <v>0</v>
      </c>
      <c r="BG14" s="555"/>
      <c r="BH14" s="555"/>
      <c r="BI14" s="555">
        <f t="shared" si="20"/>
        <v>0</v>
      </c>
      <c r="BJ14" s="555">
        <f>'TLTT nam 2015-huyen'!J9</f>
        <v>6250</v>
      </c>
      <c r="BK14" s="556"/>
      <c r="BL14" s="555">
        <f t="shared" si="8"/>
        <v>6250</v>
      </c>
      <c r="BM14" s="557">
        <f t="shared" si="39"/>
        <v>0</v>
      </c>
      <c r="BN14" s="555">
        <f t="shared" si="40"/>
        <v>6250</v>
      </c>
      <c r="BO14" s="555"/>
      <c r="BP14" s="555"/>
      <c r="BQ14" s="555">
        <f t="shared" si="21"/>
        <v>0</v>
      </c>
      <c r="BR14" s="555">
        <f>'TLTT nam 2015-huyen'!K9</f>
        <v>5540</v>
      </c>
      <c r="BS14" s="556"/>
      <c r="BT14" s="555">
        <f t="shared" si="9"/>
        <v>5540</v>
      </c>
      <c r="BU14" s="557">
        <f t="shared" si="41"/>
        <v>0</v>
      </c>
      <c r="BV14" s="555">
        <f t="shared" si="42"/>
        <v>5540</v>
      </c>
      <c r="BW14" s="555"/>
      <c r="BX14" s="555"/>
      <c r="BY14" s="555">
        <f t="shared" si="22"/>
        <v>0</v>
      </c>
      <c r="BZ14" s="555">
        <f>'TLTT nam 2015-huyen'!L9</f>
        <v>0</v>
      </c>
      <c r="CA14" s="556"/>
      <c r="CB14" s="555">
        <f t="shared" si="10"/>
        <v>0</v>
      </c>
      <c r="CC14" s="557">
        <f t="shared" si="43"/>
        <v>0</v>
      </c>
      <c r="CD14" s="555">
        <f t="shared" si="44"/>
        <v>0</v>
      </c>
      <c r="CE14" s="555"/>
      <c r="CF14" s="555"/>
      <c r="CG14" s="555">
        <f t="shared" si="23"/>
        <v>0</v>
      </c>
      <c r="CH14" s="555">
        <f>'TLTT nam 2015-huyen'!M9</f>
        <v>9350</v>
      </c>
      <c r="CI14" s="556"/>
      <c r="CJ14" s="555">
        <f t="shared" si="11"/>
        <v>9350</v>
      </c>
      <c r="CK14" s="557">
        <f t="shared" si="45"/>
        <v>0</v>
      </c>
      <c r="CL14" s="555">
        <f t="shared" si="46"/>
        <v>9350</v>
      </c>
      <c r="CM14" s="555">
        <v>62200</v>
      </c>
      <c r="CN14" s="555"/>
      <c r="CO14" s="555">
        <f t="shared" si="24"/>
        <v>62200</v>
      </c>
      <c r="CP14" s="555">
        <f>'TLTT nam 2015-huyen'!N9</f>
        <v>21940</v>
      </c>
      <c r="CQ14" s="556"/>
      <c r="CR14" s="555">
        <f t="shared" si="12"/>
        <v>21940</v>
      </c>
      <c r="CS14" s="557">
        <f t="shared" si="47"/>
        <v>35.273311897106112</v>
      </c>
      <c r="CT14" s="555">
        <f t="shared" si="48"/>
        <v>-40260</v>
      </c>
      <c r="CU14" s="555"/>
      <c r="CV14" s="555"/>
      <c r="CW14" s="555">
        <f t="shared" si="25"/>
        <v>0</v>
      </c>
      <c r="CX14" s="555">
        <f>'TLTT nam 2015-huyen'!O9</f>
        <v>5130</v>
      </c>
      <c r="CY14" s="558"/>
      <c r="CZ14" s="555">
        <f t="shared" si="13"/>
        <v>5130</v>
      </c>
      <c r="DA14" s="557">
        <f t="shared" si="49"/>
        <v>0</v>
      </c>
      <c r="DB14" s="555">
        <f t="shared" si="50"/>
        <v>5130</v>
      </c>
    </row>
    <row r="15" spans="1:106" s="294" customFormat="1" ht="18.95" customHeight="1">
      <c r="A15" s="563" t="s">
        <v>654</v>
      </c>
      <c r="B15" s="564" t="s">
        <v>500</v>
      </c>
      <c r="C15" s="565">
        <f>SUM(C16,C19,C24,C25)</f>
        <v>4102970</v>
      </c>
      <c r="D15" s="566">
        <f>D19</f>
        <v>0</v>
      </c>
      <c r="E15" s="565">
        <f>SUM(E16,E19,E24,E25)</f>
        <v>3971463</v>
      </c>
      <c r="F15" s="565">
        <f>SUM(F16,F19,F24,F25)</f>
        <v>4177521</v>
      </c>
      <c r="G15" s="566">
        <f>G19</f>
        <v>19533</v>
      </c>
      <c r="H15" s="565">
        <f>SUM(H16,H19,H24,H25)</f>
        <v>4177521</v>
      </c>
      <c r="I15" s="567">
        <f t="shared" si="26"/>
        <v>101.81700085547787</v>
      </c>
      <c r="J15" s="565">
        <f t="shared" si="27"/>
        <v>74551</v>
      </c>
      <c r="K15" s="565">
        <f>SUM(K16,K19,K24,K25)</f>
        <v>318295</v>
      </c>
      <c r="L15" s="565"/>
      <c r="M15" s="565">
        <f>SUM(M16,M19,M24,M25)</f>
        <v>315295</v>
      </c>
      <c r="N15" s="565">
        <f>SUM(N16,N19,N24,N25)</f>
        <v>328855</v>
      </c>
      <c r="O15" s="565"/>
      <c r="P15" s="565">
        <f>SUM(P16,P19,P24,P25)</f>
        <v>328855</v>
      </c>
      <c r="Q15" s="567">
        <f t="shared" si="28"/>
        <v>103.31767699775367</v>
      </c>
      <c r="R15" s="565">
        <f t="shared" si="0"/>
        <v>10560</v>
      </c>
      <c r="S15" s="565">
        <f>SUM(S16,S19,S24,S25)</f>
        <v>246200</v>
      </c>
      <c r="T15" s="566">
        <f>SUM(T19)</f>
        <v>0</v>
      </c>
      <c r="U15" s="565">
        <f>SUM(U16,U19,U24,U25)</f>
        <v>221200</v>
      </c>
      <c r="V15" s="565">
        <f>SUM(V16,V19,V24,V25)</f>
        <v>236680</v>
      </c>
      <c r="W15" s="566"/>
      <c r="X15" s="565">
        <f>SUM(X16,X19,X24,X25)</f>
        <v>236680</v>
      </c>
      <c r="Y15" s="567">
        <f t="shared" si="29"/>
        <v>96.133225020308686</v>
      </c>
      <c r="Z15" s="565">
        <f t="shared" si="30"/>
        <v>-9520</v>
      </c>
      <c r="AA15" s="565">
        <f>SUM(AA16,AA19,AA24,AA25)</f>
        <v>286345</v>
      </c>
      <c r="AB15" s="566"/>
      <c r="AC15" s="565">
        <f>SUM(AC16,AC19,AC24,AC25)</f>
        <v>283350</v>
      </c>
      <c r="AD15" s="565">
        <f>SUM(AD16,AD19,AD24,AD25)</f>
        <v>302155</v>
      </c>
      <c r="AE15" s="566"/>
      <c r="AF15" s="565">
        <f>SUM(AF16,AF19,AF24,AF25)</f>
        <v>302155</v>
      </c>
      <c r="AG15" s="567">
        <f t="shared" si="31"/>
        <v>105.52131170441251</v>
      </c>
      <c r="AH15" s="565">
        <f t="shared" si="32"/>
        <v>15810</v>
      </c>
      <c r="AI15" s="565">
        <f>SUM(AI16,AI19,AI24,AI25)</f>
        <v>271235</v>
      </c>
      <c r="AJ15" s="566">
        <f>SUM(AJ19)</f>
        <v>0</v>
      </c>
      <c r="AK15" s="565">
        <f>SUM(AK16,AK19,AK24,AK25)</f>
        <v>266235</v>
      </c>
      <c r="AL15" s="565">
        <f>SUM(AL16,AL19,AL24,AL25)</f>
        <v>283470</v>
      </c>
      <c r="AM15" s="566"/>
      <c r="AN15" s="565">
        <f>SUM(AN16,AN19,AN24,AN25)</f>
        <v>283470</v>
      </c>
      <c r="AO15" s="567">
        <f t="shared" si="33"/>
        <v>104.51084852618578</v>
      </c>
      <c r="AP15" s="565">
        <f t="shared" si="34"/>
        <v>12235</v>
      </c>
      <c r="AQ15" s="565">
        <f>SUM(AQ16,AQ19,AQ24,AQ25)</f>
        <v>330450</v>
      </c>
      <c r="AR15" s="566">
        <f>SUM(AR19)</f>
        <v>0</v>
      </c>
      <c r="AS15" s="565">
        <f>SUM(AS16,AS19,AS24,AS25)</f>
        <v>336412</v>
      </c>
      <c r="AT15" s="565">
        <f>SUM(AT16,AT19,AT24,AT25)</f>
        <v>358235</v>
      </c>
      <c r="AU15" s="566"/>
      <c r="AV15" s="565">
        <f>+AV7</f>
        <v>358235</v>
      </c>
      <c r="AW15" s="567">
        <f t="shared" si="35"/>
        <v>108.40823119987895</v>
      </c>
      <c r="AX15" s="565">
        <f t="shared" si="36"/>
        <v>27785</v>
      </c>
      <c r="AY15" s="565">
        <f>SUM(AY16,AY19,AY24,AY25)</f>
        <v>390830</v>
      </c>
      <c r="AZ15" s="565"/>
      <c r="BA15" s="565">
        <f>SUM(BA16,BA19,BA24,BA25)</f>
        <v>344830</v>
      </c>
      <c r="BB15" s="565">
        <f>SUM(BB16,BB19,BB24,BB25)</f>
        <v>362790</v>
      </c>
      <c r="BC15" s="565"/>
      <c r="BD15" s="565">
        <f>SUM(BD16,BD19,BD24,BD25)</f>
        <v>362790</v>
      </c>
      <c r="BE15" s="567">
        <f t="shared" si="37"/>
        <v>92.825525164393724</v>
      </c>
      <c r="BF15" s="565">
        <f t="shared" si="38"/>
        <v>-28040</v>
      </c>
      <c r="BG15" s="565">
        <f>SUM(BG16,BG19,BG24,BG25)</f>
        <v>441545</v>
      </c>
      <c r="BH15" s="566">
        <f>SUM(BH19)</f>
        <v>0</v>
      </c>
      <c r="BI15" s="565">
        <f>SUM(BI16,BI19,BI24,BI25)</f>
        <v>421545</v>
      </c>
      <c r="BJ15" s="565">
        <f>SUM(BJ16,BJ19,BJ24,BJ25)</f>
        <v>460728</v>
      </c>
      <c r="BK15" s="566"/>
      <c r="BL15" s="565">
        <f>SUM(BL16,BL19,BL24,BL25)</f>
        <v>460728</v>
      </c>
      <c r="BM15" s="567">
        <f t="shared" si="39"/>
        <v>104.34451754634296</v>
      </c>
      <c r="BN15" s="565">
        <f t="shared" si="40"/>
        <v>19183</v>
      </c>
      <c r="BO15" s="565">
        <f>SUM(BO16,BO19,BO24,BO25)</f>
        <v>363955</v>
      </c>
      <c r="BP15" s="566">
        <f>SUM(BP19)</f>
        <v>0</v>
      </c>
      <c r="BQ15" s="565">
        <f>SUM(BQ16,BQ19,BQ24,BQ25)</f>
        <v>352481</v>
      </c>
      <c r="BR15" s="565">
        <f>SUM(BR16,BR19,BR24,BR25)</f>
        <v>382169</v>
      </c>
      <c r="BS15" s="566"/>
      <c r="BT15" s="565">
        <f>SUM(BT16,BT19,BT24,BT25)</f>
        <v>382169</v>
      </c>
      <c r="BU15" s="567">
        <f t="shared" si="41"/>
        <v>105.00446483768597</v>
      </c>
      <c r="BV15" s="565">
        <f t="shared" si="42"/>
        <v>18214</v>
      </c>
      <c r="BW15" s="565">
        <f>SUM(BW16,BW19,BW24,BW25)</f>
        <v>416275</v>
      </c>
      <c r="BX15" s="566"/>
      <c r="BY15" s="565">
        <f>SUM(BY16,BY19,BY24,BY25)</f>
        <v>401275</v>
      </c>
      <c r="BZ15" s="565">
        <f>SUM(BZ16,BZ19,BZ24,BZ25)</f>
        <v>412180</v>
      </c>
      <c r="CA15" s="566"/>
      <c r="CB15" s="565">
        <f>SUM(CB16,CB19,CB24,CB25)</f>
        <v>412180</v>
      </c>
      <c r="CC15" s="567">
        <f t="shared" si="43"/>
        <v>99.016275298780855</v>
      </c>
      <c r="CD15" s="565">
        <f t="shared" si="44"/>
        <v>-4095</v>
      </c>
      <c r="CE15" s="565">
        <f>SUM(CE16,CE19,CE24,CE25)</f>
        <v>325830</v>
      </c>
      <c r="CF15" s="566">
        <f>SUM(CF19)</f>
        <v>0</v>
      </c>
      <c r="CG15" s="565">
        <f>SUM(CG16,CG19,CG24,CG25)</f>
        <v>319830</v>
      </c>
      <c r="CH15" s="565">
        <f>SUM(CH16,CH19,CH24,CH25)</f>
        <v>329214</v>
      </c>
      <c r="CI15" s="566"/>
      <c r="CJ15" s="565">
        <f>SUM(CJ16,CJ19,CJ24,CJ25)</f>
        <v>329214</v>
      </c>
      <c r="CK15" s="567">
        <f t="shared" si="45"/>
        <v>101.03857839977903</v>
      </c>
      <c r="CL15" s="565">
        <f t="shared" si="46"/>
        <v>3384</v>
      </c>
      <c r="CM15" s="565">
        <f>SUM(CM16,CM19,CM24,CM25)</f>
        <v>387790</v>
      </c>
      <c r="CN15" s="566">
        <f>SUM(CN19)</f>
        <v>0</v>
      </c>
      <c r="CO15" s="565">
        <f>SUM(CO16,CO19,CO24,CO25)</f>
        <v>384790</v>
      </c>
      <c r="CP15" s="565">
        <f>SUM(CP16,CP19,CP24,CP25)</f>
        <v>391445</v>
      </c>
      <c r="CQ15" s="566"/>
      <c r="CR15" s="565">
        <f>SUM(CR16,CR19,CR24,CR25)</f>
        <v>391445</v>
      </c>
      <c r="CS15" s="567">
        <f t="shared" si="47"/>
        <v>100.94252043631862</v>
      </c>
      <c r="CT15" s="565">
        <f t="shared" si="48"/>
        <v>3655</v>
      </c>
      <c r="CU15" s="565">
        <f>SUM(CU16,CU19,CU24,CU25)</f>
        <v>324220</v>
      </c>
      <c r="CV15" s="566">
        <f>SUM(CV19)</f>
        <v>0</v>
      </c>
      <c r="CW15" s="565">
        <f>SUM(CW16,CW19,CW24,CW25)</f>
        <v>324220</v>
      </c>
      <c r="CX15" s="565">
        <f>SUM(CX16,CX19,CX24,CX25)</f>
        <v>329600</v>
      </c>
      <c r="CY15" s="568"/>
      <c r="CZ15" s="565">
        <f>SUM(CZ16,CZ19,CZ24,CZ25)</f>
        <v>329600</v>
      </c>
      <c r="DA15" s="567">
        <f t="shared" si="49"/>
        <v>101.65936709641602</v>
      </c>
      <c r="DB15" s="565">
        <f t="shared" si="50"/>
        <v>5380</v>
      </c>
    </row>
    <row r="16" spans="1:106" s="294" customFormat="1" ht="18.95" customHeight="1">
      <c r="A16" s="563">
        <v>1</v>
      </c>
      <c r="B16" s="564" t="s">
        <v>285</v>
      </c>
      <c r="C16" s="565">
        <f>+C17+C18</f>
        <v>563000</v>
      </c>
      <c r="D16" s="566"/>
      <c r="E16" s="565">
        <f>SUM(E17:E18)</f>
        <v>413000</v>
      </c>
      <c r="F16" s="565">
        <f>SUM(F17:F18)</f>
        <v>463000</v>
      </c>
      <c r="G16" s="566"/>
      <c r="H16" s="565">
        <f>+H17+H18</f>
        <v>463000</v>
      </c>
      <c r="I16" s="567">
        <f t="shared" si="26"/>
        <v>82.238010657193612</v>
      </c>
      <c r="J16" s="565">
        <f t="shared" si="27"/>
        <v>-100000</v>
      </c>
      <c r="K16" s="565">
        <f>+K17+K18</f>
        <v>22000</v>
      </c>
      <c r="L16" s="565"/>
      <c r="M16" s="565">
        <f>+M17+M18</f>
        <v>19000</v>
      </c>
      <c r="N16" s="565">
        <f>+N17+N18</f>
        <v>19000</v>
      </c>
      <c r="O16" s="565"/>
      <c r="P16" s="565">
        <f>SUM(P17:P18)</f>
        <v>19000</v>
      </c>
      <c r="Q16" s="567">
        <f t="shared" si="28"/>
        <v>86.36363636363636</v>
      </c>
      <c r="R16" s="565">
        <f t="shared" si="0"/>
        <v>-3000</v>
      </c>
      <c r="S16" s="565">
        <f>+S17+S18</f>
        <v>79000</v>
      </c>
      <c r="T16" s="565"/>
      <c r="U16" s="565">
        <f>+U17+U18</f>
        <v>54000</v>
      </c>
      <c r="V16" s="565">
        <f>+V17+V18</f>
        <v>54000</v>
      </c>
      <c r="W16" s="566"/>
      <c r="X16" s="565">
        <f>SUM(X17:X18)</f>
        <v>54000</v>
      </c>
      <c r="Y16" s="567">
        <f t="shared" si="29"/>
        <v>68.35443037974683</v>
      </c>
      <c r="Z16" s="565">
        <f t="shared" si="30"/>
        <v>-25000</v>
      </c>
      <c r="AA16" s="565">
        <f>+AA17+AA18</f>
        <v>24500</v>
      </c>
      <c r="AB16" s="566"/>
      <c r="AC16" s="565">
        <f>+AC17+AC18</f>
        <v>18500</v>
      </c>
      <c r="AD16" s="565">
        <f>+AD17+AD18</f>
        <v>19500</v>
      </c>
      <c r="AE16" s="566"/>
      <c r="AF16" s="565">
        <f>SUM(AF17:AF18)</f>
        <v>19500</v>
      </c>
      <c r="AG16" s="567">
        <f t="shared" si="31"/>
        <v>79.591836734693871</v>
      </c>
      <c r="AH16" s="565">
        <f t="shared" si="32"/>
        <v>-5000</v>
      </c>
      <c r="AI16" s="565">
        <f>+AI17+AI18</f>
        <v>24000</v>
      </c>
      <c r="AJ16" s="566"/>
      <c r="AK16" s="565">
        <f>+AK17+AK18</f>
        <v>19000</v>
      </c>
      <c r="AL16" s="565">
        <f>+AL17+AL18</f>
        <v>23000</v>
      </c>
      <c r="AM16" s="566"/>
      <c r="AN16" s="565">
        <f>SUM(AN17:AN18)</f>
        <v>23000</v>
      </c>
      <c r="AO16" s="567">
        <f t="shared" si="33"/>
        <v>95.833333333333329</v>
      </c>
      <c r="AP16" s="565">
        <f t="shared" si="34"/>
        <v>-1000</v>
      </c>
      <c r="AQ16" s="565">
        <f>+AQ17+AQ18</f>
        <v>28500</v>
      </c>
      <c r="AR16" s="566"/>
      <c r="AS16" s="565">
        <f>+AS17+AS18</f>
        <v>22500</v>
      </c>
      <c r="AT16" s="565">
        <f>+AT17+AT18</f>
        <v>28500</v>
      </c>
      <c r="AU16" s="566"/>
      <c r="AV16" s="565">
        <f>SUM(AV17:AV18)</f>
        <v>28500</v>
      </c>
      <c r="AW16" s="567">
        <f t="shared" si="35"/>
        <v>100</v>
      </c>
      <c r="AX16" s="565">
        <f t="shared" si="36"/>
        <v>0</v>
      </c>
      <c r="AY16" s="565">
        <f>+AY17+AY18</f>
        <v>83000</v>
      </c>
      <c r="AZ16" s="565"/>
      <c r="BA16" s="565">
        <f>+BA17+BA18</f>
        <v>37000</v>
      </c>
      <c r="BB16" s="565">
        <f>+BB17+BB18</f>
        <v>45000</v>
      </c>
      <c r="BC16" s="565"/>
      <c r="BD16" s="565">
        <f>SUM(BD17:BD18)</f>
        <v>45000</v>
      </c>
      <c r="BE16" s="567">
        <f t="shared" si="37"/>
        <v>54.216867469879517</v>
      </c>
      <c r="BF16" s="565">
        <f t="shared" si="38"/>
        <v>-38000</v>
      </c>
      <c r="BG16" s="565">
        <f>+BG17+BG18</f>
        <v>51000</v>
      </c>
      <c r="BH16" s="566"/>
      <c r="BI16" s="565">
        <f>+BI17+BI18</f>
        <v>31000</v>
      </c>
      <c r="BJ16" s="565">
        <f>+BJ17+BJ18</f>
        <v>46000</v>
      </c>
      <c r="BK16" s="566"/>
      <c r="BL16" s="565">
        <f>SUM(BL17:BL18)</f>
        <v>46000</v>
      </c>
      <c r="BM16" s="567">
        <f t="shared" si="39"/>
        <v>90.196078431372555</v>
      </c>
      <c r="BN16" s="565">
        <f t="shared" si="40"/>
        <v>-5000</v>
      </c>
      <c r="BO16" s="565">
        <f>+BO17+BO18</f>
        <v>48500</v>
      </c>
      <c r="BP16" s="566"/>
      <c r="BQ16" s="565">
        <f>+BQ17+BQ18</f>
        <v>33500</v>
      </c>
      <c r="BR16" s="565">
        <f>+BR17+BR18</f>
        <v>48500</v>
      </c>
      <c r="BS16" s="566"/>
      <c r="BT16" s="565">
        <f>SUM(BT17:BT18)</f>
        <v>48500</v>
      </c>
      <c r="BU16" s="567">
        <f t="shared" si="41"/>
        <v>100</v>
      </c>
      <c r="BV16" s="565">
        <f t="shared" si="42"/>
        <v>0</v>
      </c>
      <c r="BW16" s="565">
        <f>+BW17+BW18</f>
        <v>52000</v>
      </c>
      <c r="BX16" s="566"/>
      <c r="BY16" s="565">
        <f>+BY17+BY18</f>
        <v>37000</v>
      </c>
      <c r="BZ16" s="565">
        <f>+BZ17+BZ18</f>
        <v>37000</v>
      </c>
      <c r="CA16" s="566"/>
      <c r="CB16" s="565">
        <f>SUM(CB17:CB18)</f>
        <v>37000</v>
      </c>
      <c r="CC16" s="567">
        <f t="shared" si="43"/>
        <v>71.15384615384616</v>
      </c>
      <c r="CD16" s="565">
        <f t="shared" si="44"/>
        <v>-15000</v>
      </c>
      <c r="CE16" s="565">
        <f>+CE17+CE18</f>
        <v>26500</v>
      </c>
      <c r="CF16" s="566"/>
      <c r="CG16" s="565">
        <f>+CG17+CG18</f>
        <v>20500</v>
      </c>
      <c r="CH16" s="565">
        <f>+CH17+CH18</f>
        <v>23500</v>
      </c>
      <c r="CI16" s="566"/>
      <c r="CJ16" s="565">
        <f>SUM(CJ17:CJ18)</f>
        <v>23500</v>
      </c>
      <c r="CK16" s="567">
        <f t="shared" si="45"/>
        <v>88.679245283018872</v>
      </c>
      <c r="CL16" s="565">
        <f t="shared" si="46"/>
        <v>-3000</v>
      </c>
      <c r="CM16" s="565">
        <f>+CM17+CM18</f>
        <v>88000</v>
      </c>
      <c r="CN16" s="566"/>
      <c r="CO16" s="565">
        <f>+CO17+CO18</f>
        <v>85000</v>
      </c>
      <c r="CP16" s="565">
        <f>+CP17+CP18</f>
        <v>88000</v>
      </c>
      <c r="CQ16" s="566"/>
      <c r="CR16" s="565">
        <f>SUM(CR17:CR18)</f>
        <v>88000</v>
      </c>
      <c r="CS16" s="567">
        <f t="shared" si="47"/>
        <v>100</v>
      </c>
      <c r="CT16" s="565">
        <f t="shared" si="48"/>
        <v>0</v>
      </c>
      <c r="CU16" s="565">
        <f>+CU17+CU18</f>
        <v>36000</v>
      </c>
      <c r="CV16" s="566"/>
      <c r="CW16" s="565">
        <f>+CW17+CW18</f>
        <v>36000</v>
      </c>
      <c r="CX16" s="565">
        <f>+CX17+CX18</f>
        <v>31000</v>
      </c>
      <c r="CY16" s="568"/>
      <c r="CZ16" s="565">
        <f>SUM(CZ17:CZ18)</f>
        <v>31000</v>
      </c>
      <c r="DA16" s="567">
        <f t="shared" si="49"/>
        <v>86.111111111111114</v>
      </c>
      <c r="DB16" s="565">
        <f t="shared" si="50"/>
        <v>-5000</v>
      </c>
    </row>
    <row r="17" spans="1:106" s="281" customFormat="1" ht="18.95" customHeight="1">
      <c r="A17" s="569" t="s">
        <v>847</v>
      </c>
      <c r="B17" s="570" t="s">
        <v>501</v>
      </c>
      <c r="C17" s="555">
        <f>+K17+S17+AA17+AI17+AQ17+AY17+BG17+BO17+BW17+CE17+CM17+CU17</f>
        <v>213000</v>
      </c>
      <c r="D17" s="556"/>
      <c r="E17" s="555">
        <f>+M17+U17+AC17+AK17+AS17+BA17+BI17+BQ17+BY17+CG17+CO17+CW17</f>
        <v>213000</v>
      </c>
      <c r="F17" s="555">
        <f t="shared" ref="F17:H25" si="51">SUM(N17,V17,AD17,AL17,AT17,BB17,BJ17,BR17,BZ17,CH17,CP17,CX17)</f>
        <v>213000</v>
      </c>
      <c r="G17" s="556"/>
      <c r="H17" s="555">
        <f t="shared" si="51"/>
        <v>213000</v>
      </c>
      <c r="I17" s="557">
        <f>IF(C17=0,0,F17/C17%)</f>
        <v>100</v>
      </c>
      <c r="J17" s="555">
        <f t="shared" si="27"/>
        <v>0</v>
      </c>
      <c r="K17" s="555">
        <v>14000</v>
      </c>
      <c r="L17" s="555"/>
      <c r="M17" s="555">
        <f>K17</f>
        <v>14000</v>
      </c>
      <c r="N17" s="555">
        <f>K17</f>
        <v>14000</v>
      </c>
      <c r="O17" s="555"/>
      <c r="P17" s="555">
        <f>N17</f>
        <v>14000</v>
      </c>
      <c r="Q17" s="557">
        <f t="shared" si="28"/>
        <v>100</v>
      </c>
      <c r="R17" s="555">
        <f t="shared" si="0"/>
        <v>0</v>
      </c>
      <c r="S17" s="555">
        <v>14000</v>
      </c>
      <c r="T17" s="555"/>
      <c r="U17" s="555">
        <f>S17</f>
        <v>14000</v>
      </c>
      <c r="V17" s="555">
        <f>S17</f>
        <v>14000</v>
      </c>
      <c r="W17" s="556"/>
      <c r="X17" s="555">
        <f>V17</f>
        <v>14000</v>
      </c>
      <c r="Y17" s="557">
        <f t="shared" si="29"/>
        <v>100</v>
      </c>
      <c r="Z17" s="555">
        <f t="shared" si="30"/>
        <v>0</v>
      </c>
      <c r="AA17" s="555">
        <v>14500</v>
      </c>
      <c r="AB17" s="556"/>
      <c r="AC17" s="555">
        <f>AA17</f>
        <v>14500</v>
      </c>
      <c r="AD17" s="555">
        <f>AA17</f>
        <v>14500</v>
      </c>
      <c r="AE17" s="556"/>
      <c r="AF17" s="555">
        <f>AD17</f>
        <v>14500</v>
      </c>
      <c r="AG17" s="557">
        <f t="shared" si="31"/>
        <v>100</v>
      </c>
      <c r="AH17" s="555">
        <f t="shared" si="32"/>
        <v>0</v>
      </c>
      <c r="AI17" s="555">
        <v>14000</v>
      </c>
      <c r="AJ17" s="556"/>
      <c r="AK17" s="555">
        <f>AI17</f>
        <v>14000</v>
      </c>
      <c r="AL17" s="555">
        <f>AI17</f>
        <v>14000</v>
      </c>
      <c r="AM17" s="556"/>
      <c r="AN17" s="555">
        <f>AL17</f>
        <v>14000</v>
      </c>
      <c r="AO17" s="557">
        <f t="shared" si="33"/>
        <v>100</v>
      </c>
      <c r="AP17" s="555">
        <f t="shared" si="34"/>
        <v>0</v>
      </c>
      <c r="AQ17" s="555">
        <v>14500</v>
      </c>
      <c r="AR17" s="556"/>
      <c r="AS17" s="555">
        <f>AQ17</f>
        <v>14500</v>
      </c>
      <c r="AT17" s="555">
        <f>AQ17</f>
        <v>14500</v>
      </c>
      <c r="AU17" s="556"/>
      <c r="AV17" s="555">
        <f>AT17</f>
        <v>14500</v>
      </c>
      <c r="AW17" s="557">
        <f t="shared" si="35"/>
        <v>100</v>
      </c>
      <c r="AX17" s="555">
        <f t="shared" si="36"/>
        <v>0</v>
      </c>
      <c r="AY17" s="555">
        <v>15000</v>
      </c>
      <c r="AZ17" s="555"/>
      <c r="BA17" s="555">
        <f>AY17</f>
        <v>15000</v>
      </c>
      <c r="BB17" s="555">
        <f>AY17</f>
        <v>15000</v>
      </c>
      <c r="BC17" s="555"/>
      <c r="BD17" s="555">
        <f>BB17+BC17</f>
        <v>15000</v>
      </c>
      <c r="BE17" s="557">
        <f t="shared" si="37"/>
        <v>100</v>
      </c>
      <c r="BF17" s="555">
        <f t="shared" si="38"/>
        <v>0</v>
      </c>
      <c r="BG17" s="555">
        <v>16000</v>
      </c>
      <c r="BH17" s="556"/>
      <c r="BI17" s="555">
        <f>BG17</f>
        <v>16000</v>
      </c>
      <c r="BJ17" s="555">
        <f>BG17</f>
        <v>16000</v>
      </c>
      <c r="BK17" s="556"/>
      <c r="BL17" s="555">
        <f>BJ17</f>
        <v>16000</v>
      </c>
      <c r="BM17" s="557">
        <f t="shared" si="39"/>
        <v>100</v>
      </c>
      <c r="BN17" s="555">
        <f t="shared" si="40"/>
        <v>0</v>
      </c>
      <c r="BO17" s="555">
        <v>13500</v>
      </c>
      <c r="BP17" s="556"/>
      <c r="BQ17" s="555">
        <f>BO17</f>
        <v>13500</v>
      </c>
      <c r="BR17" s="555">
        <f>BO17</f>
        <v>13500</v>
      </c>
      <c r="BS17" s="556"/>
      <c r="BT17" s="555">
        <f>+BR17</f>
        <v>13500</v>
      </c>
      <c r="BU17" s="557">
        <f t="shared" si="41"/>
        <v>100</v>
      </c>
      <c r="BV17" s="555">
        <f t="shared" si="42"/>
        <v>0</v>
      </c>
      <c r="BW17" s="555">
        <v>17000</v>
      </c>
      <c r="BX17" s="556"/>
      <c r="BY17" s="555">
        <f>BW17</f>
        <v>17000</v>
      </c>
      <c r="BZ17" s="555">
        <f>BW17</f>
        <v>17000</v>
      </c>
      <c r="CA17" s="556"/>
      <c r="CB17" s="555">
        <f>BZ17</f>
        <v>17000</v>
      </c>
      <c r="CC17" s="557">
        <f t="shared" si="43"/>
        <v>100</v>
      </c>
      <c r="CD17" s="555">
        <f t="shared" si="44"/>
        <v>0</v>
      </c>
      <c r="CE17" s="555">
        <v>16500</v>
      </c>
      <c r="CF17" s="556"/>
      <c r="CG17" s="555">
        <f>CE17</f>
        <v>16500</v>
      </c>
      <c r="CH17" s="555">
        <f>CE17</f>
        <v>16500</v>
      </c>
      <c r="CI17" s="556"/>
      <c r="CJ17" s="555">
        <f>CH17</f>
        <v>16500</v>
      </c>
      <c r="CK17" s="557">
        <f t="shared" si="45"/>
        <v>100</v>
      </c>
      <c r="CL17" s="555">
        <f t="shared" si="46"/>
        <v>0</v>
      </c>
      <c r="CM17" s="555">
        <v>48000</v>
      </c>
      <c r="CN17" s="556"/>
      <c r="CO17" s="555">
        <f>CM17</f>
        <v>48000</v>
      </c>
      <c r="CP17" s="555">
        <f>CM17</f>
        <v>48000</v>
      </c>
      <c r="CQ17" s="556"/>
      <c r="CR17" s="555">
        <f>CP17</f>
        <v>48000</v>
      </c>
      <c r="CS17" s="557">
        <f t="shared" si="47"/>
        <v>100</v>
      </c>
      <c r="CT17" s="555">
        <f t="shared" si="48"/>
        <v>0</v>
      </c>
      <c r="CU17" s="555">
        <v>16000</v>
      </c>
      <c r="CV17" s="556"/>
      <c r="CW17" s="555">
        <f>CU17</f>
        <v>16000</v>
      </c>
      <c r="CX17" s="555">
        <f>CU17</f>
        <v>16000</v>
      </c>
      <c r="CY17" s="558"/>
      <c r="CZ17" s="555">
        <f>CX17</f>
        <v>16000</v>
      </c>
      <c r="DA17" s="557">
        <f t="shared" si="49"/>
        <v>100</v>
      </c>
      <c r="DB17" s="555">
        <f t="shared" si="50"/>
        <v>0</v>
      </c>
    </row>
    <row r="18" spans="1:106" s="281" customFormat="1" ht="18.95" customHeight="1">
      <c r="A18" s="569" t="s">
        <v>847</v>
      </c>
      <c r="B18" s="570" t="s">
        <v>502</v>
      </c>
      <c r="C18" s="555">
        <f>+K18+S18+AA18+AI18+AQ18+AY18+BG18+BO18+BW18+CE18+CM18+CU18</f>
        <v>350000</v>
      </c>
      <c r="D18" s="556"/>
      <c r="E18" s="555">
        <f>+M18+U18+AC18+AK18+AS18+BA18+BI18+BQ18+BY18+CG18+CO18+CW18</f>
        <v>200000</v>
      </c>
      <c r="F18" s="555">
        <f t="shared" si="51"/>
        <v>250000</v>
      </c>
      <c r="G18" s="556"/>
      <c r="H18" s="555">
        <f>SUM(P18,X18,AF18,AN18,AV18,BD18,BL18,BT18,CB18,CJ18,CR18,CZ18)</f>
        <v>250000</v>
      </c>
      <c r="I18" s="557">
        <f t="shared" si="26"/>
        <v>71.428571428571431</v>
      </c>
      <c r="J18" s="555">
        <f t="shared" si="27"/>
        <v>-100000</v>
      </c>
      <c r="K18" s="555">
        <v>8000</v>
      </c>
      <c r="L18" s="555"/>
      <c r="M18" s="555">
        <f>'Thu NSH'!T23</f>
        <v>5000</v>
      </c>
      <c r="N18" s="555">
        <f>'Thu NSH'!V23</f>
        <v>5000</v>
      </c>
      <c r="O18" s="571"/>
      <c r="P18" s="555">
        <f>N18</f>
        <v>5000</v>
      </c>
      <c r="Q18" s="557">
        <f t="shared" si="28"/>
        <v>62.5</v>
      </c>
      <c r="R18" s="555">
        <f>N18-K18</f>
        <v>-3000</v>
      </c>
      <c r="S18" s="555">
        <v>65000</v>
      </c>
      <c r="T18" s="555"/>
      <c r="U18" s="555">
        <f>'Thu NSH'!AF23</f>
        <v>40000</v>
      </c>
      <c r="V18" s="555">
        <f>'Thu NSH'!AH23</f>
        <v>40000</v>
      </c>
      <c r="W18" s="572"/>
      <c r="X18" s="555">
        <f>V18</f>
        <v>40000</v>
      </c>
      <c r="Y18" s="557">
        <f t="shared" si="29"/>
        <v>61.53846153846154</v>
      </c>
      <c r="Z18" s="555">
        <f t="shared" si="30"/>
        <v>-25000</v>
      </c>
      <c r="AA18" s="555">
        <v>10000</v>
      </c>
      <c r="AB18" s="556"/>
      <c r="AC18" s="555">
        <f>'Thu NSH'!AR23</f>
        <v>4000</v>
      </c>
      <c r="AD18" s="555">
        <f>'Thu NSH'!AT23</f>
        <v>5000</v>
      </c>
      <c r="AE18" s="572"/>
      <c r="AF18" s="555">
        <f>AD18</f>
        <v>5000</v>
      </c>
      <c r="AG18" s="557">
        <f t="shared" si="31"/>
        <v>50</v>
      </c>
      <c r="AH18" s="555">
        <f t="shared" si="32"/>
        <v>-5000</v>
      </c>
      <c r="AI18" s="555">
        <v>10000</v>
      </c>
      <c r="AJ18" s="556"/>
      <c r="AK18" s="555">
        <f>'Thu NSH'!BD23</f>
        <v>5000</v>
      </c>
      <c r="AL18" s="555">
        <f>'Thu NSH'!BF23</f>
        <v>9000</v>
      </c>
      <c r="AM18" s="572"/>
      <c r="AN18" s="555">
        <f>AL18</f>
        <v>9000</v>
      </c>
      <c r="AO18" s="557">
        <f t="shared" si="33"/>
        <v>90</v>
      </c>
      <c r="AP18" s="555">
        <f t="shared" si="34"/>
        <v>-1000</v>
      </c>
      <c r="AQ18" s="555">
        <v>14000</v>
      </c>
      <c r="AR18" s="556"/>
      <c r="AS18" s="555">
        <f>'Thu NSH'!BP23</f>
        <v>8000</v>
      </c>
      <c r="AT18" s="555">
        <f>'Thu NSH'!BR23</f>
        <v>14000</v>
      </c>
      <c r="AU18" s="572"/>
      <c r="AV18" s="555">
        <f>AT18</f>
        <v>14000</v>
      </c>
      <c r="AW18" s="557">
        <f t="shared" si="35"/>
        <v>100</v>
      </c>
      <c r="AX18" s="555">
        <f t="shared" si="36"/>
        <v>0</v>
      </c>
      <c r="AY18" s="555">
        <v>68000</v>
      </c>
      <c r="AZ18" s="555"/>
      <c r="BA18" s="555">
        <f>'Thu NSH'!CB23</f>
        <v>22000</v>
      </c>
      <c r="BB18" s="555">
        <f>'Thu NSH'!CD23</f>
        <v>30000</v>
      </c>
      <c r="BC18" s="571"/>
      <c r="BD18" s="555">
        <f>BB18</f>
        <v>30000</v>
      </c>
      <c r="BE18" s="557">
        <f t="shared" si="37"/>
        <v>44.117647058823529</v>
      </c>
      <c r="BF18" s="555">
        <f t="shared" si="38"/>
        <v>-38000</v>
      </c>
      <c r="BG18" s="555">
        <v>35000</v>
      </c>
      <c r="BH18" s="556"/>
      <c r="BI18" s="555">
        <f>'Thu NSH'!CN23</f>
        <v>15000</v>
      </c>
      <c r="BJ18" s="555">
        <f>'Thu NSH'!CP23</f>
        <v>30000</v>
      </c>
      <c r="BK18" s="572"/>
      <c r="BL18" s="555">
        <f>BJ18</f>
        <v>30000</v>
      </c>
      <c r="BM18" s="557">
        <f t="shared" si="39"/>
        <v>85.714285714285708</v>
      </c>
      <c r="BN18" s="555">
        <f t="shared" si="40"/>
        <v>-5000</v>
      </c>
      <c r="BO18" s="555">
        <v>35000</v>
      </c>
      <c r="BP18" s="556"/>
      <c r="BQ18" s="555">
        <f>'Thu NSH'!CZ23</f>
        <v>20000</v>
      </c>
      <c r="BR18" s="555">
        <f>'Thu NSH'!DB23</f>
        <v>35000</v>
      </c>
      <c r="BS18" s="572"/>
      <c r="BT18" s="555">
        <f>BR18</f>
        <v>35000</v>
      </c>
      <c r="BU18" s="557">
        <f t="shared" si="41"/>
        <v>100</v>
      </c>
      <c r="BV18" s="555">
        <f t="shared" si="42"/>
        <v>0</v>
      </c>
      <c r="BW18" s="555">
        <v>35000</v>
      </c>
      <c r="BX18" s="556"/>
      <c r="BY18" s="555">
        <f>'Thu NSH'!DL23</f>
        <v>20000</v>
      </c>
      <c r="BZ18" s="555">
        <f>'Thu NSH'!DN23</f>
        <v>20000</v>
      </c>
      <c r="CA18" s="572"/>
      <c r="CB18" s="555">
        <f>BZ18</f>
        <v>20000</v>
      </c>
      <c r="CC18" s="557">
        <f t="shared" si="43"/>
        <v>57.142857142857146</v>
      </c>
      <c r="CD18" s="555">
        <f t="shared" si="44"/>
        <v>-15000</v>
      </c>
      <c r="CE18" s="555">
        <v>10000</v>
      </c>
      <c r="CF18" s="556"/>
      <c r="CG18" s="555">
        <f>'Thu NSH'!DX23</f>
        <v>4000</v>
      </c>
      <c r="CH18" s="555">
        <f>'Thu NSH'!DZ23</f>
        <v>7000</v>
      </c>
      <c r="CI18" s="572"/>
      <c r="CJ18" s="555">
        <f>CH18</f>
        <v>7000</v>
      </c>
      <c r="CK18" s="557">
        <f t="shared" si="45"/>
        <v>70</v>
      </c>
      <c r="CL18" s="555">
        <f t="shared" si="46"/>
        <v>-3000</v>
      </c>
      <c r="CM18" s="555">
        <v>40000</v>
      </c>
      <c r="CN18" s="556"/>
      <c r="CO18" s="555">
        <f>'Thu NSH'!EJ23</f>
        <v>37000</v>
      </c>
      <c r="CP18" s="555">
        <f>'Thu NSH'!EL23</f>
        <v>40000</v>
      </c>
      <c r="CQ18" s="572"/>
      <c r="CR18" s="555">
        <f>CP18</f>
        <v>40000</v>
      </c>
      <c r="CS18" s="557">
        <f t="shared" si="47"/>
        <v>100</v>
      </c>
      <c r="CT18" s="555">
        <f t="shared" si="48"/>
        <v>0</v>
      </c>
      <c r="CU18" s="555">
        <v>20000</v>
      </c>
      <c r="CV18" s="556"/>
      <c r="CW18" s="555">
        <f>'Thu NSH'!EV23</f>
        <v>20000</v>
      </c>
      <c r="CX18" s="555">
        <f>'Thu NSH'!EX23</f>
        <v>15000</v>
      </c>
      <c r="CY18" s="573"/>
      <c r="CZ18" s="555">
        <f>CX18</f>
        <v>15000</v>
      </c>
      <c r="DA18" s="557">
        <f t="shared" si="49"/>
        <v>75</v>
      </c>
      <c r="DB18" s="555">
        <f t="shared" si="50"/>
        <v>-5000</v>
      </c>
    </row>
    <row r="19" spans="1:106" s="294" customFormat="1" ht="18.95" customHeight="1">
      <c r="A19" s="563">
        <v>2</v>
      </c>
      <c r="B19" s="564" t="s">
        <v>503</v>
      </c>
      <c r="C19" s="565">
        <f t="shared" ref="C19:H19" si="52">SUM(C20:C23)</f>
        <v>3481110</v>
      </c>
      <c r="D19" s="566">
        <f>SUM(L19,T19,AB19,AJ19,AR19,AZ19,BH19,BP19,BX19,CF19,CN19,CV19)</f>
        <v>0</v>
      </c>
      <c r="E19" s="565">
        <f t="shared" si="52"/>
        <v>3499603</v>
      </c>
      <c r="F19" s="565">
        <f t="shared" si="52"/>
        <v>3658031</v>
      </c>
      <c r="G19" s="566">
        <f t="shared" si="52"/>
        <v>19533</v>
      </c>
      <c r="H19" s="565">
        <f t="shared" si="52"/>
        <v>3658031</v>
      </c>
      <c r="I19" s="567">
        <f t="shared" si="26"/>
        <v>105.08231569815375</v>
      </c>
      <c r="J19" s="565">
        <f t="shared" si="27"/>
        <v>176921</v>
      </c>
      <c r="K19" s="565">
        <f>SUM(K20:K23)</f>
        <v>291295</v>
      </c>
      <c r="L19" s="565"/>
      <c r="M19" s="565">
        <f>SUM(M20:M23)</f>
        <v>291295</v>
      </c>
      <c r="N19" s="565">
        <f>SUM(N20:N23)</f>
        <v>304855</v>
      </c>
      <c r="O19" s="565"/>
      <c r="P19" s="565">
        <f>SUM(P20:P23)</f>
        <v>304855</v>
      </c>
      <c r="Q19" s="567">
        <f t="shared" si="28"/>
        <v>104.65507475239878</v>
      </c>
      <c r="R19" s="565">
        <f>IF($P$25=0,((N19+$N$25)-K19))</f>
        <v>13560</v>
      </c>
      <c r="S19" s="565">
        <f>SUM(S20:S23)</f>
        <v>164000</v>
      </c>
      <c r="T19" s="565"/>
      <c r="U19" s="565">
        <f>SUM(U20:U23)</f>
        <v>164000</v>
      </c>
      <c r="V19" s="565">
        <f>SUM(V20:V23)</f>
        <v>179480</v>
      </c>
      <c r="W19" s="566"/>
      <c r="X19" s="565">
        <f>SUM(X20:X23)</f>
        <v>179480</v>
      </c>
      <c r="Y19" s="567">
        <f>IF(S19=0,0,V19/S19%)</f>
        <v>109.4390243902439</v>
      </c>
      <c r="Z19" s="565">
        <f>SUM(Z20:Z23)</f>
        <v>15480</v>
      </c>
      <c r="AA19" s="565">
        <f>SUM(AA20:AA23)</f>
        <v>257445</v>
      </c>
      <c r="AB19" s="565"/>
      <c r="AC19" s="565">
        <f>SUM(AC20:AC23)</f>
        <v>260450</v>
      </c>
      <c r="AD19" s="565">
        <f>SUM(AD20:AD23)</f>
        <v>278255</v>
      </c>
      <c r="AE19" s="566"/>
      <c r="AF19" s="565">
        <f>SUM(AF20:AF23)</f>
        <v>278255</v>
      </c>
      <c r="AG19" s="567">
        <f t="shared" si="31"/>
        <v>108.08327992386724</v>
      </c>
      <c r="AH19" s="565">
        <f t="shared" si="32"/>
        <v>20810</v>
      </c>
      <c r="AI19" s="565">
        <f>SUM(AI20:AI23)</f>
        <v>243235</v>
      </c>
      <c r="AJ19" s="565"/>
      <c r="AK19" s="565">
        <f>SUM(AK20:AK23)</f>
        <v>243235</v>
      </c>
      <c r="AL19" s="565">
        <f>SUM(AL20:AL23)</f>
        <v>256470</v>
      </c>
      <c r="AM19" s="566"/>
      <c r="AN19" s="565">
        <f>SUM(AN20:AN23)</f>
        <v>256470</v>
      </c>
      <c r="AO19" s="567">
        <f t="shared" si="33"/>
        <v>105.44123995313174</v>
      </c>
      <c r="AP19" s="565">
        <f t="shared" si="34"/>
        <v>13235</v>
      </c>
      <c r="AQ19" s="565">
        <f>SUM(AQ20:AQ23)</f>
        <v>296620</v>
      </c>
      <c r="AR19" s="565"/>
      <c r="AS19" s="565">
        <f>SUM(AS20:AS23)</f>
        <v>308582</v>
      </c>
      <c r="AT19" s="565">
        <f>SUM(AT20:AT23)</f>
        <v>324405</v>
      </c>
      <c r="AU19" s="566"/>
      <c r="AV19" s="565">
        <f>+AV15-AV16-AV24</f>
        <v>324405</v>
      </c>
      <c r="AW19" s="567">
        <f t="shared" si="35"/>
        <v>109.36720382981594</v>
      </c>
      <c r="AX19" s="565">
        <f t="shared" si="36"/>
        <v>27785</v>
      </c>
      <c r="AY19" s="565">
        <f>SUM(AY20:AY23)</f>
        <v>304600</v>
      </c>
      <c r="AZ19" s="565"/>
      <c r="BA19" s="565">
        <f>SUM(BA20:BA23)</f>
        <v>304600</v>
      </c>
      <c r="BB19" s="565">
        <f>SUM(BB20:BB23)</f>
        <v>314560</v>
      </c>
      <c r="BC19" s="568"/>
      <c r="BD19" s="565">
        <f>SUM(BD20:BD23)</f>
        <v>314560</v>
      </c>
      <c r="BE19" s="567">
        <f t="shared" si="37"/>
        <v>103.2698621142482</v>
      </c>
      <c r="BF19" s="565">
        <f t="shared" si="38"/>
        <v>9960</v>
      </c>
      <c r="BG19" s="565">
        <f>SUM(BG20:BG23)</f>
        <v>383875</v>
      </c>
      <c r="BH19" s="565"/>
      <c r="BI19" s="565">
        <f>SUM(BI20:BI23)</f>
        <v>383875</v>
      </c>
      <c r="BJ19" s="565">
        <f>SUM(BJ20:BJ23)</f>
        <v>408428</v>
      </c>
      <c r="BK19" s="566"/>
      <c r="BL19" s="565">
        <f>SUM(BL20:BL23)</f>
        <v>408428</v>
      </c>
      <c r="BM19" s="567">
        <f t="shared" si="39"/>
        <v>106.39609247802019</v>
      </c>
      <c r="BN19" s="565">
        <f t="shared" si="40"/>
        <v>24553</v>
      </c>
      <c r="BO19" s="565">
        <f>SUM(BO20:BO23)</f>
        <v>310255</v>
      </c>
      <c r="BP19" s="565"/>
      <c r="BQ19" s="565">
        <f>SUM(BQ20:BQ23)</f>
        <v>313781</v>
      </c>
      <c r="BR19" s="565">
        <f>SUM(BR20:BR23)</f>
        <v>328469</v>
      </c>
      <c r="BS19" s="566"/>
      <c r="BT19" s="565">
        <f>SUM(BT20:BT23)</f>
        <v>328469</v>
      </c>
      <c r="BU19" s="567">
        <f t="shared" si="41"/>
        <v>105.87065478396802</v>
      </c>
      <c r="BV19" s="565">
        <f t="shared" si="42"/>
        <v>18214</v>
      </c>
      <c r="BW19" s="565">
        <f>SUM(BW20:BW23)</f>
        <v>359445</v>
      </c>
      <c r="BX19" s="565"/>
      <c r="BY19" s="565">
        <f>SUM(BY20:BY23)</f>
        <v>359445</v>
      </c>
      <c r="BZ19" s="565">
        <f>SUM(BZ20:BZ23)</f>
        <v>370350</v>
      </c>
      <c r="CA19" s="566"/>
      <c r="CB19" s="565">
        <f>SUM(CB20:CB23)</f>
        <v>370350</v>
      </c>
      <c r="CC19" s="567">
        <f t="shared" si="43"/>
        <v>103.03384384259067</v>
      </c>
      <c r="CD19" s="565">
        <f t="shared" si="44"/>
        <v>10905</v>
      </c>
      <c r="CE19" s="565">
        <f>SUM(CE20:CE23)</f>
        <v>293330</v>
      </c>
      <c r="CF19" s="565"/>
      <c r="CG19" s="565">
        <f>SUM(CG20:CG23)</f>
        <v>293330</v>
      </c>
      <c r="CH19" s="565">
        <f>SUM(CH20:CH23)</f>
        <v>300714</v>
      </c>
      <c r="CI19" s="566"/>
      <c r="CJ19" s="565">
        <f>SUM(CJ20:CJ23)</f>
        <v>300714</v>
      </c>
      <c r="CK19" s="567">
        <f t="shared" si="45"/>
        <v>102.51730133296968</v>
      </c>
      <c r="CL19" s="565">
        <f t="shared" si="46"/>
        <v>7384</v>
      </c>
      <c r="CM19" s="565">
        <f>SUM(CM20:CM23)</f>
        <v>293790</v>
      </c>
      <c r="CN19" s="565"/>
      <c r="CO19" s="565">
        <f>SUM(CO20:CO23)</f>
        <v>293790</v>
      </c>
      <c r="CP19" s="565">
        <f>SUM(CP20:CP23)</f>
        <v>298445</v>
      </c>
      <c r="CQ19" s="566"/>
      <c r="CR19" s="565">
        <f>SUM(CR20:CR23)</f>
        <v>298445</v>
      </c>
      <c r="CS19" s="567">
        <f t="shared" si="47"/>
        <v>101.58446509411485</v>
      </c>
      <c r="CT19" s="565">
        <f t="shared" si="48"/>
        <v>4655</v>
      </c>
      <c r="CU19" s="565">
        <f>SUM(CU20:CU23)</f>
        <v>283220</v>
      </c>
      <c r="CV19" s="565"/>
      <c r="CW19" s="565">
        <f>SUM(CW20:CW23)</f>
        <v>283220</v>
      </c>
      <c r="CX19" s="565">
        <f>SUM(CX20:CX23)</f>
        <v>293600</v>
      </c>
      <c r="CY19" s="574"/>
      <c r="CZ19" s="565">
        <f>SUM(CZ20:CZ23)</f>
        <v>293600</v>
      </c>
      <c r="DA19" s="567">
        <f t="shared" si="49"/>
        <v>103.66499540992868</v>
      </c>
      <c r="DB19" s="565">
        <f t="shared" si="50"/>
        <v>10380</v>
      </c>
    </row>
    <row r="20" spans="1:106" s="295" customFormat="1" ht="18.95" customHeight="1">
      <c r="A20" s="575" t="s">
        <v>847</v>
      </c>
      <c r="B20" s="576" t="s">
        <v>504</v>
      </c>
      <c r="C20" s="555">
        <f t="shared" ref="C20:E23" si="53">+K20+S20+AA20+AI20+AQ20+AY20+BG20+BO20+BW20+CE20+CM20+CU20</f>
        <v>1917615</v>
      </c>
      <c r="D20" s="556">
        <f t="shared" si="53"/>
        <v>0</v>
      </c>
      <c r="E20" s="555">
        <f t="shared" si="53"/>
        <v>1917615</v>
      </c>
      <c r="F20" s="555">
        <f>SUM(N20,V20,AD20,AL20,AT20,BB20,BJ20,BR20,BZ20,CH20,CP20,CX20)</f>
        <v>1917615</v>
      </c>
      <c r="G20" s="556">
        <f t="shared" si="51"/>
        <v>18320</v>
      </c>
      <c r="H20" s="555">
        <f t="shared" si="51"/>
        <v>1935935</v>
      </c>
      <c r="I20" s="557">
        <f t="shared" si="26"/>
        <v>99.999999999999986</v>
      </c>
      <c r="J20" s="556">
        <f>F20-C20</f>
        <v>0</v>
      </c>
      <c r="K20" s="555">
        <v>174280</v>
      </c>
      <c r="L20" s="556">
        <f>ROUND(L19*75%,-1)</f>
        <v>0</v>
      </c>
      <c r="M20" s="555">
        <f>L20+K20</f>
        <v>174280</v>
      </c>
      <c r="N20" s="555">
        <f>K20</f>
        <v>174280</v>
      </c>
      <c r="O20" s="556">
        <f>3250+255</f>
        <v>3505</v>
      </c>
      <c r="P20" s="555">
        <f>N20+O20</f>
        <v>177785</v>
      </c>
      <c r="Q20" s="557">
        <f t="shared" si="28"/>
        <v>100</v>
      </c>
      <c r="R20" s="555">
        <f>N20-K20</f>
        <v>0</v>
      </c>
      <c r="S20" s="555">
        <v>85000</v>
      </c>
      <c r="T20" s="556"/>
      <c r="U20" s="555">
        <f>T20+S20</f>
        <v>85000</v>
      </c>
      <c r="V20" s="555">
        <f>S20</f>
        <v>85000</v>
      </c>
      <c r="W20" s="556">
        <f>1450+140</f>
        <v>1590</v>
      </c>
      <c r="X20" s="555">
        <f>V20+W20</f>
        <v>86590</v>
      </c>
      <c r="Y20" s="557">
        <f t="shared" si="29"/>
        <v>100</v>
      </c>
      <c r="Z20" s="555">
        <f>V20-S20</f>
        <v>0</v>
      </c>
      <c r="AA20" s="555">
        <v>152100</v>
      </c>
      <c r="AB20" s="556">
        <f>ROUND(AB19*75%,-1)</f>
        <v>0</v>
      </c>
      <c r="AC20" s="555">
        <f>AB20+AA20</f>
        <v>152100</v>
      </c>
      <c r="AD20" s="555">
        <f>AA20</f>
        <v>152100</v>
      </c>
      <c r="AE20" s="556">
        <v>2850</v>
      </c>
      <c r="AF20" s="555">
        <f>AD20+AE20</f>
        <v>154950</v>
      </c>
      <c r="AG20" s="557">
        <f t="shared" si="31"/>
        <v>100</v>
      </c>
      <c r="AH20" s="555">
        <f t="shared" si="32"/>
        <v>0</v>
      </c>
      <c r="AI20" s="555">
        <v>120500</v>
      </c>
      <c r="AJ20" s="556">
        <f>ROUND(AJ19*75%,-1)</f>
        <v>0</v>
      </c>
      <c r="AK20" s="555">
        <f>AJ20+AI20</f>
        <v>120500</v>
      </c>
      <c r="AL20" s="555">
        <f>AI20</f>
        <v>120500</v>
      </c>
      <c r="AM20" s="556">
        <f>850+235</f>
        <v>1085</v>
      </c>
      <c r="AN20" s="555">
        <f>AL20+AM20</f>
        <v>121585</v>
      </c>
      <c r="AO20" s="557">
        <f t="shared" si="33"/>
        <v>100</v>
      </c>
      <c r="AP20" s="555">
        <f t="shared" si="34"/>
        <v>0</v>
      </c>
      <c r="AQ20" s="555">
        <v>175695</v>
      </c>
      <c r="AR20" s="556">
        <f>ROUND(AR19*75%,-1)</f>
        <v>0</v>
      </c>
      <c r="AS20" s="555">
        <f>AR20+AQ20</f>
        <v>175695</v>
      </c>
      <c r="AT20" s="555">
        <f>AQ20</f>
        <v>175695</v>
      </c>
      <c r="AU20" s="556">
        <f>950+235</f>
        <v>1185</v>
      </c>
      <c r="AV20" s="555">
        <f>AT20+AU20</f>
        <v>176880</v>
      </c>
      <c r="AW20" s="557">
        <f t="shared" si="35"/>
        <v>100</v>
      </c>
      <c r="AX20" s="555">
        <f t="shared" si="36"/>
        <v>0</v>
      </c>
      <c r="AY20" s="555">
        <v>172200</v>
      </c>
      <c r="AZ20" s="556">
        <f>ROUND(AZ19*75%,-1)</f>
        <v>0</v>
      </c>
      <c r="BA20" s="555">
        <f>AZ20+AY20</f>
        <v>172200</v>
      </c>
      <c r="BB20" s="555">
        <f>AY20</f>
        <v>172200</v>
      </c>
      <c r="BC20" s="556">
        <f>750+140</f>
        <v>890</v>
      </c>
      <c r="BD20" s="555">
        <f>BB20+BC20</f>
        <v>173090</v>
      </c>
      <c r="BE20" s="557">
        <f t="shared" si="37"/>
        <v>100</v>
      </c>
      <c r="BF20" s="555">
        <f t="shared" si="38"/>
        <v>0</v>
      </c>
      <c r="BG20" s="555">
        <v>225000</v>
      </c>
      <c r="BH20" s="556">
        <f>ROUND(BH19*75%,-1)</f>
        <v>0</v>
      </c>
      <c r="BI20" s="555">
        <f>BH20+BG20</f>
        <v>225000</v>
      </c>
      <c r="BJ20" s="555">
        <f>BG20</f>
        <v>225000</v>
      </c>
      <c r="BK20" s="556">
        <f>1650+280</f>
        <v>1930</v>
      </c>
      <c r="BL20" s="555">
        <f>+BJ20+BK20</f>
        <v>226930</v>
      </c>
      <c r="BM20" s="557">
        <f t="shared" si="39"/>
        <v>100</v>
      </c>
      <c r="BN20" s="555">
        <f t="shared" si="40"/>
        <v>0</v>
      </c>
      <c r="BO20" s="555">
        <v>180230</v>
      </c>
      <c r="BP20" s="556">
        <f>ROUND(BP19*75%,-1)</f>
        <v>0</v>
      </c>
      <c r="BQ20" s="555">
        <f>BP20+BO20</f>
        <v>180230</v>
      </c>
      <c r="BR20" s="555">
        <f>BO20</f>
        <v>180230</v>
      </c>
      <c r="BS20" s="556">
        <f>550+140</f>
        <v>690</v>
      </c>
      <c r="BT20" s="555">
        <f>BR20+BS20</f>
        <v>180920</v>
      </c>
      <c r="BU20" s="557">
        <f t="shared" si="41"/>
        <v>100</v>
      </c>
      <c r="BV20" s="555">
        <f t="shared" si="42"/>
        <v>0</v>
      </c>
      <c r="BW20" s="555">
        <v>192510</v>
      </c>
      <c r="BX20" s="556">
        <f>ROUND(BX19*20%,-1)</f>
        <v>0</v>
      </c>
      <c r="BY20" s="555">
        <f>BX20+BW20</f>
        <v>192510</v>
      </c>
      <c r="BZ20" s="555">
        <f>BW20</f>
        <v>192510</v>
      </c>
      <c r="CA20" s="556">
        <f>1300+280</f>
        <v>1580</v>
      </c>
      <c r="CB20" s="555">
        <f>BZ20+CA20</f>
        <v>194090</v>
      </c>
      <c r="CC20" s="557">
        <f t="shared" si="43"/>
        <v>100</v>
      </c>
      <c r="CD20" s="555">
        <f t="shared" si="44"/>
        <v>0</v>
      </c>
      <c r="CE20" s="555">
        <v>170000</v>
      </c>
      <c r="CF20" s="556">
        <f>ROUND(CF19*75%,-1)</f>
        <v>0</v>
      </c>
      <c r="CG20" s="555">
        <f>CF20+CE20</f>
        <v>170000</v>
      </c>
      <c r="CH20" s="555">
        <f>CE20</f>
        <v>170000</v>
      </c>
      <c r="CI20" s="556">
        <f>1150+140</f>
        <v>1290</v>
      </c>
      <c r="CJ20" s="555">
        <f>CH20+CI20</f>
        <v>171290</v>
      </c>
      <c r="CK20" s="557">
        <f t="shared" si="45"/>
        <v>100</v>
      </c>
      <c r="CL20" s="555">
        <f t="shared" si="46"/>
        <v>0</v>
      </c>
      <c r="CM20" s="555">
        <v>124100</v>
      </c>
      <c r="CN20" s="556"/>
      <c r="CO20" s="555">
        <f>CN20+CM20</f>
        <v>124100</v>
      </c>
      <c r="CP20" s="555">
        <f>CM20</f>
        <v>124100</v>
      </c>
      <c r="CQ20" s="556">
        <f>500+235</f>
        <v>735</v>
      </c>
      <c r="CR20" s="555">
        <f>CP20+CQ20</f>
        <v>124835</v>
      </c>
      <c r="CS20" s="557">
        <f t="shared" si="47"/>
        <v>100</v>
      </c>
      <c r="CT20" s="555">
        <f t="shared" si="48"/>
        <v>0</v>
      </c>
      <c r="CU20" s="555">
        <v>146000</v>
      </c>
      <c r="CV20" s="556">
        <f>ROUND(CV19*75%,-1)</f>
        <v>0</v>
      </c>
      <c r="CW20" s="555">
        <f>CV20+CU20</f>
        <v>146000</v>
      </c>
      <c r="CX20" s="555">
        <f>CU20</f>
        <v>146000</v>
      </c>
      <c r="CY20" s="556">
        <f>850+140</f>
        <v>990</v>
      </c>
      <c r="CZ20" s="555">
        <f>+CX20+CY20</f>
        <v>146990</v>
      </c>
      <c r="DA20" s="557">
        <f t="shared" si="49"/>
        <v>100</v>
      </c>
      <c r="DB20" s="555">
        <f t="shared" si="50"/>
        <v>0</v>
      </c>
    </row>
    <row r="21" spans="1:106" s="295" customFormat="1" ht="18.95" customHeight="1">
      <c r="A21" s="575" t="s">
        <v>847</v>
      </c>
      <c r="B21" s="576" t="s">
        <v>789</v>
      </c>
      <c r="C21" s="555">
        <f t="shared" si="53"/>
        <v>2000</v>
      </c>
      <c r="D21" s="556">
        <f t="shared" si="53"/>
        <v>0</v>
      </c>
      <c r="E21" s="555">
        <f t="shared" si="53"/>
        <v>2000</v>
      </c>
      <c r="F21" s="555">
        <f t="shared" si="51"/>
        <v>2000</v>
      </c>
      <c r="G21" s="556">
        <f t="shared" si="51"/>
        <v>0</v>
      </c>
      <c r="H21" s="555">
        <f t="shared" si="51"/>
        <v>2000</v>
      </c>
      <c r="I21" s="557">
        <f t="shared" si="26"/>
        <v>100</v>
      </c>
      <c r="J21" s="556">
        <f t="shared" si="27"/>
        <v>0</v>
      </c>
      <c r="K21" s="555">
        <v>150</v>
      </c>
      <c r="L21" s="556">
        <v>0</v>
      </c>
      <c r="M21" s="555">
        <f>L21+K21</f>
        <v>150</v>
      </c>
      <c r="N21" s="555">
        <f>K21</f>
        <v>150</v>
      </c>
      <c r="O21" s="556">
        <v>0</v>
      </c>
      <c r="P21" s="555">
        <f>N21+O21</f>
        <v>150</v>
      </c>
      <c r="Q21" s="557">
        <f t="shared" si="28"/>
        <v>100</v>
      </c>
      <c r="R21" s="555">
        <f>N21-K21</f>
        <v>0</v>
      </c>
      <c r="S21" s="555">
        <v>130</v>
      </c>
      <c r="T21" s="556">
        <v>0</v>
      </c>
      <c r="U21" s="555">
        <f>T21+S21</f>
        <v>130</v>
      </c>
      <c r="V21" s="555">
        <f>S21</f>
        <v>130</v>
      </c>
      <c r="W21" s="556">
        <v>0</v>
      </c>
      <c r="X21" s="555">
        <f>V21+W21</f>
        <v>130</v>
      </c>
      <c r="Y21" s="557">
        <f t="shared" si="29"/>
        <v>100</v>
      </c>
      <c r="Z21" s="555">
        <f t="shared" si="30"/>
        <v>0</v>
      </c>
      <c r="AA21" s="555">
        <v>70</v>
      </c>
      <c r="AB21" s="556">
        <v>0</v>
      </c>
      <c r="AC21" s="555">
        <f>AB21+AA21</f>
        <v>70</v>
      </c>
      <c r="AD21" s="555">
        <f>AA21</f>
        <v>70</v>
      </c>
      <c r="AE21" s="556">
        <v>0</v>
      </c>
      <c r="AF21" s="555">
        <f>AD21+AE21</f>
        <v>70</v>
      </c>
      <c r="AG21" s="557">
        <f t="shared" si="31"/>
        <v>100</v>
      </c>
      <c r="AH21" s="555">
        <f t="shared" si="32"/>
        <v>0</v>
      </c>
      <c r="AI21" s="555">
        <v>100</v>
      </c>
      <c r="AJ21" s="556">
        <v>0</v>
      </c>
      <c r="AK21" s="555">
        <f>AJ21+AI21</f>
        <v>100</v>
      </c>
      <c r="AL21" s="555">
        <f>AI21</f>
        <v>100</v>
      </c>
      <c r="AM21" s="556">
        <v>0</v>
      </c>
      <c r="AN21" s="555">
        <f>AL21+AM21</f>
        <v>100</v>
      </c>
      <c r="AO21" s="557">
        <f t="shared" si="33"/>
        <v>100</v>
      </c>
      <c r="AP21" s="555">
        <f t="shared" si="34"/>
        <v>0</v>
      </c>
      <c r="AQ21" s="555">
        <v>100</v>
      </c>
      <c r="AR21" s="556">
        <v>0</v>
      </c>
      <c r="AS21" s="555">
        <f>AR21+AQ21</f>
        <v>100</v>
      </c>
      <c r="AT21" s="555">
        <f>AQ21</f>
        <v>100</v>
      </c>
      <c r="AU21" s="556">
        <v>0</v>
      </c>
      <c r="AV21" s="555">
        <f>AT21+AU21</f>
        <v>100</v>
      </c>
      <c r="AW21" s="557">
        <f t="shared" si="35"/>
        <v>100</v>
      </c>
      <c r="AX21" s="555">
        <f t="shared" si="36"/>
        <v>0</v>
      </c>
      <c r="AY21" s="555">
        <v>190</v>
      </c>
      <c r="AZ21" s="556">
        <v>0</v>
      </c>
      <c r="BA21" s="555">
        <f>AZ21+AY21</f>
        <v>190</v>
      </c>
      <c r="BB21" s="555">
        <f>AY21</f>
        <v>190</v>
      </c>
      <c r="BC21" s="556">
        <v>0</v>
      </c>
      <c r="BD21" s="555">
        <f>BB21+BC21</f>
        <v>190</v>
      </c>
      <c r="BE21" s="557">
        <f t="shared" si="37"/>
        <v>100</v>
      </c>
      <c r="BF21" s="555">
        <f t="shared" si="38"/>
        <v>0</v>
      </c>
      <c r="BG21" s="555">
        <v>130</v>
      </c>
      <c r="BH21" s="556">
        <v>0</v>
      </c>
      <c r="BI21" s="555">
        <f>BH21+BG21</f>
        <v>130</v>
      </c>
      <c r="BJ21" s="555">
        <f>BG21</f>
        <v>130</v>
      </c>
      <c r="BK21" s="556">
        <v>0</v>
      </c>
      <c r="BL21" s="555">
        <f>BJ21+BK21</f>
        <v>130</v>
      </c>
      <c r="BM21" s="557">
        <f t="shared" si="39"/>
        <v>100</v>
      </c>
      <c r="BN21" s="555">
        <f t="shared" si="40"/>
        <v>0</v>
      </c>
      <c r="BO21" s="555">
        <v>70</v>
      </c>
      <c r="BP21" s="556">
        <v>0</v>
      </c>
      <c r="BQ21" s="555">
        <f>BP21+BO21</f>
        <v>70</v>
      </c>
      <c r="BR21" s="555">
        <f>BO21</f>
        <v>70</v>
      </c>
      <c r="BS21" s="556">
        <v>0</v>
      </c>
      <c r="BT21" s="555">
        <f>BR21+BS21</f>
        <v>70</v>
      </c>
      <c r="BU21" s="557">
        <f t="shared" si="41"/>
        <v>100</v>
      </c>
      <c r="BV21" s="555">
        <f t="shared" si="42"/>
        <v>0</v>
      </c>
      <c r="BW21" s="555">
        <v>300</v>
      </c>
      <c r="BX21" s="556">
        <v>0</v>
      </c>
      <c r="BY21" s="555">
        <f>BX21+BW21</f>
        <v>300</v>
      </c>
      <c r="BZ21" s="555">
        <f>BW21</f>
        <v>300</v>
      </c>
      <c r="CA21" s="556">
        <v>0</v>
      </c>
      <c r="CB21" s="555">
        <f>BZ21+CA21</f>
        <v>300</v>
      </c>
      <c r="CC21" s="557">
        <f t="shared" si="43"/>
        <v>100</v>
      </c>
      <c r="CD21" s="555">
        <f t="shared" si="44"/>
        <v>0</v>
      </c>
      <c r="CE21" s="555">
        <v>100</v>
      </c>
      <c r="CF21" s="556"/>
      <c r="CG21" s="555">
        <f>CF21+CE21</f>
        <v>100</v>
      </c>
      <c r="CH21" s="555">
        <f>CE21</f>
        <v>100</v>
      </c>
      <c r="CI21" s="556">
        <v>0</v>
      </c>
      <c r="CJ21" s="555">
        <f>CH21+CI21</f>
        <v>100</v>
      </c>
      <c r="CK21" s="557">
        <f t="shared" si="45"/>
        <v>100</v>
      </c>
      <c r="CL21" s="555">
        <f t="shared" si="46"/>
        <v>0</v>
      </c>
      <c r="CM21" s="555">
        <v>480</v>
      </c>
      <c r="CN21" s="556">
        <v>0</v>
      </c>
      <c r="CO21" s="555">
        <f>CN21+CM21</f>
        <v>480</v>
      </c>
      <c r="CP21" s="555">
        <f>CM21</f>
        <v>480</v>
      </c>
      <c r="CQ21" s="556">
        <v>0</v>
      </c>
      <c r="CR21" s="555">
        <f>+CP21+CQ21</f>
        <v>480</v>
      </c>
      <c r="CS21" s="557">
        <f t="shared" si="47"/>
        <v>100</v>
      </c>
      <c r="CT21" s="555">
        <f t="shared" si="48"/>
        <v>0</v>
      </c>
      <c r="CU21" s="555">
        <v>180</v>
      </c>
      <c r="CV21" s="556">
        <v>0</v>
      </c>
      <c r="CW21" s="555">
        <f>CV21+CU21</f>
        <v>180</v>
      </c>
      <c r="CX21" s="555">
        <f>CU21</f>
        <v>180</v>
      </c>
      <c r="CY21" s="556">
        <v>0</v>
      </c>
      <c r="CZ21" s="555">
        <f>+CX21+CY21</f>
        <v>180</v>
      </c>
      <c r="DA21" s="557">
        <f t="shared" si="49"/>
        <v>100</v>
      </c>
      <c r="DB21" s="555">
        <f t="shared" si="50"/>
        <v>0</v>
      </c>
    </row>
    <row r="22" spans="1:106" s="295" customFormat="1" ht="18.95" customHeight="1">
      <c r="A22" s="575" t="s">
        <v>847</v>
      </c>
      <c r="B22" s="577" t="s">
        <v>752</v>
      </c>
      <c r="C22" s="555">
        <f t="shared" si="53"/>
        <v>31820</v>
      </c>
      <c r="D22" s="556">
        <f t="shared" si="53"/>
        <v>0</v>
      </c>
      <c r="E22" s="555">
        <f t="shared" si="53"/>
        <v>31820</v>
      </c>
      <c r="F22" s="555">
        <f t="shared" si="51"/>
        <v>31820</v>
      </c>
      <c r="G22" s="556">
        <f t="shared" si="51"/>
        <v>1213</v>
      </c>
      <c r="H22" s="555">
        <f t="shared" si="51"/>
        <v>33033</v>
      </c>
      <c r="I22" s="557">
        <f t="shared" si="26"/>
        <v>100</v>
      </c>
      <c r="J22" s="556">
        <f t="shared" si="27"/>
        <v>0</v>
      </c>
      <c r="K22" s="555">
        <v>1900</v>
      </c>
      <c r="L22" s="556">
        <v>0</v>
      </c>
      <c r="M22" s="555">
        <f>L22+K22</f>
        <v>1900</v>
      </c>
      <c r="N22" s="555">
        <f>K22</f>
        <v>1900</v>
      </c>
      <c r="O22" s="556">
        <v>0</v>
      </c>
      <c r="P22" s="555">
        <f>N22+O22</f>
        <v>1900</v>
      </c>
      <c r="Q22" s="557">
        <f t="shared" si="28"/>
        <v>100</v>
      </c>
      <c r="R22" s="555">
        <f>N22-K22</f>
        <v>0</v>
      </c>
      <c r="S22" s="555">
        <v>1530</v>
      </c>
      <c r="T22" s="556">
        <v>0</v>
      </c>
      <c r="U22" s="555">
        <f>T22+S22</f>
        <v>1530</v>
      </c>
      <c r="V22" s="555">
        <f>S22</f>
        <v>1530</v>
      </c>
      <c r="W22" s="556">
        <v>0</v>
      </c>
      <c r="X22" s="555">
        <f>V22+W22</f>
        <v>1530</v>
      </c>
      <c r="Y22" s="557">
        <f t="shared" si="29"/>
        <v>100</v>
      </c>
      <c r="Z22" s="555">
        <f t="shared" si="30"/>
        <v>0</v>
      </c>
      <c r="AA22" s="555">
        <v>1550</v>
      </c>
      <c r="AB22" s="556">
        <v>0</v>
      </c>
      <c r="AC22" s="555">
        <f>AB22+AA22</f>
        <v>1550</v>
      </c>
      <c r="AD22" s="555">
        <f>AA22</f>
        <v>1550</v>
      </c>
      <c r="AE22" s="556">
        <v>0</v>
      </c>
      <c r="AF22" s="555">
        <f>AD22+AE22</f>
        <v>1550</v>
      </c>
      <c r="AG22" s="557">
        <f t="shared" si="31"/>
        <v>100</v>
      </c>
      <c r="AH22" s="555">
        <f t="shared" si="32"/>
        <v>0</v>
      </c>
      <c r="AI22" s="555">
        <v>1530</v>
      </c>
      <c r="AJ22" s="556">
        <v>0</v>
      </c>
      <c r="AK22" s="555">
        <f>AJ22+AI22</f>
        <v>1530</v>
      </c>
      <c r="AL22" s="555">
        <f>AI22</f>
        <v>1530</v>
      </c>
      <c r="AM22" s="556">
        <v>0</v>
      </c>
      <c r="AN22" s="555">
        <f>AL22+AM22</f>
        <v>1530</v>
      </c>
      <c r="AO22" s="557">
        <f t="shared" si="33"/>
        <v>100</v>
      </c>
      <c r="AP22" s="555">
        <f t="shared" si="34"/>
        <v>0</v>
      </c>
      <c r="AQ22" s="555">
        <v>1820</v>
      </c>
      <c r="AR22" s="556">
        <v>0</v>
      </c>
      <c r="AS22" s="555">
        <f>AR22+AQ22</f>
        <v>1820</v>
      </c>
      <c r="AT22" s="555">
        <f>AQ22</f>
        <v>1820</v>
      </c>
      <c r="AU22" s="556">
        <v>0</v>
      </c>
      <c r="AV22" s="555">
        <f>AT22+AU22</f>
        <v>1820</v>
      </c>
      <c r="AW22" s="557">
        <f t="shared" si="35"/>
        <v>100</v>
      </c>
      <c r="AX22" s="555">
        <f t="shared" si="36"/>
        <v>0</v>
      </c>
      <c r="AY22" s="555">
        <v>2500</v>
      </c>
      <c r="AZ22" s="556">
        <v>0</v>
      </c>
      <c r="BA22" s="555">
        <f>AZ22+AY22</f>
        <v>2500</v>
      </c>
      <c r="BB22" s="555">
        <f>AY22</f>
        <v>2500</v>
      </c>
      <c r="BC22" s="556">
        <v>500</v>
      </c>
      <c r="BD22" s="555">
        <f>BB22+BC22</f>
        <v>3000</v>
      </c>
      <c r="BE22" s="557">
        <f t="shared" si="37"/>
        <v>100</v>
      </c>
      <c r="BF22" s="555">
        <f t="shared" si="38"/>
        <v>0</v>
      </c>
      <c r="BG22" s="555">
        <v>2370</v>
      </c>
      <c r="BH22" s="556">
        <v>0</v>
      </c>
      <c r="BI22" s="555">
        <f>BH22+BG22</f>
        <v>2370</v>
      </c>
      <c r="BJ22" s="555">
        <f>BG22</f>
        <v>2370</v>
      </c>
      <c r="BK22" s="556">
        <v>713</v>
      </c>
      <c r="BL22" s="555">
        <f>BJ22+BK22</f>
        <v>3083</v>
      </c>
      <c r="BM22" s="557">
        <f t="shared" si="39"/>
        <v>100</v>
      </c>
      <c r="BN22" s="555">
        <f t="shared" si="40"/>
        <v>0</v>
      </c>
      <c r="BO22" s="555">
        <v>2090</v>
      </c>
      <c r="BP22" s="556">
        <v>0</v>
      </c>
      <c r="BQ22" s="555">
        <f>BP22+BO22</f>
        <v>2090</v>
      </c>
      <c r="BR22" s="555">
        <f>BO22</f>
        <v>2090</v>
      </c>
      <c r="BS22" s="556">
        <v>0</v>
      </c>
      <c r="BT22" s="555">
        <f>BR22+BS22</f>
        <v>2090</v>
      </c>
      <c r="BU22" s="557">
        <f t="shared" si="41"/>
        <v>100</v>
      </c>
      <c r="BV22" s="555">
        <f t="shared" si="42"/>
        <v>0</v>
      </c>
      <c r="BW22" s="555">
        <v>4000</v>
      </c>
      <c r="BX22" s="556">
        <v>0</v>
      </c>
      <c r="BY22" s="555">
        <f>BX22+BW22</f>
        <v>4000</v>
      </c>
      <c r="BZ22" s="555">
        <f>BW22</f>
        <v>4000</v>
      </c>
      <c r="CA22" s="556">
        <v>0</v>
      </c>
      <c r="CB22" s="555">
        <f>BZ22+CA22</f>
        <v>4000</v>
      </c>
      <c r="CC22" s="557">
        <f t="shared" si="43"/>
        <v>100</v>
      </c>
      <c r="CD22" s="555">
        <f t="shared" si="44"/>
        <v>0</v>
      </c>
      <c r="CE22" s="555">
        <v>1840</v>
      </c>
      <c r="CF22" s="556"/>
      <c r="CG22" s="555">
        <f>CF22+CE22</f>
        <v>1840</v>
      </c>
      <c r="CH22" s="555">
        <f>CE22</f>
        <v>1840</v>
      </c>
      <c r="CI22" s="556">
        <v>0</v>
      </c>
      <c r="CJ22" s="555">
        <f>CH22+CI22</f>
        <v>1840</v>
      </c>
      <c r="CK22" s="557">
        <f t="shared" si="45"/>
        <v>100.00000000000001</v>
      </c>
      <c r="CL22" s="555">
        <f t="shared" si="46"/>
        <v>0</v>
      </c>
      <c r="CM22" s="555">
        <v>8840</v>
      </c>
      <c r="CN22" s="556">
        <v>0</v>
      </c>
      <c r="CO22" s="555">
        <f>CN22+CM22</f>
        <v>8840</v>
      </c>
      <c r="CP22" s="555">
        <f>CM22</f>
        <v>8840</v>
      </c>
      <c r="CQ22" s="556">
        <v>0</v>
      </c>
      <c r="CR22" s="555">
        <f>+CP22+CQ22</f>
        <v>8840</v>
      </c>
      <c r="CS22" s="557">
        <f t="shared" si="47"/>
        <v>100</v>
      </c>
      <c r="CT22" s="555">
        <f t="shared" si="48"/>
        <v>0</v>
      </c>
      <c r="CU22" s="555">
        <v>1850</v>
      </c>
      <c r="CV22" s="556">
        <v>0</v>
      </c>
      <c r="CW22" s="555">
        <f>CV22+CU22</f>
        <v>1850</v>
      </c>
      <c r="CX22" s="555">
        <f>CU22</f>
        <v>1850</v>
      </c>
      <c r="CY22" s="556">
        <v>0</v>
      </c>
      <c r="CZ22" s="555">
        <f>+CX22+CY22</f>
        <v>1850</v>
      </c>
      <c r="DA22" s="557">
        <f t="shared" si="49"/>
        <v>100</v>
      </c>
      <c r="DB22" s="555">
        <f t="shared" si="50"/>
        <v>0</v>
      </c>
    </row>
    <row r="23" spans="1:106" s="295" customFormat="1" ht="18.95" customHeight="1">
      <c r="A23" s="575" t="s">
        <v>847</v>
      </c>
      <c r="B23" s="576" t="s">
        <v>505</v>
      </c>
      <c r="C23" s="555">
        <f>+K23+S23+AA23+AI23+AQ23+AY23+BG23+BO23+BW23+CE23+CM23+CU23</f>
        <v>1529675</v>
      </c>
      <c r="D23" s="556">
        <f t="shared" si="53"/>
        <v>0</v>
      </c>
      <c r="E23" s="555">
        <f>+M23+U23+AC23+AK23+AS23+BA23+BI23+BQ23+BY23+CG23+CO23+CW23</f>
        <v>1548168</v>
      </c>
      <c r="F23" s="555">
        <f t="shared" si="51"/>
        <v>1706596</v>
      </c>
      <c r="G23" s="578">
        <f t="shared" si="51"/>
        <v>0</v>
      </c>
      <c r="H23" s="555">
        <f t="shared" si="51"/>
        <v>1687063</v>
      </c>
      <c r="I23" s="557">
        <f t="shared" si="26"/>
        <v>111.56592086554333</v>
      </c>
      <c r="J23" s="556">
        <f>F23-C23</f>
        <v>176921</v>
      </c>
      <c r="K23" s="555">
        <f>K7-K16-K20-K21-K22-K24-K25</f>
        <v>114965</v>
      </c>
      <c r="L23" s="556">
        <f>L19-L20-L21-L22</f>
        <v>0</v>
      </c>
      <c r="M23" s="555">
        <f>M7-M16-M20-M21-M22-M24-M25</f>
        <v>114965</v>
      </c>
      <c r="N23" s="555">
        <f>N7-N16-N20-N21-N22-N24-N25</f>
        <v>128525</v>
      </c>
      <c r="O23" s="556"/>
      <c r="P23" s="555">
        <f>P7-P16-P20-P21-P22-P24-P25</f>
        <v>125020</v>
      </c>
      <c r="Q23" s="557">
        <f>IF(K23=0,0,IF(P25=0,((N23+N25)/K23%)))</f>
        <v>111.7948940982038</v>
      </c>
      <c r="R23" s="555">
        <f>IF($P$25=0,((N23+$N$25)-K23))</f>
        <v>13560</v>
      </c>
      <c r="S23" s="555">
        <f>S7-S16-S20-S21-S22-S24-S25</f>
        <v>77340</v>
      </c>
      <c r="T23" s="556">
        <f>T19-T20-T21-T22</f>
        <v>0</v>
      </c>
      <c r="U23" s="555">
        <f>U7-U16-U20-U21-U22-U24-U25</f>
        <v>77340</v>
      </c>
      <c r="V23" s="555">
        <f>V7-V16-V20-V21-V22-V24-V25</f>
        <v>92820</v>
      </c>
      <c r="W23" s="556"/>
      <c r="X23" s="555">
        <f>X7-X16-X20-X21-X22-X24-X25</f>
        <v>91230</v>
      </c>
      <c r="Y23" s="557">
        <f>IF(S23=0,0,IF(X25=0,((V23+V25)/S23%)))</f>
        <v>120.0155159038014</v>
      </c>
      <c r="Z23" s="555">
        <f>IF(X25=0,((V23+V25)-S23))</f>
        <v>15480</v>
      </c>
      <c r="AA23" s="555">
        <f>AA7-AA16-AA20-AA21-AA22-AA24-AA25</f>
        <v>103725</v>
      </c>
      <c r="AB23" s="556">
        <f>AB19-AB20-AB21-AB22</f>
        <v>0</v>
      </c>
      <c r="AC23" s="555">
        <f>AC7-AC16-AC20-AC21-AC22-AC24-AC25</f>
        <v>106730</v>
      </c>
      <c r="AD23" s="555">
        <f>AD7-AD16-AD20-AD21-AD22-AD24-AD25</f>
        <v>124535</v>
      </c>
      <c r="AE23" s="556"/>
      <c r="AF23" s="555">
        <f>AF7-AF16-AF20-AF21-AF22-AF24-AF25</f>
        <v>121685</v>
      </c>
      <c r="AG23" s="557">
        <f>IF(AA23=0,0,IF(AF25=0,((AD23+AD25)/AA23%)))</f>
        <v>120.06266570257894</v>
      </c>
      <c r="AH23" s="555">
        <f>IF(AF25=0,((AD23+AD25)-AA23))</f>
        <v>20810</v>
      </c>
      <c r="AI23" s="555">
        <f>AI7-AI16-AI20-AI21-AI22-AI24-AI25</f>
        <v>121105</v>
      </c>
      <c r="AJ23" s="556">
        <f>AJ19-AJ20-AJ21-AJ22</f>
        <v>0</v>
      </c>
      <c r="AK23" s="555">
        <f>AK7-AK16-AK20-AK21-AK22-AK24-AK25</f>
        <v>121105</v>
      </c>
      <c r="AL23" s="555">
        <f>AL7-AL16-AL20-AL21-AL22-AL24-AL25</f>
        <v>134340</v>
      </c>
      <c r="AM23" s="556"/>
      <c r="AN23" s="555">
        <f>AN7-AN16-AN20-AN21-AN22-AN24-AN25</f>
        <v>133255</v>
      </c>
      <c r="AO23" s="557">
        <f>IF(AI23=0,0,IF(AN25=0,((AL23+AL25)/AI23%)))</f>
        <v>110.92853309111928</v>
      </c>
      <c r="AP23" s="555">
        <f>IF(AN25=0,((AL23+AL25)-AI23))</f>
        <v>13235</v>
      </c>
      <c r="AQ23" s="555">
        <f>AQ7-AQ16-AQ20-AQ21-AQ22-AQ24-AQ25</f>
        <v>119005</v>
      </c>
      <c r="AR23" s="556">
        <f>AR19-AR20-AR21-AR22</f>
        <v>0</v>
      </c>
      <c r="AS23" s="555">
        <f>AS7-AS16-AS20-AS21-AS22-AS24-AS25</f>
        <v>130967</v>
      </c>
      <c r="AT23" s="555">
        <f>AT7-AT16-AT20-AT21-AT22-AT24-AT25</f>
        <v>146790</v>
      </c>
      <c r="AU23" s="556"/>
      <c r="AV23" s="555">
        <f>+AV19-AV20-AV21-AV22</f>
        <v>145605</v>
      </c>
      <c r="AW23" s="557">
        <f>IF(AQ23=0,0,IF(AV25=0,((AT23+AT25)/AQ23%)))</f>
        <v>123.34775849754213</v>
      </c>
      <c r="AX23" s="555">
        <f>IF(AV25=0,((AT23+AT25)-AQ23))</f>
        <v>27785</v>
      </c>
      <c r="AY23" s="555">
        <f>AY7-AY16-AY20-AY21-AY22-AY24-AY25</f>
        <v>129710</v>
      </c>
      <c r="AZ23" s="556">
        <f>AZ19-AZ20-AZ21-AZ22</f>
        <v>0</v>
      </c>
      <c r="BA23" s="555">
        <f>BA7-BA16-BA20-BA21-BA22-BA24-BA25</f>
        <v>129710</v>
      </c>
      <c r="BB23" s="555">
        <f>BB7-BB16-BB20-BB21-BB22-BB24-BB25</f>
        <v>139670</v>
      </c>
      <c r="BC23" s="556"/>
      <c r="BD23" s="555">
        <f>BD7-BD16-BD20-BD21-BD22-BD24-BD25</f>
        <v>138280</v>
      </c>
      <c r="BE23" s="557">
        <f>IF(AY23=0,0,IF(BD25=0,((BB23+BB25)/AY23%)))</f>
        <v>107.6786677973942</v>
      </c>
      <c r="BF23" s="555">
        <f>IF(BD25=0,((BB23+BB25)-AY23))</f>
        <v>9960</v>
      </c>
      <c r="BG23" s="555">
        <f>BG7-BG16-BG20-BG21-BG22-BG24-BG25</f>
        <v>156375</v>
      </c>
      <c r="BH23" s="556">
        <f>BH19-BH20-BH21-BH22</f>
        <v>0</v>
      </c>
      <c r="BI23" s="555">
        <f>BI7-BI16-BI20-BI21-BI22-BI24-BI25</f>
        <v>156375</v>
      </c>
      <c r="BJ23" s="555">
        <f>BJ7-BJ16-BJ20-BJ21-BJ22-BJ24-BJ25</f>
        <v>180928</v>
      </c>
      <c r="BK23" s="556"/>
      <c r="BL23" s="555">
        <f>BL7-BL16-BL20-BL21-BL22-BL24-BL25</f>
        <v>178285</v>
      </c>
      <c r="BM23" s="557">
        <f>IF(BG23=0,0,IF(BL25=0,((BJ23+BJ25)/BG23%)))</f>
        <v>115.70135891286971</v>
      </c>
      <c r="BN23" s="555">
        <f>IF(BL25=0,((BJ23+BJ25)-BG23))</f>
        <v>24553</v>
      </c>
      <c r="BO23" s="555">
        <f>BO7-BO16-BO20-BO21-BO22-BO24-BO25</f>
        <v>127865</v>
      </c>
      <c r="BP23" s="556">
        <f>BP19-BP20-BP21-BP22</f>
        <v>0</v>
      </c>
      <c r="BQ23" s="555">
        <f>BQ7-BQ16-BQ20-BQ21-BQ22-BQ24-BQ25</f>
        <v>131391</v>
      </c>
      <c r="BR23" s="555">
        <f>BR7-BR16-BR20-BR21-BR22-BR24-BR25</f>
        <v>146079</v>
      </c>
      <c r="BS23" s="556"/>
      <c r="BT23" s="555">
        <f>BT7-BT16-BT20-BT21-BT22-BT24-BT25</f>
        <v>145389</v>
      </c>
      <c r="BU23" s="557">
        <f>IF(BO23=0,0,IF(BT25=0,((BR23+BR25)/BO23%)))</f>
        <v>114.24471121886364</v>
      </c>
      <c r="BV23" s="555">
        <f>IF(BT25=0,((BR23+BR25)-BO23))</f>
        <v>18214</v>
      </c>
      <c r="BW23" s="555">
        <f>BW7-BW16-BW20-BW21-BW22-BW24-BW25</f>
        <v>162635</v>
      </c>
      <c r="BX23" s="556">
        <f>BX19-BX20-BX21-BX22</f>
        <v>0</v>
      </c>
      <c r="BY23" s="555">
        <f>BY7-BY16-BY20-BY21-BY22-BY24-BY25</f>
        <v>162635</v>
      </c>
      <c r="BZ23" s="555">
        <f>BZ7-BZ16-BZ20-BZ21-BZ22-BZ24-BZ25</f>
        <v>173540</v>
      </c>
      <c r="CA23" s="556"/>
      <c r="CB23" s="555">
        <f>CB7-CB16-CB20-CB21-CB22-CB24-CB25</f>
        <v>171960</v>
      </c>
      <c r="CC23" s="557">
        <f>IF(BW23=0,0,IF(CB25=0,((BZ23+BZ25)/BW23%)))</f>
        <v>106.70519875795493</v>
      </c>
      <c r="CD23" s="555">
        <f>IF(CB25=0,((BZ23+BZ25)-BW23))</f>
        <v>10905</v>
      </c>
      <c r="CE23" s="555">
        <f>CE7-CE16-CE20-CE21-CE22-CE24-CE25</f>
        <v>121390</v>
      </c>
      <c r="CF23" s="556"/>
      <c r="CG23" s="555">
        <f>CG7-CG16-CG20-CG21-CG22-CG24-CG25</f>
        <v>121390</v>
      </c>
      <c r="CH23" s="555">
        <f>CH7-CH16-CH20-CH21-CH22-CH24-CH25</f>
        <v>128774</v>
      </c>
      <c r="CI23" s="556"/>
      <c r="CJ23" s="555">
        <f>CJ7-CJ16-CJ20-CJ21-CJ22-CJ24-CJ25</f>
        <v>127484</v>
      </c>
      <c r="CK23" s="557">
        <f>IF(CE23=0,0,IF(CJ25=0,((CH23+CH25)/CE23%)))</f>
        <v>106.08287338330999</v>
      </c>
      <c r="CL23" s="555">
        <f>IF(CJ25=0,((CH23+CH25)-CE23))</f>
        <v>7384</v>
      </c>
      <c r="CM23" s="555">
        <f>CM7-CM16-CM20-CM21-CM22-CM24-CM25</f>
        <v>160370</v>
      </c>
      <c r="CN23" s="556">
        <f>CN19-CN20-CN21-CN22</f>
        <v>0</v>
      </c>
      <c r="CO23" s="555">
        <f>CO7-CO16-CO20-CO21-CO22-CO24-CO25</f>
        <v>160370</v>
      </c>
      <c r="CP23" s="555">
        <f>CP7-CP16-CP20-CP21-CP22-CP24-CP25</f>
        <v>165025</v>
      </c>
      <c r="CQ23" s="556"/>
      <c r="CR23" s="555">
        <f>CR7-CR16-CR20-CR21-CR22-CR24-CR25</f>
        <v>164290</v>
      </c>
      <c r="CS23" s="557">
        <f t="shared" si="47"/>
        <v>102.90266259275425</v>
      </c>
      <c r="CT23" s="555">
        <f>IF(CR25=0,((CP23+CP25)-CM23))</f>
        <v>4655</v>
      </c>
      <c r="CU23" s="555">
        <f>CU7-CU16-CU20-CU21-CU22-CU24-CU25</f>
        <v>135190</v>
      </c>
      <c r="CV23" s="556"/>
      <c r="CW23" s="555">
        <f>CW7-CW16-CW20-CW21-CW22-CW24-CW25</f>
        <v>135190</v>
      </c>
      <c r="CX23" s="555">
        <f>CX7-CX16-CX20-CX21-CX22-CX24-CX25</f>
        <v>145570</v>
      </c>
      <c r="CY23" s="556"/>
      <c r="CZ23" s="555">
        <f>CZ7-CZ16-CZ20-CZ21-CZ22-CZ24-CZ25</f>
        <v>144580</v>
      </c>
      <c r="DA23" s="557">
        <f>IF(CU23=0,0,IF(CZ25=0,((CX23+CX25)/CU23%)))</f>
        <v>107.67808269842443</v>
      </c>
      <c r="DB23" s="555">
        <f>IF(CZ25=0,((CX23+CX25)-CU23))</f>
        <v>10380</v>
      </c>
    </row>
    <row r="24" spans="1:106" s="294" customFormat="1" ht="18.95" customHeight="1">
      <c r="A24" s="563">
        <v>3</v>
      </c>
      <c r="B24" s="564" t="s">
        <v>726</v>
      </c>
      <c r="C24" s="565">
        <f>+K24+S24+AA24+AI24+AQ24+AY24+BG24+BO24+BW24+CE24+CM24+CU24</f>
        <v>58860</v>
      </c>
      <c r="D24" s="566"/>
      <c r="E24" s="565">
        <f>+M24+U24+AC24+AK24+AS24+BA24+BI24+BQ24+BY24+CG24+CO24+CW24</f>
        <v>58860</v>
      </c>
      <c r="F24" s="565">
        <f t="shared" si="51"/>
        <v>56490</v>
      </c>
      <c r="G24" s="579">
        <f t="shared" si="51"/>
        <v>0</v>
      </c>
      <c r="H24" s="565">
        <f t="shared" si="51"/>
        <v>56490</v>
      </c>
      <c r="I24" s="567">
        <f t="shared" si="26"/>
        <v>95.973496432212031</v>
      </c>
      <c r="J24" s="566">
        <f>F24-C24</f>
        <v>-2370</v>
      </c>
      <c r="K24" s="565">
        <v>5000</v>
      </c>
      <c r="L24" s="565"/>
      <c r="M24" s="565">
        <f>K24</f>
        <v>5000</v>
      </c>
      <c r="N24" s="565">
        <f>K24</f>
        <v>5000</v>
      </c>
      <c r="O24" s="566"/>
      <c r="P24" s="565">
        <f>N24+O24</f>
        <v>5000</v>
      </c>
      <c r="Q24" s="567">
        <f t="shared" si="28"/>
        <v>100</v>
      </c>
      <c r="R24" s="565">
        <f>N24-K24</f>
        <v>0</v>
      </c>
      <c r="S24" s="565">
        <v>3200</v>
      </c>
      <c r="T24" s="566"/>
      <c r="U24" s="565">
        <f>S24</f>
        <v>3200</v>
      </c>
      <c r="V24" s="565">
        <f>S24</f>
        <v>3200</v>
      </c>
      <c r="W24" s="566"/>
      <c r="X24" s="565">
        <f>V24+W24</f>
        <v>3200</v>
      </c>
      <c r="Y24" s="567">
        <f t="shared" si="29"/>
        <v>100</v>
      </c>
      <c r="Z24" s="565">
        <f>V24-S24</f>
        <v>0</v>
      </c>
      <c r="AA24" s="565">
        <v>4400</v>
      </c>
      <c r="AB24" s="565"/>
      <c r="AC24" s="565">
        <f>AA24</f>
        <v>4400</v>
      </c>
      <c r="AD24" s="565">
        <f>AA24</f>
        <v>4400</v>
      </c>
      <c r="AE24" s="566"/>
      <c r="AF24" s="565">
        <f>AD24+AE24</f>
        <v>4400</v>
      </c>
      <c r="AG24" s="567">
        <f t="shared" si="31"/>
        <v>100</v>
      </c>
      <c r="AH24" s="565">
        <f>AD24-AA24</f>
        <v>0</v>
      </c>
      <c r="AI24" s="565">
        <v>4000</v>
      </c>
      <c r="AJ24" s="566"/>
      <c r="AK24" s="565">
        <f>AI24</f>
        <v>4000</v>
      </c>
      <c r="AL24" s="565">
        <f>AI24</f>
        <v>4000</v>
      </c>
      <c r="AM24" s="566"/>
      <c r="AN24" s="565">
        <f>AL24+AM24</f>
        <v>4000</v>
      </c>
      <c r="AO24" s="567">
        <f t="shared" si="33"/>
        <v>100</v>
      </c>
      <c r="AP24" s="565">
        <f>AL24-AI24</f>
        <v>0</v>
      </c>
      <c r="AQ24" s="565">
        <f>'[2]Phụ lục số 6'!$H$23</f>
        <v>5330</v>
      </c>
      <c r="AR24" s="566"/>
      <c r="AS24" s="565">
        <f>AQ24</f>
        <v>5330</v>
      </c>
      <c r="AT24" s="565">
        <f>AQ24</f>
        <v>5330</v>
      </c>
      <c r="AU24" s="566"/>
      <c r="AV24" s="565">
        <f>AT24+AU24</f>
        <v>5330</v>
      </c>
      <c r="AW24" s="567">
        <f t="shared" si="35"/>
        <v>100</v>
      </c>
      <c r="AX24" s="565">
        <f>AT24-AQ24</f>
        <v>0</v>
      </c>
      <c r="AY24" s="565">
        <v>3230</v>
      </c>
      <c r="AZ24" s="565"/>
      <c r="BA24" s="565">
        <f>AY24</f>
        <v>3230</v>
      </c>
      <c r="BB24" s="565">
        <f>AY24</f>
        <v>3230</v>
      </c>
      <c r="BC24" s="566"/>
      <c r="BD24" s="565">
        <f>BB24+BC24</f>
        <v>3230</v>
      </c>
      <c r="BE24" s="567">
        <f t="shared" si="37"/>
        <v>100.00000000000001</v>
      </c>
      <c r="BF24" s="565">
        <f>BB24-AY24</f>
        <v>0</v>
      </c>
      <c r="BG24" s="565">
        <v>6670</v>
      </c>
      <c r="BH24" s="566"/>
      <c r="BI24" s="565">
        <f>BG24</f>
        <v>6670</v>
      </c>
      <c r="BJ24" s="565">
        <f>BG24-370</f>
        <v>6300</v>
      </c>
      <c r="BK24" s="566"/>
      <c r="BL24" s="565">
        <f>BJ24+BK24</f>
        <v>6300</v>
      </c>
      <c r="BM24" s="567">
        <f t="shared" si="39"/>
        <v>94.452773613193401</v>
      </c>
      <c r="BN24" s="565">
        <f>BJ24-BG24</f>
        <v>-370</v>
      </c>
      <c r="BO24" s="565">
        <v>5200</v>
      </c>
      <c r="BP24" s="566"/>
      <c r="BQ24" s="565">
        <f>BO24</f>
        <v>5200</v>
      </c>
      <c r="BR24" s="565">
        <f>BO24</f>
        <v>5200</v>
      </c>
      <c r="BS24" s="566"/>
      <c r="BT24" s="565">
        <f>BR24+BS24</f>
        <v>5200</v>
      </c>
      <c r="BU24" s="567">
        <f t="shared" si="41"/>
        <v>100</v>
      </c>
      <c r="BV24" s="565">
        <f>BR24-BO24</f>
        <v>0</v>
      </c>
      <c r="BW24" s="565">
        <v>4830</v>
      </c>
      <c r="BX24" s="566"/>
      <c r="BY24" s="565">
        <f>BW24</f>
        <v>4830</v>
      </c>
      <c r="BZ24" s="565">
        <f>BW24</f>
        <v>4830</v>
      </c>
      <c r="CA24" s="566"/>
      <c r="CB24" s="565">
        <f>BZ24+CA24</f>
        <v>4830</v>
      </c>
      <c r="CC24" s="567">
        <f t="shared" si="43"/>
        <v>100</v>
      </c>
      <c r="CD24" s="565">
        <f>BZ24-BW24</f>
        <v>0</v>
      </c>
      <c r="CE24" s="565">
        <v>6000</v>
      </c>
      <c r="CF24" s="566"/>
      <c r="CG24" s="565">
        <f>CE24</f>
        <v>6000</v>
      </c>
      <c r="CH24" s="565">
        <f>CE24-1000</f>
        <v>5000</v>
      </c>
      <c r="CI24" s="566"/>
      <c r="CJ24" s="565">
        <f>CH24+CI24</f>
        <v>5000</v>
      </c>
      <c r="CK24" s="567">
        <f t="shared" si="45"/>
        <v>83.333333333333329</v>
      </c>
      <c r="CL24" s="565">
        <f>CH24-CE24</f>
        <v>-1000</v>
      </c>
      <c r="CM24" s="565">
        <v>6000</v>
      </c>
      <c r="CN24" s="566"/>
      <c r="CO24" s="565">
        <f>CM24</f>
        <v>6000</v>
      </c>
      <c r="CP24" s="565">
        <f>CM24-1000</f>
        <v>5000</v>
      </c>
      <c r="CQ24" s="566"/>
      <c r="CR24" s="565">
        <f>CP24+CQ24</f>
        <v>5000</v>
      </c>
      <c r="CS24" s="567">
        <f t="shared" si="47"/>
        <v>83.333333333333329</v>
      </c>
      <c r="CT24" s="565">
        <f>CP24-CM24</f>
        <v>-1000</v>
      </c>
      <c r="CU24" s="565">
        <v>5000</v>
      </c>
      <c r="CV24" s="566"/>
      <c r="CW24" s="565">
        <f>CU24</f>
        <v>5000</v>
      </c>
      <c r="CX24" s="565">
        <f>CU24</f>
        <v>5000</v>
      </c>
      <c r="CY24" s="566"/>
      <c r="CZ24" s="565">
        <f>CX24+CY24</f>
        <v>5000</v>
      </c>
      <c r="DA24" s="567">
        <f t="shared" si="49"/>
        <v>100</v>
      </c>
      <c r="DB24" s="565">
        <f>CX24-CU24</f>
        <v>0</v>
      </c>
    </row>
    <row r="25" spans="1:106" s="294" customFormat="1" ht="18.95" customHeight="1" thickBot="1">
      <c r="A25" s="580">
        <v>4</v>
      </c>
      <c r="B25" s="581" t="s">
        <v>506</v>
      </c>
      <c r="C25" s="582">
        <f>+K25+S25+AA25+AI25+AQ25+AY25+BG25+BO25+BW25+CE25+CM25+CU25</f>
        <v>0</v>
      </c>
      <c r="D25" s="583"/>
      <c r="E25" s="582">
        <f>+M25+U25+AC25+AK25+AS25+BA25+BI25+BQ25+BY25+CG25+CO25+CW25</f>
        <v>0</v>
      </c>
      <c r="F25" s="582">
        <f t="shared" si="51"/>
        <v>0</v>
      </c>
      <c r="G25" s="583">
        <f t="shared" si="51"/>
        <v>0</v>
      </c>
      <c r="H25" s="582">
        <f t="shared" si="51"/>
        <v>0</v>
      </c>
      <c r="I25" s="584">
        <f t="shared" si="26"/>
        <v>0</v>
      </c>
      <c r="J25" s="582">
        <f>F25-C25</f>
        <v>0</v>
      </c>
      <c r="K25" s="582">
        <v>0</v>
      </c>
      <c r="L25" s="582"/>
      <c r="M25" s="582">
        <f>IF('Thu NSH'!T31&lt;0,0,'Thu NSH'!T31)</f>
        <v>0</v>
      </c>
      <c r="N25" s="582"/>
      <c r="O25" s="582"/>
      <c r="P25" s="582"/>
      <c r="Q25" s="584">
        <f t="shared" si="28"/>
        <v>0</v>
      </c>
      <c r="R25" s="582">
        <f>IF(R7&lt;=R15,0,N25-K25)</f>
        <v>0</v>
      </c>
      <c r="S25" s="582">
        <v>0</v>
      </c>
      <c r="T25" s="582"/>
      <c r="U25" s="582">
        <f>IF('Thu NSH'!AF31&lt;0,0,'Thu NSH'!AF31)</f>
        <v>0</v>
      </c>
      <c r="V25" s="582"/>
      <c r="W25" s="583"/>
      <c r="X25" s="582">
        <f>IF(X13&gt;=0,0,V25)</f>
        <v>0</v>
      </c>
      <c r="Y25" s="584">
        <f t="shared" si="29"/>
        <v>0</v>
      </c>
      <c r="Z25" s="582"/>
      <c r="AA25" s="582">
        <v>0</v>
      </c>
      <c r="AB25" s="582"/>
      <c r="AC25" s="582"/>
      <c r="AD25" s="582"/>
      <c r="AE25" s="583"/>
      <c r="AF25" s="582">
        <f>IF(AF13&gt;=0,0,AD25)</f>
        <v>0</v>
      </c>
      <c r="AG25" s="584">
        <f t="shared" si="31"/>
        <v>0</v>
      </c>
      <c r="AH25" s="582">
        <f>AD25-AA25</f>
        <v>0</v>
      </c>
      <c r="AI25" s="582">
        <v>0</v>
      </c>
      <c r="AJ25" s="582"/>
      <c r="AK25" s="582">
        <f>AI25</f>
        <v>0</v>
      </c>
      <c r="AL25" s="582"/>
      <c r="AM25" s="583"/>
      <c r="AN25" s="582"/>
      <c r="AO25" s="584">
        <f t="shared" si="33"/>
        <v>0</v>
      </c>
      <c r="AP25" s="582">
        <f>AL25-AI25</f>
        <v>0</v>
      </c>
      <c r="AQ25" s="582">
        <v>0</v>
      </c>
      <c r="AR25" s="583"/>
      <c r="AS25" s="582"/>
      <c r="AT25" s="582"/>
      <c r="AU25" s="583"/>
      <c r="AV25" s="582"/>
      <c r="AW25" s="584">
        <f t="shared" si="35"/>
        <v>0</v>
      </c>
      <c r="AX25" s="582">
        <f>AT25-AQ25</f>
        <v>0</v>
      </c>
      <c r="AY25" s="582">
        <v>0</v>
      </c>
      <c r="AZ25" s="582"/>
      <c r="BA25" s="582"/>
      <c r="BB25" s="582"/>
      <c r="BC25" s="582"/>
      <c r="BD25" s="582"/>
      <c r="BE25" s="584">
        <f t="shared" si="37"/>
        <v>0</v>
      </c>
      <c r="BF25" s="582">
        <f>BB25-AY25</f>
        <v>0</v>
      </c>
      <c r="BG25" s="582">
        <v>0</v>
      </c>
      <c r="BH25" s="583"/>
      <c r="BI25" s="582"/>
      <c r="BJ25" s="582"/>
      <c r="BK25" s="583"/>
      <c r="BL25" s="582"/>
      <c r="BM25" s="584">
        <f t="shared" si="39"/>
        <v>0</v>
      </c>
      <c r="BN25" s="582">
        <f>BJ25-BG25</f>
        <v>0</v>
      </c>
      <c r="BO25" s="582">
        <v>0</v>
      </c>
      <c r="BP25" s="583"/>
      <c r="BQ25" s="582">
        <f>BO25</f>
        <v>0</v>
      </c>
      <c r="BR25" s="582"/>
      <c r="BS25" s="583"/>
      <c r="BT25" s="582"/>
      <c r="BU25" s="584">
        <f t="shared" si="41"/>
        <v>0</v>
      </c>
      <c r="BV25" s="582">
        <f>BR25-BO25</f>
        <v>0</v>
      </c>
      <c r="BW25" s="582">
        <v>0</v>
      </c>
      <c r="BX25" s="583"/>
      <c r="BY25" s="582"/>
      <c r="BZ25" s="582"/>
      <c r="CA25" s="583"/>
      <c r="CB25" s="582"/>
      <c r="CC25" s="584">
        <f t="shared" si="43"/>
        <v>0</v>
      </c>
      <c r="CD25" s="582">
        <f>BZ25-BW25</f>
        <v>0</v>
      </c>
      <c r="CE25" s="582">
        <v>0</v>
      </c>
      <c r="CF25" s="583"/>
      <c r="CG25" s="582"/>
      <c r="CH25" s="582"/>
      <c r="CI25" s="583"/>
      <c r="CJ25" s="582"/>
      <c r="CK25" s="584">
        <f t="shared" si="45"/>
        <v>0</v>
      </c>
      <c r="CL25" s="582">
        <f>CH25-CE25</f>
        <v>0</v>
      </c>
      <c r="CM25" s="582"/>
      <c r="CN25" s="583"/>
      <c r="CO25" s="582"/>
      <c r="CP25" s="582">
        <f>CM25</f>
        <v>0</v>
      </c>
      <c r="CQ25" s="583"/>
      <c r="CR25" s="582"/>
      <c r="CS25" s="584">
        <f t="shared" si="47"/>
        <v>0</v>
      </c>
      <c r="CT25" s="582">
        <f>CP25-CM25</f>
        <v>0</v>
      </c>
      <c r="CU25" s="582">
        <v>0</v>
      </c>
      <c r="CV25" s="583"/>
      <c r="CW25" s="582"/>
      <c r="CX25" s="582"/>
      <c r="CY25" s="585"/>
      <c r="CZ25" s="582"/>
      <c r="DA25" s="584">
        <f t="shared" si="49"/>
        <v>0</v>
      </c>
      <c r="DB25" s="582">
        <f>CX25-CU25</f>
        <v>0</v>
      </c>
    </row>
    <row r="27" spans="1:106">
      <c r="F27" s="526">
        <f>+F23-H23</f>
        <v>19533</v>
      </c>
    </row>
    <row r="28" spans="1:106">
      <c r="C28" s="526">
        <f>+K28+S28+AA28+AI28+AQ28+AY28+BG28+BO28+BW28+CE28+CM28+CU28</f>
        <v>1458545</v>
      </c>
      <c r="H28" s="526">
        <f>+H23-C28</f>
        <v>228518</v>
      </c>
      <c r="K28" s="526">
        <f>K23-8620/2</f>
        <v>110655</v>
      </c>
      <c r="P28" s="526">
        <f>+P23-K28</f>
        <v>14365</v>
      </c>
      <c r="S28" s="526">
        <f>S23-6760/2</f>
        <v>73960</v>
      </c>
      <c r="X28" s="526">
        <f>+X23-S28</f>
        <v>17270</v>
      </c>
      <c r="AA28" s="526">
        <f>AA23-14750/2</f>
        <v>96350</v>
      </c>
      <c r="AF28" s="526">
        <f>+AF23-AA28</f>
        <v>25335</v>
      </c>
      <c r="AI28" s="526">
        <f>AI23-20720/2</f>
        <v>110745</v>
      </c>
      <c r="AN28" s="526">
        <f>+AN23-AI28</f>
        <v>22510</v>
      </c>
      <c r="AQ28" s="526">
        <f>AQ23-14500/2</f>
        <v>111755</v>
      </c>
      <c r="AV28" s="526">
        <f>+AV23-AQ28</f>
        <v>33850</v>
      </c>
      <c r="AY28" s="526">
        <f>AY23-2500/2</f>
        <v>128460</v>
      </c>
      <c r="BD28" s="526">
        <f>+BD23-AY28</f>
        <v>9820</v>
      </c>
      <c r="BG28" s="526">
        <f>BG23-21300/2</f>
        <v>145725</v>
      </c>
      <c r="BL28" s="526">
        <f>+BL23-BG28</f>
        <v>32560</v>
      </c>
      <c r="BO28" s="526">
        <f>BO23-22650/2</f>
        <v>116540</v>
      </c>
      <c r="BT28" s="526">
        <f>+BT23-BO28</f>
        <v>28849</v>
      </c>
      <c r="BW28" s="526">
        <f>BW23-9700/2</f>
        <v>157785</v>
      </c>
      <c r="CB28" s="526">
        <f>+CB23-BW28</f>
        <v>14175</v>
      </c>
      <c r="CE28" s="526">
        <f>CE23-9700/2</f>
        <v>116540</v>
      </c>
      <c r="CJ28" s="526">
        <f>+CJ23-CE28</f>
        <v>10944</v>
      </c>
      <c r="CM28" s="526">
        <f>CM23-1800/2</f>
        <v>159470</v>
      </c>
      <c r="CR28" s="526">
        <f>+CR23-CM28</f>
        <v>4820</v>
      </c>
      <c r="CU28" s="526">
        <f>CU23-9260/2</f>
        <v>130560</v>
      </c>
      <c r="CZ28" s="526">
        <f>+CZ23-CU28</f>
        <v>14020</v>
      </c>
    </row>
    <row r="29" spans="1:106">
      <c r="CB29" s="526"/>
      <c r="CM29" s="526"/>
      <c r="CR29" s="526"/>
    </row>
    <row r="30" spans="1:106">
      <c r="K30" s="526">
        <f>(K8-K18)+K9+K12+K13</f>
        <v>264500</v>
      </c>
      <c r="M30" s="526"/>
      <c r="N30" s="526">
        <f>(N8-N18)+N9+N12+N13</f>
        <v>270580</v>
      </c>
      <c r="P30" s="526"/>
      <c r="S30" s="526">
        <f>(S8-S18)+S9+S12+S13</f>
        <v>163560</v>
      </c>
      <c r="U30" s="526"/>
      <c r="V30" s="526">
        <f>(V8-V18)+V9+V12+V13</f>
        <v>168290</v>
      </c>
      <c r="AA30" s="526">
        <f>(AA8-AA18)+AA9+AA12+AA13</f>
        <v>234635</v>
      </c>
      <c r="AC30" s="526"/>
      <c r="AD30" s="526">
        <f>(AD8-AD18)+AD9+AD12+AD13</f>
        <v>244410</v>
      </c>
      <c r="AI30" s="526">
        <f>(AI8-AI18)+AI9+AI12+AI13</f>
        <v>214535</v>
      </c>
      <c r="AK30" s="526"/>
      <c r="AL30" s="526">
        <f>(AL8-AL18)+AL9+AL12+AL13</f>
        <v>216465</v>
      </c>
      <c r="AQ30" s="526">
        <f>(AQ8-AQ18)+AQ9+AQ12+AQ13</f>
        <v>277320</v>
      </c>
      <c r="AS30" s="526"/>
      <c r="AT30" s="526">
        <f>(AT8-AT18)+AT9+AT12+AT13</f>
        <v>276440</v>
      </c>
      <c r="AY30" s="526">
        <f>(AY8-AY18)+AY9+AY12+AY13</f>
        <v>302330</v>
      </c>
      <c r="BA30" s="526"/>
      <c r="BB30" s="526">
        <f>(BB8-BB18)+BB9+BB12+BB13</f>
        <v>306500</v>
      </c>
      <c r="BG30" s="526">
        <f>(BG8-BG18)+BG9+BG12+BG13</f>
        <v>350240</v>
      </c>
      <c r="BI30" s="526"/>
      <c r="BJ30" s="526">
        <f>(BJ8-BJ18)+BJ9+BJ12+BJ13</f>
        <v>349375</v>
      </c>
      <c r="BO30" s="526">
        <f>(BO8-BO18)+BO9+BO12+BO13</f>
        <v>281635</v>
      </c>
      <c r="BQ30" s="526"/>
      <c r="BR30" s="526">
        <f>(BR8-BR18)+BR9+BR12+BR13</f>
        <v>279935</v>
      </c>
      <c r="BV30" s="526"/>
      <c r="BW30" s="526">
        <f>(BW8-BW18)+BW9+BW12+BW13</f>
        <v>336430</v>
      </c>
      <c r="BY30" s="526"/>
      <c r="BZ30" s="526">
        <f>(BZ8-BZ18)+BZ9+BZ12+BZ13</f>
        <v>340590</v>
      </c>
      <c r="CB30" s="526"/>
      <c r="CE30" s="526">
        <f>(CE8-CE18)+CE9+CE12+CE13</f>
        <v>276405</v>
      </c>
      <c r="CG30" s="526"/>
      <c r="CH30" s="526">
        <f>(CH8-CH18)+CH9+CH12+CH13</f>
        <v>270955</v>
      </c>
      <c r="CM30" s="526">
        <f>(CM8-CM18)+CM9+CM12+CM13</f>
        <v>270360</v>
      </c>
      <c r="CO30" s="526"/>
      <c r="CP30" s="526">
        <f>(CP8-CP18)+CP9+CP12+CP13</f>
        <v>312340</v>
      </c>
      <c r="CU30" s="526">
        <f>(CU8-CU18)+CU9+CU12+CU13</f>
        <v>268795</v>
      </c>
      <c r="CW30" s="526"/>
      <c r="CX30" s="526">
        <f>(CX8-CX18)+CX9+CX12+CX13</f>
        <v>266600</v>
      </c>
    </row>
    <row r="31" spans="1:106">
      <c r="N31" s="526">
        <f>+N30-K30</f>
        <v>6080</v>
      </c>
      <c r="V31" s="526">
        <f>+V30-S30</f>
        <v>4730</v>
      </c>
      <c r="AD31" s="526">
        <f>+AD30-AA30</f>
        <v>9775</v>
      </c>
      <c r="AL31" s="526">
        <f>+AL30-AI30</f>
        <v>1930</v>
      </c>
      <c r="AT31" s="526">
        <f>+AT30-AQ30</f>
        <v>-880</v>
      </c>
      <c r="BB31" s="526">
        <f>+BB30-AY30</f>
        <v>4170</v>
      </c>
      <c r="BC31" s="526"/>
      <c r="BJ31" s="526">
        <f>+BJ30-BG30</f>
        <v>-865</v>
      </c>
      <c r="BR31" s="526">
        <f>+BR30-BO30</f>
        <v>-1700</v>
      </c>
      <c r="BS31" s="526"/>
      <c r="BV31" s="526"/>
      <c r="BZ31" s="526">
        <f>+BZ30-BW30</f>
        <v>4160</v>
      </c>
      <c r="CB31" s="526"/>
      <c r="CH31" s="526">
        <f>+CH30-CE30</f>
        <v>-5450</v>
      </c>
      <c r="CP31" s="526">
        <f>+CP30-CM30</f>
        <v>41980</v>
      </c>
      <c r="CX31" s="526">
        <f>+CX30-CU30</f>
        <v>-2195</v>
      </c>
    </row>
    <row r="32" spans="1:106">
      <c r="O32" s="526"/>
    </row>
    <row r="33" spans="3:102">
      <c r="C33" s="526">
        <f>+K33+S33+AA33+AI33+AQ33+AY33+BG33+BO33+BW33+CE33+CM33+CU33</f>
        <v>3031085</v>
      </c>
      <c r="F33" s="526">
        <f>+N33+V33+AD33+AL33+AT33+BB33+BJ33+BR33+BZ33+CH33+CP33+CX33</f>
        <v>3101740</v>
      </c>
      <c r="K33" s="526">
        <f>K19-K10-K11</f>
        <v>245500</v>
      </c>
      <c r="N33" s="526">
        <f>N19-N10-N11</f>
        <v>255690</v>
      </c>
      <c r="S33" s="526">
        <f>S19-S10-S11</f>
        <v>146360</v>
      </c>
      <c r="V33" s="526">
        <f>V19-V10-V11</f>
        <v>151090</v>
      </c>
      <c r="AA33" s="526">
        <f>AA19-AA10-AA11</f>
        <v>215735</v>
      </c>
      <c r="AD33" s="526">
        <f>AD19-AD10-AD11</f>
        <v>225940</v>
      </c>
      <c r="AI33" s="526">
        <f>AI19-AI10-AI11</f>
        <v>196535</v>
      </c>
      <c r="AL33" s="526">
        <f>AL19-AL10-AL11</f>
        <v>199595</v>
      </c>
      <c r="AQ33" s="526">
        <f>AQ19-AQ10-AQ11</f>
        <v>257490</v>
      </c>
      <c r="AT33" s="526">
        <f>AT19-AT10-AT11</f>
        <v>271480</v>
      </c>
      <c r="AY33" s="526">
        <f>AY19-AY10-AY11</f>
        <v>284100</v>
      </c>
      <c r="BB33" s="526">
        <f>BB19-BB10-BB11</f>
        <v>288270</v>
      </c>
      <c r="BG33" s="526">
        <f>BG19-BG10-BG11</f>
        <v>327570</v>
      </c>
      <c r="BJ33" s="526">
        <f>BJ19-BJ10-BJ11</f>
        <v>333325</v>
      </c>
      <c r="BO33" s="526">
        <f>BO19-BO10-BO11</f>
        <v>262935</v>
      </c>
      <c r="BR33" s="526">
        <f>BR19-BR10-BR11</f>
        <v>266775</v>
      </c>
      <c r="BW33" s="526">
        <f>BW19-BW10-BW11</f>
        <v>314600</v>
      </c>
      <c r="BZ33" s="526">
        <f>BZ19-BZ10-BZ11</f>
        <v>318760</v>
      </c>
      <c r="CE33" s="526">
        <f>CE19-CE10-CE11</f>
        <v>253905</v>
      </c>
      <c r="CH33" s="526">
        <f>CH19-CH10-CH11</f>
        <v>258805</v>
      </c>
      <c r="CM33" s="526">
        <f>CM19-CM10-CM11</f>
        <v>278560</v>
      </c>
      <c r="CP33" s="526">
        <f>CP19-CP10-CP11</f>
        <v>281280</v>
      </c>
      <c r="CU33" s="526">
        <f>CU19-CU10-CU11</f>
        <v>247795</v>
      </c>
      <c r="CX33" s="526">
        <f>CX19-CX10-CX11</f>
        <v>250730</v>
      </c>
    </row>
    <row r="34" spans="3:102">
      <c r="N34" s="526">
        <f>+N33-K33</f>
        <v>10190</v>
      </c>
      <c r="V34" s="526">
        <f>+V33-S33</f>
        <v>4730</v>
      </c>
      <c r="AD34" s="526"/>
      <c r="AL34" s="526">
        <f>+AL33-AI33</f>
        <v>3060</v>
      </c>
      <c r="AT34" s="526">
        <f>+AT33-AQ33</f>
        <v>13990</v>
      </c>
      <c r="BB34" s="526">
        <f>+BB33-AY33</f>
        <v>4170</v>
      </c>
      <c r="BJ34" s="526">
        <f>+BJ33-BG33</f>
        <v>5755</v>
      </c>
      <c r="BR34" s="526">
        <f>+BR33-BO33</f>
        <v>3840</v>
      </c>
      <c r="BZ34" s="526">
        <f>+BZ33-BW33</f>
        <v>4160</v>
      </c>
      <c r="CH34" s="526">
        <f>+CH33-CE33</f>
        <v>4900</v>
      </c>
      <c r="CP34" s="526">
        <f>+CP33-CM33</f>
        <v>2720</v>
      </c>
      <c r="CX34" s="526">
        <f>+CX33-CU33</f>
        <v>2935</v>
      </c>
    </row>
    <row r="36" spans="3:102">
      <c r="AD36" s="526"/>
      <c r="AT36" s="526"/>
      <c r="BB36" s="526"/>
      <c r="BR36" s="526"/>
    </row>
    <row r="38" spans="3:102">
      <c r="C38" s="526">
        <f>+K38+S38+AA38+AI38+AQ38+AY38+BG38+BO38+BW38+CE38+CM38+CU38</f>
        <v>3089945</v>
      </c>
      <c r="F38" s="526">
        <f>+N38+V38+AD38+AL38+AT38+BB38+BJ38+BR38+BZ38+CH38+CP38+CX38</f>
        <v>3158230</v>
      </c>
      <c r="K38" s="526">
        <f>K7-K16-K10-K11</f>
        <v>250500</v>
      </c>
      <c r="N38" s="526">
        <f>N7-N16-N10-N11</f>
        <v>260690</v>
      </c>
      <c r="S38" s="526">
        <f>S7-S16-S10-S11</f>
        <v>149560</v>
      </c>
      <c r="V38" s="526">
        <f>V7-V16-V10-V11</f>
        <v>154290</v>
      </c>
      <c r="AA38" s="526">
        <f>AA7-AA16-AA10-AA11</f>
        <v>220135</v>
      </c>
      <c r="AD38" s="526">
        <f>AD7-AD16-AD10-AD11</f>
        <v>230340</v>
      </c>
      <c r="AI38" s="526">
        <f>AI7-AI16-AI10-AI11</f>
        <v>200535</v>
      </c>
      <c r="AL38" s="526">
        <f>AL7-AL16-AL10-AL11</f>
        <v>203595</v>
      </c>
      <c r="AQ38" s="526">
        <f>AQ7-AQ16-AQ10-AQ11</f>
        <v>262820</v>
      </c>
      <c r="AT38" s="526">
        <f>AT7-AT16-AT10-AT11</f>
        <v>276810</v>
      </c>
      <c r="AY38" s="526">
        <f>AY7-AY16-AY10-AY11</f>
        <v>287330</v>
      </c>
      <c r="BB38" s="526">
        <f>BB7-BB16-BB10-BB11</f>
        <v>291500</v>
      </c>
      <c r="BG38" s="526">
        <f>BG7-BG16-BG10-BG11</f>
        <v>334240</v>
      </c>
      <c r="BJ38" s="526">
        <f>BJ7-BJ16-BJ10-BJ11</f>
        <v>339625</v>
      </c>
      <c r="BO38" s="526">
        <f>BO7-BO16-BO10-BO11</f>
        <v>268135</v>
      </c>
      <c r="BR38" s="526">
        <f>BR7-BR16-BR10-BR11</f>
        <v>271975</v>
      </c>
      <c r="BW38" s="526">
        <f>BW7-BW16-BW10-BW11</f>
        <v>319430</v>
      </c>
      <c r="BZ38" s="526">
        <f>BZ7-BZ16-BZ10-BZ11</f>
        <v>323590</v>
      </c>
      <c r="CE38" s="526">
        <f>CE7-CE16-CE10-CE11</f>
        <v>259905</v>
      </c>
      <c r="CH38" s="526">
        <f>CH7-CH16-CH10-CH11</f>
        <v>263805</v>
      </c>
      <c r="CM38" s="526">
        <f>CM7-CM16-CM10-CM11</f>
        <v>284560</v>
      </c>
      <c r="CP38" s="526">
        <f>CP7-CP16-CP10-CP11</f>
        <v>286280</v>
      </c>
      <c r="CU38" s="526">
        <f>CU7-CU16-CU10-CU11</f>
        <v>252795</v>
      </c>
      <c r="CX38" s="526">
        <f>CX7-CX16-CX10-CX11</f>
        <v>255730</v>
      </c>
    </row>
    <row r="39" spans="3:102">
      <c r="N39" s="526">
        <f>N38-K38</f>
        <v>10190</v>
      </c>
      <c r="V39" s="526">
        <f>V38-S38</f>
        <v>4730</v>
      </c>
      <c r="AD39" s="526">
        <f>AD38-AA38</f>
        <v>10205</v>
      </c>
      <c r="AL39" s="526">
        <f>AL38-AI38</f>
        <v>3060</v>
      </c>
      <c r="AT39" s="526">
        <f>AT38-AQ38</f>
        <v>13990</v>
      </c>
      <c r="BB39" s="526">
        <f>BB38-AY38</f>
        <v>4170</v>
      </c>
      <c r="BJ39" s="526">
        <f>BJ38-BG38</f>
        <v>5385</v>
      </c>
      <c r="BR39" s="526">
        <f>BR38-BO38</f>
        <v>3840</v>
      </c>
      <c r="BZ39" s="526">
        <f>BZ38-BW38</f>
        <v>4160</v>
      </c>
      <c r="CH39" s="526">
        <f>CH38-CE38</f>
        <v>3900</v>
      </c>
      <c r="CP39" s="526">
        <f>CP38-CM38</f>
        <v>1720</v>
      </c>
      <c r="CX39" s="526">
        <f>CX38-CU38</f>
        <v>2935</v>
      </c>
    </row>
    <row r="41" spans="3:102">
      <c r="CX41" s="526"/>
    </row>
    <row r="42" spans="3:102">
      <c r="AS42" s="526">
        <f>+AQ12-AT12</f>
        <v>23340</v>
      </c>
    </row>
  </sheetData>
  <mergeCells count="67">
    <mergeCell ref="CX4:CZ4"/>
    <mergeCell ref="DA4:DA5"/>
    <mergeCell ref="CS4:CS5"/>
    <mergeCell ref="BV4:BV5"/>
    <mergeCell ref="DB4:DB5"/>
    <mergeCell ref="CE4:CG4"/>
    <mergeCell ref="CM4:CO4"/>
    <mergeCell ref="BZ4:CB4"/>
    <mergeCell ref="CC4:CC5"/>
    <mergeCell ref="CD4:CD5"/>
    <mergeCell ref="CK4:CK5"/>
    <mergeCell ref="CL4:CL5"/>
    <mergeCell ref="CU4:CW4"/>
    <mergeCell ref="CH4:CJ4"/>
    <mergeCell ref="CM3:CT3"/>
    <mergeCell ref="AI4:AK4"/>
    <mergeCell ref="AQ4:AS4"/>
    <mergeCell ref="AY4:BA4"/>
    <mergeCell ref="BG4:BI4"/>
    <mergeCell ref="AT4:AV4"/>
    <mergeCell ref="AW4:AW5"/>
    <mergeCell ref="CP4:CR4"/>
    <mergeCell ref="BB4:BD4"/>
    <mergeCell ref="BJ4:BL4"/>
    <mergeCell ref="BW4:BY4"/>
    <mergeCell ref="CE3:CL3"/>
    <mergeCell ref="BR4:BT4"/>
    <mergeCell ref="AY3:BF3"/>
    <mergeCell ref="BG3:BN3"/>
    <mergeCell ref="BO3:BV3"/>
    <mergeCell ref="Q4:Q5"/>
    <mergeCell ref="BE4:BE5"/>
    <mergeCell ref="BF4:BF5"/>
    <mergeCell ref="BO4:BQ4"/>
    <mergeCell ref="S4:U4"/>
    <mergeCell ref="BM4:BM5"/>
    <mergeCell ref="BN4:BN5"/>
    <mergeCell ref="AH4:AH5"/>
    <mergeCell ref="V4:X4"/>
    <mergeCell ref="Y4:Y5"/>
    <mergeCell ref="Z4:Z5"/>
    <mergeCell ref="AL4:AN4"/>
    <mergeCell ref="AO4:AO5"/>
    <mergeCell ref="AP4:AP5"/>
    <mergeCell ref="AG4:AG5"/>
    <mergeCell ref="AA4:AC4"/>
    <mergeCell ref="BW3:CD3"/>
    <mergeCell ref="BU4:BU5"/>
    <mergeCell ref="CU3:DB3"/>
    <mergeCell ref="C3:J3"/>
    <mergeCell ref="K3:R3"/>
    <mergeCell ref="R4:R5"/>
    <mergeCell ref="S3:Z3"/>
    <mergeCell ref="AA3:AH3"/>
    <mergeCell ref="AI3:AP3"/>
    <mergeCell ref="I4:I5"/>
    <mergeCell ref="K4:M4"/>
    <mergeCell ref="N4:P4"/>
    <mergeCell ref="CT4:CT5"/>
    <mergeCell ref="AX4:AX5"/>
    <mergeCell ref="AQ3:AX3"/>
    <mergeCell ref="AD4:AF4"/>
    <mergeCell ref="A3:A5"/>
    <mergeCell ref="B3:B5"/>
    <mergeCell ref="C4:E4"/>
    <mergeCell ref="F4:H4"/>
    <mergeCell ref="J4:J5"/>
  </mergeCells>
  <phoneticPr fontId="2" type="noConversion"/>
  <printOptions horizontalCentered="1"/>
  <pageMargins left="0.23622047244094491" right="0.47244094488188981" top="0" bottom="0.19685039370078741" header="0" footer="0.11811023622047245"/>
  <pageSetup paperSize="9" scale="97" fitToWidth="13" fitToHeight="13" orientation="landscape" r:id="rId1"/>
  <headerFooter alignWithMargins="0"/>
  <ignoredErrors>
    <ignoredError sqref="AN23:AP23 CB23 P23:R23 AJ15:AL15 U16:U17 AN19 G7:G10 C19:D19 G11:G12 BD23:BF23 G16 AS19:AT19 G15 H23:I23 G23 F20:F22 G17:G18 H15:K15 D15:F15 E16 F23 G20:G22 G24:G25 CX15 J21:J22 CJ19:CL19 P19:S19 M19:N19 T15:V15 U19:V19 AC19 X23:Z23 AS16:AS17 AK19:AL19 AV23:AZ23 BL19:BM19 AR15:AT15 AR20:AS22 AD23 BQ13:BQ15 H16:K16 BU23 BT19 BL23:BN23 CC23:CE23 CF15 CJ23:CL23 CN15 CN23 BH15 CZ23:DB23 BT23 CZ19:DA19 CJ20:CL22 F24:F25 T21:T22 BT20:BT22 AF19:AI19 E19:K19 CV11:CW12 BR15 BT15 BT12 BS11:BS12 AJ11:AJ12 AK11:AK13 AK14 BP11:BP12 BQ11:BQ12 T16:T18 V16:V18 T23 AB23 AF23:AJ23 AR16:AR18 AT16 AR23 BH23 BP23 BV23:BX23 CT23:CV23 D16:D18 F16:F18 D20:D22 D23 D24:D25 X19:AA19 U21:U22 H20:I22 K21:K22 H24:I25 K25 H18:K18 H17:J17 AT18 G13:G14 CV14:CW15 BS13:BS15 AJ13:AJ14 BP13:BP15 U20 CV13:CW13 K23:L23 AC10:AC13 CO13 CG13 BY13 BI13 BA13 AS13 AT23 BB23 AL23 V23 U13 N23 M13" formula="1"/>
  </ignoredErrors>
  <legacyDrawing r:id="rId2"/>
</worksheet>
</file>

<file path=xl/worksheets/sheet11.xml><?xml version="1.0" encoding="utf-8"?>
<worksheet xmlns="http://schemas.openxmlformats.org/spreadsheetml/2006/main" xmlns:r="http://schemas.openxmlformats.org/officeDocument/2006/relationships">
  <sheetPr codeName="Sheet10">
    <tabColor theme="1"/>
  </sheetPr>
  <dimension ref="A1:FB70"/>
  <sheetViews>
    <sheetView zoomScale="79" zoomScaleNormal="79" workbookViewId="0">
      <pane xSplit="10" ySplit="9" topLeftCell="ED27" activePane="bottomRight" state="frozen"/>
      <selection sqref="A1:G1"/>
      <selection pane="topRight" sqref="A1:G1"/>
      <selection pane="bottomLeft" sqref="A1:G1"/>
      <selection pane="bottomRight" sqref="A1:G1"/>
    </sheetView>
  </sheetViews>
  <sheetFormatPr defaultColWidth="9" defaultRowHeight="15.75"/>
  <cols>
    <col min="1" max="1" width="4.5" style="467" bestFit="1" customWidth="1"/>
    <col min="2" max="2" width="69.125" style="468" customWidth="1"/>
    <col min="3" max="3" width="9.25" style="468" customWidth="1"/>
    <col min="4" max="4" width="8.625" style="468" customWidth="1"/>
    <col min="5" max="5" width="9.375" style="468" hidden="1" customWidth="1"/>
    <col min="6" max="6" width="10.25" style="468" hidden="1" customWidth="1"/>
    <col min="7" max="7" width="8.125" style="468" customWidth="1"/>
    <col min="8" max="8" width="10" style="468" customWidth="1"/>
    <col min="9" max="10" width="8.5" style="468" customWidth="1"/>
    <col min="11" max="11" width="7.5" style="496" customWidth="1"/>
    <col min="12" max="12" width="7.125" style="496" customWidth="1"/>
    <col min="13" max="13" width="8.125" style="496" customWidth="1"/>
    <col min="14" max="15" width="7.5" style="496" customWidth="1"/>
    <col min="16" max="16" width="8.625" style="496" customWidth="1"/>
    <col min="17" max="18" width="7.5" style="496" hidden="1" customWidth="1"/>
    <col min="19" max="19" width="7.5" style="496" customWidth="1"/>
    <col min="20" max="20" width="8.375" style="496" customWidth="1"/>
    <col min="21" max="21" width="7.5" style="496" customWidth="1"/>
    <col min="22" max="22" width="8.25" style="496" customWidth="1"/>
    <col min="23" max="25" width="7.5" style="496" customWidth="1"/>
    <col min="26" max="26" width="8.25" style="496" customWidth="1"/>
    <col min="27" max="27" width="8.125" style="468" customWidth="1"/>
    <col min="28" max="28" width="8.25" style="468" customWidth="1"/>
    <col min="29" max="29" width="8.75" style="468" hidden="1" customWidth="1"/>
    <col min="30" max="30" width="7.125" style="468" hidden="1" customWidth="1"/>
    <col min="31" max="31" width="9.5" style="468" customWidth="1"/>
    <col min="32" max="32" width="8.625" style="468" customWidth="1"/>
    <col min="33" max="33" width="8.875" style="468" customWidth="1"/>
    <col min="34" max="34" width="8.125" style="468" customWidth="1"/>
    <col min="35" max="37" width="7.625" style="496" customWidth="1"/>
    <col min="38" max="38" width="6.5" style="496" customWidth="1"/>
    <col min="39" max="40" width="8.5" style="468" customWidth="1"/>
    <col min="41" max="42" width="8.5" style="468" hidden="1" customWidth="1"/>
    <col min="43" max="47" width="8.5" style="468" customWidth="1"/>
    <col min="48" max="48" width="7.5" style="468" customWidth="1"/>
    <col min="49" max="49" width="7.25" style="468" customWidth="1"/>
    <col min="50" max="50" width="8.5" style="468" customWidth="1"/>
    <col min="51" max="51" width="9.375" style="468" customWidth="1"/>
    <col min="52" max="52" width="8.5" style="468" customWidth="1"/>
    <col min="53" max="54" width="8.5" style="468" hidden="1" customWidth="1"/>
    <col min="55" max="55" width="9.25" style="468" customWidth="1"/>
    <col min="56" max="58" width="8.5" style="468" customWidth="1"/>
    <col min="59" max="59" width="7.875" style="468" customWidth="1"/>
    <col min="60" max="60" width="8.5" style="468" customWidth="1"/>
    <col min="61" max="61" width="7.375" style="468" customWidth="1"/>
    <col min="62" max="62" width="7.625" style="468" customWidth="1"/>
    <col min="63" max="63" width="9.875" style="468" customWidth="1"/>
    <col min="64" max="64" width="8.25" style="468" customWidth="1"/>
    <col min="65" max="66" width="8.875" style="468" hidden="1" customWidth="1"/>
    <col min="67" max="67" width="8.875" style="468" customWidth="1"/>
    <col min="68" max="68" width="8.75" style="468" customWidth="1"/>
    <col min="69" max="69" width="8" style="468" customWidth="1"/>
    <col min="70" max="70" width="8.25" style="468" customWidth="1"/>
    <col min="71" max="71" width="7.375" style="468" customWidth="1"/>
    <col min="72" max="72" width="8.875" style="468" customWidth="1"/>
    <col min="73" max="73" width="7.375" style="468" customWidth="1"/>
    <col min="74" max="74" width="6.625" style="468" customWidth="1"/>
    <col min="75" max="75" width="9.5" style="468" customWidth="1"/>
    <col min="76" max="76" width="8" style="468" customWidth="1"/>
    <col min="77" max="77" width="8.375" style="468" hidden="1" customWidth="1"/>
    <col min="78" max="78" width="8.5" style="468" hidden="1" customWidth="1"/>
    <col min="79" max="79" width="8" style="468" customWidth="1"/>
    <col min="80" max="80" width="7.875" style="468" customWidth="1"/>
    <col min="81" max="81" width="8" style="468" customWidth="1"/>
    <col min="82" max="82" width="8.5" style="468" customWidth="1"/>
    <col min="83" max="85" width="8.125" style="468" customWidth="1"/>
    <col min="86" max="86" width="8" style="468" customWidth="1"/>
    <col min="87" max="88" width="8.75" style="468" customWidth="1"/>
    <col min="89" max="90" width="8.75" style="468" hidden="1" customWidth="1"/>
    <col min="91" max="91" width="7.625" style="468" customWidth="1"/>
    <col min="92" max="93" width="8.75" style="468" customWidth="1"/>
    <col min="94" max="94" width="7.75" style="468" customWidth="1"/>
    <col min="95" max="97" width="8" style="468" customWidth="1"/>
    <col min="98" max="98" width="7.875" style="468" customWidth="1"/>
    <col min="99" max="100" width="8.75" style="468" customWidth="1"/>
    <col min="101" max="101" width="8.375" style="468" hidden="1" customWidth="1"/>
    <col min="102" max="102" width="8" style="468" hidden="1" customWidth="1"/>
    <col min="103" max="103" width="7.875" style="468" customWidth="1"/>
    <col min="104" max="106" width="8.25" style="468" customWidth="1"/>
    <col min="107" max="109" width="8.125" style="468" customWidth="1"/>
    <col min="110" max="110" width="7.875" style="468" customWidth="1"/>
    <col min="111" max="111" width="8.875" style="468" customWidth="1"/>
    <col min="112" max="112" width="8.375" style="468" customWidth="1"/>
    <col min="113" max="113" width="8.25" style="468" hidden="1" customWidth="1"/>
    <col min="114" max="114" width="8.875" style="468" hidden="1" customWidth="1"/>
    <col min="115" max="115" width="8.125" style="468" customWidth="1"/>
    <col min="116" max="116" width="8.25" style="468" customWidth="1"/>
    <col min="117" max="117" width="8.875" style="468" customWidth="1"/>
    <col min="118" max="118" width="8" style="468" customWidth="1"/>
    <col min="119" max="121" width="7.875" style="468" customWidth="1"/>
    <col min="122" max="122" width="7.75" style="468" customWidth="1"/>
    <col min="123" max="124" width="8.875" style="468" customWidth="1"/>
    <col min="125" max="126" width="8.875" style="468" hidden="1" customWidth="1"/>
    <col min="127" max="127" width="8.75" style="468" customWidth="1"/>
    <col min="128" max="128" width="8.625" style="468" customWidth="1"/>
    <col min="129" max="130" width="8.25" style="468" customWidth="1"/>
    <col min="131" max="131" width="7.625" style="468" customWidth="1"/>
    <col min="132" max="132" width="8" style="468" customWidth="1"/>
    <col min="133" max="133" width="7.125" style="468" customWidth="1"/>
    <col min="134" max="134" width="7.625" style="468" customWidth="1"/>
    <col min="135" max="135" width="8.875" style="468" customWidth="1"/>
    <col min="136" max="136" width="8.125" style="468" customWidth="1"/>
    <col min="137" max="138" width="8.875" style="468" hidden="1" customWidth="1"/>
    <col min="139" max="141" width="8.875" style="468" customWidth="1"/>
    <col min="142" max="142" width="8" style="468" customWidth="1"/>
    <col min="143" max="143" width="7.75" style="468" customWidth="1"/>
    <col min="144" max="144" width="7.875" style="468" customWidth="1"/>
    <col min="145" max="145" width="7.375" style="468" customWidth="1"/>
    <col min="146" max="146" width="7.875" style="468" customWidth="1"/>
    <col min="147" max="148" width="8.875" style="468" customWidth="1"/>
    <col min="149" max="150" width="8.875" style="468" hidden="1" customWidth="1"/>
    <col min="151" max="153" width="8.875" style="468" customWidth="1"/>
    <col min="154" max="154" width="7.5" style="468" customWidth="1"/>
    <col min="155" max="155" width="7.25" style="468" customWidth="1"/>
    <col min="156" max="156" width="8.375" style="468" customWidth="1"/>
    <col min="157" max="157" width="7.25" style="468" customWidth="1"/>
    <col min="158" max="158" width="7.625" style="468" customWidth="1"/>
    <col min="159" max="16384" width="9" style="468"/>
  </cols>
  <sheetData>
    <row r="1" spans="1:158" ht="43.5" customHeight="1">
      <c r="C1" s="469" t="s">
        <v>880</v>
      </c>
      <c r="D1" s="470"/>
      <c r="E1" s="470"/>
      <c r="F1" s="470"/>
      <c r="G1" s="470"/>
      <c r="H1" s="470"/>
      <c r="I1" s="470"/>
      <c r="J1" s="470"/>
      <c r="K1" s="470"/>
      <c r="L1" s="470"/>
      <c r="M1" s="470"/>
      <c r="N1" s="470"/>
      <c r="O1" s="469" t="s">
        <v>880</v>
      </c>
      <c r="P1" s="470"/>
      <c r="Q1" s="470"/>
      <c r="R1" s="470"/>
      <c r="S1" s="470"/>
      <c r="T1" s="470"/>
      <c r="U1" s="470"/>
      <c r="V1" s="470"/>
      <c r="W1" s="470"/>
      <c r="X1" s="470"/>
      <c r="Y1" s="470"/>
      <c r="Z1" s="470"/>
      <c r="AA1" s="469" t="s">
        <v>880</v>
      </c>
      <c r="AB1" s="470"/>
      <c r="AC1" s="470"/>
      <c r="AD1" s="470"/>
      <c r="AE1" s="470"/>
      <c r="AF1" s="470"/>
      <c r="AG1" s="470"/>
      <c r="AH1" s="470"/>
      <c r="AI1" s="470"/>
      <c r="AJ1" s="470"/>
      <c r="AK1" s="470"/>
      <c r="AL1" s="470"/>
      <c r="AM1" s="469" t="s">
        <v>880</v>
      </c>
      <c r="AN1" s="470"/>
      <c r="AO1" s="470"/>
      <c r="AP1" s="470"/>
      <c r="AQ1" s="470"/>
      <c r="AR1" s="470"/>
      <c r="AS1" s="470"/>
      <c r="AT1" s="470"/>
      <c r="AU1" s="470"/>
      <c r="AV1" s="470"/>
      <c r="AW1" s="470"/>
      <c r="AX1" s="470"/>
      <c r="AY1" s="469" t="s">
        <v>880</v>
      </c>
      <c r="AZ1" s="470"/>
      <c r="BA1" s="470"/>
      <c r="BB1" s="470"/>
      <c r="BC1" s="470"/>
      <c r="BD1" s="470"/>
      <c r="BE1" s="470"/>
      <c r="BF1" s="470"/>
      <c r="BG1" s="470"/>
      <c r="BH1" s="470"/>
      <c r="BI1" s="470"/>
      <c r="BJ1" s="470"/>
      <c r="BK1" s="469" t="s">
        <v>880</v>
      </c>
      <c r="BL1" s="470"/>
      <c r="BM1" s="470"/>
      <c r="BN1" s="470"/>
      <c r="BO1" s="470"/>
      <c r="BP1" s="470"/>
      <c r="BQ1" s="470"/>
      <c r="BR1" s="470"/>
      <c r="BS1" s="470"/>
      <c r="BT1" s="470"/>
      <c r="BU1" s="470"/>
      <c r="BV1" s="470"/>
      <c r="BW1" s="469" t="s">
        <v>880</v>
      </c>
      <c r="BX1" s="470"/>
      <c r="BY1" s="470"/>
      <c r="BZ1" s="470"/>
      <c r="CA1" s="470"/>
      <c r="CB1" s="470"/>
      <c r="CC1" s="470"/>
      <c r="CD1" s="470"/>
      <c r="CE1" s="470"/>
      <c r="CF1" s="470"/>
      <c r="CG1" s="470"/>
      <c r="CH1" s="470"/>
      <c r="CI1" s="469" t="s">
        <v>880</v>
      </c>
      <c r="CJ1" s="470"/>
      <c r="CK1" s="470"/>
      <c r="CL1" s="470"/>
      <c r="CM1" s="470"/>
      <c r="CN1" s="470"/>
      <c r="CO1" s="470"/>
      <c r="CP1" s="470"/>
      <c r="CQ1" s="470"/>
      <c r="CR1" s="470"/>
      <c r="CS1" s="470"/>
      <c r="CT1" s="470"/>
      <c r="CU1" s="469" t="s">
        <v>880</v>
      </c>
      <c r="CV1" s="470"/>
      <c r="CW1" s="470"/>
      <c r="CX1" s="470"/>
      <c r="CY1" s="470"/>
      <c r="CZ1" s="470"/>
      <c r="DA1" s="470"/>
      <c r="DB1" s="470"/>
      <c r="DC1" s="470"/>
      <c r="DD1" s="470"/>
      <c r="DE1" s="470"/>
      <c r="DF1" s="470"/>
      <c r="DG1" s="469" t="s">
        <v>880</v>
      </c>
      <c r="DH1" s="470"/>
      <c r="DI1" s="470"/>
      <c r="DJ1" s="470"/>
      <c r="DK1" s="470"/>
      <c r="DL1" s="470"/>
      <c r="DM1" s="470"/>
      <c r="DN1" s="470"/>
      <c r="DO1" s="470"/>
      <c r="DP1" s="470"/>
      <c r="DQ1" s="470"/>
      <c r="DR1" s="470"/>
      <c r="DS1" s="469" t="s">
        <v>880</v>
      </c>
      <c r="DT1" s="470"/>
      <c r="DU1" s="470"/>
      <c r="DV1" s="470"/>
      <c r="DW1" s="470"/>
      <c r="DX1" s="470"/>
      <c r="DY1" s="470"/>
      <c r="DZ1" s="470"/>
      <c r="EA1" s="470"/>
      <c r="EB1" s="470"/>
      <c r="EC1" s="470"/>
      <c r="ED1" s="470"/>
      <c r="EE1" s="469" t="s">
        <v>880</v>
      </c>
      <c r="EF1" s="470"/>
      <c r="EG1" s="470"/>
      <c r="EH1" s="470"/>
      <c r="EI1" s="470"/>
      <c r="EJ1" s="470"/>
      <c r="EK1" s="470"/>
      <c r="EL1" s="470"/>
      <c r="EM1" s="470"/>
      <c r="EN1" s="470"/>
      <c r="EO1" s="470"/>
      <c r="EP1" s="470"/>
      <c r="EQ1" s="469" t="s">
        <v>880</v>
      </c>
      <c r="ER1" s="470"/>
      <c r="ES1" s="470"/>
      <c r="ET1" s="470"/>
      <c r="EU1" s="470"/>
      <c r="EV1" s="470"/>
      <c r="EW1" s="470"/>
      <c r="EX1" s="470"/>
      <c r="EY1" s="470"/>
      <c r="EZ1" s="470"/>
      <c r="FA1" s="470"/>
      <c r="FB1" s="470"/>
    </row>
    <row r="2" spans="1:158" ht="18" customHeight="1">
      <c r="B2" s="471"/>
      <c r="C2" s="471"/>
      <c r="D2" s="471"/>
      <c r="E2" s="471"/>
      <c r="F2" s="471"/>
      <c r="G2" s="471"/>
      <c r="H2" s="472"/>
      <c r="I2" s="471"/>
      <c r="J2" s="471"/>
      <c r="K2" s="471"/>
      <c r="L2" s="471"/>
      <c r="M2" s="471"/>
      <c r="N2" s="473" t="s">
        <v>766</v>
      </c>
      <c r="O2" s="473"/>
      <c r="P2" s="473"/>
      <c r="Q2" s="473"/>
      <c r="R2" s="473"/>
      <c r="S2" s="473"/>
      <c r="T2" s="473"/>
      <c r="U2" s="473"/>
      <c r="V2" s="473"/>
      <c r="W2" s="473"/>
      <c r="X2" s="473"/>
      <c r="Y2" s="473"/>
      <c r="Z2" s="473"/>
      <c r="AA2" s="471"/>
      <c r="AB2" s="471"/>
      <c r="AC2" s="471"/>
      <c r="AD2" s="471"/>
      <c r="AE2" s="471"/>
      <c r="AF2" s="471"/>
      <c r="AG2" s="471"/>
      <c r="AH2" s="471"/>
      <c r="AI2" s="471"/>
      <c r="AJ2" s="471"/>
      <c r="AK2" s="471"/>
      <c r="AL2" s="473" t="s">
        <v>766</v>
      </c>
      <c r="AM2" s="471"/>
      <c r="AN2" s="471"/>
      <c r="AO2" s="471"/>
      <c r="AP2" s="471"/>
      <c r="AQ2" s="471"/>
      <c r="AR2" s="471"/>
      <c r="AS2" s="471"/>
      <c r="AT2" s="471"/>
      <c r="AU2" s="471"/>
      <c r="AV2" s="471"/>
      <c r="AW2" s="471"/>
      <c r="AX2" s="473" t="s">
        <v>766</v>
      </c>
      <c r="BA2" s="474"/>
      <c r="BB2" s="474"/>
      <c r="BC2" s="474"/>
      <c r="BD2" s="474"/>
      <c r="BE2" s="474"/>
      <c r="BF2" s="474"/>
      <c r="BJ2" s="473" t="s">
        <v>766</v>
      </c>
      <c r="BM2" s="474"/>
      <c r="BN2" s="474"/>
      <c r="BO2" s="474"/>
      <c r="BP2" s="474"/>
      <c r="BQ2" s="474"/>
      <c r="BR2" s="474"/>
      <c r="BS2" s="474"/>
      <c r="BT2" s="474"/>
      <c r="BU2" s="474"/>
      <c r="BV2" s="473" t="s">
        <v>766</v>
      </c>
      <c r="BY2" s="474"/>
      <c r="CH2" s="473" t="s">
        <v>766</v>
      </c>
      <c r="CK2" s="474"/>
      <c r="CL2" s="474"/>
      <c r="CM2" s="474"/>
      <c r="CN2" s="474"/>
      <c r="CO2" s="474"/>
      <c r="CP2" s="474"/>
      <c r="CT2" s="473" t="s">
        <v>766</v>
      </c>
      <c r="CW2" s="474"/>
      <c r="CX2" s="474"/>
      <c r="CY2" s="474"/>
      <c r="CZ2" s="474"/>
      <c r="DA2" s="474"/>
      <c r="DB2" s="474"/>
      <c r="DF2" s="473" t="s">
        <v>766</v>
      </c>
      <c r="DI2" s="474"/>
      <c r="DJ2" s="474"/>
      <c r="DK2" s="474"/>
      <c r="DL2" s="474"/>
      <c r="DM2" s="474"/>
      <c r="DN2" s="474"/>
      <c r="DR2" s="473" t="s">
        <v>766</v>
      </c>
      <c r="DU2" s="474"/>
      <c r="DV2" s="474"/>
      <c r="DW2" s="474"/>
      <c r="DX2" s="474"/>
      <c r="DY2" s="474"/>
      <c r="DZ2" s="474"/>
      <c r="ED2" s="473" t="s">
        <v>766</v>
      </c>
      <c r="EF2" s="474"/>
      <c r="EG2" s="474"/>
      <c r="EH2" s="474"/>
      <c r="EI2" s="474"/>
      <c r="EJ2" s="474"/>
      <c r="EK2" s="474"/>
      <c r="EL2" s="474"/>
      <c r="EM2" s="474"/>
      <c r="EN2" s="474"/>
      <c r="EO2" s="474"/>
      <c r="EP2" s="473" t="s">
        <v>766</v>
      </c>
      <c r="ES2" s="474"/>
      <c r="ET2" s="474"/>
      <c r="EU2" s="474"/>
      <c r="EV2" s="474"/>
      <c r="EW2" s="474"/>
      <c r="EX2" s="474"/>
      <c r="FB2" s="473" t="s">
        <v>766</v>
      </c>
    </row>
    <row r="3" spans="1:158" s="476" customFormat="1" ht="30" customHeight="1">
      <c r="A3" s="732" t="s">
        <v>769</v>
      </c>
      <c r="B3" s="732" t="s">
        <v>54</v>
      </c>
      <c r="C3" s="732" t="s">
        <v>451</v>
      </c>
      <c r="D3" s="732"/>
      <c r="E3" s="732"/>
      <c r="F3" s="732"/>
      <c r="G3" s="732"/>
      <c r="H3" s="732"/>
      <c r="I3" s="732"/>
      <c r="J3" s="732"/>
      <c r="K3" s="732"/>
      <c r="L3" s="732"/>
      <c r="M3" s="732"/>
      <c r="N3" s="732"/>
      <c r="O3" s="732" t="s">
        <v>452</v>
      </c>
      <c r="P3" s="732"/>
      <c r="Q3" s="732"/>
      <c r="R3" s="732"/>
      <c r="S3" s="732"/>
      <c r="T3" s="732"/>
      <c r="U3" s="732"/>
      <c r="V3" s="732"/>
      <c r="W3" s="732"/>
      <c r="X3" s="732"/>
      <c r="Y3" s="732"/>
      <c r="Z3" s="732"/>
      <c r="AA3" s="732" t="s">
        <v>124</v>
      </c>
      <c r="AB3" s="732"/>
      <c r="AC3" s="732"/>
      <c r="AD3" s="732"/>
      <c r="AE3" s="732"/>
      <c r="AF3" s="732"/>
      <c r="AG3" s="732"/>
      <c r="AH3" s="732"/>
      <c r="AI3" s="732"/>
      <c r="AJ3" s="732"/>
      <c r="AK3" s="732"/>
      <c r="AL3" s="732"/>
      <c r="AM3" s="732" t="s">
        <v>453</v>
      </c>
      <c r="AN3" s="732"/>
      <c r="AO3" s="732"/>
      <c r="AP3" s="732"/>
      <c r="AQ3" s="732"/>
      <c r="AR3" s="732"/>
      <c r="AS3" s="732"/>
      <c r="AT3" s="732"/>
      <c r="AU3" s="732"/>
      <c r="AV3" s="732"/>
      <c r="AW3" s="732"/>
      <c r="AX3" s="732"/>
      <c r="AY3" s="732" t="s">
        <v>141</v>
      </c>
      <c r="AZ3" s="732"/>
      <c r="BA3" s="732"/>
      <c r="BB3" s="732"/>
      <c r="BC3" s="732"/>
      <c r="BD3" s="732"/>
      <c r="BE3" s="732"/>
      <c r="BF3" s="732"/>
      <c r="BG3" s="732"/>
      <c r="BH3" s="732"/>
      <c r="BI3" s="732"/>
      <c r="BJ3" s="732"/>
      <c r="BK3" s="732" t="s">
        <v>454</v>
      </c>
      <c r="BL3" s="732"/>
      <c r="BM3" s="732"/>
      <c r="BN3" s="732"/>
      <c r="BO3" s="732"/>
      <c r="BP3" s="732"/>
      <c r="BQ3" s="732"/>
      <c r="BR3" s="732"/>
      <c r="BS3" s="732"/>
      <c r="BT3" s="732"/>
      <c r="BU3" s="732"/>
      <c r="BV3" s="732"/>
      <c r="BW3" s="732" t="s">
        <v>455</v>
      </c>
      <c r="BX3" s="732"/>
      <c r="BY3" s="732"/>
      <c r="BZ3" s="732"/>
      <c r="CA3" s="732"/>
      <c r="CB3" s="732"/>
      <c r="CC3" s="732"/>
      <c r="CD3" s="732"/>
      <c r="CE3" s="732"/>
      <c r="CF3" s="732"/>
      <c r="CG3" s="732"/>
      <c r="CH3" s="732"/>
      <c r="CI3" s="732" t="s">
        <v>456</v>
      </c>
      <c r="CJ3" s="732"/>
      <c r="CK3" s="732"/>
      <c r="CL3" s="732"/>
      <c r="CM3" s="732"/>
      <c r="CN3" s="732"/>
      <c r="CO3" s="732"/>
      <c r="CP3" s="732"/>
      <c r="CQ3" s="732"/>
      <c r="CR3" s="732"/>
      <c r="CS3" s="732"/>
      <c r="CT3" s="732"/>
      <c r="CU3" s="732" t="s">
        <v>39</v>
      </c>
      <c r="CV3" s="732"/>
      <c r="CW3" s="732"/>
      <c r="CX3" s="732"/>
      <c r="CY3" s="732"/>
      <c r="CZ3" s="732"/>
      <c r="DA3" s="732"/>
      <c r="DB3" s="732"/>
      <c r="DC3" s="732"/>
      <c r="DD3" s="732"/>
      <c r="DE3" s="732"/>
      <c r="DF3" s="732"/>
      <c r="DG3" s="732" t="s">
        <v>40</v>
      </c>
      <c r="DH3" s="732"/>
      <c r="DI3" s="732"/>
      <c r="DJ3" s="732"/>
      <c r="DK3" s="732"/>
      <c r="DL3" s="732"/>
      <c r="DM3" s="732"/>
      <c r="DN3" s="732"/>
      <c r="DO3" s="732"/>
      <c r="DP3" s="732"/>
      <c r="DQ3" s="732"/>
      <c r="DR3" s="732"/>
      <c r="DS3" s="732" t="s">
        <v>457</v>
      </c>
      <c r="DT3" s="732"/>
      <c r="DU3" s="732"/>
      <c r="DV3" s="732"/>
      <c r="DW3" s="732"/>
      <c r="DX3" s="732"/>
      <c r="DY3" s="732"/>
      <c r="DZ3" s="732"/>
      <c r="EA3" s="732"/>
      <c r="EB3" s="732"/>
      <c r="EC3" s="732"/>
      <c r="ED3" s="732"/>
      <c r="EE3" s="732" t="s">
        <v>197</v>
      </c>
      <c r="EF3" s="732"/>
      <c r="EG3" s="732"/>
      <c r="EH3" s="732"/>
      <c r="EI3" s="732"/>
      <c r="EJ3" s="732"/>
      <c r="EK3" s="732"/>
      <c r="EL3" s="732"/>
      <c r="EM3" s="732"/>
      <c r="EN3" s="732"/>
      <c r="EO3" s="732"/>
      <c r="EP3" s="732"/>
      <c r="EQ3" s="732" t="s">
        <v>458</v>
      </c>
      <c r="ER3" s="732"/>
      <c r="ES3" s="732"/>
      <c r="ET3" s="732"/>
      <c r="EU3" s="732"/>
      <c r="EV3" s="732"/>
      <c r="EW3" s="732"/>
      <c r="EX3" s="732"/>
      <c r="EY3" s="732"/>
      <c r="EZ3" s="732"/>
      <c r="FA3" s="732"/>
      <c r="FB3" s="732"/>
    </row>
    <row r="4" spans="1:158" s="476" customFormat="1" ht="25.5" customHeight="1">
      <c r="A4" s="732"/>
      <c r="B4" s="732"/>
      <c r="C4" s="732" t="s">
        <v>620</v>
      </c>
      <c r="D4" s="732"/>
      <c r="E4" s="732" t="s">
        <v>897</v>
      </c>
      <c r="F4" s="732"/>
      <c r="G4" s="732" t="s">
        <v>881</v>
      </c>
      <c r="H4" s="732"/>
      <c r="I4" s="732" t="s">
        <v>869</v>
      </c>
      <c r="J4" s="732"/>
      <c r="K4" s="733" t="s">
        <v>422</v>
      </c>
      <c r="L4" s="733"/>
      <c r="M4" s="733"/>
      <c r="N4" s="733"/>
      <c r="O4" s="732" t="s">
        <v>620</v>
      </c>
      <c r="P4" s="732"/>
      <c r="Q4" s="732" t="s">
        <v>897</v>
      </c>
      <c r="R4" s="732"/>
      <c r="S4" s="732" t="s">
        <v>881</v>
      </c>
      <c r="T4" s="732"/>
      <c r="U4" s="732" t="s">
        <v>869</v>
      </c>
      <c r="V4" s="732"/>
      <c r="W4" s="733" t="s">
        <v>422</v>
      </c>
      <c r="X4" s="733"/>
      <c r="Y4" s="733"/>
      <c r="Z4" s="733"/>
      <c r="AA4" s="732" t="s">
        <v>620</v>
      </c>
      <c r="AB4" s="732"/>
      <c r="AC4" s="732" t="s">
        <v>897</v>
      </c>
      <c r="AD4" s="732"/>
      <c r="AE4" s="732" t="s">
        <v>881</v>
      </c>
      <c r="AF4" s="732"/>
      <c r="AG4" s="732" t="s">
        <v>869</v>
      </c>
      <c r="AH4" s="732"/>
      <c r="AI4" s="733" t="s">
        <v>422</v>
      </c>
      <c r="AJ4" s="733"/>
      <c r="AK4" s="733"/>
      <c r="AL4" s="733"/>
      <c r="AM4" s="732" t="s">
        <v>620</v>
      </c>
      <c r="AN4" s="732"/>
      <c r="AO4" s="732" t="s">
        <v>897</v>
      </c>
      <c r="AP4" s="732"/>
      <c r="AQ4" s="732" t="s">
        <v>881</v>
      </c>
      <c r="AR4" s="732"/>
      <c r="AS4" s="732" t="s">
        <v>869</v>
      </c>
      <c r="AT4" s="732"/>
      <c r="AU4" s="733" t="s">
        <v>422</v>
      </c>
      <c r="AV4" s="733"/>
      <c r="AW4" s="733"/>
      <c r="AX4" s="733"/>
      <c r="AY4" s="732" t="s">
        <v>620</v>
      </c>
      <c r="AZ4" s="732"/>
      <c r="BA4" s="732" t="s">
        <v>897</v>
      </c>
      <c r="BB4" s="732"/>
      <c r="BC4" s="732" t="s">
        <v>881</v>
      </c>
      <c r="BD4" s="732"/>
      <c r="BE4" s="732" t="s">
        <v>869</v>
      </c>
      <c r="BF4" s="732"/>
      <c r="BG4" s="733" t="s">
        <v>422</v>
      </c>
      <c r="BH4" s="733"/>
      <c r="BI4" s="733"/>
      <c r="BJ4" s="733"/>
      <c r="BK4" s="732" t="s">
        <v>620</v>
      </c>
      <c r="BL4" s="732"/>
      <c r="BM4" s="732" t="s">
        <v>897</v>
      </c>
      <c r="BN4" s="732"/>
      <c r="BO4" s="732" t="s">
        <v>881</v>
      </c>
      <c r="BP4" s="732"/>
      <c r="BQ4" s="732" t="s">
        <v>869</v>
      </c>
      <c r="BR4" s="732"/>
      <c r="BS4" s="733" t="s">
        <v>422</v>
      </c>
      <c r="BT4" s="733"/>
      <c r="BU4" s="733"/>
      <c r="BV4" s="733"/>
      <c r="BW4" s="732" t="s">
        <v>620</v>
      </c>
      <c r="BX4" s="732"/>
      <c r="BY4" s="732" t="s">
        <v>897</v>
      </c>
      <c r="BZ4" s="732"/>
      <c r="CA4" s="732" t="s">
        <v>881</v>
      </c>
      <c r="CB4" s="732"/>
      <c r="CC4" s="732" t="s">
        <v>869</v>
      </c>
      <c r="CD4" s="732"/>
      <c r="CE4" s="733" t="s">
        <v>422</v>
      </c>
      <c r="CF4" s="733"/>
      <c r="CG4" s="733"/>
      <c r="CH4" s="733"/>
      <c r="CI4" s="732" t="s">
        <v>620</v>
      </c>
      <c r="CJ4" s="732"/>
      <c r="CK4" s="732" t="s">
        <v>897</v>
      </c>
      <c r="CL4" s="732"/>
      <c r="CM4" s="732" t="s">
        <v>881</v>
      </c>
      <c r="CN4" s="732"/>
      <c r="CO4" s="732" t="s">
        <v>869</v>
      </c>
      <c r="CP4" s="732"/>
      <c r="CQ4" s="733" t="s">
        <v>422</v>
      </c>
      <c r="CR4" s="733"/>
      <c r="CS4" s="733"/>
      <c r="CT4" s="733"/>
      <c r="CU4" s="732" t="s">
        <v>620</v>
      </c>
      <c r="CV4" s="732"/>
      <c r="CW4" s="732" t="s">
        <v>897</v>
      </c>
      <c r="CX4" s="732"/>
      <c r="CY4" s="732" t="s">
        <v>881</v>
      </c>
      <c r="CZ4" s="732"/>
      <c r="DA4" s="732" t="s">
        <v>869</v>
      </c>
      <c r="DB4" s="732"/>
      <c r="DC4" s="733" t="s">
        <v>422</v>
      </c>
      <c r="DD4" s="733"/>
      <c r="DE4" s="733"/>
      <c r="DF4" s="733"/>
      <c r="DG4" s="732" t="s">
        <v>620</v>
      </c>
      <c r="DH4" s="732"/>
      <c r="DI4" s="732" t="s">
        <v>897</v>
      </c>
      <c r="DJ4" s="732"/>
      <c r="DK4" s="732" t="s">
        <v>881</v>
      </c>
      <c r="DL4" s="732"/>
      <c r="DM4" s="732" t="s">
        <v>869</v>
      </c>
      <c r="DN4" s="732"/>
      <c r="DO4" s="733" t="s">
        <v>422</v>
      </c>
      <c r="DP4" s="733"/>
      <c r="DQ4" s="733"/>
      <c r="DR4" s="733"/>
      <c r="DS4" s="732" t="s">
        <v>620</v>
      </c>
      <c r="DT4" s="732"/>
      <c r="DU4" s="732" t="s">
        <v>897</v>
      </c>
      <c r="DV4" s="732"/>
      <c r="DW4" s="732" t="s">
        <v>881</v>
      </c>
      <c r="DX4" s="732"/>
      <c r="DY4" s="732" t="s">
        <v>869</v>
      </c>
      <c r="DZ4" s="732"/>
      <c r="EA4" s="733" t="s">
        <v>422</v>
      </c>
      <c r="EB4" s="733"/>
      <c r="EC4" s="733"/>
      <c r="ED4" s="733"/>
      <c r="EE4" s="732" t="s">
        <v>620</v>
      </c>
      <c r="EF4" s="732"/>
      <c r="EG4" s="732" t="s">
        <v>897</v>
      </c>
      <c r="EH4" s="732"/>
      <c r="EI4" s="732" t="s">
        <v>881</v>
      </c>
      <c r="EJ4" s="732"/>
      <c r="EK4" s="732" t="s">
        <v>869</v>
      </c>
      <c r="EL4" s="732"/>
      <c r="EM4" s="733" t="s">
        <v>422</v>
      </c>
      <c r="EN4" s="733"/>
      <c r="EO4" s="733"/>
      <c r="EP4" s="733"/>
      <c r="EQ4" s="732" t="s">
        <v>620</v>
      </c>
      <c r="ER4" s="732"/>
      <c r="ES4" s="732" t="s">
        <v>897</v>
      </c>
      <c r="ET4" s="732"/>
      <c r="EU4" s="732" t="s">
        <v>881</v>
      </c>
      <c r="EV4" s="732"/>
      <c r="EW4" s="732" t="s">
        <v>869</v>
      </c>
      <c r="EX4" s="732"/>
      <c r="EY4" s="733" t="s">
        <v>422</v>
      </c>
      <c r="EZ4" s="733"/>
      <c r="FA4" s="733"/>
      <c r="FB4" s="733"/>
    </row>
    <row r="5" spans="1:158" s="476" customFormat="1" ht="43.5" customHeight="1">
      <c r="A5" s="732"/>
      <c r="B5" s="732"/>
      <c r="C5" s="732" t="s">
        <v>459</v>
      </c>
      <c r="D5" s="734" t="s">
        <v>460</v>
      </c>
      <c r="E5" s="732" t="s">
        <v>459</v>
      </c>
      <c r="F5" s="734" t="s">
        <v>460</v>
      </c>
      <c r="G5" s="732" t="s">
        <v>459</v>
      </c>
      <c r="H5" s="734" t="s">
        <v>460</v>
      </c>
      <c r="I5" s="732" t="s">
        <v>459</v>
      </c>
      <c r="J5" s="734" t="s">
        <v>460</v>
      </c>
      <c r="K5" s="734" t="s">
        <v>882</v>
      </c>
      <c r="L5" s="734"/>
      <c r="M5" s="734" t="s">
        <v>883</v>
      </c>
      <c r="N5" s="734"/>
      <c r="O5" s="732" t="s">
        <v>459</v>
      </c>
      <c r="P5" s="734" t="s">
        <v>460</v>
      </c>
      <c r="Q5" s="732" t="s">
        <v>459</v>
      </c>
      <c r="R5" s="734" t="s">
        <v>460</v>
      </c>
      <c r="S5" s="732" t="s">
        <v>459</v>
      </c>
      <c r="T5" s="734" t="s">
        <v>460</v>
      </c>
      <c r="U5" s="732" t="s">
        <v>459</v>
      </c>
      <c r="V5" s="734" t="s">
        <v>460</v>
      </c>
      <c r="W5" s="734" t="s">
        <v>882</v>
      </c>
      <c r="X5" s="734"/>
      <c r="Y5" s="734" t="s">
        <v>883</v>
      </c>
      <c r="Z5" s="734"/>
      <c r="AA5" s="732" t="s">
        <v>459</v>
      </c>
      <c r="AB5" s="734" t="s">
        <v>460</v>
      </c>
      <c r="AC5" s="732" t="s">
        <v>459</v>
      </c>
      <c r="AD5" s="734" t="s">
        <v>460</v>
      </c>
      <c r="AE5" s="732" t="s">
        <v>459</v>
      </c>
      <c r="AF5" s="734" t="s">
        <v>460</v>
      </c>
      <c r="AG5" s="732" t="s">
        <v>459</v>
      </c>
      <c r="AH5" s="734" t="s">
        <v>460</v>
      </c>
      <c r="AI5" s="734" t="s">
        <v>882</v>
      </c>
      <c r="AJ5" s="734"/>
      <c r="AK5" s="734" t="s">
        <v>883</v>
      </c>
      <c r="AL5" s="734"/>
      <c r="AM5" s="732" t="s">
        <v>459</v>
      </c>
      <c r="AN5" s="734" t="s">
        <v>460</v>
      </c>
      <c r="AO5" s="732" t="s">
        <v>459</v>
      </c>
      <c r="AP5" s="734" t="s">
        <v>460</v>
      </c>
      <c r="AQ5" s="732" t="s">
        <v>459</v>
      </c>
      <c r="AR5" s="734" t="s">
        <v>460</v>
      </c>
      <c r="AS5" s="732" t="s">
        <v>459</v>
      </c>
      <c r="AT5" s="734" t="s">
        <v>460</v>
      </c>
      <c r="AU5" s="734" t="s">
        <v>882</v>
      </c>
      <c r="AV5" s="734"/>
      <c r="AW5" s="734" t="s">
        <v>883</v>
      </c>
      <c r="AX5" s="734"/>
      <c r="AY5" s="732" t="s">
        <v>459</v>
      </c>
      <c r="AZ5" s="734" t="s">
        <v>460</v>
      </c>
      <c r="BA5" s="732" t="s">
        <v>459</v>
      </c>
      <c r="BB5" s="734" t="s">
        <v>460</v>
      </c>
      <c r="BC5" s="732" t="s">
        <v>459</v>
      </c>
      <c r="BD5" s="734" t="s">
        <v>460</v>
      </c>
      <c r="BE5" s="732" t="s">
        <v>459</v>
      </c>
      <c r="BF5" s="734" t="s">
        <v>460</v>
      </c>
      <c r="BG5" s="734" t="s">
        <v>882</v>
      </c>
      <c r="BH5" s="734"/>
      <c r="BI5" s="734" t="s">
        <v>883</v>
      </c>
      <c r="BJ5" s="734"/>
      <c r="BK5" s="732" t="s">
        <v>459</v>
      </c>
      <c r="BL5" s="734" t="s">
        <v>460</v>
      </c>
      <c r="BM5" s="732" t="s">
        <v>459</v>
      </c>
      <c r="BN5" s="734" t="s">
        <v>460</v>
      </c>
      <c r="BO5" s="732" t="s">
        <v>459</v>
      </c>
      <c r="BP5" s="734" t="s">
        <v>460</v>
      </c>
      <c r="BQ5" s="732" t="s">
        <v>459</v>
      </c>
      <c r="BR5" s="734" t="s">
        <v>460</v>
      </c>
      <c r="BS5" s="734" t="s">
        <v>882</v>
      </c>
      <c r="BT5" s="734"/>
      <c r="BU5" s="734" t="s">
        <v>883</v>
      </c>
      <c r="BV5" s="734"/>
      <c r="BW5" s="732" t="s">
        <v>459</v>
      </c>
      <c r="BX5" s="734" t="s">
        <v>460</v>
      </c>
      <c r="BY5" s="732" t="s">
        <v>459</v>
      </c>
      <c r="BZ5" s="734" t="s">
        <v>460</v>
      </c>
      <c r="CA5" s="732" t="s">
        <v>459</v>
      </c>
      <c r="CB5" s="734" t="s">
        <v>460</v>
      </c>
      <c r="CC5" s="732" t="s">
        <v>459</v>
      </c>
      <c r="CD5" s="734" t="s">
        <v>460</v>
      </c>
      <c r="CE5" s="734" t="s">
        <v>882</v>
      </c>
      <c r="CF5" s="734"/>
      <c r="CG5" s="734" t="s">
        <v>883</v>
      </c>
      <c r="CH5" s="734"/>
      <c r="CI5" s="732" t="s">
        <v>459</v>
      </c>
      <c r="CJ5" s="734" t="s">
        <v>460</v>
      </c>
      <c r="CK5" s="732" t="s">
        <v>459</v>
      </c>
      <c r="CL5" s="734" t="s">
        <v>460</v>
      </c>
      <c r="CM5" s="732" t="s">
        <v>459</v>
      </c>
      <c r="CN5" s="734" t="s">
        <v>460</v>
      </c>
      <c r="CO5" s="732" t="s">
        <v>459</v>
      </c>
      <c r="CP5" s="734" t="s">
        <v>460</v>
      </c>
      <c r="CQ5" s="734" t="s">
        <v>882</v>
      </c>
      <c r="CR5" s="734"/>
      <c r="CS5" s="734" t="s">
        <v>883</v>
      </c>
      <c r="CT5" s="734"/>
      <c r="CU5" s="732" t="s">
        <v>459</v>
      </c>
      <c r="CV5" s="734" t="s">
        <v>460</v>
      </c>
      <c r="CW5" s="732" t="s">
        <v>459</v>
      </c>
      <c r="CX5" s="734" t="s">
        <v>460</v>
      </c>
      <c r="CY5" s="732" t="s">
        <v>459</v>
      </c>
      <c r="CZ5" s="734" t="s">
        <v>460</v>
      </c>
      <c r="DA5" s="732" t="s">
        <v>459</v>
      </c>
      <c r="DB5" s="734" t="s">
        <v>460</v>
      </c>
      <c r="DC5" s="734" t="s">
        <v>882</v>
      </c>
      <c r="DD5" s="734"/>
      <c r="DE5" s="734" t="s">
        <v>883</v>
      </c>
      <c r="DF5" s="734"/>
      <c r="DG5" s="732" t="s">
        <v>459</v>
      </c>
      <c r="DH5" s="734" t="s">
        <v>460</v>
      </c>
      <c r="DI5" s="732" t="s">
        <v>459</v>
      </c>
      <c r="DJ5" s="734" t="s">
        <v>460</v>
      </c>
      <c r="DK5" s="732" t="s">
        <v>459</v>
      </c>
      <c r="DL5" s="734" t="s">
        <v>460</v>
      </c>
      <c r="DM5" s="732" t="s">
        <v>459</v>
      </c>
      <c r="DN5" s="734" t="s">
        <v>460</v>
      </c>
      <c r="DO5" s="734" t="s">
        <v>882</v>
      </c>
      <c r="DP5" s="734"/>
      <c r="DQ5" s="734" t="s">
        <v>883</v>
      </c>
      <c r="DR5" s="734"/>
      <c r="DS5" s="732" t="s">
        <v>459</v>
      </c>
      <c r="DT5" s="734" t="s">
        <v>460</v>
      </c>
      <c r="DU5" s="732" t="s">
        <v>459</v>
      </c>
      <c r="DV5" s="734" t="s">
        <v>460</v>
      </c>
      <c r="DW5" s="732" t="s">
        <v>459</v>
      </c>
      <c r="DX5" s="734" t="s">
        <v>460</v>
      </c>
      <c r="DY5" s="732" t="s">
        <v>459</v>
      </c>
      <c r="DZ5" s="734" t="s">
        <v>460</v>
      </c>
      <c r="EA5" s="734" t="s">
        <v>882</v>
      </c>
      <c r="EB5" s="734"/>
      <c r="EC5" s="734" t="s">
        <v>883</v>
      </c>
      <c r="ED5" s="734"/>
      <c r="EE5" s="732" t="s">
        <v>459</v>
      </c>
      <c r="EF5" s="734" t="s">
        <v>460</v>
      </c>
      <c r="EG5" s="732" t="s">
        <v>459</v>
      </c>
      <c r="EH5" s="734" t="s">
        <v>460</v>
      </c>
      <c r="EI5" s="732" t="s">
        <v>459</v>
      </c>
      <c r="EJ5" s="734" t="s">
        <v>460</v>
      </c>
      <c r="EK5" s="732" t="s">
        <v>459</v>
      </c>
      <c r="EL5" s="734" t="s">
        <v>460</v>
      </c>
      <c r="EM5" s="734" t="s">
        <v>882</v>
      </c>
      <c r="EN5" s="734"/>
      <c r="EO5" s="734" t="s">
        <v>883</v>
      </c>
      <c r="EP5" s="734"/>
      <c r="EQ5" s="732" t="s">
        <v>459</v>
      </c>
      <c r="ER5" s="734" t="s">
        <v>460</v>
      </c>
      <c r="ES5" s="732" t="s">
        <v>459</v>
      </c>
      <c r="ET5" s="734" t="s">
        <v>460</v>
      </c>
      <c r="EU5" s="732" t="s">
        <v>459</v>
      </c>
      <c r="EV5" s="734" t="s">
        <v>460</v>
      </c>
      <c r="EW5" s="732" t="s">
        <v>459</v>
      </c>
      <c r="EX5" s="734" t="s">
        <v>460</v>
      </c>
      <c r="EY5" s="734" t="s">
        <v>882</v>
      </c>
      <c r="EZ5" s="734"/>
      <c r="FA5" s="734" t="s">
        <v>883</v>
      </c>
      <c r="FB5" s="734"/>
    </row>
    <row r="6" spans="1:158" s="476" customFormat="1" ht="54.75" customHeight="1">
      <c r="A6" s="732"/>
      <c r="B6" s="732"/>
      <c r="C6" s="732"/>
      <c r="D6" s="734"/>
      <c r="E6" s="732"/>
      <c r="F6" s="734"/>
      <c r="G6" s="732"/>
      <c r="H6" s="734"/>
      <c r="I6" s="732"/>
      <c r="J6" s="734"/>
      <c r="K6" s="348" t="s">
        <v>461</v>
      </c>
      <c r="L6" s="348" t="s">
        <v>462</v>
      </c>
      <c r="M6" s="348" t="s">
        <v>461</v>
      </c>
      <c r="N6" s="348" t="s">
        <v>462</v>
      </c>
      <c r="O6" s="732"/>
      <c r="P6" s="734"/>
      <c r="Q6" s="732"/>
      <c r="R6" s="734"/>
      <c r="S6" s="732"/>
      <c r="T6" s="734"/>
      <c r="U6" s="732"/>
      <c r="V6" s="734"/>
      <c r="W6" s="348" t="s">
        <v>461</v>
      </c>
      <c r="X6" s="348" t="s">
        <v>462</v>
      </c>
      <c r="Y6" s="348" t="s">
        <v>461</v>
      </c>
      <c r="Z6" s="348" t="s">
        <v>462</v>
      </c>
      <c r="AA6" s="732"/>
      <c r="AB6" s="734"/>
      <c r="AC6" s="732"/>
      <c r="AD6" s="734"/>
      <c r="AE6" s="732"/>
      <c r="AF6" s="734"/>
      <c r="AG6" s="732"/>
      <c r="AH6" s="734"/>
      <c r="AI6" s="348" t="s">
        <v>461</v>
      </c>
      <c r="AJ6" s="348" t="s">
        <v>462</v>
      </c>
      <c r="AK6" s="348" t="s">
        <v>461</v>
      </c>
      <c r="AL6" s="348" t="s">
        <v>462</v>
      </c>
      <c r="AM6" s="732"/>
      <c r="AN6" s="734"/>
      <c r="AO6" s="732"/>
      <c r="AP6" s="734"/>
      <c r="AQ6" s="732"/>
      <c r="AR6" s="734"/>
      <c r="AS6" s="732"/>
      <c r="AT6" s="734"/>
      <c r="AU6" s="348" t="s">
        <v>461</v>
      </c>
      <c r="AV6" s="348" t="s">
        <v>462</v>
      </c>
      <c r="AW6" s="348" t="s">
        <v>461</v>
      </c>
      <c r="AX6" s="348" t="s">
        <v>462</v>
      </c>
      <c r="AY6" s="732"/>
      <c r="AZ6" s="734"/>
      <c r="BA6" s="732"/>
      <c r="BB6" s="734"/>
      <c r="BC6" s="732"/>
      <c r="BD6" s="734"/>
      <c r="BE6" s="732"/>
      <c r="BF6" s="734"/>
      <c r="BG6" s="348" t="s">
        <v>461</v>
      </c>
      <c r="BH6" s="348" t="s">
        <v>462</v>
      </c>
      <c r="BI6" s="348" t="s">
        <v>461</v>
      </c>
      <c r="BJ6" s="348" t="s">
        <v>462</v>
      </c>
      <c r="BK6" s="732"/>
      <c r="BL6" s="734"/>
      <c r="BM6" s="732"/>
      <c r="BN6" s="734"/>
      <c r="BO6" s="732"/>
      <c r="BP6" s="734"/>
      <c r="BQ6" s="732"/>
      <c r="BR6" s="734"/>
      <c r="BS6" s="348" t="s">
        <v>461</v>
      </c>
      <c r="BT6" s="348" t="s">
        <v>462</v>
      </c>
      <c r="BU6" s="348" t="s">
        <v>461</v>
      </c>
      <c r="BV6" s="348" t="s">
        <v>462</v>
      </c>
      <c r="BW6" s="732"/>
      <c r="BX6" s="734"/>
      <c r="BY6" s="732"/>
      <c r="BZ6" s="734"/>
      <c r="CA6" s="732"/>
      <c r="CB6" s="734"/>
      <c r="CC6" s="732"/>
      <c r="CD6" s="734"/>
      <c r="CE6" s="348" t="s">
        <v>461</v>
      </c>
      <c r="CF6" s="348" t="s">
        <v>462</v>
      </c>
      <c r="CG6" s="348" t="s">
        <v>461</v>
      </c>
      <c r="CH6" s="348" t="s">
        <v>462</v>
      </c>
      <c r="CI6" s="732"/>
      <c r="CJ6" s="734"/>
      <c r="CK6" s="732"/>
      <c r="CL6" s="734"/>
      <c r="CM6" s="732"/>
      <c r="CN6" s="734"/>
      <c r="CO6" s="732"/>
      <c r="CP6" s="734"/>
      <c r="CQ6" s="348" t="s">
        <v>461</v>
      </c>
      <c r="CR6" s="348" t="s">
        <v>462</v>
      </c>
      <c r="CS6" s="348" t="s">
        <v>461</v>
      </c>
      <c r="CT6" s="348" t="s">
        <v>462</v>
      </c>
      <c r="CU6" s="732"/>
      <c r="CV6" s="734"/>
      <c r="CW6" s="732"/>
      <c r="CX6" s="734"/>
      <c r="CY6" s="732"/>
      <c r="CZ6" s="734"/>
      <c r="DA6" s="732"/>
      <c r="DB6" s="734"/>
      <c r="DC6" s="348" t="s">
        <v>461</v>
      </c>
      <c r="DD6" s="348" t="s">
        <v>462</v>
      </c>
      <c r="DE6" s="348" t="s">
        <v>461</v>
      </c>
      <c r="DF6" s="348" t="s">
        <v>462</v>
      </c>
      <c r="DG6" s="732"/>
      <c r="DH6" s="734"/>
      <c r="DI6" s="732"/>
      <c r="DJ6" s="734"/>
      <c r="DK6" s="732"/>
      <c r="DL6" s="734"/>
      <c r="DM6" s="732"/>
      <c r="DN6" s="734"/>
      <c r="DO6" s="348" t="s">
        <v>461</v>
      </c>
      <c r="DP6" s="348" t="s">
        <v>462</v>
      </c>
      <c r="DQ6" s="348" t="s">
        <v>461</v>
      </c>
      <c r="DR6" s="348" t="s">
        <v>462</v>
      </c>
      <c r="DS6" s="732"/>
      <c r="DT6" s="734"/>
      <c r="DU6" s="732"/>
      <c r="DV6" s="734"/>
      <c r="DW6" s="732"/>
      <c r="DX6" s="734"/>
      <c r="DY6" s="732"/>
      <c r="DZ6" s="734"/>
      <c r="EA6" s="348" t="s">
        <v>461</v>
      </c>
      <c r="EB6" s="348" t="s">
        <v>462</v>
      </c>
      <c r="EC6" s="348" t="s">
        <v>461</v>
      </c>
      <c r="ED6" s="348" t="s">
        <v>462</v>
      </c>
      <c r="EE6" s="732"/>
      <c r="EF6" s="734"/>
      <c r="EG6" s="732"/>
      <c r="EH6" s="734"/>
      <c r="EI6" s="732"/>
      <c r="EJ6" s="734"/>
      <c r="EK6" s="732"/>
      <c r="EL6" s="734"/>
      <c r="EM6" s="348" t="s">
        <v>461</v>
      </c>
      <c r="EN6" s="348" t="s">
        <v>462</v>
      </c>
      <c r="EO6" s="348" t="s">
        <v>461</v>
      </c>
      <c r="EP6" s="348" t="s">
        <v>462</v>
      </c>
      <c r="EQ6" s="732"/>
      <c r="ER6" s="734"/>
      <c r="ES6" s="732"/>
      <c r="ET6" s="734"/>
      <c r="EU6" s="732"/>
      <c r="EV6" s="734"/>
      <c r="EW6" s="732"/>
      <c r="EX6" s="734"/>
      <c r="EY6" s="348" t="s">
        <v>461</v>
      </c>
      <c r="EZ6" s="348" t="s">
        <v>462</v>
      </c>
      <c r="FA6" s="348" t="s">
        <v>461</v>
      </c>
      <c r="FB6" s="348" t="s">
        <v>462</v>
      </c>
    </row>
    <row r="7" spans="1:158" s="476" customFormat="1">
      <c r="A7" s="475" t="s">
        <v>639</v>
      </c>
      <c r="B7" s="475" t="s">
        <v>657</v>
      </c>
      <c r="C7" s="475">
        <v>1</v>
      </c>
      <c r="D7" s="475">
        <v>2</v>
      </c>
      <c r="E7" s="475"/>
      <c r="F7" s="475"/>
      <c r="G7" s="475">
        <v>3</v>
      </c>
      <c r="H7" s="475">
        <v>4</v>
      </c>
      <c r="I7" s="475">
        <v>5</v>
      </c>
      <c r="J7" s="475">
        <v>6</v>
      </c>
      <c r="K7" s="477" t="s">
        <v>463</v>
      </c>
      <c r="L7" s="477" t="s">
        <v>464</v>
      </c>
      <c r="M7" s="477" t="s">
        <v>465</v>
      </c>
      <c r="N7" s="477" t="s">
        <v>466</v>
      </c>
      <c r="O7" s="475">
        <v>1</v>
      </c>
      <c r="P7" s="475">
        <v>2</v>
      </c>
      <c r="Q7" s="475"/>
      <c r="R7" s="475"/>
      <c r="S7" s="475">
        <v>3</v>
      </c>
      <c r="T7" s="475">
        <v>4</v>
      </c>
      <c r="U7" s="475">
        <v>5</v>
      </c>
      <c r="V7" s="475">
        <v>6</v>
      </c>
      <c r="W7" s="477" t="s">
        <v>463</v>
      </c>
      <c r="X7" s="477" t="s">
        <v>464</v>
      </c>
      <c r="Y7" s="477" t="s">
        <v>465</v>
      </c>
      <c r="Z7" s="477" t="s">
        <v>466</v>
      </c>
      <c r="AA7" s="475">
        <v>1</v>
      </c>
      <c r="AB7" s="475">
        <v>2</v>
      </c>
      <c r="AC7" s="475"/>
      <c r="AD7" s="475"/>
      <c r="AE7" s="475">
        <v>3</v>
      </c>
      <c r="AF7" s="475">
        <v>4</v>
      </c>
      <c r="AG7" s="475">
        <v>5</v>
      </c>
      <c r="AH7" s="475">
        <v>6</v>
      </c>
      <c r="AI7" s="477" t="s">
        <v>463</v>
      </c>
      <c r="AJ7" s="477" t="s">
        <v>464</v>
      </c>
      <c r="AK7" s="477" t="s">
        <v>465</v>
      </c>
      <c r="AL7" s="477" t="s">
        <v>466</v>
      </c>
      <c r="AM7" s="475">
        <v>1</v>
      </c>
      <c r="AN7" s="475">
        <v>2</v>
      </c>
      <c r="AO7" s="475"/>
      <c r="AP7" s="475"/>
      <c r="AQ7" s="475">
        <v>3</v>
      </c>
      <c r="AR7" s="475">
        <v>4</v>
      </c>
      <c r="AS7" s="475">
        <v>5</v>
      </c>
      <c r="AT7" s="475">
        <v>6</v>
      </c>
      <c r="AU7" s="477" t="s">
        <v>463</v>
      </c>
      <c r="AV7" s="477" t="s">
        <v>464</v>
      </c>
      <c r="AW7" s="477" t="s">
        <v>465</v>
      </c>
      <c r="AX7" s="477" t="s">
        <v>466</v>
      </c>
      <c r="AY7" s="475">
        <v>1</v>
      </c>
      <c r="AZ7" s="475">
        <v>2</v>
      </c>
      <c r="BA7" s="475"/>
      <c r="BB7" s="475"/>
      <c r="BC7" s="475">
        <v>3</v>
      </c>
      <c r="BD7" s="475">
        <v>4</v>
      </c>
      <c r="BE7" s="475">
        <v>5</v>
      </c>
      <c r="BF7" s="475">
        <v>6</v>
      </c>
      <c r="BG7" s="477" t="s">
        <v>463</v>
      </c>
      <c r="BH7" s="477" t="s">
        <v>464</v>
      </c>
      <c r="BI7" s="477" t="s">
        <v>465</v>
      </c>
      <c r="BJ7" s="477" t="s">
        <v>466</v>
      </c>
      <c r="BK7" s="475">
        <v>1</v>
      </c>
      <c r="BL7" s="475">
        <v>2</v>
      </c>
      <c r="BM7" s="475"/>
      <c r="BN7" s="475"/>
      <c r="BO7" s="475">
        <v>3</v>
      </c>
      <c r="BP7" s="475">
        <v>4</v>
      </c>
      <c r="BQ7" s="475">
        <v>5</v>
      </c>
      <c r="BR7" s="475">
        <v>6</v>
      </c>
      <c r="BS7" s="477" t="s">
        <v>463</v>
      </c>
      <c r="BT7" s="477" t="s">
        <v>464</v>
      </c>
      <c r="BU7" s="477" t="s">
        <v>465</v>
      </c>
      <c r="BV7" s="477" t="s">
        <v>466</v>
      </c>
      <c r="BW7" s="475">
        <v>1</v>
      </c>
      <c r="BX7" s="475">
        <v>2</v>
      </c>
      <c r="BY7" s="475"/>
      <c r="BZ7" s="475"/>
      <c r="CA7" s="475">
        <v>3</v>
      </c>
      <c r="CB7" s="475">
        <v>4</v>
      </c>
      <c r="CC7" s="475">
        <v>5</v>
      </c>
      <c r="CD7" s="475">
        <v>6</v>
      </c>
      <c r="CE7" s="477" t="s">
        <v>463</v>
      </c>
      <c r="CF7" s="477" t="s">
        <v>464</v>
      </c>
      <c r="CG7" s="477" t="s">
        <v>465</v>
      </c>
      <c r="CH7" s="477" t="s">
        <v>466</v>
      </c>
      <c r="CI7" s="475">
        <v>1</v>
      </c>
      <c r="CJ7" s="475">
        <v>2</v>
      </c>
      <c r="CK7" s="475"/>
      <c r="CL7" s="475"/>
      <c r="CM7" s="475">
        <v>3</v>
      </c>
      <c r="CN7" s="475">
        <v>4</v>
      </c>
      <c r="CO7" s="475">
        <v>5</v>
      </c>
      <c r="CP7" s="475">
        <v>6</v>
      </c>
      <c r="CQ7" s="477" t="s">
        <v>463</v>
      </c>
      <c r="CR7" s="477" t="s">
        <v>464</v>
      </c>
      <c r="CS7" s="477" t="s">
        <v>465</v>
      </c>
      <c r="CT7" s="477" t="s">
        <v>466</v>
      </c>
      <c r="CU7" s="475">
        <v>1</v>
      </c>
      <c r="CV7" s="475">
        <v>2</v>
      </c>
      <c r="CW7" s="475"/>
      <c r="CX7" s="475"/>
      <c r="CY7" s="475">
        <v>3</v>
      </c>
      <c r="CZ7" s="475">
        <v>4</v>
      </c>
      <c r="DA7" s="475">
        <v>5</v>
      </c>
      <c r="DB7" s="475">
        <v>6</v>
      </c>
      <c r="DC7" s="477" t="s">
        <v>463</v>
      </c>
      <c r="DD7" s="477" t="s">
        <v>464</v>
      </c>
      <c r="DE7" s="477" t="s">
        <v>465</v>
      </c>
      <c r="DF7" s="477" t="s">
        <v>466</v>
      </c>
      <c r="DG7" s="475">
        <v>1</v>
      </c>
      <c r="DH7" s="475">
        <v>2</v>
      </c>
      <c r="DI7" s="475"/>
      <c r="DJ7" s="475"/>
      <c r="DK7" s="475">
        <v>3</v>
      </c>
      <c r="DL7" s="475">
        <v>4</v>
      </c>
      <c r="DM7" s="475">
        <v>5</v>
      </c>
      <c r="DN7" s="475">
        <v>6</v>
      </c>
      <c r="DO7" s="477" t="s">
        <v>463</v>
      </c>
      <c r="DP7" s="477" t="s">
        <v>464</v>
      </c>
      <c r="DQ7" s="477" t="s">
        <v>465</v>
      </c>
      <c r="DR7" s="477" t="s">
        <v>466</v>
      </c>
      <c r="DS7" s="475">
        <v>1</v>
      </c>
      <c r="DT7" s="475">
        <v>2</v>
      </c>
      <c r="DU7" s="475"/>
      <c r="DV7" s="475"/>
      <c r="DW7" s="475">
        <v>3</v>
      </c>
      <c r="DX7" s="475">
        <v>4</v>
      </c>
      <c r="DY7" s="475">
        <v>5</v>
      </c>
      <c r="DZ7" s="475">
        <v>6</v>
      </c>
      <c r="EA7" s="477" t="s">
        <v>463</v>
      </c>
      <c r="EB7" s="477" t="s">
        <v>464</v>
      </c>
      <c r="EC7" s="477" t="s">
        <v>465</v>
      </c>
      <c r="ED7" s="477" t="s">
        <v>466</v>
      </c>
      <c r="EE7" s="475">
        <v>1</v>
      </c>
      <c r="EF7" s="475">
        <v>2</v>
      </c>
      <c r="EG7" s="475"/>
      <c r="EH7" s="475"/>
      <c r="EI7" s="475">
        <v>3</v>
      </c>
      <c r="EJ7" s="475">
        <v>4</v>
      </c>
      <c r="EK7" s="475">
        <v>5</v>
      </c>
      <c r="EL7" s="475">
        <v>6</v>
      </c>
      <c r="EM7" s="477" t="s">
        <v>463</v>
      </c>
      <c r="EN7" s="477" t="s">
        <v>464</v>
      </c>
      <c r="EO7" s="477" t="s">
        <v>465</v>
      </c>
      <c r="EP7" s="477" t="s">
        <v>466</v>
      </c>
      <c r="EQ7" s="475">
        <v>1</v>
      </c>
      <c r="ER7" s="475">
        <v>2</v>
      </c>
      <c r="ES7" s="475"/>
      <c r="ET7" s="475"/>
      <c r="EU7" s="475">
        <v>3</v>
      </c>
      <c r="EV7" s="475">
        <v>4</v>
      </c>
      <c r="EW7" s="475">
        <v>5</v>
      </c>
      <c r="EX7" s="475">
        <v>6</v>
      </c>
      <c r="EY7" s="477" t="s">
        <v>463</v>
      </c>
      <c r="EZ7" s="477" t="s">
        <v>464</v>
      </c>
      <c r="FA7" s="477" t="s">
        <v>465</v>
      </c>
      <c r="FB7" s="477" t="s">
        <v>466</v>
      </c>
    </row>
    <row r="8" spans="1:158" s="480" customFormat="1">
      <c r="A8" s="478" t="s">
        <v>641</v>
      </c>
      <c r="B8" s="479" t="s">
        <v>467</v>
      </c>
      <c r="C8" s="447">
        <f t="shared" ref="C8:J8" si="0">SUM(C10,C17:C25)</f>
        <v>1793420</v>
      </c>
      <c r="D8" s="447">
        <f t="shared" si="0"/>
        <v>1516590</v>
      </c>
      <c r="E8" s="447">
        <f t="shared" si="0"/>
        <v>896826</v>
      </c>
      <c r="F8" s="447">
        <f t="shared" si="0"/>
        <v>732635.1</v>
      </c>
      <c r="G8" s="447">
        <f t="shared" si="0"/>
        <v>1107900</v>
      </c>
      <c r="H8" s="447">
        <f t="shared" si="0"/>
        <v>925965</v>
      </c>
      <c r="I8" s="447">
        <f t="shared" si="0"/>
        <v>1223800</v>
      </c>
      <c r="J8" s="447">
        <f t="shared" si="0"/>
        <v>1023300</v>
      </c>
      <c r="K8" s="447">
        <f t="shared" ref="K8:K25" si="1">+I8-G8</f>
        <v>115900</v>
      </c>
      <c r="L8" s="447">
        <f t="shared" ref="L8:L25" si="2">+I8/G8*100</f>
        <v>110.46123296326383</v>
      </c>
      <c r="M8" s="447">
        <f t="shared" ref="M8:M25" si="3">+G8-C8</f>
        <v>-685520</v>
      </c>
      <c r="N8" s="447">
        <f t="shared" ref="N8:N18" si="4">+G8/C8*100</f>
        <v>61.775824960132041</v>
      </c>
      <c r="O8" s="447">
        <f t="shared" ref="O8:V8" si="5">SUM(O10,O17:O25)</f>
        <v>52070</v>
      </c>
      <c r="P8" s="447">
        <f t="shared" si="5"/>
        <v>49940</v>
      </c>
      <c r="Q8" s="447">
        <f t="shared" si="5"/>
        <v>18908</v>
      </c>
      <c r="R8" s="447">
        <f t="shared" si="5"/>
        <v>17211</v>
      </c>
      <c r="S8" s="447">
        <f t="shared" si="5"/>
        <v>26160</v>
      </c>
      <c r="T8" s="447">
        <f t="shared" si="5"/>
        <v>24010</v>
      </c>
      <c r="U8" s="447">
        <f t="shared" si="5"/>
        <v>33210</v>
      </c>
      <c r="V8" s="447">
        <f t="shared" si="5"/>
        <v>30890</v>
      </c>
      <c r="W8" s="447">
        <f>+U8-S8</f>
        <v>7050</v>
      </c>
      <c r="X8" s="447">
        <f>+U8/S8*100</f>
        <v>126.94954128440368</v>
      </c>
      <c r="Y8" s="447">
        <f>+S8-O8</f>
        <v>-25910</v>
      </c>
      <c r="Z8" s="447">
        <f>+S8/O8*100</f>
        <v>50.240061455732665</v>
      </c>
      <c r="AA8" s="447">
        <f>+AA10+AA17+AA18+AA19+AA20+AA21+AA22+AA23+AA24+AA25</f>
        <v>113250</v>
      </c>
      <c r="AB8" s="447">
        <f>SUM(AB10,AB17:AB25)</f>
        <v>109320</v>
      </c>
      <c r="AC8" s="447">
        <f t="shared" ref="AC8:AH8" si="6">SUM(AC10,AC17:AC25)</f>
        <v>71676</v>
      </c>
      <c r="AD8" s="447">
        <f t="shared" si="6"/>
        <v>68262</v>
      </c>
      <c r="AE8" s="447">
        <f t="shared" si="6"/>
        <v>83240</v>
      </c>
      <c r="AF8" s="447">
        <f t="shared" si="6"/>
        <v>79340</v>
      </c>
      <c r="AG8" s="447">
        <f t="shared" si="6"/>
        <v>78750</v>
      </c>
      <c r="AH8" s="447">
        <f t="shared" si="6"/>
        <v>74300</v>
      </c>
      <c r="AI8" s="447">
        <f>+AG8-AE8</f>
        <v>-4490</v>
      </c>
      <c r="AJ8" s="447">
        <f>+AG8/AE8*100</f>
        <v>94.605958673714568</v>
      </c>
      <c r="AK8" s="447">
        <f t="shared" ref="AK8:AK25" si="7">+AE8-AA8</f>
        <v>-30010</v>
      </c>
      <c r="AL8" s="447">
        <f t="shared" ref="AL8:AL18" si="8">+AE8/AA8*100</f>
        <v>73.501103752759377</v>
      </c>
      <c r="AM8" s="447">
        <f>SUM(AM10,AM17:AM25)</f>
        <v>28170</v>
      </c>
      <c r="AN8" s="447">
        <f>SUM(AN10,AN17:AN25)</f>
        <v>25045</v>
      </c>
      <c r="AO8" s="447">
        <f t="shared" ref="AO8:AT8" si="9">SUM(AO10,AO17:AO25)</f>
        <v>19594</v>
      </c>
      <c r="AP8" s="447">
        <f t="shared" si="9"/>
        <v>16728</v>
      </c>
      <c r="AQ8" s="447">
        <f t="shared" si="9"/>
        <v>25675</v>
      </c>
      <c r="AR8" s="447">
        <f t="shared" si="9"/>
        <v>22050</v>
      </c>
      <c r="AS8" s="447">
        <f t="shared" si="9"/>
        <v>25490</v>
      </c>
      <c r="AT8" s="447">
        <f t="shared" si="9"/>
        <v>21850</v>
      </c>
      <c r="AU8" s="447">
        <f>+AS8-AQ8</f>
        <v>-185</v>
      </c>
      <c r="AV8" s="447">
        <f>+AS8/AQ8*100</f>
        <v>99.279454722492702</v>
      </c>
      <c r="AW8" s="447">
        <f t="shared" ref="AW8:AW25" si="10">+AQ8-AM8</f>
        <v>-2495</v>
      </c>
      <c r="AX8" s="447">
        <f t="shared" ref="AX8:AX18" si="11">+AQ8/AM8*100</f>
        <v>91.143059992900248</v>
      </c>
      <c r="AY8" s="447">
        <f>SUM(AY10,AY17:AY25)</f>
        <v>44030</v>
      </c>
      <c r="AZ8" s="447">
        <f>SUM(AZ10,AZ17:AZ25)</f>
        <v>39060</v>
      </c>
      <c r="BA8" s="447">
        <f t="shared" ref="BA8:BF8" si="12">SUM(BA10,BA17:BA25)</f>
        <v>31052</v>
      </c>
      <c r="BB8" s="447">
        <f t="shared" si="12"/>
        <v>26287</v>
      </c>
      <c r="BC8" s="447">
        <f t="shared" si="12"/>
        <v>38649</v>
      </c>
      <c r="BD8" s="447">
        <f t="shared" si="12"/>
        <v>32119</v>
      </c>
      <c r="BE8" s="447">
        <f t="shared" si="12"/>
        <v>40720</v>
      </c>
      <c r="BF8" s="447">
        <f t="shared" si="12"/>
        <v>33590</v>
      </c>
      <c r="BG8" s="447">
        <f>+BE8-BC8</f>
        <v>2071</v>
      </c>
      <c r="BH8" s="447">
        <f>+BE8/BC8*100</f>
        <v>105.35848275505188</v>
      </c>
      <c r="BI8" s="447">
        <f t="shared" ref="BI8:BI25" si="13">+BC8-AY8</f>
        <v>-5381</v>
      </c>
      <c r="BJ8" s="447">
        <f t="shared" ref="BJ8:BJ18" si="14">+BC8/AY8*100</f>
        <v>87.778787190551895</v>
      </c>
      <c r="BK8" s="447">
        <f>SUM(BK10,BK17:BK25)</f>
        <v>78850</v>
      </c>
      <c r="BL8" s="447">
        <f>SUM(BL10,BL17:BL25)</f>
        <v>74830</v>
      </c>
      <c r="BM8" s="447">
        <f t="shared" ref="BM8:BR8" si="15">SUM(BM10,BM17:BM25)</f>
        <v>71461</v>
      </c>
      <c r="BN8" s="447">
        <f t="shared" si="15"/>
        <v>62839</v>
      </c>
      <c r="BO8" s="447">
        <f t="shared" si="15"/>
        <v>85952</v>
      </c>
      <c r="BP8" s="447">
        <f t="shared" si="15"/>
        <v>80792</v>
      </c>
      <c r="BQ8" s="447">
        <f t="shared" si="15"/>
        <v>102980</v>
      </c>
      <c r="BR8" s="447">
        <f t="shared" si="15"/>
        <v>97290</v>
      </c>
      <c r="BS8" s="447">
        <f>+BQ8-BO8</f>
        <v>17028</v>
      </c>
      <c r="BT8" s="447">
        <f>+BQ8/BO8*100</f>
        <v>119.81105733432614</v>
      </c>
      <c r="BU8" s="447">
        <f t="shared" ref="BU8:BU25" si="16">+BO8-BK8</f>
        <v>7102</v>
      </c>
      <c r="BV8" s="447">
        <f t="shared" ref="BV8:BV18" si="17">+BO8/BK8*100</f>
        <v>109.00697526949905</v>
      </c>
      <c r="BW8" s="447">
        <f>SUM(BW10,BW17:BW25)</f>
        <v>329170</v>
      </c>
      <c r="BX8" s="447">
        <f>SUM(BX10,BX17:BX25)</f>
        <v>257480</v>
      </c>
      <c r="BY8" s="447">
        <f t="shared" ref="BY8:CD8" si="18">SUM(BY10,BY17:BY25)</f>
        <v>219885</v>
      </c>
      <c r="BZ8" s="447">
        <f t="shared" si="18"/>
        <v>157940.9</v>
      </c>
      <c r="CA8" s="447">
        <f t="shared" si="18"/>
        <v>269125</v>
      </c>
      <c r="CB8" s="447">
        <f t="shared" si="18"/>
        <v>200260</v>
      </c>
      <c r="CC8" s="447">
        <f t="shared" si="18"/>
        <v>298750</v>
      </c>
      <c r="CD8" s="447">
        <f t="shared" si="18"/>
        <v>222880</v>
      </c>
      <c r="CE8" s="447">
        <f>+CC8-CA8</f>
        <v>29625</v>
      </c>
      <c r="CF8" s="447">
        <f t="shared" ref="CF8:CF14" si="19">+CC8/CA8*100</f>
        <v>111.00789595912678</v>
      </c>
      <c r="CG8" s="447">
        <f t="shared" ref="CG8:CG25" si="20">+CA8-BW8</f>
        <v>-60045</v>
      </c>
      <c r="CH8" s="447">
        <f t="shared" ref="CH8:CH18" si="21">+CA8/BW8*100</f>
        <v>81.758665735030533</v>
      </c>
      <c r="CI8" s="447">
        <f>SUM(CI10,CI17:CI25)</f>
        <v>91410</v>
      </c>
      <c r="CJ8" s="447">
        <f>SUM(CJ10,CJ17:CJ25)</f>
        <v>86960</v>
      </c>
      <c r="CK8" s="447">
        <f t="shared" ref="CK8:CP8" si="22">SUM(CK10,CK17:CK25)</f>
        <v>65032</v>
      </c>
      <c r="CL8" s="447">
        <f t="shared" si="22"/>
        <v>59675</v>
      </c>
      <c r="CM8" s="447">
        <f t="shared" si="22"/>
        <v>71101</v>
      </c>
      <c r="CN8" s="447">
        <f t="shared" si="22"/>
        <v>64016</v>
      </c>
      <c r="CO8" s="447">
        <f t="shared" si="22"/>
        <v>89100</v>
      </c>
      <c r="CP8" s="447">
        <f t="shared" si="22"/>
        <v>81220</v>
      </c>
      <c r="CQ8" s="447">
        <f>+CO8-CM8</f>
        <v>17999</v>
      </c>
      <c r="CR8" s="447">
        <f>+CO8/CM8*100</f>
        <v>125.31469318293695</v>
      </c>
      <c r="CS8" s="447">
        <f t="shared" ref="CS8:CS25" si="23">+CM8-CI8</f>
        <v>-20309</v>
      </c>
      <c r="CT8" s="447">
        <f t="shared" ref="CT8:CT18" si="24">+CM8/CI8*100</f>
        <v>77.782518324034569</v>
      </c>
      <c r="CU8" s="447">
        <f>SUM(CU10,CU17:CU25)</f>
        <v>76610</v>
      </c>
      <c r="CV8" s="447">
        <f>SUM(CV10,CV17:CV25)</f>
        <v>70570</v>
      </c>
      <c r="CW8" s="447">
        <f t="shared" ref="CW8:DB8" si="25">SUM(CW10,CW17:CW25)</f>
        <v>49246</v>
      </c>
      <c r="CX8" s="447">
        <f t="shared" si="25"/>
        <v>43521</v>
      </c>
      <c r="CY8" s="447">
        <f t="shared" si="25"/>
        <v>66336</v>
      </c>
      <c r="CZ8" s="447">
        <f t="shared" si="25"/>
        <v>59096</v>
      </c>
      <c r="DA8" s="447">
        <f t="shared" si="25"/>
        <v>82290</v>
      </c>
      <c r="DB8" s="447">
        <f t="shared" si="25"/>
        <v>74500</v>
      </c>
      <c r="DC8" s="447">
        <f>+DA8-CY8</f>
        <v>15954</v>
      </c>
      <c r="DD8" s="448">
        <f t="shared" ref="DD8:DD25" si="26">+DA8/CY8*100</f>
        <v>124.05028943560058</v>
      </c>
      <c r="DE8" s="447">
        <f t="shared" ref="DE8:DE25" si="27">+CY8-CU8</f>
        <v>-10274</v>
      </c>
      <c r="DF8" s="447">
        <f t="shared" ref="DF8:DF18" si="28">+CY8/CU8*100</f>
        <v>86.589218117739193</v>
      </c>
      <c r="DG8" s="447">
        <f>SUM(DG10,DG17:DG25)</f>
        <v>286730</v>
      </c>
      <c r="DH8" s="447">
        <f>SUM(DH10,DH17:DH25)</f>
        <v>281330</v>
      </c>
      <c r="DI8" s="447">
        <f t="shared" ref="DI8:DN8" si="29">SUM(DI10,DI17:DI25)</f>
        <v>71556</v>
      </c>
      <c r="DJ8" s="447">
        <f t="shared" si="29"/>
        <v>66679</v>
      </c>
      <c r="DK8" s="447">
        <f t="shared" si="29"/>
        <v>95200</v>
      </c>
      <c r="DL8" s="447">
        <f t="shared" si="29"/>
        <v>88930</v>
      </c>
      <c r="DM8" s="447">
        <f t="shared" si="29"/>
        <v>99850</v>
      </c>
      <c r="DN8" s="447">
        <f t="shared" si="29"/>
        <v>92870</v>
      </c>
      <c r="DO8" s="447">
        <f>+DM8-DK8</f>
        <v>4650</v>
      </c>
      <c r="DP8" s="447">
        <f t="shared" ref="DP8:DP25" si="30">+DM8/DK8*100</f>
        <v>104.8844537815126</v>
      </c>
      <c r="DQ8" s="447">
        <f t="shared" ref="DQ8:DQ25" si="31">+DK8-DG8</f>
        <v>-191530</v>
      </c>
      <c r="DR8" s="447">
        <f t="shared" ref="DR8:DR18" si="32">+DK8/DG8*100</f>
        <v>33.201967007289085</v>
      </c>
      <c r="DS8" s="447">
        <f>SUM(DS10,DS17:DS25)</f>
        <v>85610</v>
      </c>
      <c r="DT8" s="447">
        <f>SUM(DT10,DT17:DT25)</f>
        <v>81795</v>
      </c>
      <c r="DU8" s="447">
        <f t="shared" ref="DU8:DZ8" si="33">SUM(DU10,DU17:DU25)</f>
        <v>49569</v>
      </c>
      <c r="DV8" s="447">
        <f t="shared" si="33"/>
        <v>45768</v>
      </c>
      <c r="DW8" s="447">
        <f t="shared" si="33"/>
        <v>67980</v>
      </c>
      <c r="DX8" s="447">
        <f t="shared" si="33"/>
        <v>63350</v>
      </c>
      <c r="DY8" s="447">
        <f t="shared" si="33"/>
        <v>76240</v>
      </c>
      <c r="DZ8" s="447">
        <f t="shared" si="33"/>
        <v>71090</v>
      </c>
      <c r="EA8" s="447">
        <f>+DY8-DW8</f>
        <v>8260</v>
      </c>
      <c r="EB8" s="447">
        <f>+DY8/DW8*100</f>
        <v>112.15063253898205</v>
      </c>
      <c r="EC8" s="447">
        <f t="shared" ref="EC8:EC25" si="34">+DW8-DS8</f>
        <v>-17630</v>
      </c>
      <c r="ED8" s="447">
        <f t="shared" ref="ED8:ED15" si="35">+DW8/DS8*100</f>
        <v>79.406611377175565</v>
      </c>
      <c r="EE8" s="447">
        <f t="shared" ref="EE8:EL8" si="36">SUM(EE10,EE17:EE25)</f>
        <v>464080</v>
      </c>
      <c r="EF8" s="447">
        <f t="shared" si="36"/>
        <v>300360</v>
      </c>
      <c r="EG8" s="447">
        <f t="shared" si="36"/>
        <v>174797</v>
      </c>
      <c r="EH8" s="447">
        <f t="shared" si="36"/>
        <v>116926.2</v>
      </c>
      <c r="EI8" s="447">
        <f t="shared" si="36"/>
        <v>208030</v>
      </c>
      <c r="EJ8" s="447">
        <f t="shared" si="36"/>
        <v>145240</v>
      </c>
      <c r="EK8" s="447">
        <f t="shared" si="36"/>
        <v>226950</v>
      </c>
      <c r="EL8" s="447">
        <f t="shared" si="36"/>
        <v>157440</v>
      </c>
      <c r="EM8" s="447">
        <f>+EK8-EI8</f>
        <v>18920</v>
      </c>
      <c r="EN8" s="447">
        <f t="shared" ref="EN8:EN25" si="37">+EK8/EI8*100</f>
        <v>109.09484209008315</v>
      </c>
      <c r="EO8" s="447">
        <f>+EI8-EE8</f>
        <v>-256050</v>
      </c>
      <c r="EP8" s="447">
        <f t="shared" ref="EP8:EP25" si="38">+EI8/EE8*100</f>
        <v>44.826323047750385</v>
      </c>
      <c r="EQ8" s="447">
        <f t="shared" ref="EQ8:EX8" si="39">SUM(EQ10,EQ17:EQ25)</f>
        <v>143440</v>
      </c>
      <c r="ER8" s="447">
        <f t="shared" si="39"/>
        <v>139900</v>
      </c>
      <c r="ES8" s="447">
        <f t="shared" si="39"/>
        <v>54050</v>
      </c>
      <c r="ET8" s="447">
        <f>SUM(ET10,ET17:ET25)</f>
        <v>50798</v>
      </c>
      <c r="EU8" s="447">
        <f t="shared" si="39"/>
        <v>70452</v>
      </c>
      <c r="EV8" s="447">
        <f t="shared" si="39"/>
        <v>66762</v>
      </c>
      <c r="EW8" s="447">
        <f>SUM(EW10,EW17:EW25)</f>
        <v>69470</v>
      </c>
      <c r="EX8" s="447">
        <f t="shared" si="39"/>
        <v>65380</v>
      </c>
      <c r="EY8" s="447">
        <f>+EW8-EU8</f>
        <v>-982</v>
      </c>
      <c r="EZ8" s="447">
        <f>+EW8/EU8*100</f>
        <v>98.606143189689433</v>
      </c>
      <c r="FA8" s="447">
        <f>+EU8-EQ8</f>
        <v>-72988</v>
      </c>
      <c r="FB8" s="447">
        <f t="shared" ref="FB8:FB18" si="40">+EU8/EQ8*100</f>
        <v>49.116006692693809</v>
      </c>
    </row>
    <row r="9" spans="1:158" s="480" customFormat="1">
      <c r="A9" s="481"/>
      <c r="B9" s="482" t="s">
        <v>484</v>
      </c>
      <c r="C9" s="447">
        <f t="shared" ref="C9:J9" si="41">C8-C23</f>
        <v>1443420</v>
      </c>
      <c r="D9" s="447">
        <f t="shared" si="41"/>
        <v>1166590</v>
      </c>
      <c r="E9" s="447">
        <f t="shared" si="41"/>
        <v>746568</v>
      </c>
      <c r="F9" s="447">
        <f t="shared" si="41"/>
        <v>582377.1</v>
      </c>
      <c r="G9" s="447">
        <f t="shared" si="41"/>
        <v>907900</v>
      </c>
      <c r="H9" s="447">
        <f t="shared" si="41"/>
        <v>725965</v>
      </c>
      <c r="I9" s="447">
        <f t="shared" si="41"/>
        <v>973800</v>
      </c>
      <c r="J9" s="447">
        <f t="shared" si="41"/>
        <v>773300</v>
      </c>
      <c r="K9" s="447">
        <f>K8-K23</f>
        <v>65900</v>
      </c>
      <c r="L9" s="447">
        <f t="shared" si="2"/>
        <v>107.25850864632669</v>
      </c>
      <c r="M9" s="447">
        <f>M8-M23</f>
        <v>-535520</v>
      </c>
      <c r="N9" s="447">
        <f t="shared" si="4"/>
        <v>62.899225450665774</v>
      </c>
      <c r="O9" s="447">
        <f t="shared" ref="O9:W9" si="42">O8-O23</f>
        <v>44070</v>
      </c>
      <c r="P9" s="447">
        <f t="shared" si="42"/>
        <v>41940</v>
      </c>
      <c r="Q9" s="447">
        <f t="shared" si="42"/>
        <v>15520</v>
      </c>
      <c r="R9" s="447">
        <f t="shared" si="42"/>
        <v>13823</v>
      </c>
      <c r="S9" s="447">
        <f t="shared" si="42"/>
        <v>21160</v>
      </c>
      <c r="T9" s="447">
        <f t="shared" si="42"/>
        <v>19010</v>
      </c>
      <c r="U9" s="447">
        <f t="shared" si="42"/>
        <v>28210</v>
      </c>
      <c r="V9" s="447">
        <f t="shared" si="42"/>
        <v>25890</v>
      </c>
      <c r="W9" s="447">
        <f t="shared" si="42"/>
        <v>7050</v>
      </c>
      <c r="X9" s="447">
        <f>+U9/S9*100</f>
        <v>133.31758034026464</v>
      </c>
      <c r="Y9" s="447">
        <f>Y8-Y23</f>
        <v>-22910</v>
      </c>
      <c r="Z9" s="447">
        <f>+S9/O9*100</f>
        <v>48.014522350805535</v>
      </c>
      <c r="AA9" s="447">
        <f t="shared" ref="AA9:AI9" si="43">AA8-AA23</f>
        <v>48250</v>
      </c>
      <c r="AB9" s="447">
        <f t="shared" si="43"/>
        <v>44320</v>
      </c>
      <c r="AC9" s="447">
        <f t="shared" si="43"/>
        <v>36222</v>
      </c>
      <c r="AD9" s="447">
        <f t="shared" si="43"/>
        <v>32808</v>
      </c>
      <c r="AE9" s="447">
        <f t="shared" si="43"/>
        <v>43240</v>
      </c>
      <c r="AF9" s="447">
        <f t="shared" si="43"/>
        <v>39340</v>
      </c>
      <c r="AG9" s="447">
        <f t="shared" si="43"/>
        <v>38750</v>
      </c>
      <c r="AH9" s="447">
        <f t="shared" si="43"/>
        <v>34300</v>
      </c>
      <c r="AI9" s="447">
        <f t="shared" si="43"/>
        <v>-4490</v>
      </c>
      <c r="AJ9" s="447">
        <f>+AG9/AE9*100</f>
        <v>89.616096207215548</v>
      </c>
      <c r="AK9" s="447">
        <f>AK8-AK23</f>
        <v>-5010</v>
      </c>
      <c r="AL9" s="447">
        <f t="shared" si="8"/>
        <v>89.616580310880835</v>
      </c>
      <c r="AM9" s="447">
        <f t="shared" ref="AM9:AU9" si="44">AM8-AM23</f>
        <v>18170</v>
      </c>
      <c r="AN9" s="447">
        <f t="shared" si="44"/>
        <v>15045</v>
      </c>
      <c r="AO9" s="447">
        <f t="shared" si="44"/>
        <v>17389</v>
      </c>
      <c r="AP9" s="447">
        <f t="shared" si="44"/>
        <v>14523</v>
      </c>
      <c r="AQ9" s="447">
        <f t="shared" si="44"/>
        <v>21675</v>
      </c>
      <c r="AR9" s="447">
        <f t="shared" si="44"/>
        <v>18050</v>
      </c>
      <c r="AS9" s="447">
        <f t="shared" si="44"/>
        <v>20490</v>
      </c>
      <c r="AT9" s="447">
        <f t="shared" si="44"/>
        <v>16850</v>
      </c>
      <c r="AU9" s="447">
        <f t="shared" si="44"/>
        <v>-1185</v>
      </c>
      <c r="AV9" s="447">
        <f>+AS9/AQ9*100</f>
        <v>94.532871972318347</v>
      </c>
      <c r="AW9" s="447">
        <f>AW8-AW23</f>
        <v>3505</v>
      </c>
      <c r="AX9" s="447">
        <f t="shared" si="11"/>
        <v>119.29003852504127</v>
      </c>
      <c r="AY9" s="447">
        <f t="shared" ref="AY9:BG9" si="45">AY8-AY23</f>
        <v>34030</v>
      </c>
      <c r="AZ9" s="447">
        <f t="shared" si="45"/>
        <v>29060</v>
      </c>
      <c r="BA9" s="447">
        <f t="shared" si="45"/>
        <v>27274</v>
      </c>
      <c r="BB9" s="447">
        <f t="shared" si="45"/>
        <v>22509</v>
      </c>
      <c r="BC9" s="447">
        <f t="shared" si="45"/>
        <v>33649</v>
      </c>
      <c r="BD9" s="447">
        <f t="shared" si="45"/>
        <v>27119</v>
      </c>
      <c r="BE9" s="447">
        <f t="shared" si="45"/>
        <v>31720</v>
      </c>
      <c r="BF9" s="447">
        <f t="shared" si="45"/>
        <v>24590</v>
      </c>
      <c r="BG9" s="447">
        <f t="shared" si="45"/>
        <v>-1929</v>
      </c>
      <c r="BH9" s="447">
        <f>+BE9/BC9*100</f>
        <v>94.267288775297928</v>
      </c>
      <c r="BI9" s="447">
        <f>BI8-BI23</f>
        <v>-381</v>
      </c>
      <c r="BJ9" s="447">
        <f t="shared" si="14"/>
        <v>98.88039964736997</v>
      </c>
      <c r="BK9" s="447">
        <f t="shared" ref="BK9:BS9" si="46">BK8-BK23</f>
        <v>64850</v>
      </c>
      <c r="BL9" s="447">
        <f t="shared" si="46"/>
        <v>60830</v>
      </c>
      <c r="BM9" s="447">
        <f t="shared" si="46"/>
        <v>65884</v>
      </c>
      <c r="BN9" s="447">
        <f t="shared" si="46"/>
        <v>57262</v>
      </c>
      <c r="BO9" s="447">
        <f t="shared" si="46"/>
        <v>77952</v>
      </c>
      <c r="BP9" s="447">
        <f t="shared" si="46"/>
        <v>72792</v>
      </c>
      <c r="BQ9" s="447">
        <f t="shared" si="46"/>
        <v>88980</v>
      </c>
      <c r="BR9" s="447">
        <f t="shared" si="46"/>
        <v>83290</v>
      </c>
      <c r="BS9" s="447">
        <f t="shared" si="46"/>
        <v>11028</v>
      </c>
      <c r="BT9" s="447">
        <f>+BQ9/BO9*100</f>
        <v>114.14716748768473</v>
      </c>
      <c r="BU9" s="447">
        <f>BU8-BU23</f>
        <v>13102</v>
      </c>
      <c r="BV9" s="447">
        <f t="shared" si="17"/>
        <v>120.20354664610639</v>
      </c>
      <c r="BW9" s="447">
        <f t="shared" ref="BW9:CE9" si="47">BW8-BW23</f>
        <v>261170</v>
      </c>
      <c r="BX9" s="447">
        <f t="shared" si="47"/>
        <v>189480</v>
      </c>
      <c r="BY9" s="447">
        <f t="shared" si="47"/>
        <v>202764</v>
      </c>
      <c r="BZ9" s="447">
        <f t="shared" si="47"/>
        <v>140819.9</v>
      </c>
      <c r="CA9" s="447">
        <f t="shared" si="47"/>
        <v>247125</v>
      </c>
      <c r="CB9" s="447">
        <f t="shared" si="47"/>
        <v>178260</v>
      </c>
      <c r="CC9" s="447">
        <f t="shared" si="47"/>
        <v>268750</v>
      </c>
      <c r="CD9" s="447">
        <f t="shared" si="47"/>
        <v>192880</v>
      </c>
      <c r="CE9" s="447">
        <f t="shared" si="47"/>
        <v>21625</v>
      </c>
      <c r="CF9" s="447">
        <f t="shared" si="19"/>
        <v>108.75063227111785</v>
      </c>
      <c r="CG9" s="447">
        <f>CG8-CG23</f>
        <v>-14045</v>
      </c>
      <c r="CH9" s="447">
        <f t="shared" si="21"/>
        <v>94.622276678025813</v>
      </c>
      <c r="CI9" s="447">
        <f t="shared" ref="CI9:CQ9" si="48">CI8-CI23</f>
        <v>56410</v>
      </c>
      <c r="CJ9" s="447">
        <f t="shared" si="48"/>
        <v>51960</v>
      </c>
      <c r="CK9" s="447">
        <f t="shared" si="48"/>
        <v>54134</v>
      </c>
      <c r="CL9" s="447">
        <f t="shared" si="48"/>
        <v>48777</v>
      </c>
      <c r="CM9" s="447">
        <f t="shared" si="48"/>
        <v>56101</v>
      </c>
      <c r="CN9" s="447">
        <f t="shared" si="48"/>
        <v>49016</v>
      </c>
      <c r="CO9" s="447">
        <f t="shared" si="48"/>
        <v>59100</v>
      </c>
      <c r="CP9" s="447">
        <f t="shared" si="48"/>
        <v>51220</v>
      </c>
      <c r="CQ9" s="447">
        <f t="shared" si="48"/>
        <v>2999</v>
      </c>
      <c r="CR9" s="447">
        <f>+CO9/CM9*100</f>
        <v>105.34571576264239</v>
      </c>
      <c r="CS9" s="447">
        <f>CS8-CS23</f>
        <v>-309</v>
      </c>
      <c r="CT9" s="447">
        <f t="shared" si="24"/>
        <v>99.45222478283992</v>
      </c>
      <c r="CU9" s="447">
        <f t="shared" ref="CU9:DC9" si="49">CU8-CU23</f>
        <v>41610</v>
      </c>
      <c r="CV9" s="447">
        <f t="shared" si="49"/>
        <v>35570</v>
      </c>
      <c r="CW9" s="447">
        <f t="shared" si="49"/>
        <v>35174</v>
      </c>
      <c r="CX9" s="447">
        <f t="shared" si="49"/>
        <v>29449</v>
      </c>
      <c r="CY9" s="447">
        <f t="shared" si="49"/>
        <v>46336</v>
      </c>
      <c r="CZ9" s="447">
        <f t="shared" si="49"/>
        <v>39096</v>
      </c>
      <c r="DA9" s="447">
        <f t="shared" si="49"/>
        <v>47290</v>
      </c>
      <c r="DB9" s="447">
        <f t="shared" si="49"/>
        <v>39500</v>
      </c>
      <c r="DC9" s="447">
        <f t="shared" si="49"/>
        <v>954</v>
      </c>
      <c r="DD9" s="448">
        <f t="shared" si="26"/>
        <v>102.05887430939227</v>
      </c>
      <c r="DE9" s="447">
        <f>DE8-DE23</f>
        <v>4726</v>
      </c>
      <c r="DF9" s="447">
        <f t="shared" si="28"/>
        <v>111.3578466714732</v>
      </c>
      <c r="DG9" s="447">
        <f t="shared" ref="DG9:DO9" si="50">DG8-DG23</f>
        <v>251730</v>
      </c>
      <c r="DH9" s="447">
        <f t="shared" si="50"/>
        <v>246330</v>
      </c>
      <c r="DI9" s="447">
        <f t="shared" si="50"/>
        <v>56950</v>
      </c>
      <c r="DJ9" s="447">
        <f t="shared" si="50"/>
        <v>52073</v>
      </c>
      <c r="DK9" s="447">
        <f t="shared" si="50"/>
        <v>75200</v>
      </c>
      <c r="DL9" s="447">
        <f t="shared" si="50"/>
        <v>68930</v>
      </c>
      <c r="DM9" s="447">
        <f t="shared" si="50"/>
        <v>79850</v>
      </c>
      <c r="DN9" s="447">
        <f t="shared" si="50"/>
        <v>72870</v>
      </c>
      <c r="DO9" s="447">
        <f t="shared" si="50"/>
        <v>4650</v>
      </c>
      <c r="DP9" s="447">
        <f t="shared" si="30"/>
        <v>106.18351063829788</v>
      </c>
      <c r="DQ9" s="447">
        <f t="shared" ref="DQ9:EL9" si="51">DQ8-DQ23</f>
        <v>-176530</v>
      </c>
      <c r="DR9" s="447">
        <f t="shared" si="32"/>
        <v>29.873276923688081</v>
      </c>
      <c r="DS9" s="447">
        <f>DS8-DS23</f>
        <v>75610</v>
      </c>
      <c r="DT9" s="447">
        <f>DT8-DT23</f>
        <v>71795</v>
      </c>
      <c r="DU9" s="447">
        <f t="shared" si="51"/>
        <v>48285</v>
      </c>
      <c r="DV9" s="447">
        <f t="shared" si="51"/>
        <v>44484</v>
      </c>
      <c r="DW9" s="447">
        <f>DW8-DW23</f>
        <v>63980</v>
      </c>
      <c r="DX9" s="447">
        <f>DX8-DX23</f>
        <v>59350</v>
      </c>
      <c r="DY9" s="447">
        <f>DY8-DY23</f>
        <v>69240</v>
      </c>
      <c r="DZ9" s="447">
        <f>DZ8-DZ23</f>
        <v>64090</v>
      </c>
      <c r="EA9" s="447">
        <f t="shared" si="51"/>
        <v>5260</v>
      </c>
      <c r="EB9" s="447">
        <f>+DY9/DW9*100</f>
        <v>108.2213191622382</v>
      </c>
      <c r="EC9" s="447">
        <f t="shared" si="51"/>
        <v>-11630</v>
      </c>
      <c r="ED9" s="447">
        <f t="shared" si="35"/>
        <v>84.618436714720275</v>
      </c>
      <c r="EE9" s="447">
        <f>EE8-EE23</f>
        <v>424080</v>
      </c>
      <c r="EF9" s="447">
        <f>EF8-EF23</f>
        <v>260360</v>
      </c>
      <c r="EG9" s="447">
        <f t="shared" si="51"/>
        <v>146985</v>
      </c>
      <c r="EH9" s="447">
        <f t="shared" si="51"/>
        <v>89114.2</v>
      </c>
      <c r="EI9" s="447">
        <f t="shared" si="51"/>
        <v>171030</v>
      </c>
      <c r="EJ9" s="447">
        <f t="shared" si="51"/>
        <v>108240</v>
      </c>
      <c r="EK9" s="447">
        <f t="shared" si="51"/>
        <v>186950</v>
      </c>
      <c r="EL9" s="447">
        <f t="shared" si="51"/>
        <v>117440</v>
      </c>
      <c r="EM9" s="449">
        <f>EK9-EI9</f>
        <v>15920</v>
      </c>
      <c r="EN9" s="447">
        <f t="shared" si="37"/>
        <v>109.30830848389172</v>
      </c>
      <c r="EO9" s="449">
        <f>EI9-EE9</f>
        <v>-253050</v>
      </c>
      <c r="EP9" s="447">
        <f t="shared" si="38"/>
        <v>40.329654782116577</v>
      </c>
      <c r="EQ9" s="447">
        <f t="shared" ref="EQ9:EX9" si="52">EQ8-EQ23</f>
        <v>123440</v>
      </c>
      <c r="ER9" s="447">
        <f t="shared" si="52"/>
        <v>119900</v>
      </c>
      <c r="ES9" s="447">
        <f t="shared" si="52"/>
        <v>39987</v>
      </c>
      <c r="ET9" s="447">
        <f t="shared" si="52"/>
        <v>36735</v>
      </c>
      <c r="EU9" s="447">
        <f t="shared" si="52"/>
        <v>50452</v>
      </c>
      <c r="EV9" s="447">
        <f t="shared" si="52"/>
        <v>46762</v>
      </c>
      <c r="EW9" s="447">
        <f t="shared" si="52"/>
        <v>54470</v>
      </c>
      <c r="EX9" s="447">
        <f t="shared" si="52"/>
        <v>50380</v>
      </c>
      <c r="EY9" s="449">
        <f>EW9-EU9</f>
        <v>4018</v>
      </c>
      <c r="EZ9" s="447">
        <f>+EW9/EU9*100</f>
        <v>107.96400539126299</v>
      </c>
      <c r="FA9" s="449">
        <f>EU9-EQ9</f>
        <v>-72988</v>
      </c>
      <c r="FB9" s="447">
        <f t="shared" si="40"/>
        <v>40.871678548282567</v>
      </c>
    </row>
    <row r="10" spans="1:158" s="485" customFormat="1">
      <c r="A10" s="483">
        <v>1</v>
      </c>
      <c r="B10" s="484" t="s">
        <v>75</v>
      </c>
      <c r="C10" s="450">
        <f t="shared" ref="C10:J10" si="53">SUM(C11:C16)</f>
        <v>1151000</v>
      </c>
      <c r="D10" s="450">
        <f t="shared" si="53"/>
        <v>930370</v>
      </c>
      <c r="E10" s="450">
        <f t="shared" si="53"/>
        <v>470454</v>
      </c>
      <c r="F10" s="450">
        <f t="shared" si="53"/>
        <v>382542.1</v>
      </c>
      <c r="G10" s="450">
        <f t="shared" si="53"/>
        <v>600000</v>
      </c>
      <c r="H10" s="450">
        <f t="shared" si="53"/>
        <v>486565</v>
      </c>
      <c r="I10" s="450">
        <f t="shared" si="53"/>
        <v>650000</v>
      </c>
      <c r="J10" s="450">
        <f t="shared" si="53"/>
        <v>524800</v>
      </c>
      <c r="K10" s="450">
        <f t="shared" si="1"/>
        <v>50000</v>
      </c>
      <c r="L10" s="450">
        <f t="shared" si="2"/>
        <v>108.33333333333333</v>
      </c>
      <c r="M10" s="450">
        <f t="shared" si="3"/>
        <v>-551000</v>
      </c>
      <c r="N10" s="450">
        <f t="shared" si="4"/>
        <v>52.128583840139008</v>
      </c>
      <c r="O10" s="450">
        <f>SUM(O11:O16)</f>
        <v>30000</v>
      </c>
      <c r="P10" s="450">
        <f t="shared" ref="P10:V10" si="54">SUM(P11:P16)</f>
        <v>29970</v>
      </c>
      <c r="Q10" s="450">
        <f t="shared" si="54"/>
        <v>5524</v>
      </c>
      <c r="R10" s="450">
        <f t="shared" si="54"/>
        <v>5518</v>
      </c>
      <c r="S10" s="450">
        <f t="shared" si="54"/>
        <v>7150</v>
      </c>
      <c r="T10" s="450">
        <f t="shared" si="54"/>
        <v>7100</v>
      </c>
      <c r="U10" s="450">
        <f t="shared" si="54"/>
        <v>6700</v>
      </c>
      <c r="V10" s="450">
        <f t="shared" si="54"/>
        <v>6680</v>
      </c>
      <c r="W10" s="450">
        <f t="shared" ref="W10:W25" si="55">+U10-S10</f>
        <v>-450</v>
      </c>
      <c r="X10" s="450">
        <f>+U10/S10*100</f>
        <v>93.706293706293707</v>
      </c>
      <c r="Y10" s="450">
        <f t="shared" ref="Y10:Y25" si="56">+S10-O10</f>
        <v>-22850</v>
      </c>
      <c r="Z10" s="450">
        <f>+S10/O10*100</f>
        <v>23.833333333333336</v>
      </c>
      <c r="AA10" s="450">
        <f>SUM(AA11:AA16)</f>
        <v>26000</v>
      </c>
      <c r="AB10" s="450">
        <f>SUM(AB11:AB16)</f>
        <v>25670</v>
      </c>
      <c r="AC10" s="450">
        <f t="shared" ref="AC10:AH10" si="57">SUM(AC11:AC16)</f>
        <v>16437</v>
      </c>
      <c r="AD10" s="450">
        <f t="shared" si="57"/>
        <v>16347</v>
      </c>
      <c r="AE10" s="450">
        <f t="shared" si="57"/>
        <v>20460</v>
      </c>
      <c r="AF10" s="450">
        <f t="shared" si="57"/>
        <v>20360</v>
      </c>
      <c r="AG10" s="450">
        <f t="shared" si="57"/>
        <v>22500</v>
      </c>
      <c r="AH10" s="450">
        <f t="shared" si="57"/>
        <v>22250</v>
      </c>
      <c r="AI10" s="450">
        <f t="shared" ref="AI10:AI25" si="58">+AG10-AE10</f>
        <v>2040</v>
      </c>
      <c r="AJ10" s="450">
        <f>+AG10/AE10*100</f>
        <v>109.97067448680352</v>
      </c>
      <c r="AK10" s="450">
        <f>+AE10-AA10</f>
        <v>-5540</v>
      </c>
      <c r="AL10" s="450">
        <f t="shared" si="8"/>
        <v>78.692307692307693</v>
      </c>
      <c r="AM10" s="450">
        <f>SUM(AM11:AM16)</f>
        <v>7000</v>
      </c>
      <c r="AN10" s="450">
        <f t="shared" ref="AN10:AT10" si="59">SUM(AN11:AN16)</f>
        <v>6875</v>
      </c>
      <c r="AO10" s="450">
        <f t="shared" si="59"/>
        <v>7878</v>
      </c>
      <c r="AP10" s="450">
        <f t="shared" si="59"/>
        <v>7801</v>
      </c>
      <c r="AQ10" s="450">
        <f t="shared" si="59"/>
        <v>9165</v>
      </c>
      <c r="AR10" s="450">
        <f t="shared" si="59"/>
        <v>9040</v>
      </c>
      <c r="AS10" s="450">
        <f t="shared" si="59"/>
        <v>7500</v>
      </c>
      <c r="AT10" s="450">
        <f t="shared" si="59"/>
        <v>7360</v>
      </c>
      <c r="AU10" s="450">
        <f t="shared" ref="AU10:AU25" si="60">+AS10-AQ10</f>
        <v>-1665</v>
      </c>
      <c r="AV10" s="450">
        <f>+AS10/AQ10*100</f>
        <v>81.833060556464815</v>
      </c>
      <c r="AW10" s="450">
        <f t="shared" si="10"/>
        <v>2165</v>
      </c>
      <c r="AX10" s="450">
        <f t="shared" si="11"/>
        <v>130.92857142857144</v>
      </c>
      <c r="AY10" s="450">
        <f>SUM(AY11:AY16)</f>
        <v>16500</v>
      </c>
      <c r="AZ10" s="450">
        <f t="shared" ref="AZ10:BF10" si="61">SUM(AZ11:AZ16)</f>
        <v>16330</v>
      </c>
      <c r="BA10" s="450">
        <f t="shared" si="61"/>
        <v>8788</v>
      </c>
      <c r="BB10" s="450">
        <f t="shared" si="61"/>
        <v>8664</v>
      </c>
      <c r="BC10" s="450">
        <f t="shared" si="61"/>
        <v>11588</v>
      </c>
      <c r="BD10" s="450">
        <f t="shared" si="61"/>
        <v>11358</v>
      </c>
      <c r="BE10" s="450">
        <f t="shared" si="61"/>
        <v>12200</v>
      </c>
      <c r="BF10" s="450">
        <f t="shared" si="61"/>
        <v>11970</v>
      </c>
      <c r="BG10" s="450">
        <f t="shared" ref="BG10:BG25" si="62">+BE10-BC10</f>
        <v>612</v>
      </c>
      <c r="BH10" s="450">
        <f>+BE10/BC10*100</f>
        <v>105.28132550914739</v>
      </c>
      <c r="BI10" s="450">
        <f t="shared" si="13"/>
        <v>-4912</v>
      </c>
      <c r="BJ10" s="450">
        <f t="shared" si="14"/>
        <v>70.230303030303034</v>
      </c>
      <c r="BK10" s="450">
        <f>SUM(BK11:BK16)</f>
        <v>40000</v>
      </c>
      <c r="BL10" s="450">
        <f t="shared" ref="BL10:BR10" si="63">SUM(BL11:BL16)</f>
        <v>39630</v>
      </c>
      <c r="BM10" s="450">
        <f t="shared" si="63"/>
        <v>42319</v>
      </c>
      <c r="BN10" s="450">
        <f t="shared" si="63"/>
        <v>42196</v>
      </c>
      <c r="BO10" s="450">
        <f t="shared" si="63"/>
        <v>51790</v>
      </c>
      <c r="BP10" s="450">
        <f t="shared" si="63"/>
        <v>51630</v>
      </c>
      <c r="BQ10" s="450">
        <f t="shared" si="63"/>
        <v>55350</v>
      </c>
      <c r="BR10" s="450">
        <f t="shared" si="63"/>
        <v>55160</v>
      </c>
      <c r="BS10" s="450">
        <f t="shared" ref="BS10:BS25" si="64">+BQ10-BO10</f>
        <v>3560</v>
      </c>
      <c r="BT10" s="450">
        <f>+BQ10/BO10*100</f>
        <v>106.87391388298899</v>
      </c>
      <c r="BU10" s="450">
        <f t="shared" si="16"/>
        <v>11790</v>
      </c>
      <c r="BV10" s="450">
        <f t="shared" si="17"/>
        <v>129.47499999999999</v>
      </c>
      <c r="BW10" s="450">
        <f>SUM(BW11:BW16)</f>
        <v>208000</v>
      </c>
      <c r="BX10" s="450">
        <f>SUM(BX11:BX16)</f>
        <v>145210</v>
      </c>
      <c r="BY10" s="450">
        <f t="shared" ref="BY10:CD10" si="65">SUM(BY11:BY16)</f>
        <v>147916</v>
      </c>
      <c r="BZ10" s="450">
        <f t="shared" si="65"/>
        <v>104356.9</v>
      </c>
      <c r="CA10" s="450">
        <f t="shared" si="65"/>
        <v>195945</v>
      </c>
      <c r="CB10" s="450">
        <f t="shared" si="65"/>
        <v>136980</v>
      </c>
      <c r="CC10" s="450">
        <f>SUM(CC11:CC16)</f>
        <v>215300</v>
      </c>
      <c r="CD10" s="450">
        <f t="shared" si="65"/>
        <v>150430</v>
      </c>
      <c r="CE10" s="450">
        <f t="shared" ref="CE10:CE25" si="66">+CC10-CA10</f>
        <v>19355</v>
      </c>
      <c r="CF10" s="450">
        <f t="shared" si="19"/>
        <v>109.87777182372605</v>
      </c>
      <c r="CG10" s="450">
        <f t="shared" si="20"/>
        <v>-12055</v>
      </c>
      <c r="CH10" s="450">
        <f t="shared" si="21"/>
        <v>94.20432692307692</v>
      </c>
      <c r="CI10" s="450">
        <f>SUM(CI11:CI16)</f>
        <v>27500</v>
      </c>
      <c r="CJ10" s="450">
        <f t="shared" ref="CJ10:CP10" si="67">SUM(CJ11:CJ16)</f>
        <v>27400</v>
      </c>
      <c r="CK10" s="450">
        <f t="shared" si="67"/>
        <v>19848</v>
      </c>
      <c r="CL10" s="450">
        <f t="shared" si="67"/>
        <v>19810</v>
      </c>
      <c r="CM10" s="450">
        <f t="shared" si="67"/>
        <v>25240</v>
      </c>
      <c r="CN10" s="450">
        <f t="shared" si="67"/>
        <v>25155</v>
      </c>
      <c r="CO10" s="450">
        <f t="shared" si="67"/>
        <v>27000</v>
      </c>
      <c r="CP10" s="450">
        <f t="shared" si="67"/>
        <v>26920</v>
      </c>
      <c r="CQ10" s="450">
        <f t="shared" ref="CQ10:CQ25" si="68">+CO10-CM10</f>
        <v>1760</v>
      </c>
      <c r="CR10" s="450">
        <f>+CO10/CM10*100</f>
        <v>106.97305863708399</v>
      </c>
      <c r="CS10" s="450">
        <f t="shared" si="23"/>
        <v>-2260</v>
      </c>
      <c r="CT10" s="450">
        <f t="shared" si="24"/>
        <v>91.781818181818181</v>
      </c>
      <c r="CU10" s="450">
        <f>SUM(CU11:CU16)</f>
        <v>20000</v>
      </c>
      <c r="CV10" s="450">
        <f t="shared" ref="CV10:DB10" si="69">SUM(CV11:CV16)</f>
        <v>19710</v>
      </c>
      <c r="CW10" s="450">
        <f t="shared" si="69"/>
        <v>14835</v>
      </c>
      <c r="CX10" s="450">
        <f t="shared" si="69"/>
        <v>14693</v>
      </c>
      <c r="CY10" s="450">
        <f t="shared" si="69"/>
        <v>20740</v>
      </c>
      <c r="CZ10" s="450">
        <f t="shared" si="69"/>
        <v>20500</v>
      </c>
      <c r="DA10" s="450">
        <f t="shared" si="69"/>
        <v>22000</v>
      </c>
      <c r="DB10" s="450">
        <f t="shared" si="69"/>
        <v>21710</v>
      </c>
      <c r="DC10" s="450">
        <f t="shared" ref="DC10:DC25" si="70">+DA10-CY10</f>
        <v>1260</v>
      </c>
      <c r="DD10" s="450">
        <f t="shared" si="26"/>
        <v>106.07521697203472</v>
      </c>
      <c r="DE10" s="450">
        <f t="shared" si="27"/>
        <v>740</v>
      </c>
      <c r="DF10" s="450">
        <f t="shared" si="28"/>
        <v>103.69999999999999</v>
      </c>
      <c r="DG10" s="450">
        <f>SUM(DG11:DG16)</f>
        <v>226000</v>
      </c>
      <c r="DH10" s="450">
        <f t="shared" ref="DH10:DN10" si="71">SUM(DH11:DH16)</f>
        <v>225700</v>
      </c>
      <c r="DI10" s="450">
        <f t="shared" si="71"/>
        <v>36958</v>
      </c>
      <c r="DJ10" s="450">
        <f t="shared" si="71"/>
        <v>36787</v>
      </c>
      <c r="DK10" s="450">
        <f t="shared" si="71"/>
        <v>48440</v>
      </c>
      <c r="DL10" s="450">
        <f t="shared" si="71"/>
        <v>48170</v>
      </c>
      <c r="DM10" s="450">
        <f t="shared" si="71"/>
        <v>52000</v>
      </c>
      <c r="DN10" s="450">
        <f t="shared" si="71"/>
        <v>51720</v>
      </c>
      <c r="DO10" s="450">
        <f t="shared" ref="DO10:DO25" si="72">+DM10-DK10</f>
        <v>3560</v>
      </c>
      <c r="DP10" s="450">
        <f t="shared" si="30"/>
        <v>107.34929810074318</v>
      </c>
      <c r="DQ10" s="450">
        <f t="shared" si="31"/>
        <v>-177560</v>
      </c>
      <c r="DR10" s="450">
        <f t="shared" si="32"/>
        <v>21.433628318584073</v>
      </c>
      <c r="DS10" s="450">
        <f>SUM(DS11:DS16)</f>
        <v>54000</v>
      </c>
      <c r="DT10" s="450">
        <f t="shared" ref="DT10:DZ10" si="73">SUM(DT11:DT16)</f>
        <v>53835</v>
      </c>
      <c r="DU10" s="450">
        <f t="shared" si="73"/>
        <v>32661</v>
      </c>
      <c r="DV10" s="450">
        <f t="shared" si="73"/>
        <v>32559</v>
      </c>
      <c r="DW10" s="450">
        <f t="shared" si="73"/>
        <v>42620</v>
      </c>
      <c r="DX10" s="450">
        <f t="shared" si="73"/>
        <v>42490</v>
      </c>
      <c r="DY10" s="450">
        <f t="shared" si="73"/>
        <v>46300</v>
      </c>
      <c r="DZ10" s="450">
        <f t="shared" si="73"/>
        <v>46150</v>
      </c>
      <c r="EA10" s="450">
        <f t="shared" ref="EA10:EA25" si="74">+DY10-DW10</f>
        <v>3680</v>
      </c>
      <c r="EB10" s="450">
        <f>+DY10/DW10*100</f>
        <v>108.63444392304082</v>
      </c>
      <c r="EC10" s="450">
        <f t="shared" si="34"/>
        <v>-11380</v>
      </c>
      <c r="ED10" s="450">
        <f t="shared" si="35"/>
        <v>78.925925925925924</v>
      </c>
      <c r="EE10" s="450">
        <f t="shared" ref="EE10:EL10" si="75">SUM(EE11:EE16)</f>
        <v>392000</v>
      </c>
      <c r="EF10" s="450">
        <f t="shared" si="75"/>
        <v>236280</v>
      </c>
      <c r="EG10" s="450">
        <f t="shared" si="75"/>
        <v>112564</v>
      </c>
      <c r="EH10" s="450">
        <f t="shared" si="75"/>
        <v>69191.199999999997</v>
      </c>
      <c r="EI10" s="450">
        <f t="shared" si="75"/>
        <v>136330</v>
      </c>
      <c r="EJ10" s="450">
        <f t="shared" si="75"/>
        <v>83440</v>
      </c>
      <c r="EK10" s="450">
        <f t="shared" si="75"/>
        <v>150000</v>
      </c>
      <c r="EL10" s="450">
        <f t="shared" si="75"/>
        <v>91490</v>
      </c>
      <c r="EM10" s="450">
        <f t="shared" ref="EM10:EM25" si="76">+EK10-EI10</f>
        <v>13670</v>
      </c>
      <c r="EN10" s="450">
        <f t="shared" si="37"/>
        <v>110.02714002787354</v>
      </c>
      <c r="EO10" s="450">
        <f>+EI10-EE10</f>
        <v>-255670</v>
      </c>
      <c r="EP10" s="450">
        <f t="shared" si="38"/>
        <v>34.778061224489797</v>
      </c>
      <c r="EQ10" s="450">
        <f t="shared" ref="EQ10:EX10" si="77">SUM(EQ11:EQ16)</f>
        <v>104000</v>
      </c>
      <c r="ER10" s="450">
        <f t="shared" si="77"/>
        <v>103760</v>
      </c>
      <c r="ES10" s="450">
        <f t="shared" si="77"/>
        <v>24726</v>
      </c>
      <c r="ET10" s="450">
        <f t="shared" si="77"/>
        <v>24619</v>
      </c>
      <c r="EU10" s="450">
        <f t="shared" si="77"/>
        <v>30532</v>
      </c>
      <c r="EV10" s="450">
        <f t="shared" si="77"/>
        <v>30342</v>
      </c>
      <c r="EW10" s="450">
        <f t="shared" si="77"/>
        <v>33150</v>
      </c>
      <c r="EX10" s="450">
        <f t="shared" si="77"/>
        <v>32960</v>
      </c>
      <c r="EY10" s="450">
        <f t="shared" ref="EY10:EY25" si="78">+EW10-EU10</f>
        <v>2618</v>
      </c>
      <c r="EZ10" s="450">
        <f>+EW10/EU10*100</f>
        <v>108.57461024498886</v>
      </c>
      <c r="FA10" s="450">
        <f t="shared" ref="FA10:FA25" si="79">+EU10-EQ10</f>
        <v>-73468</v>
      </c>
      <c r="FB10" s="450">
        <f t="shared" si="40"/>
        <v>29.357692307692307</v>
      </c>
    </row>
    <row r="11" spans="1:158">
      <c r="A11" s="486" t="s">
        <v>847</v>
      </c>
      <c r="B11" s="487" t="s">
        <v>643</v>
      </c>
      <c r="C11" s="451">
        <f t="shared" ref="C11:J25" si="80">SUM(O11,AA11,AM11,AY11,BK11,BW11,CI11,CU11,DG11,DS11,EE11,EQ11)</f>
        <v>920053</v>
      </c>
      <c r="D11" s="451">
        <f t="shared" si="80"/>
        <v>755029</v>
      </c>
      <c r="E11" s="451">
        <f t="shared" si="80"/>
        <v>286847</v>
      </c>
      <c r="F11" s="451">
        <f t="shared" si="80"/>
        <v>237758.6</v>
      </c>
      <c r="G11" s="451">
        <f t="shared" si="80"/>
        <v>372205</v>
      </c>
      <c r="H11" s="451">
        <f t="shared" si="80"/>
        <v>309855</v>
      </c>
      <c r="I11" s="451">
        <f t="shared" si="80"/>
        <v>403480</v>
      </c>
      <c r="J11" s="451">
        <f t="shared" si="80"/>
        <v>334580</v>
      </c>
      <c r="K11" s="451">
        <f t="shared" si="1"/>
        <v>31275</v>
      </c>
      <c r="L11" s="451">
        <f t="shared" si="2"/>
        <v>108.40262758426135</v>
      </c>
      <c r="M11" s="451">
        <f t="shared" si="3"/>
        <v>-547848</v>
      </c>
      <c r="N11" s="451">
        <f t="shared" si="4"/>
        <v>40.454734672893842</v>
      </c>
      <c r="O11" s="451">
        <v>28985</v>
      </c>
      <c r="P11" s="451">
        <f t="shared" ref="P11:P18" si="81">+O11</f>
        <v>28985</v>
      </c>
      <c r="Q11" s="451">
        <v>4353</v>
      </c>
      <c r="R11" s="451">
        <f>Q11</f>
        <v>4353</v>
      </c>
      <c r="S11" s="451">
        <v>5900</v>
      </c>
      <c r="T11" s="451">
        <f>S11</f>
        <v>5900</v>
      </c>
      <c r="U11" s="451">
        <v>5400</v>
      </c>
      <c r="V11" s="451">
        <f>U11</f>
        <v>5400</v>
      </c>
      <c r="W11" s="451">
        <f t="shared" si="55"/>
        <v>-500</v>
      </c>
      <c r="X11" s="451">
        <f>+U11/S11*100</f>
        <v>91.525423728813564</v>
      </c>
      <c r="Y11" s="451">
        <f t="shared" si="56"/>
        <v>-23085</v>
      </c>
      <c r="Z11" s="451">
        <f>+S11/O11*100</f>
        <v>20.355356218733828</v>
      </c>
      <c r="AA11" s="451">
        <v>21435</v>
      </c>
      <c r="AB11" s="451">
        <f t="shared" ref="AB11:AB18" si="82">+AA11</f>
        <v>21435</v>
      </c>
      <c r="AC11" s="451">
        <v>12061</v>
      </c>
      <c r="AD11" s="451">
        <f>AC11</f>
        <v>12061</v>
      </c>
      <c r="AE11" s="451">
        <v>16400</v>
      </c>
      <c r="AF11" s="451">
        <f>AE11</f>
        <v>16400</v>
      </c>
      <c r="AG11" s="451">
        <v>18300</v>
      </c>
      <c r="AH11" s="451">
        <f>AG11</f>
        <v>18300</v>
      </c>
      <c r="AI11" s="451">
        <f t="shared" si="58"/>
        <v>1900</v>
      </c>
      <c r="AJ11" s="451">
        <f>+AG11/AE11*100</f>
        <v>111.58536585365854</v>
      </c>
      <c r="AK11" s="451">
        <f t="shared" si="7"/>
        <v>-5035</v>
      </c>
      <c r="AL11" s="451">
        <f t="shared" si="8"/>
        <v>76.510380219267546</v>
      </c>
      <c r="AM11" s="451">
        <v>5705</v>
      </c>
      <c r="AN11" s="451">
        <f t="shared" ref="AN11:AN18" si="83">+AM11</f>
        <v>5705</v>
      </c>
      <c r="AO11" s="451">
        <v>6660</v>
      </c>
      <c r="AP11" s="451">
        <f>AO11</f>
        <v>6660</v>
      </c>
      <c r="AQ11" s="451">
        <v>7800</v>
      </c>
      <c r="AR11" s="451">
        <f>AQ11</f>
        <v>7800</v>
      </c>
      <c r="AS11" s="451">
        <v>6100</v>
      </c>
      <c r="AT11" s="451">
        <f>AS11</f>
        <v>6100</v>
      </c>
      <c r="AU11" s="451">
        <f t="shared" si="60"/>
        <v>-1700</v>
      </c>
      <c r="AV11" s="451">
        <f>+AS11/AQ11*100</f>
        <v>78.205128205128204</v>
      </c>
      <c r="AW11" s="451">
        <f t="shared" si="10"/>
        <v>2095</v>
      </c>
      <c r="AX11" s="451">
        <f t="shared" si="11"/>
        <v>136.72217353198948</v>
      </c>
      <c r="AY11" s="451">
        <v>12100</v>
      </c>
      <c r="AZ11" s="451">
        <f t="shared" ref="AZ11:AZ18" si="84">+AY11</f>
        <v>12100</v>
      </c>
      <c r="BA11" s="451">
        <v>5218</v>
      </c>
      <c r="BB11" s="451">
        <f>BA11</f>
        <v>5218</v>
      </c>
      <c r="BC11" s="451">
        <v>7225</v>
      </c>
      <c r="BD11" s="451">
        <f>BC11</f>
        <v>7225</v>
      </c>
      <c r="BE11" s="451">
        <v>7680</v>
      </c>
      <c r="BF11" s="451">
        <f>BE11</f>
        <v>7680</v>
      </c>
      <c r="BG11" s="451">
        <f t="shared" si="62"/>
        <v>455</v>
      </c>
      <c r="BH11" s="451">
        <f>+BE11/BC11*100</f>
        <v>106.29757785467129</v>
      </c>
      <c r="BI11" s="451">
        <f t="shared" si="13"/>
        <v>-4875</v>
      </c>
      <c r="BJ11" s="451">
        <f t="shared" si="14"/>
        <v>59.710743801652889</v>
      </c>
      <c r="BK11" s="451">
        <v>18075</v>
      </c>
      <c r="BL11" s="451">
        <f t="shared" ref="BL11:BL18" si="85">+BK11</f>
        <v>18075</v>
      </c>
      <c r="BM11" s="451">
        <v>23952</v>
      </c>
      <c r="BN11" s="451">
        <f>BM11</f>
        <v>23952</v>
      </c>
      <c r="BO11" s="451">
        <v>31000</v>
      </c>
      <c r="BP11" s="451">
        <f>BO11</f>
        <v>31000</v>
      </c>
      <c r="BQ11" s="451">
        <v>33100</v>
      </c>
      <c r="BR11" s="451">
        <f>BQ11</f>
        <v>33100</v>
      </c>
      <c r="BS11" s="451">
        <f t="shared" si="64"/>
        <v>2100</v>
      </c>
      <c r="BT11" s="451">
        <f>+BQ11/BO11*100</f>
        <v>106.77419354838709</v>
      </c>
      <c r="BU11" s="451">
        <f t="shared" si="16"/>
        <v>12925</v>
      </c>
      <c r="BV11" s="451">
        <f t="shared" si="17"/>
        <v>171.50760719225448</v>
      </c>
      <c r="BW11" s="451">
        <v>105260</v>
      </c>
      <c r="BX11" s="451">
        <f>ROUND(BW11*70%,-1)</f>
        <v>73680</v>
      </c>
      <c r="BY11" s="451">
        <v>63976</v>
      </c>
      <c r="BZ11" s="525">
        <f>BY11*70%</f>
        <v>44783.199999999997</v>
      </c>
      <c r="CA11" s="451">
        <v>90500</v>
      </c>
      <c r="CB11" s="451">
        <f>ROUND(CA11*70%,-1)</f>
        <v>63350</v>
      </c>
      <c r="CC11" s="451">
        <v>99600</v>
      </c>
      <c r="CD11" s="451">
        <f>ROUND(CC11*70%,-1)</f>
        <v>69720</v>
      </c>
      <c r="CE11" s="451">
        <f t="shared" si="66"/>
        <v>9100</v>
      </c>
      <c r="CF11" s="451">
        <f t="shared" si="19"/>
        <v>110.05524861878453</v>
      </c>
      <c r="CG11" s="451">
        <f t="shared" si="20"/>
        <v>-14760</v>
      </c>
      <c r="CH11" s="451">
        <f t="shared" si="21"/>
        <v>85.977579327379814</v>
      </c>
      <c r="CI11" s="451">
        <v>21442</v>
      </c>
      <c r="CJ11" s="451">
        <f t="shared" ref="CJ11:CJ18" si="86">+CI11</f>
        <v>21442</v>
      </c>
      <c r="CK11" s="451">
        <v>13332</v>
      </c>
      <c r="CL11" s="451">
        <f>CK11</f>
        <v>13332</v>
      </c>
      <c r="CM11" s="451">
        <v>17480</v>
      </c>
      <c r="CN11" s="451">
        <f>CM11</f>
        <v>17480</v>
      </c>
      <c r="CO11" s="451">
        <v>19370</v>
      </c>
      <c r="CP11" s="451">
        <f>CO11</f>
        <v>19370</v>
      </c>
      <c r="CQ11" s="451">
        <f t="shared" si="68"/>
        <v>1890</v>
      </c>
      <c r="CR11" s="451">
        <f>+CO11/CM11*100</f>
        <v>110.81235697940504</v>
      </c>
      <c r="CS11" s="451">
        <f t="shared" si="23"/>
        <v>-3962</v>
      </c>
      <c r="CT11" s="451">
        <f t="shared" si="24"/>
        <v>81.522246059136279</v>
      </c>
      <c r="CU11" s="451">
        <v>14370</v>
      </c>
      <c r="CV11" s="451">
        <f t="shared" ref="CV11:CV18" si="87">+CU11</f>
        <v>14370</v>
      </c>
      <c r="CW11" s="451">
        <v>11054</v>
      </c>
      <c r="CX11" s="451">
        <f>CW11</f>
        <v>11054</v>
      </c>
      <c r="CY11" s="451">
        <v>15600</v>
      </c>
      <c r="CZ11" s="451">
        <f>CY11</f>
        <v>15600</v>
      </c>
      <c r="DA11" s="451">
        <v>16590</v>
      </c>
      <c r="DB11" s="451">
        <f>DA11</f>
        <v>16590</v>
      </c>
      <c r="DC11" s="451">
        <f t="shared" si="70"/>
        <v>990</v>
      </c>
      <c r="DD11" s="451">
        <f t="shared" si="26"/>
        <v>106.34615384615384</v>
      </c>
      <c r="DE11" s="451">
        <f t="shared" si="27"/>
        <v>1230</v>
      </c>
      <c r="DF11" s="451">
        <f t="shared" si="28"/>
        <v>108.55949895615866</v>
      </c>
      <c r="DG11" s="451">
        <v>214340</v>
      </c>
      <c r="DH11" s="451">
        <f t="shared" ref="DH11:DH18" si="88">+DG11</f>
        <v>214340</v>
      </c>
      <c r="DI11" s="451">
        <v>26912</v>
      </c>
      <c r="DJ11" s="451">
        <f>DI11</f>
        <v>26912</v>
      </c>
      <c r="DK11" s="451">
        <v>35500</v>
      </c>
      <c r="DL11" s="451">
        <f>DK11</f>
        <v>35500</v>
      </c>
      <c r="DM11" s="451">
        <v>38100</v>
      </c>
      <c r="DN11" s="451">
        <f>DM11</f>
        <v>38100</v>
      </c>
      <c r="DO11" s="451">
        <f t="shared" si="72"/>
        <v>2600</v>
      </c>
      <c r="DP11" s="451">
        <f t="shared" si="30"/>
        <v>107.32394366197182</v>
      </c>
      <c r="DQ11" s="451">
        <f t="shared" si="31"/>
        <v>-178840</v>
      </c>
      <c r="DR11" s="451">
        <f t="shared" si="32"/>
        <v>16.562470840720351</v>
      </c>
      <c r="DS11" s="451">
        <v>49468</v>
      </c>
      <c r="DT11" s="451">
        <f t="shared" ref="DT11:DT18" si="89">+DS11</f>
        <v>49468</v>
      </c>
      <c r="DU11" s="451">
        <v>25212</v>
      </c>
      <c r="DV11" s="451">
        <f>DU11</f>
        <v>25212</v>
      </c>
      <c r="DW11" s="451">
        <v>33000</v>
      </c>
      <c r="DX11" s="451">
        <f>DW11</f>
        <v>33000</v>
      </c>
      <c r="DY11" s="451">
        <v>36100</v>
      </c>
      <c r="DZ11" s="451">
        <f>DY11</f>
        <v>36100</v>
      </c>
      <c r="EA11" s="451">
        <f t="shared" si="74"/>
        <v>3100</v>
      </c>
      <c r="EB11" s="451">
        <f>+DY11/DW11*100</f>
        <v>109.39393939393941</v>
      </c>
      <c r="EC11" s="451">
        <f t="shared" si="34"/>
        <v>-16468</v>
      </c>
      <c r="ED11" s="451">
        <f t="shared" si="35"/>
        <v>66.709792188889779</v>
      </c>
      <c r="EE11" s="451">
        <v>333604</v>
      </c>
      <c r="EF11" s="451">
        <f>ROUND(EE11*60%,-1)</f>
        <v>200160</v>
      </c>
      <c r="EG11" s="451">
        <v>74739</v>
      </c>
      <c r="EH11" s="451">
        <f>EG11*60%</f>
        <v>44843.4</v>
      </c>
      <c r="EI11" s="451">
        <v>88000</v>
      </c>
      <c r="EJ11" s="451">
        <f>ROUND(EI11*60%,-1)</f>
        <v>52800</v>
      </c>
      <c r="EK11" s="451">
        <v>97540</v>
      </c>
      <c r="EL11" s="451">
        <f>ROUND(EK11*60%,-1)</f>
        <v>58520</v>
      </c>
      <c r="EM11" s="451">
        <f t="shared" si="76"/>
        <v>9540</v>
      </c>
      <c r="EN11" s="451">
        <f t="shared" si="37"/>
        <v>110.84090909090909</v>
      </c>
      <c r="EO11" s="451">
        <f>+EI11-EE11</f>
        <v>-245604</v>
      </c>
      <c r="EP11" s="451">
        <f t="shared" si="38"/>
        <v>26.378580592558841</v>
      </c>
      <c r="EQ11" s="451">
        <v>95269</v>
      </c>
      <c r="ER11" s="451">
        <f t="shared" ref="ER11:ER18" si="90">+EQ11</f>
        <v>95269</v>
      </c>
      <c r="ES11" s="451">
        <v>19378</v>
      </c>
      <c r="ET11" s="451">
        <f>ES11</f>
        <v>19378</v>
      </c>
      <c r="EU11" s="451">
        <v>23800</v>
      </c>
      <c r="EV11" s="451">
        <f>EU11</f>
        <v>23800</v>
      </c>
      <c r="EW11" s="451">
        <v>25600</v>
      </c>
      <c r="EX11" s="451">
        <f>EW11</f>
        <v>25600</v>
      </c>
      <c r="EY11" s="451">
        <f t="shared" si="78"/>
        <v>1800</v>
      </c>
      <c r="EZ11" s="451">
        <f>+EW11/EU11*100</f>
        <v>107.56302521008404</v>
      </c>
      <c r="FA11" s="451">
        <f t="shared" si="79"/>
        <v>-71469</v>
      </c>
      <c r="FB11" s="451">
        <f t="shared" si="40"/>
        <v>24.981893375599618</v>
      </c>
    </row>
    <row r="12" spans="1:158">
      <c r="A12" s="486" t="s">
        <v>847</v>
      </c>
      <c r="B12" s="487" t="s">
        <v>644</v>
      </c>
      <c r="C12" s="451">
        <f t="shared" si="80"/>
        <v>193684</v>
      </c>
      <c r="D12" s="451">
        <f t="shared" si="80"/>
        <v>144484</v>
      </c>
      <c r="E12" s="451">
        <f t="shared" si="80"/>
        <v>149759</v>
      </c>
      <c r="F12" s="451">
        <f t="shared" si="80"/>
        <v>113700.5</v>
      </c>
      <c r="G12" s="451">
        <f t="shared" si="80"/>
        <v>189340</v>
      </c>
      <c r="H12" s="451">
        <f t="shared" si="80"/>
        <v>143340</v>
      </c>
      <c r="I12" s="451">
        <f t="shared" si="80"/>
        <v>208535</v>
      </c>
      <c r="J12" s="451">
        <f t="shared" si="80"/>
        <v>157785</v>
      </c>
      <c r="K12" s="451">
        <f t="shared" si="1"/>
        <v>19195</v>
      </c>
      <c r="L12" s="451">
        <f t="shared" si="2"/>
        <v>110.13784725889933</v>
      </c>
      <c r="M12" s="451">
        <f t="shared" si="3"/>
        <v>-4344</v>
      </c>
      <c r="N12" s="451">
        <f t="shared" si="4"/>
        <v>97.757171475186382</v>
      </c>
      <c r="O12" s="451">
        <v>240</v>
      </c>
      <c r="P12" s="451">
        <f t="shared" si="81"/>
        <v>240</v>
      </c>
      <c r="Q12" s="451">
        <v>536</v>
      </c>
      <c r="R12" s="451">
        <f>Q12</f>
        <v>536</v>
      </c>
      <c r="S12" s="451">
        <v>500</v>
      </c>
      <c r="T12" s="451">
        <f>S12</f>
        <v>500</v>
      </c>
      <c r="U12" s="451">
        <v>550</v>
      </c>
      <c r="V12" s="451">
        <f>U12</f>
        <v>550</v>
      </c>
      <c r="W12" s="451">
        <f t="shared" si="55"/>
        <v>50</v>
      </c>
      <c r="X12" s="451">
        <f>+U12/S12*100</f>
        <v>110.00000000000001</v>
      </c>
      <c r="Y12" s="451">
        <f t="shared" si="56"/>
        <v>260</v>
      </c>
      <c r="Z12" s="451">
        <f>+S12/O12*100</f>
        <v>208.33333333333334</v>
      </c>
      <c r="AA12" s="451">
        <v>2500</v>
      </c>
      <c r="AB12" s="451">
        <f t="shared" si="82"/>
        <v>2500</v>
      </c>
      <c r="AC12" s="451">
        <v>2326</v>
      </c>
      <c r="AD12" s="451">
        <f>AC12</f>
        <v>2326</v>
      </c>
      <c r="AE12" s="451">
        <v>2000</v>
      </c>
      <c r="AF12" s="451">
        <f>AE12</f>
        <v>2000</v>
      </c>
      <c r="AG12" s="451">
        <v>2200</v>
      </c>
      <c r="AH12" s="451">
        <f>AG12</f>
        <v>2200</v>
      </c>
      <c r="AI12" s="451">
        <f t="shared" si="58"/>
        <v>200</v>
      </c>
      <c r="AJ12" s="451">
        <f>+AG12/AE12*100</f>
        <v>110.00000000000001</v>
      </c>
      <c r="AK12" s="451">
        <f t="shared" si="7"/>
        <v>-500</v>
      </c>
      <c r="AL12" s="451">
        <f t="shared" si="8"/>
        <v>80</v>
      </c>
      <c r="AM12" s="451">
        <v>300</v>
      </c>
      <c r="AN12" s="451">
        <f t="shared" si="83"/>
        <v>300</v>
      </c>
      <c r="AO12" s="451">
        <v>257</v>
      </c>
      <c r="AP12" s="451">
        <f>AO12</f>
        <v>257</v>
      </c>
      <c r="AQ12" s="451">
        <v>300</v>
      </c>
      <c r="AR12" s="451">
        <f>AQ12</f>
        <v>300</v>
      </c>
      <c r="AS12" s="451">
        <v>320</v>
      </c>
      <c r="AT12" s="451">
        <f>AS12</f>
        <v>320</v>
      </c>
      <c r="AU12" s="451">
        <f t="shared" si="60"/>
        <v>20</v>
      </c>
      <c r="AV12" s="451">
        <f>+AS12/AQ12*100</f>
        <v>106.66666666666667</v>
      </c>
      <c r="AW12" s="451">
        <f t="shared" si="10"/>
        <v>0</v>
      </c>
      <c r="AX12" s="451">
        <f t="shared" si="11"/>
        <v>100</v>
      </c>
      <c r="AY12" s="451">
        <v>2594</v>
      </c>
      <c r="AZ12" s="451">
        <f t="shared" si="84"/>
        <v>2594</v>
      </c>
      <c r="BA12" s="451">
        <v>1843</v>
      </c>
      <c r="BB12" s="451">
        <f>BA12</f>
        <v>1843</v>
      </c>
      <c r="BC12" s="451">
        <v>2320</v>
      </c>
      <c r="BD12" s="451">
        <f>BC12</f>
        <v>2320</v>
      </c>
      <c r="BE12" s="451">
        <v>2435</v>
      </c>
      <c r="BF12" s="451">
        <f>BE12</f>
        <v>2435</v>
      </c>
      <c r="BG12" s="451">
        <f t="shared" si="62"/>
        <v>115</v>
      </c>
      <c r="BH12" s="451">
        <f>+BE12/BC12*100</f>
        <v>104.95689655172413</v>
      </c>
      <c r="BI12" s="451">
        <f t="shared" si="13"/>
        <v>-274</v>
      </c>
      <c r="BJ12" s="451">
        <f t="shared" si="14"/>
        <v>89.437162683114877</v>
      </c>
      <c r="BK12" s="451">
        <v>18300</v>
      </c>
      <c r="BL12" s="451">
        <f t="shared" si="85"/>
        <v>18300</v>
      </c>
      <c r="BM12" s="451">
        <v>16743</v>
      </c>
      <c r="BN12" s="451">
        <f>BM12</f>
        <v>16743</v>
      </c>
      <c r="BO12" s="451">
        <v>18800</v>
      </c>
      <c r="BP12" s="451">
        <f>BO12</f>
        <v>18800</v>
      </c>
      <c r="BQ12" s="451">
        <v>20150</v>
      </c>
      <c r="BR12" s="451">
        <f>BQ12</f>
        <v>20150</v>
      </c>
      <c r="BS12" s="451">
        <f t="shared" si="64"/>
        <v>1350</v>
      </c>
      <c r="BT12" s="451">
        <f>+BQ12/BO12*100</f>
        <v>107.18085106382979</v>
      </c>
      <c r="BU12" s="451">
        <f t="shared" si="16"/>
        <v>500</v>
      </c>
      <c r="BV12" s="451">
        <f t="shared" si="17"/>
        <v>102.73224043715847</v>
      </c>
      <c r="BW12" s="451">
        <v>94000</v>
      </c>
      <c r="BX12" s="451">
        <f>ROUND(BW12*70%,-1)</f>
        <v>65800</v>
      </c>
      <c r="BY12" s="451">
        <v>76791</v>
      </c>
      <c r="BZ12" s="525">
        <f>BY12*70%</f>
        <v>53753.7</v>
      </c>
      <c r="CA12" s="451">
        <v>96680</v>
      </c>
      <c r="CB12" s="451">
        <f>ROUND(CA12*70%,-1)</f>
        <v>67680</v>
      </c>
      <c r="CC12" s="451">
        <v>106650</v>
      </c>
      <c r="CD12" s="451">
        <f>ROUND(CC12*70%,-1)</f>
        <v>74660</v>
      </c>
      <c r="CE12" s="451">
        <f t="shared" si="66"/>
        <v>9970</v>
      </c>
      <c r="CF12" s="451">
        <f t="shared" si="19"/>
        <v>110.31237070748863</v>
      </c>
      <c r="CG12" s="451">
        <f t="shared" si="20"/>
        <v>2680</v>
      </c>
      <c r="CH12" s="451">
        <f t="shared" si="21"/>
        <v>102.85106382978724</v>
      </c>
      <c r="CI12" s="451">
        <v>4000</v>
      </c>
      <c r="CJ12" s="451">
        <f t="shared" si="86"/>
        <v>4000</v>
      </c>
      <c r="CK12" s="451">
        <v>3729</v>
      </c>
      <c r="CL12" s="451">
        <f>CK12</f>
        <v>3729</v>
      </c>
      <c r="CM12" s="451">
        <v>4800</v>
      </c>
      <c r="CN12" s="451">
        <f>CM12</f>
        <v>4800</v>
      </c>
      <c r="CO12" s="451">
        <v>5260</v>
      </c>
      <c r="CP12" s="451">
        <f>CO12</f>
        <v>5260</v>
      </c>
      <c r="CQ12" s="451">
        <f t="shared" si="68"/>
        <v>460</v>
      </c>
      <c r="CR12" s="451">
        <f>+CO12/CM12*100</f>
        <v>109.58333333333334</v>
      </c>
      <c r="CS12" s="451">
        <f t="shared" si="23"/>
        <v>800</v>
      </c>
      <c r="CT12" s="451">
        <f t="shared" si="24"/>
        <v>120</v>
      </c>
      <c r="CU12" s="451">
        <v>2200</v>
      </c>
      <c r="CV12" s="451">
        <f t="shared" si="87"/>
        <v>2200</v>
      </c>
      <c r="CW12" s="451">
        <v>1364</v>
      </c>
      <c r="CX12" s="451">
        <f>CW12</f>
        <v>1364</v>
      </c>
      <c r="CY12" s="451">
        <v>2200</v>
      </c>
      <c r="CZ12" s="451">
        <f>CY12</f>
        <v>2200</v>
      </c>
      <c r="DA12" s="451">
        <v>2320</v>
      </c>
      <c r="DB12" s="451">
        <f>DA12</f>
        <v>2320</v>
      </c>
      <c r="DC12" s="451">
        <f t="shared" si="70"/>
        <v>120</v>
      </c>
      <c r="DD12" s="451">
        <f t="shared" si="26"/>
        <v>105.45454545454544</v>
      </c>
      <c r="DE12" s="451">
        <f t="shared" si="27"/>
        <v>0</v>
      </c>
      <c r="DF12" s="451">
        <f t="shared" si="28"/>
        <v>100</v>
      </c>
      <c r="DG12" s="451">
        <v>8200</v>
      </c>
      <c r="DH12" s="451">
        <f t="shared" si="88"/>
        <v>8200</v>
      </c>
      <c r="DI12" s="451">
        <v>5123</v>
      </c>
      <c r="DJ12" s="451">
        <f>DI12</f>
        <v>5123</v>
      </c>
      <c r="DK12" s="451">
        <v>7700</v>
      </c>
      <c r="DL12" s="451">
        <f>DK12</f>
        <v>7700</v>
      </c>
      <c r="DM12" s="451">
        <v>8900</v>
      </c>
      <c r="DN12" s="451">
        <f>DM12</f>
        <v>8900</v>
      </c>
      <c r="DO12" s="451">
        <f t="shared" si="72"/>
        <v>1200</v>
      </c>
      <c r="DP12" s="451">
        <f t="shared" si="30"/>
        <v>115.58441558441559</v>
      </c>
      <c r="DQ12" s="451">
        <f t="shared" si="31"/>
        <v>-500</v>
      </c>
      <c r="DR12" s="451">
        <f t="shared" si="32"/>
        <v>93.902439024390233</v>
      </c>
      <c r="DS12" s="451">
        <v>2600</v>
      </c>
      <c r="DT12" s="451">
        <f t="shared" si="89"/>
        <v>2600</v>
      </c>
      <c r="DU12" s="451">
        <v>5444</v>
      </c>
      <c r="DV12" s="451">
        <f>DU12</f>
        <v>5444</v>
      </c>
      <c r="DW12" s="451">
        <v>7400</v>
      </c>
      <c r="DX12" s="451">
        <f>DW12</f>
        <v>7400</v>
      </c>
      <c r="DY12" s="451">
        <v>8140</v>
      </c>
      <c r="DZ12" s="451">
        <f>DY12</f>
        <v>8140</v>
      </c>
      <c r="EA12" s="451">
        <f t="shared" si="74"/>
        <v>740</v>
      </c>
      <c r="EB12" s="451">
        <f>+DY12/DW12*100</f>
        <v>110.00000000000001</v>
      </c>
      <c r="EC12" s="451">
        <f t="shared" si="34"/>
        <v>4800</v>
      </c>
      <c r="ED12" s="451">
        <f t="shared" si="35"/>
        <v>284.61538461538464</v>
      </c>
      <c r="EE12" s="451">
        <v>52500</v>
      </c>
      <c r="EF12" s="451">
        <f>ROUND(EE12*60%,-1)</f>
        <v>31500</v>
      </c>
      <c r="EG12" s="451">
        <v>32553</v>
      </c>
      <c r="EH12" s="451">
        <f>EG12*60%</f>
        <v>19531.8</v>
      </c>
      <c r="EI12" s="451">
        <v>42500</v>
      </c>
      <c r="EJ12" s="451">
        <f>ROUND(EI12*60%,-1)</f>
        <v>25500</v>
      </c>
      <c r="EK12" s="451">
        <v>46900</v>
      </c>
      <c r="EL12" s="451">
        <f>ROUND(EK12*60%,-1)</f>
        <v>28140</v>
      </c>
      <c r="EM12" s="451">
        <f t="shared" si="76"/>
        <v>4400</v>
      </c>
      <c r="EN12" s="451">
        <f t="shared" si="37"/>
        <v>110.35294117647058</v>
      </c>
      <c r="EO12" s="451">
        <f>+EI12-EE12</f>
        <v>-10000</v>
      </c>
      <c r="EP12" s="451">
        <f t="shared" si="38"/>
        <v>80.952380952380949</v>
      </c>
      <c r="EQ12" s="451">
        <v>6250</v>
      </c>
      <c r="ER12" s="451">
        <f t="shared" si="90"/>
        <v>6250</v>
      </c>
      <c r="ES12" s="451">
        <v>3050</v>
      </c>
      <c r="ET12" s="451">
        <f>ES12</f>
        <v>3050</v>
      </c>
      <c r="EU12" s="451">
        <v>4140</v>
      </c>
      <c r="EV12" s="451">
        <f>EU12</f>
        <v>4140</v>
      </c>
      <c r="EW12" s="451">
        <v>4710</v>
      </c>
      <c r="EX12" s="451">
        <f>EW12</f>
        <v>4710</v>
      </c>
      <c r="EY12" s="451">
        <f t="shared" si="78"/>
        <v>570</v>
      </c>
      <c r="EZ12" s="451">
        <f>+EW12/EU12*100</f>
        <v>113.76811594202898</v>
      </c>
      <c r="FA12" s="451">
        <f t="shared" si="79"/>
        <v>-2110</v>
      </c>
      <c r="FB12" s="451">
        <f t="shared" si="40"/>
        <v>66.239999999999995</v>
      </c>
    </row>
    <row r="13" spans="1:158">
      <c r="A13" s="486" t="s">
        <v>847</v>
      </c>
      <c r="B13" s="487" t="s">
        <v>645</v>
      </c>
      <c r="C13" s="451">
        <f t="shared" si="80"/>
        <v>4536</v>
      </c>
      <c r="D13" s="451">
        <f t="shared" si="80"/>
        <v>0</v>
      </c>
      <c r="E13" s="451">
        <f t="shared" si="80"/>
        <v>2223</v>
      </c>
      <c r="F13" s="451">
        <f t="shared" si="80"/>
        <v>0</v>
      </c>
      <c r="G13" s="451">
        <f t="shared" si="80"/>
        <v>4225</v>
      </c>
      <c r="H13" s="451">
        <f t="shared" si="80"/>
        <v>0</v>
      </c>
      <c r="I13" s="451">
        <f t="shared" si="80"/>
        <v>4720</v>
      </c>
      <c r="J13" s="451">
        <f t="shared" si="80"/>
        <v>0</v>
      </c>
      <c r="K13" s="451">
        <f>+I13-G13</f>
        <v>495</v>
      </c>
      <c r="L13" s="451">
        <f>+I13/G13*100</f>
        <v>111.71597633136095</v>
      </c>
      <c r="M13" s="451">
        <f>+G13-C13</f>
        <v>-311</v>
      </c>
      <c r="N13" s="451">
        <f>+G13/C13*100</f>
        <v>93.143738977072303</v>
      </c>
      <c r="O13" s="451">
        <v>5</v>
      </c>
      <c r="P13" s="451">
        <v>0</v>
      </c>
      <c r="Q13" s="451">
        <v>0</v>
      </c>
      <c r="R13" s="451">
        <v>0</v>
      </c>
      <c r="S13" s="451">
        <v>30</v>
      </c>
      <c r="T13" s="451">
        <v>0</v>
      </c>
      <c r="U13" s="451"/>
      <c r="V13" s="451">
        <v>0</v>
      </c>
      <c r="W13" s="451">
        <f t="shared" si="55"/>
        <v>-30</v>
      </c>
      <c r="X13" s="451"/>
      <c r="Y13" s="451">
        <f t="shared" si="56"/>
        <v>25</v>
      </c>
      <c r="Z13" s="451"/>
      <c r="AA13" s="451">
        <v>330</v>
      </c>
      <c r="AB13" s="451">
        <v>0</v>
      </c>
      <c r="AC13" s="451">
        <v>87</v>
      </c>
      <c r="AD13" s="451">
        <v>0</v>
      </c>
      <c r="AE13" s="451">
        <v>100</v>
      </c>
      <c r="AF13" s="451">
        <v>0</v>
      </c>
      <c r="AG13" s="451">
        <v>250</v>
      </c>
      <c r="AH13" s="451">
        <v>0</v>
      </c>
      <c r="AI13" s="451">
        <f t="shared" si="58"/>
        <v>150</v>
      </c>
      <c r="AJ13" s="451"/>
      <c r="AK13" s="451">
        <f>+AE13-AA13</f>
        <v>-230</v>
      </c>
      <c r="AL13" s="451"/>
      <c r="AM13" s="451">
        <v>100</v>
      </c>
      <c r="AN13" s="451">
        <v>0</v>
      </c>
      <c r="AO13" s="451">
        <v>56</v>
      </c>
      <c r="AP13" s="451">
        <v>0</v>
      </c>
      <c r="AQ13" s="451">
        <v>100</v>
      </c>
      <c r="AR13" s="451">
        <v>0</v>
      </c>
      <c r="AS13" s="451">
        <v>120</v>
      </c>
      <c r="AT13" s="451">
        <v>0</v>
      </c>
      <c r="AU13" s="451">
        <f t="shared" si="60"/>
        <v>20</v>
      </c>
      <c r="AV13" s="451"/>
      <c r="AW13" s="451">
        <f>+AQ13-AM13</f>
        <v>0</v>
      </c>
      <c r="AX13" s="451"/>
      <c r="AY13" s="451">
        <v>110</v>
      </c>
      <c r="AZ13" s="451">
        <v>0</v>
      </c>
      <c r="BA13" s="451">
        <v>88</v>
      </c>
      <c r="BB13" s="451">
        <v>0</v>
      </c>
      <c r="BC13" s="451">
        <v>170</v>
      </c>
      <c r="BD13" s="451">
        <v>0</v>
      </c>
      <c r="BE13" s="451">
        <v>170</v>
      </c>
      <c r="BF13" s="451">
        <v>0</v>
      </c>
      <c r="BG13" s="451">
        <f t="shared" si="62"/>
        <v>0</v>
      </c>
      <c r="BH13" s="451"/>
      <c r="BI13" s="451">
        <f>+BC13-AY13</f>
        <v>60</v>
      </c>
      <c r="BJ13" s="451"/>
      <c r="BK13" s="451">
        <v>100</v>
      </c>
      <c r="BL13" s="451">
        <v>0</v>
      </c>
      <c r="BM13" s="451">
        <v>59</v>
      </c>
      <c r="BN13" s="451">
        <v>0</v>
      </c>
      <c r="BO13" s="451">
        <v>80</v>
      </c>
      <c r="BP13" s="451">
        <v>0</v>
      </c>
      <c r="BQ13" s="451">
        <v>100</v>
      </c>
      <c r="BR13" s="451">
        <v>0</v>
      </c>
      <c r="BS13" s="451">
        <f t="shared" si="64"/>
        <v>20</v>
      </c>
      <c r="BT13" s="451"/>
      <c r="BU13" s="451">
        <f>+BO13-BK13</f>
        <v>-20</v>
      </c>
      <c r="BV13" s="451"/>
      <c r="BW13" s="451">
        <v>2600</v>
      </c>
      <c r="BX13" s="451">
        <v>0</v>
      </c>
      <c r="BY13" s="451">
        <v>1200</v>
      </c>
      <c r="BZ13" s="451">
        <v>0</v>
      </c>
      <c r="CA13" s="451">
        <v>2605</v>
      </c>
      <c r="CB13" s="451">
        <v>0</v>
      </c>
      <c r="CC13" s="451">
        <v>2800</v>
      </c>
      <c r="CD13" s="451">
        <v>0</v>
      </c>
      <c r="CE13" s="451">
        <f t="shared" si="66"/>
        <v>195</v>
      </c>
      <c r="CF13" s="451">
        <f t="shared" si="19"/>
        <v>107.48560460652592</v>
      </c>
      <c r="CG13" s="451">
        <f>+CA13-BW13</f>
        <v>5</v>
      </c>
      <c r="CH13" s="451">
        <f>+CA13/BW13*100</f>
        <v>100.19230769230769</v>
      </c>
      <c r="CI13" s="451">
        <v>95</v>
      </c>
      <c r="CJ13" s="451">
        <v>0</v>
      </c>
      <c r="CK13" s="451">
        <v>36</v>
      </c>
      <c r="CL13" s="451">
        <v>0</v>
      </c>
      <c r="CM13" s="451">
        <v>80</v>
      </c>
      <c r="CN13" s="451">
        <v>0</v>
      </c>
      <c r="CO13" s="451">
        <v>80</v>
      </c>
      <c r="CP13" s="451">
        <v>0</v>
      </c>
      <c r="CQ13" s="451">
        <f t="shared" si="68"/>
        <v>0</v>
      </c>
      <c r="CR13" s="451"/>
      <c r="CS13" s="451">
        <f>+CM13-CI13</f>
        <v>-15</v>
      </c>
      <c r="CT13" s="451"/>
      <c r="CU13" s="451">
        <v>200</v>
      </c>
      <c r="CV13" s="451">
        <v>0</v>
      </c>
      <c r="CW13" s="451">
        <v>106</v>
      </c>
      <c r="CX13" s="451">
        <v>0</v>
      </c>
      <c r="CY13" s="451">
        <v>150</v>
      </c>
      <c r="CZ13" s="451">
        <v>0</v>
      </c>
      <c r="DA13" s="451">
        <v>200</v>
      </c>
      <c r="DB13" s="451">
        <v>0</v>
      </c>
      <c r="DC13" s="451">
        <f t="shared" si="70"/>
        <v>50</v>
      </c>
      <c r="DD13" s="451">
        <f t="shared" si="26"/>
        <v>133.33333333333331</v>
      </c>
      <c r="DE13" s="451">
        <f>+CY13-CU13</f>
        <v>-50</v>
      </c>
      <c r="DF13" s="451">
        <f>+CY13/CU13*100</f>
        <v>75</v>
      </c>
      <c r="DG13" s="451">
        <v>120</v>
      </c>
      <c r="DH13" s="451">
        <v>0</v>
      </c>
      <c r="DI13" s="451">
        <v>64</v>
      </c>
      <c r="DJ13" s="451">
        <v>0</v>
      </c>
      <c r="DK13" s="451">
        <v>120</v>
      </c>
      <c r="DL13" s="451">
        <v>0</v>
      </c>
      <c r="DM13" s="451">
        <v>130</v>
      </c>
      <c r="DN13" s="451">
        <v>0</v>
      </c>
      <c r="DO13" s="451">
        <f t="shared" si="72"/>
        <v>10</v>
      </c>
      <c r="DP13" s="451">
        <f t="shared" si="30"/>
        <v>108.33333333333333</v>
      </c>
      <c r="DQ13" s="451">
        <f>+DK13-DG13</f>
        <v>0</v>
      </c>
      <c r="DR13" s="451">
        <f>+DK13/DG13*100</f>
        <v>100</v>
      </c>
      <c r="DS13" s="451">
        <v>80</v>
      </c>
      <c r="DT13" s="451">
        <v>0</v>
      </c>
      <c r="DU13" s="451">
        <v>55</v>
      </c>
      <c r="DV13" s="451">
        <v>0</v>
      </c>
      <c r="DW13" s="451">
        <v>60</v>
      </c>
      <c r="DX13" s="451">
        <v>0</v>
      </c>
      <c r="DY13" s="451">
        <v>70</v>
      </c>
      <c r="DZ13" s="451">
        <v>0</v>
      </c>
      <c r="EA13" s="451">
        <f t="shared" si="74"/>
        <v>10</v>
      </c>
      <c r="EB13" s="451"/>
      <c r="EC13" s="451">
        <f>+DW13-DS13</f>
        <v>-20</v>
      </c>
      <c r="ED13" s="451"/>
      <c r="EE13" s="451">
        <v>626</v>
      </c>
      <c r="EF13" s="451">
        <v>0</v>
      </c>
      <c r="EG13" s="451">
        <v>395</v>
      </c>
      <c r="EH13" s="451">
        <v>0</v>
      </c>
      <c r="EI13" s="451">
        <v>610</v>
      </c>
      <c r="EJ13" s="451">
        <v>0</v>
      </c>
      <c r="EK13" s="451">
        <v>660</v>
      </c>
      <c r="EL13" s="451">
        <v>0</v>
      </c>
      <c r="EM13" s="451">
        <f t="shared" si="76"/>
        <v>50</v>
      </c>
      <c r="EN13" s="451">
        <f t="shared" si="37"/>
        <v>108.19672131147541</v>
      </c>
      <c r="EO13" s="451">
        <f>+EI13-EE13</f>
        <v>-16</v>
      </c>
      <c r="EP13" s="451">
        <f t="shared" si="38"/>
        <v>97.444089456869008</v>
      </c>
      <c r="EQ13" s="451">
        <v>170</v>
      </c>
      <c r="ER13" s="451">
        <v>0</v>
      </c>
      <c r="ES13" s="451">
        <v>77</v>
      </c>
      <c r="ET13" s="451">
        <v>0</v>
      </c>
      <c r="EU13" s="451">
        <v>120</v>
      </c>
      <c r="EV13" s="451">
        <v>0</v>
      </c>
      <c r="EW13" s="451">
        <v>140</v>
      </c>
      <c r="EX13" s="451">
        <v>0</v>
      </c>
      <c r="EY13" s="451">
        <f t="shared" si="78"/>
        <v>20</v>
      </c>
      <c r="EZ13" s="451"/>
      <c r="FA13" s="451">
        <f>+EU13-EQ13</f>
        <v>-50</v>
      </c>
      <c r="FB13" s="451"/>
    </row>
    <row r="14" spans="1:158">
      <c r="A14" s="486" t="s">
        <v>847</v>
      </c>
      <c r="B14" s="487" t="s">
        <v>646</v>
      </c>
      <c r="C14" s="451">
        <f t="shared" si="80"/>
        <v>1870</v>
      </c>
      <c r="D14" s="451">
        <f t="shared" si="80"/>
        <v>0</v>
      </c>
      <c r="E14" s="451">
        <f t="shared" si="80"/>
        <v>542</v>
      </c>
      <c r="F14" s="451">
        <f t="shared" si="80"/>
        <v>0</v>
      </c>
      <c r="G14" s="451">
        <f t="shared" si="80"/>
        <v>860</v>
      </c>
      <c r="H14" s="451">
        <f t="shared" si="80"/>
        <v>0</v>
      </c>
      <c r="I14" s="451">
        <f t="shared" si="80"/>
        <v>830</v>
      </c>
      <c r="J14" s="451">
        <f t="shared" si="80"/>
        <v>0</v>
      </c>
      <c r="K14" s="451">
        <f t="shared" si="1"/>
        <v>-30</v>
      </c>
      <c r="L14" s="451">
        <f t="shared" si="2"/>
        <v>96.511627906976756</v>
      </c>
      <c r="M14" s="451">
        <f t="shared" si="3"/>
        <v>-1010</v>
      </c>
      <c r="N14" s="451">
        <f t="shared" si="4"/>
        <v>45.989304812834227</v>
      </c>
      <c r="O14" s="451">
        <v>25</v>
      </c>
      <c r="P14" s="451">
        <v>0</v>
      </c>
      <c r="Q14" s="451">
        <v>6</v>
      </c>
      <c r="R14" s="451">
        <v>0</v>
      </c>
      <c r="S14" s="451">
        <v>20</v>
      </c>
      <c r="T14" s="451">
        <v>0</v>
      </c>
      <c r="U14" s="451">
        <v>20</v>
      </c>
      <c r="V14" s="451">
        <v>0</v>
      </c>
      <c r="W14" s="451">
        <f t="shared" si="55"/>
        <v>0</v>
      </c>
      <c r="X14" s="451">
        <f>+U14/S14*100</f>
        <v>100</v>
      </c>
      <c r="Y14" s="451">
        <f t="shared" si="56"/>
        <v>-5</v>
      </c>
      <c r="Z14" s="451">
        <f>+S14/O14*100</f>
        <v>80</v>
      </c>
      <c r="AA14" s="451">
        <v>0</v>
      </c>
      <c r="AB14" s="451">
        <v>0</v>
      </c>
      <c r="AC14" s="451">
        <v>3</v>
      </c>
      <c r="AD14" s="451">
        <v>0</v>
      </c>
      <c r="AE14" s="451">
        <v>0</v>
      </c>
      <c r="AF14" s="451">
        <v>0</v>
      </c>
      <c r="AG14" s="451">
        <v>0</v>
      </c>
      <c r="AH14" s="451">
        <v>0</v>
      </c>
      <c r="AI14" s="451">
        <f t="shared" si="58"/>
        <v>0</v>
      </c>
      <c r="AJ14" s="451"/>
      <c r="AK14" s="451">
        <f t="shared" si="7"/>
        <v>0</v>
      </c>
      <c r="AL14" s="451" t="e">
        <f t="shared" si="8"/>
        <v>#DIV/0!</v>
      </c>
      <c r="AM14" s="451">
        <v>25</v>
      </c>
      <c r="AN14" s="451">
        <v>0</v>
      </c>
      <c r="AO14" s="451">
        <v>21</v>
      </c>
      <c r="AP14" s="451">
        <v>0</v>
      </c>
      <c r="AQ14" s="451">
        <v>25</v>
      </c>
      <c r="AR14" s="451">
        <v>0</v>
      </c>
      <c r="AS14" s="451">
        <v>20</v>
      </c>
      <c r="AT14" s="451">
        <v>0</v>
      </c>
      <c r="AU14" s="451">
        <f t="shared" si="60"/>
        <v>-5</v>
      </c>
      <c r="AV14" s="451">
        <f>+AS14/AQ14*100</f>
        <v>80</v>
      </c>
      <c r="AW14" s="451">
        <f t="shared" si="10"/>
        <v>0</v>
      </c>
      <c r="AX14" s="451">
        <f t="shared" si="11"/>
        <v>100</v>
      </c>
      <c r="AY14" s="451">
        <v>60</v>
      </c>
      <c r="AZ14" s="451">
        <v>0</v>
      </c>
      <c r="BA14" s="451">
        <v>36</v>
      </c>
      <c r="BB14" s="451">
        <v>0</v>
      </c>
      <c r="BC14" s="451">
        <v>60</v>
      </c>
      <c r="BD14" s="451">
        <v>0</v>
      </c>
      <c r="BE14" s="451">
        <v>60</v>
      </c>
      <c r="BF14" s="451">
        <v>0</v>
      </c>
      <c r="BG14" s="451">
        <f t="shared" si="62"/>
        <v>0</v>
      </c>
      <c r="BH14" s="451">
        <f t="shared" ref="BH14:BH25" si="91">+BE14/BC14*100</f>
        <v>100</v>
      </c>
      <c r="BI14" s="451">
        <f t="shared" si="13"/>
        <v>0</v>
      </c>
      <c r="BJ14" s="451">
        <f t="shared" si="14"/>
        <v>100</v>
      </c>
      <c r="BK14" s="451">
        <v>270</v>
      </c>
      <c r="BL14" s="451">
        <v>0</v>
      </c>
      <c r="BM14" s="451">
        <v>64</v>
      </c>
      <c r="BN14" s="451">
        <v>0</v>
      </c>
      <c r="BO14" s="451">
        <v>80</v>
      </c>
      <c r="BP14" s="451">
        <v>0</v>
      </c>
      <c r="BQ14" s="451">
        <v>90</v>
      </c>
      <c r="BR14" s="451">
        <v>0</v>
      </c>
      <c r="BS14" s="451">
        <f t="shared" si="64"/>
        <v>10</v>
      </c>
      <c r="BT14" s="451"/>
      <c r="BU14" s="451">
        <f t="shared" si="16"/>
        <v>-190</v>
      </c>
      <c r="BV14" s="451"/>
      <c r="BW14" s="451">
        <v>410</v>
      </c>
      <c r="BX14" s="451">
        <v>0</v>
      </c>
      <c r="BY14" s="451">
        <v>129</v>
      </c>
      <c r="BZ14" s="451">
        <v>0</v>
      </c>
      <c r="CA14" s="451">
        <v>210</v>
      </c>
      <c r="CB14" s="451">
        <v>0</v>
      </c>
      <c r="CC14" s="451">
        <v>200</v>
      </c>
      <c r="CD14" s="451">
        <v>0</v>
      </c>
      <c r="CE14" s="451">
        <f t="shared" si="66"/>
        <v>-10</v>
      </c>
      <c r="CF14" s="451">
        <f t="shared" si="19"/>
        <v>95.238095238095227</v>
      </c>
      <c r="CG14" s="451">
        <f t="shared" si="20"/>
        <v>-200</v>
      </c>
      <c r="CH14" s="451">
        <f>+CA14/BW14*100</f>
        <v>51.219512195121951</v>
      </c>
      <c r="CI14" s="451">
        <v>5</v>
      </c>
      <c r="CJ14" s="451">
        <v>0</v>
      </c>
      <c r="CK14" s="451">
        <v>2</v>
      </c>
      <c r="CL14" s="451">
        <v>0</v>
      </c>
      <c r="CM14" s="451">
        <v>5</v>
      </c>
      <c r="CN14" s="451">
        <v>0</v>
      </c>
      <c r="CO14" s="451">
        <v>0</v>
      </c>
      <c r="CP14" s="451">
        <v>0</v>
      </c>
      <c r="CQ14" s="451">
        <f t="shared" si="68"/>
        <v>-5</v>
      </c>
      <c r="CR14" s="451">
        <f t="shared" ref="CR14:CR25" si="92">+CO14/CM14*100</f>
        <v>0</v>
      </c>
      <c r="CS14" s="451">
        <f t="shared" si="23"/>
        <v>0</v>
      </c>
      <c r="CT14" s="451">
        <f t="shared" si="24"/>
        <v>100</v>
      </c>
      <c r="CU14" s="451">
        <v>90</v>
      </c>
      <c r="CV14" s="451">
        <v>0</v>
      </c>
      <c r="CW14" s="451">
        <v>36</v>
      </c>
      <c r="CX14" s="451">
        <v>0</v>
      </c>
      <c r="CY14" s="451">
        <v>90</v>
      </c>
      <c r="CZ14" s="451">
        <v>0</v>
      </c>
      <c r="DA14" s="451">
        <v>90</v>
      </c>
      <c r="DB14" s="451">
        <v>0</v>
      </c>
      <c r="DC14" s="451">
        <f t="shared" si="70"/>
        <v>0</v>
      </c>
      <c r="DD14" s="451">
        <f t="shared" si="26"/>
        <v>100</v>
      </c>
      <c r="DE14" s="451">
        <f t="shared" si="27"/>
        <v>0</v>
      </c>
      <c r="DF14" s="451">
        <f>+CY14/CU14*100</f>
        <v>100</v>
      </c>
      <c r="DG14" s="451">
        <v>180</v>
      </c>
      <c r="DH14" s="451">
        <v>0</v>
      </c>
      <c r="DI14" s="451">
        <v>107</v>
      </c>
      <c r="DJ14" s="451">
        <v>0</v>
      </c>
      <c r="DK14" s="451">
        <v>150</v>
      </c>
      <c r="DL14" s="451">
        <v>0</v>
      </c>
      <c r="DM14" s="451">
        <v>150</v>
      </c>
      <c r="DN14" s="451">
        <v>0</v>
      </c>
      <c r="DO14" s="451">
        <f t="shared" si="72"/>
        <v>0</v>
      </c>
      <c r="DP14" s="451">
        <f t="shared" si="30"/>
        <v>100</v>
      </c>
      <c r="DQ14" s="451">
        <f t="shared" si="31"/>
        <v>-30</v>
      </c>
      <c r="DR14" s="451">
        <f t="shared" si="32"/>
        <v>83.333333333333343</v>
      </c>
      <c r="DS14" s="451">
        <v>85</v>
      </c>
      <c r="DT14" s="451">
        <v>0</v>
      </c>
      <c r="DU14" s="451">
        <v>47</v>
      </c>
      <c r="DV14" s="451">
        <v>0</v>
      </c>
      <c r="DW14" s="451">
        <v>70</v>
      </c>
      <c r="DX14" s="451">
        <v>0</v>
      </c>
      <c r="DY14" s="451">
        <v>80</v>
      </c>
      <c r="DZ14" s="451">
        <v>0</v>
      </c>
      <c r="EA14" s="451">
        <f t="shared" si="74"/>
        <v>10</v>
      </c>
      <c r="EB14" s="451"/>
      <c r="EC14" s="451">
        <f t="shared" si="34"/>
        <v>-15</v>
      </c>
      <c r="ED14" s="451"/>
      <c r="EE14" s="451">
        <v>650</v>
      </c>
      <c r="EF14" s="451">
        <v>0</v>
      </c>
      <c r="EG14" s="451">
        <v>61</v>
      </c>
      <c r="EH14" s="451">
        <v>0</v>
      </c>
      <c r="EI14" s="451">
        <v>80</v>
      </c>
      <c r="EJ14" s="451">
        <v>0</v>
      </c>
      <c r="EK14" s="451">
        <v>70</v>
      </c>
      <c r="EL14" s="451">
        <v>0</v>
      </c>
      <c r="EM14" s="451">
        <f t="shared" si="76"/>
        <v>-10</v>
      </c>
      <c r="EN14" s="451">
        <f t="shared" si="37"/>
        <v>87.5</v>
      </c>
      <c r="EO14" s="451">
        <f>+EI14-EE14</f>
        <v>-570</v>
      </c>
      <c r="EP14" s="451">
        <f t="shared" si="38"/>
        <v>12.307692307692308</v>
      </c>
      <c r="EQ14" s="451">
        <v>70</v>
      </c>
      <c r="ER14" s="451">
        <v>0</v>
      </c>
      <c r="ES14" s="451">
        <v>30</v>
      </c>
      <c r="ET14" s="451">
        <v>0</v>
      </c>
      <c r="EU14" s="451">
        <v>70</v>
      </c>
      <c r="EV14" s="451">
        <v>0</v>
      </c>
      <c r="EW14" s="451">
        <v>50</v>
      </c>
      <c r="EX14" s="451">
        <v>0</v>
      </c>
      <c r="EY14" s="451">
        <f t="shared" si="78"/>
        <v>-20</v>
      </c>
      <c r="EZ14" s="451"/>
      <c r="FA14" s="451">
        <f t="shared" si="79"/>
        <v>0</v>
      </c>
      <c r="FB14" s="451"/>
    </row>
    <row r="15" spans="1:158">
      <c r="A15" s="486" t="s">
        <v>847</v>
      </c>
      <c r="B15" s="487" t="s">
        <v>647</v>
      </c>
      <c r="C15" s="451">
        <f t="shared" si="80"/>
        <v>19407</v>
      </c>
      <c r="D15" s="451">
        <f t="shared" si="80"/>
        <v>19407</v>
      </c>
      <c r="E15" s="451">
        <f t="shared" si="80"/>
        <v>19158</v>
      </c>
      <c r="F15" s="451">
        <f t="shared" si="80"/>
        <v>19158</v>
      </c>
      <c r="G15" s="451">
        <f t="shared" si="80"/>
        <v>19685</v>
      </c>
      <c r="H15" s="451">
        <f t="shared" si="80"/>
        <v>19685</v>
      </c>
      <c r="I15" s="451">
        <f t="shared" si="80"/>
        <v>20495</v>
      </c>
      <c r="J15" s="451">
        <f t="shared" si="80"/>
        <v>20495</v>
      </c>
      <c r="K15" s="451">
        <f t="shared" si="1"/>
        <v>810</v>
      </c>
      <c r="L15" s="451">
        <f t="shared" si="2"/>
        <v>104.11480822961646</v>
      </c>
      <c r="M15" s="451">
        <f t="shared" si="3"/>
        <v>278</v>
      </c>
      <c r="N15" s="451">
        <f t="shared" si="4"/>
        <v>101.43247281908589</v>
      </c>
      <c r="O15" s="451">
        <v>655</v>
      </c>
      <c r="P15" s="451">
        <f t="shared" si="81"/>
        <v>655</v>
      </c>
      <c r="Q15" s="451">
        <v>582</v>
      </c>
      <c r="R15" s="451">
        <f>Q15</f>
        <v>582</v>
      </c>
      <c r="S15" s="451">
        <v>600</v>
      </c>
      <c r="T15" s="451">
        <f>S15</f>
        <v>600</v>
      </c>
      <c r="U15" s="451">
        <v>620</v>
      </c>
      <c r="V15" s="451">
        <f>U15</f>
        <v>620</v>
      </c>
      <c r="W15" s="451">
        <f t="shared" si="55"/>
        <v>20</v>
      </c>
      <c r="X15" s="451">
        <f>+U15/S15*100</f>
        <v>103.33333333333334</v>
      </c>
      <c r="Y15" s="451">
        <f t="shared" si="56"/>
        <v>-55</v>
      </c>
      <c r="Z15" s="451">
        <f>+S15/O15*100</f>
        <v>91.603053435114504</v>
      </c>
      <c r="AA15" s="451">
        <v>1435</v>
      </c>
      <c r="AB15" s="451">
        <f t="shared" si="82"/>
        <v>1435</v>
      </c>
      <c r="AC15" s="451">
        <v>1425</v>
      </c>
      <c r="AD15" s="451">
        <f>AC15</f>
        <v>1425</v>
      </c>
      <c r="AE15" s="451">
        <v>1440</v>
      </c>
      <c r="AF15" s="451">
        <f>AE15</f>
        <v>1440</v>
      </c>
      <c r="AG15" s="451">
        <v>1500</v>
      </c>
      <c r="AH15" s="451">
        <f>AG15</f>
        <v>1500</v>
      </c>
      <c r="AI15" s="451">
        <f t="shared" si="58"/>
        <v>60</v>
      </c>
      <c r="AJ15" s="451">
        <f>+AG15/AE15*100</f>
        <v>104.16666666666667</v>
      </c>
      <c r="AK15" s="451">
        <f t="shared" si="7"/>
        <v>5</v>
      </c>
      <c r="AL15" s="451">
        <f t="shared" si="8"/>
        <v>100.34843205574913</v>
      </c>
      <c r="AM15" s="451">
        <v>670</v>
      </c>
      <c r="AN15" s="451">
        <f t="shared" si="83"/>
        <v>670</v>
      </c>
      <c r="AO15" s="451">
        <v>681</v>
      </c>
      <c r="AP15" s="451">
        <f>AO15</f>
        <v>681</v>
      </c>
      <c r="AQ15" s="451">
        <v>690</v>
      </c>
      <c r="AR15" s="451">
        <f>AQ15</f>
        <v>690</v>
      </c>
      <c r="AS15" s="451">
        <v>730</v>
      </c>
      <c r="AT15" s="451">
        <f>AS15</f>
        <v>730</v>
      </c>
      <c r="AU15" s="451">
        <f t="shared" si="60"/>
        <v>40</v>
      </c>
      <c r="AV15" s="451">
        <f>+AS15/AQ15*100</f>
        <v>105.79710144927536</v>
      </c>
      <c r="AW15" s="451">
        <f t="shared" si="10"/>
        <v>20</v>
      </c>
      <c r="AX15" s="451">
        <f t="shared" si="11"/>
        <v>102.98507462686568</v>
      </c>
      <c r="AY15" s="451">
        <v>1236</v>
      </c>
      <c r="AZ15" s="451">
        <f t="shared" si="84"/>
        <v>1236</v>
      </c>
      <c r="BA15" s="451">
        <v>1272</v>
      </c>
      <c r="BB15" s="451">
        <f>BA15</f>
        <v>1272</v>
      </c>
      <c r="BC15" s="451">
        <v>1293</v>
      </c>
      <c r="BD15" s="451">
        <f>BC15</f>
        <v>1293</v>
      </c>
      <c r="BE15" s="451">
        <v>1325</v>
      </c>
      <c r="BF15" s="451">
        <f>BE15</f>
        <v>1325</v>
      </c>
      <c r="BG15" s="451">
        <f t="shared" si="62"/>
        <v>32</v>
      </c>
      <c r="BH15" s="451">
        <f t="shared" si="91"/>
        <v>102.47486465583913</v>
      </c>
      <c r="BI15" s="451">
        <f t="shared" si="13"/>
        <v>57</v>
      </c>
      <c r="BJ15" s="451">
        <f t="shared" si="14"/>
        <v>104.6116504854369</v>
      </c>
      <c r="BK15" s="451">
        <v>1055</v>
      </c>
      <c r="BL15" s="451">
        <f t="shared" si="85"/>
        <v>1055</v>
      </c>
      <c r="BM15" s="451">
        <v>956</v>
      </c>
      <c r="BN15" s="451">
        <f>BM15</f>
        <v>956</v>
      </c>
      <c r="BO15" s="451">
        <v>1030</v>
      </c>
      <c r="BP15" s="451">
        <f>BO15</f>
        <v>1030</v>
      </c>
      <c r="BQ15" s="451">
        <v>1040</v>
      </c>
      <c r="BR15" s="451">
        <f>BQ15</f>
        <v>1040</v>
      </c>
      <c r="BS15" s="451">
        <f t="shared" si="64"/>
        <v>10</v>
      </c>
      <c r="BT15" s="451">
        <f>+BQ15/BO15*100</f>
        <v>100.97087378640776</v>
      </c>
      <c r="BU15" s="451">
        <f t="shared" si="16"/>
        <v>-25</v>
      </c>
      <c r="BV15" s="451">
        <f t="shared" si="17"/>
        <v>97.630331753554501</v>
      </c>
      <c r="BW15" s="451">
        <v>3830</v>
      </c>
      <c r="BX15" s="451">
        <f>+BW15</f>
        <v>3830</v>
      </c>
      <c r="BY15" s="451">
        <v>3946</v>
      </c>
      <c r="BZ15" s="451">
        <f>BY15</f>
        <v>3946</v>
      </c>
      <c r="CA15" s="451">
        <v>3950</v>
      </c>
      <c r="CB15" s="451">
        <f>CA15</f>
        <v>3950</v>
      </c>
      <c r="CC15" s="451">
        <v>4050</v>
      </c>
      <c r="CD15" s="451">
        <f>CC15</f>
        <v>4050</v>
      </c>
      <c r="CE15" s="451">
        <f t="shared" si="66"/>
        <v>100</v>
      </c>
      <c r="CF15" s="451">
        <f>+CC15/CA15*100</f>
        <v>102.53164556962024</v>
      </c>
      <c r="CG15" s="451">
        <f t="shared" si="20"/>
        <v>120</v>
      </c>
      <c r="CH15" s="451">
        <f t="shared" si="21"/>
        <v>103.1331592689295</v>
      </c>
      <c r="CI15" s="451">
        <v>1628</v>
      </c>
      <c r="CJ15" s="451">
        <f t="shared" si="86"/>
        <v>1628</v>
      </c>
      <c r="CK15" s="451">
        <v>1599</v>
      </c>
      <c r="CL15" s="451">
        <f>CK15</f>
        <v>1599</v>
      </c>
      <c r="CM15" s="451">
        <v>1640</v>
      </c>
      <c r="CN15" s="451">
        <f>CM15</f>
        <v>1640</v>
      </c>
      <c r="CO15" s="451">
        <v>1660</v>
      </c>
      <c r="CP15" s="451">
        <f>CO15</f>
        <v>1660</v>
      </c>
      <c r="CQ15" s="451">
        <f t="shared" si="68"/>
        <v>20</v>
      </c>
      <c r="CR15" s="451">
        <f t="shared" si="92"/>
        <v>101.21951219512195</v>
      </c>
      <c r="CS15" s="451">
        <f t="shared" si="23"/>
        <v>12</v>
      </c>
      <c r="CT15" s="451">
        <f t="shared" si="24"/>
        <v>100.73710073710073</v>
      </c>
      <c r="CU15" s="451">
        <v>1640</v>
      </c>
      <c r="CV15" s="451">
        <f t="shared" si="87"/>
        <v>1640</v>
      </c>
      <c r="CW15" s="451">
        <v>1597</v>
      </c>
      <c r="CX15" s="451">
        <f>CW15</f>
        <v>1597</v>
      </c>
      <c r="CY15" s="451">
        <v>1600</v>
      </c>
      <c r="CZ15" s="451">
        <f>CY15</f>
        <v>1600</v>
      </c>
      <c r="DA15" s="451">
        <v>1600</v>
      </c>
      <c r="DB15" s="451">
        <f>DA15</f>
        <v>1600</v>
      </c>
      <c r="DC15" s="451">
        <f t="shared" si="70"/>
        <v>0</v>
      </c>
      <c r="DD15" s="451">
        <f t="shared" si="26"/>
        <v>100</v>
      </c>
      <c r="DE15" s="451">
        <f t="shared" si="27"/>
        <v>-40</v>
      </c>
      <c r="DF15" s="451">
        <f t="shared" si="28"/>
        <v>97.560975609756099</v>
      </c>
      <c r="DG15" s="451">
        <v>1660</v>
      </c>
      <c r="DH15" s="451">
        <f t="shared" si="88"/>
        <v>1660</v>
      </c>
      <c r="DI15" s="451">
        <v>1760</v>
      </c>
      <c r="DJ15" s="451">
        <f>DI15</f>
        <v>1760</v>
      </c>
      <c r="DK15" s="451">
        <v>1770</v>
      </c>
      <c r="DL15" s="451">
        <f>DK15</f>
        <v>1770</v>
      </c>
      <c r="DM15" s="451">
        <v>1920</v>
      </c>
      <c r="DN15" s="451">
        <f>DM15</f>
        <v>1920</v>
      </c>
      <c r="DO15" s="451">
        <f t="shared" si="72"/>
        <v>150</v>
      </c>
      <c r="DP15" s="451">
        <f t="shared" si="30"/>
        <v>108.47457627118644</v>
      </c>
      <c r="DQ15" s="451">
        <f t="shared" si="31"/>
        <v>110</v>
      </c>
      <c r="DR15" s="451">
        <f t="shared" si="32"/>
        <v>106.62650602409639</v>
      </c>
      <c r="DS15" s="451">
        <v>1457</v>
      </c>
      <c r="DT15" s="451">
        <f t="shared" si="89"/>
        <v>1457</v>
      </c>
      <c r="DU15" s="451">
        <v>1342</v>
      </c>
      <c r="DV15" s="451">
        <f>DU15</f>
        <v>1342</v>
      </c>
      <c r="DW15" s="451">
        <v>1480</v>
      </c>
      <c r="DX15" s="451">
        <f>DW15</f>
        <v>1480</v>
      </c>
      <c r="DY15" s="451">
        <v>1500</v>
      </c>
      <c r="DZ15" s="451">
        <f>DY15</f>
        <v>1500</v>
      </c>
      <c r="EA15" s="451">
        <f t="shared" si="74"/>
        <v>20</v>
      </c>
      <c r="EB15" s="451">
        <f>+DY15/DW15*100</f>
        <v>101.35135135135135</v>
      </c>
      <c r="EC15" s="451">
        <f t="shared" si="34"/>
        <v>23</v>
      </c>
      <c r="ED15" s="451">
        <f t="shared" si="35"/>
        <v>101.57858613589568</v>
      </c>
      <c r="EE15" s="451">
        <v>2420</v>
      </c>
      <c r="EF15" s="451">
        <f>+EE15</f>
        <v>2420</v>
      </c>
      <c r="EG15" s="451">
        <v>2327</v>
      </c>
      <c r="EH15" s="451">
        <f>EG15</f>
        <v>2327</v>
      </c>
      <c r="EI15" s="451">
        <v>2440</v>
      </c>
      <c r="EJ15" s="451">
        <f>EI15</f>
        <v>2440</v>
      </c>
      <c r="EK15" s="451">
        <v>2530</v>
      </c>
      <c r="EL15" s="451">
        <f>EK15</f>
        <v>2530</v>
      </c>
      <c r="EM15" s="451">
        <f t="shared" si="76"/>
        <v>90</v>
      </c>
      <c r="EN15" s="451">
        <f t="shared" si="37"/>
        <v>103.68852459016394</v>
      </c>
      <c r="EO15" s="451">
        <f t="shared" ref="EO15:EO25" si="93">+EI15-EE15</f>
        <v>20</v>
      </c>
      <c r="EP15" s="451">
        <f t="shared" si="38"/>
        <v>100.82644628099173</v>
      </c>
      <c r="EQ15" s="451">
        <v>1721</v>
      </c>
      <c r="ER15" s="451">
        <f t="shared" si="90"/>
        <v>1721</v>
      </c>
      <c r="ES15" s="451">
        <v>1671</v>
      </c>
      <c r="ET15" s="451">
        <f>ES15</f>
        <v>1671</v>
      </c>
      <c r="EU15" s="451">
        <v>1752</v>
      </c>
      <c r="EV15" s="451">
        <f>EU15</f>
        <v>1752</v>
      </c>
      <c r="EW15" s="451">
        <v>2020</v>
      </c>
      <c r="EX15" s="451">
        <f>EW15</f>
        <v>2020</v>
      </c>
      <c r="EY15" s="451">
        <f t="shared" si="78"/>
        <v>268</v>
      </c>
      <c r="EZ15" s="451">
        <f>+EW15/EU15*100</f>
        <v>115.29680365296804</v>
      </c>
      <c r="FA15" s="451">
        <f t="shared" si="79"/>
        <v>31</v>
      </c>
      <c r="FB15" s="451">
        <f t="shared" si="40"/>
        <v>101.80127832655432</v>
      </c>
    </row>
    <row r="16" spans="1:158">
      <c r="A16" s="486" t="s">
        <v>847</v>
      </c>
      <c r="B16" s="487" t="s">
        <v>648</v>
      </c>
      <c r="C16" s="451">
        <f t="shared" si="80"/>
        <v>11450</v>
      </c>
      <c r="D16" s="451">
        <f t="shared" si="80"/>
        <v>11450</v>
      </c>
      <c r="E16" s="451">
        <f t="shared" si="80"/>
        <v>11925</v>
      </c>
      <c r="F16" s="451">
        <f t="shared" si="80"/>
        <v>11925</v>
      </c>
      <c r="G16" s="451">
        <f t="shared" si="80"/>
        <v>13685</v>
      </c>
      <c r="H16" s="451">
        <f t="shared" si="80"/>
        <v>13685</v>
      </c>
      <c r="I16" s="451">
        <f t="shared" si="80"/>
        <v>11940</v>
      </c>
      <c r="J16" s="451">
        <f t="shared" si="80"/>
        <v>11940</v>
      </c>
      <c r="K16" s="451">
        <f t="shared" si="1"/>
        <v>-1745</v>
      </c>
      <c r="L16" s="451">
        <f t="shared" si="2"/>
        <v>87.248812568505656</v>
      </c>
      <c r="M16" s="451">
        <f t="shared" si="3"/>
        <v>2235</v>
      </c>
      <c r="N16" s="451">
        <f t="shared" si="4"/>
        <v>119.51965065502183</v>
      </c>
      <c r="O16" s="451">
        <v>90</v>
      </c>
      <c r="P16" s="451">
        <f t="shared" si="81"/>
        <v>90</v>
      </c>
      <c r="Q16" s="451">
        <v>47</v>
      </c>
      <c r="R16" s="451">
        <f>Q16</f>
        <v>47</v>
      </c>
      <c r="S16" s="451">
        <v>100</v>
      </c>
      <c r="T16" s="451">
        <f>S16</f>
        <v>100</v>
      </c>
      <c r="U16" s="451">
        <v>110</v>
      </c>
      <c r="V16" s="451">
        <f>U16</f>
        <v>110</v>
      </c>
      <c r="W16" s="451">
        <f t="shared" si="55"/>
        <v>10</v>
      </c>
      <c r="X16" s="451">
        <f>+U16/S16*100</f>
        <v>110.00000000000001</v>
      </c>
      <c r="Y16" s="451">
        <f t="shared" si="56"/>
        <v>10</v>
      </c>
      <c r="Z16" s="451">
        <f>+S16/O16*100</f>
        <v>111.11111111111111</v>
      </c>
      <c r="AA16" s="451">
        <v>300</v>
      </c>
      <c r="AB16" s="451">
        <f t="shared" si="82"/>
        <v>300</v>
      </c>
      <c r="AC16" s="451">
        <v>535</v>
      </c>
      <c r="AD16" s="451">
        <f>AC16</f>
        <v>535</v>
      </c>
      <c r="AE16" s="451">
        <v>520</v>
      </c>
      <c r="AF16" s="451">
        <f>AE16</f>
        <v>520</v>
      </c>
      <c r="AG16" s="451">
        <v>250</v>
      </c>
      <c r="AH16" s="451">
        <f>AG16</f>
        <v>250</v>
      </c>
      <c r="AI16" s="451">
        <f t="shared" si="58"/>
        <v>-270</v>
      </c>
      <c r="AJ16" s="451">
        <f>+AG16/AE16*100</f>
        <v>48.07692307692308</v>
      </c>
      <c r="AK16" s="451">
        <f t="shared" si="7"/>
        <v>220</v>
      </c>
      <c r="AL16" s="451">
        <f t="shared" si="8"/>
        <v>173.33333333333334</v>
      </c>
      <c r="AM16" s="451">
        <v>200</v>
      </c>
      <c r="AN16" s="451">
        <f t="shared" si="83"/>
        <v>200</v>
      </c>
      <c r="AO16" s="451">
        <v>203</v>
      </c>
      <c r="AP16" s="451">
        <f>AO16</f>
        <v>203</v>
      </c>
      <c r="AQ16" s="451">
        <v>250</v>
      </c>
      <c r="AR16" s="451">
        <f>AQ16</f>
        <v>250</v>
      </c>
      <c r="AS16" s="451">
        <v>210</v>
      </c>
      <c r="AT16" s="451">
        <f>AS16</f>
        <v>210</v>
      </c>
      <c r="AU16" s="451">
        <f t="shared" si="60"/>
        <v>-40</v>
      </c>
      <c r="AV16" s="451">
        <f>+AS16/AQ16*100</f>
        <v>84</v>
      </c>
      <c r="AW16" s="451">
        <f t="shared" si="10"/>
        <v>50</v>
      </c>
      <c r="AX16" s="451">
        <f t="shared" si="11"/>
        <v>125</v>
      </c>
      <c r="AY16" s="451">
        <v>400</v>
      </c>
      <c r="AZ16" s="451">
        <f t="shared" si="84"/>
        <v>400</v>
      </c>
      <c r="BA16" s="451">
        <v>331</v>
      </c>
      <c r="BB16" s="451">
        <f>BA16</f>
        <v>331</v>
      </c>
      <c r="BC16" s="451">
        <v>520</v>
      </c>
      <c r="BD16" s="451">
        <f>BC16</f>
        <v>520</v>
      </c>
      <c r="BE16" s="451">
        <v>530</v>
      </c>
      <c r="BF16" s="451">
        <f>BE16</f>
        <v>530</v>
      </c>
      <c r="BG16" s="451">
        <f t="shared" si="62"/>
        <v>10</v>
      </c>
      <c r="BH16" s="451">
        <f t="shared" si="91"/>
        <v>101.92307692307692</v>
      </c>
      <c r="BI16" s="451">
        <f t="shared" si="13"/>
        <v>120</v>
      </c>
      <c r="BJ16" s="451">
        <f t="shared" si="14"/>
        <v>130</v>
      </c>
      <c r="BK16" s="451">
        <v>2200</v>
      </c>
      <c r="BL16" s="451">
        <f t="shared" si="85"/>
        <v>2200</v>
      </c>
      <c r="BM16" s="451">
        <v>545</v>
      </c>
      <c r="BN16" s="451">
        <f>BM16</f>
        <v>545</v>
      </c>
      <c r="BO16" s="451">
        <v>800</v>
      </c>
      <c r="BP16" s="451">
        <f>BO16</f>
        <v>800</v>
      </c>
      <c r="BQ16" s="451">
        <v>870</v>
      </c>
      <c r="BR16" s="451">
        <f>BQ16</f>
        <v>870</v>
      </c>
      <c r="BS16" s="451">
        <f t="shared" si="64"/>
        <v>70</v>
      </c>
      <c r="BT16" s="451"/>
      <c r="BU16" s="451">
        <f t="shared" si="16"/>
        <v>-1400</v>
      </c>
      <c r="BV16" s="451"/>
      <c r="BW16" s="451">
        <v>1900</v>
      </c>
      <c r="BX16" s="451">
        <f>+BW16</f>
        <v>1900</v>
      </c>
      <c r="BY16" s="451">
        <v>1874</v>
      </c>
      <c r="BZ16" s="451">
        <f>BY16</f>
        <v>1874</v>
      </c>
      <c r="CA16" s="451">
        <v>2000</v>
      </c>
      <c r="CB16" s="451">
        <f>CA16</f>
        <v>2000</v>
      </c>
      <c r="CC16" s="451">
        <v>2000</v>
      </c>
      <c r="CD16" s="451">
        <f>CC16</f>
        <v>2000</v>
      </c>
      <c r="CE16" s="451">
        <f t="shared" si="66"/>
        <v>0</v>
      </c>
      <c r="CF16" s="451">
        <f>+CC16/CA16*100</f>
        <v>100</v>
      </c>
      <c r="CG16" s="451">
        <f t="shared" si="20"/>
        <v>100</v>
      </c>
      <c r="CH16" s="451">
        <f t="shared" si="21"/>
        <v>105.26315789473684</v>
      </c>
      <c r="CI16" s="451">
        <v>330</v>
      </c>
      <c r="CJ16" s="451">
        <f t="shared" si="86"/>
        <v>330</v>
      </c>
      <c r="CK16" s="451">
        <v>1150</v>
      </c>
      <c r="CL16" s="451">
        <f>CK16</f>
        <v>1150</v>
      </c>
      <c r="CM16" s="451">
        <v>1235</v>
      </c>
      <c r="CN16" s="451">
        <f>CM16</f>
        <v>1235</v>
      </c>
      <c r="CO16" s="451">
        <v>630</v>
      </c>
      <c r="CP16" s="451">
        <f>CO16</f>
        <v>630</v>
      </c>
      <c r="CQ16" s="451">
        <f t="shared" si="68"/>
        <v>-605</v>
      </c>
      <c r="CR16" s="451">
        <f t="shared" si="92"/>
        <v>51.012145748987855</v>
      </c>
      <c r="CS16" s="451">
        <f t="shared" si="23"/>
        <v>905</v>
      </c>
      <c r="CT16" s="451">
        <f t="shared" si="24"/>
        <v>374.24242424242425</v>
      </c>
      <c r="CU16" s="451">
        <v>1500</v>
      </c>
      <c r="CV16" s="451">
        <f t="shared" si="87"/>
        <v>1500</v>
      </c>
      <c r="CW16" s="451">
        <v>678</v>
      </c>
      <c r="CX16" s="451">
        <f>CW16</f>
        <v>678</v>
      </c>
      <c r="CY16" s="451">
        <v>1100</v>
      </c>
      <c r="CZ16" s="451">
        <f>CY16</f>
        <v>1100</v>
      </c>
      <c r="DA16" s="451">
        <v>1200</v>
      </c>
      <c r="DB16" s="451">
        <f>DA16</f>
        <v>1200</v>
      </c>
      <c r="DC16" s="451">
        <f t="shared" si="70"/>
        <v>100</v>
      </c>
      <c r="DD16" s="451">
        <f t="shared" si="26"/>
        <v>109.09090909090908</v>
      </c>
      <c r="DE16" s="451">
        <f t="shared" si="27"/>
        <v>-400</v>
      </c>
      <c r="DF16" s="451">
        <f t="shared" si="28"/>
        <v>73.333333333333329</v>
      </c>
      <c r="DG16" s="451">
        <v>1500</v>
      </c>
      <c r="DH16" s="451">
        <f t="shared" si="88"/>
        <v>1500</v>
      </c>
      <c r="DI16" s="451">
        <v>2992</v>
      </c>
      <c r="DJ16" s="451">
        <f>DI16</f>
        <v>2992</v>
      </c>
      <c r="DK16" s="451">
        <v>3200</v>
      </c>
      <c r="DL16" s="451">
        <f>DK16</f>
        <v>3200</v>
      </c>
      <c r="DM16" s="451">
        <v>2800</v>
      </c>
      <c r="DN16" s="451">
        <f>DM16</f>
        <v>2800</v>
      </c>
      <c r="DO16" s="451">
        <f t="shared" si="72"/>
        <v>-400</v>
      </c>
      <c r="DP16" s="451">
        <f t="shared" si="30"/>
        <v>87.5</v>
      </c>
      <c r="DQ16" s="451">
        <f t="shared" si="31"/>
        <v>1700</v>
      </c>
      <c r="DR16" s="451">
        <f t="shared" si="32"/>
        <v>213.33333333333334</v>
      </c>
      <c r="DS16" s="451">
        <v>310</v>
      </c>
      <c r="DT16" s="451">
        <f t="shared" si="89"/>
        <v>310</v>
      </c>
      <c r="DU16" s="451">
        <v>561</v>
      </c>
      <c r="DV16" s="451">
        <f>DU16</f>
        <v>561</v>
      </c>
      <c r="DW16" s="451">
        <v>610</v>
      </c>
      <c r="DX16" s="451">
        <f>DW16</f>
        <v>610</v>
      </c>
      <c r="DY16" s="451">
        <v>410</v>
      </c>
      <c r="DZ16" s="451">
        <f>DY16</f>
        <v>410</v>
      </c>
      <c r="EA16" s="451">
        <f t="shared" si="74"/>
        <v>-200</v>
      </c>
      <c r="EB16" s="451"/>
      <c r="EC16" s="451">
        <f t="shared" si="34"/>
        <v>300</v>
      </c>
      <c r="ED16" s="451">
        <f>+DW16/DS16*100</f>
        <v>196.7741935483871</v>
      </c>
      <c r="EE16" s="451">
        <v>2200</v>
      </c>
      <c r="EF16" s="451">
        <f>+EE16</f>
        <v>2200</v>
      </c>
      <c r="EG16" s="451">
        <v>2489</v>
      </c>
      <c r="EH16" s="451">
        <f>EG16</f>
        <v>2489</v>
      </c>
      <c r="EI16" s="451">
        <v>2700</v>
      </c>
      <c r="EJ16" s="451">
        <f>EI16</f>
        <v>2700</v>
      </c>
      <c r="EK16" s="451">
        <v>2300</v>
      </c>
      <c r="EL16" s="451">
        <f>EK16</f>
        <v>2300</v>
      </c>
      <c r="EM16" s="451">
        <f t="shared" si="76"/>
        <v>-400</v>
      </c>
      <c r="EN16" s="451">
        <f t="shared" si="37"/>
        <v>85.18518518518519</v>
      </c>
      <c r="EO16" s="451">
        <f t="shared" si="93"/>
        <v>500</v>
      </c>
      <c r="EP16" s="451">
        <f t="shared" si="38"/>
        <v>122.72727272727273</v>
      </c>
      <c r="EQ16" s="451">
        <v>520</v>
      </c>
      <c r="ER16" s="451">
        <f t="shared" si="90"/>
        <v>520</v>
      </c>
      <c r="ES16" s="451">
        <v>520</v>
      </c>
      <c r="ET16" s="451">
        <f>ES16</f>
        <v>520</v>
      </c>
      <c r="EU16" s="451">
        <v>650</v>
      </c>
      <c r="EV16" s="451">
        <f>EU16</f>
        <v>650</v>
      </c>
      <c r="EW16" s="451">
        <v>630</v>
      </c>
      <c r="EX16" s="451">
        <f>EW16</f>
        <v>630</v>
      </c>
      <c r="EY16" s="451">
        <f t="shared" si="78"/>
        <v>-20</v>
      </c>
      <c r="EZ16" s="451"/>
      <c r="FA16" s="451">
        <f t="shared" si="79"/>
        <v>130</v>
      </c>
      <c r="FB16" s="451">
        <f t="shared" si="40"/>
        <v>125</v>
      </c>
    </row>
    <row r="17" spans="1:158" s="485" customFormat="1">
      <c r="A17" s="483">
        <v>2</v>
      </c>
      <c r="B17" s="484" t="s">
        <v>788</v>
      </c>
      <c r="C17" s="450">
        <f>SUM(O17,AA17,AM17,AY17,BK17,BW17,CI17,CU17,DG17,DS17,EE17,EQ17)</f>
        <v>56200</v>
      </c>
      <c r="D17" s="450">
        <f t="shared" si="80"/>
        <v>0</v>
      </c>
      <c r="E17" s="450">
        <f t="shared" si="80"/>
        <v>76279</v>
      </c>
      <c r="F17" s="450">
        <f t="shared" si="80"/>
        <v>0</v>
      </c>
      <c r="G17" s="450">
        <f t="shared" si="80"/>
        <v>68500</v>
      </c>
      <c r="H17" s="450">
        <f t="shared" si="80"/>
        <v>0</v>
      </c>
      <c r="I17" s="450">
        <f t="shared" si="80"/>
        <v>75300</v>
      </c>
      <c r="J17" s="450">
        <f t="shared" si="80"/>
        <v>0</v>
      </c>
      <c r="K17" s="450">
        <f>+I17-G17</f>
        <v>6800</v>
      </c>
      <c r="L17" s="450">
        <f t="shared" si="2"/>
        <v>109.92700729927007</v>
      </c>
      <c r="M17" s="450">
        <f>+G17-C17</f>
        <v>12300</v>
      </c>
      <c r="N17" s="450"/>
      <c r="O17" s="450">
        <v>2100</v>
      </c>
      <c r="P17" s="450">
        <v>0</v>
      </c>
      <c r="Q17" s="450">
        <v>1691</v>
      </c>
      <c r="R17" s="450">
        <v>0</v>
      </c>
      <c r="S17" s="450">
        <v>2100</v>
      </c>
      <c r="T17" s="450">
        <v>0</v>
      </c>
      <c r="U17" s="450">
        <v>2300</v>
      </c>
      <c r="V17" s="450">
        <v>0</v>
      </c>
      <c r="W17" s="450">
        <f t="shared" si="55"/>
        <v>200</v>
      </c>
      <c r="X17" s="450">
        <f>+U17/S17*100</f>
        <v>109.52380952380953</v>
      </c>
      <c r="Y17" s="450">
        <f t="shared" si="56"/>
        <v>0</v>
      </c>
      <c r="Z17" s="450">
        <f>+S17/O17*100</f>
        <v>100</v>
      </c>
      <c r="AA17" s="450">
        <v>3600</v>
      </c>
      <c r="AB17" s="450">
        <v>0</v>
      </c>
      <c r="AC17" s="450">
        <v>3324</v>
      </c>
      <c r="AD17" s="450">
        <v>0</v>
      </c>
      <c r="AE17" s="450">
        <v>3800</v>
      </c>
      <c r="AF17" s="450">
        <v>0</v>
      </c>
      <c r="AG17" s="450">
        <v>4200</v>
      </c>
      <c r="AH17" s="450">
        <v>0</v>
      </c>
      <c r="AI17" s="450">
        <f t="shared" si="58"/>
        <v>400</v>
      </c>
      <c r="AJ17" s="450">
        <f>+AG17/AE17*100</f>
        <v>110.5263157894737</v>
      </c>
      <c r="AK17" s="450">
        <f t="shared" si="7"/>
        <v>200</v>
      </c>
      <c r="AL17" s="450">
        <f t="shared" si="8"/>
        <v>105.55555555555556</v>
      </c>
      <c r="AM17" s="450">
        <v>3000</v>
      </c>
      <c r="AN17" s="450">
        <v>0</v>
      </c>
      <c r="AO17" s="450">
        <v>2789</v>
      </c>
      <c r="AP17" s="450">
        <v>0</v>
      </c>
      <c r="AQ17" s="450">
        <v>3500</v>
      </c>
      <c r="AR17" s="450">
        <v>0</v>
      </c>
      <c r="AS17" s="450">
        <v>3500</v>
      </c>
      <c r="AT17" s="450">
        <v>0</v>
      </c>
      <c r="AU17" s="450">
        <f t="shared" si="60"/>
        <v>0</v>
      </c>
      <c r="AV17" s="450">
        <f>+AS17/AQ17*100</f>
        <v>100</v>
      </c>
      <c r="AW17" s="450">
        <f t="shared" si="10"/>
        <v>500</v>
      </c>
      <c r="AX17" s="450">
        <f t="shared" si="11"/>
        <v>116.66666666666667</v>
      </c>
      <c r="AY17" s="450">
        <v>4800</v>
      </c>
      <c r="AZ17" s="450">
        <v>0</v>
      </c>
      <c r="BA17" s="450">
        <v>4641</v>
      </c>
      <c r="BB17" s="450">
        <v>0</v>
      </c>
      <c r="BC17" s="450">
        <v>6300</v>
      </c>
      <c r="BD17" s="450">
        <v>0</v>
      </c>
      <c r="BE17" s="450">
        <v>6900</v>
      </c>
      <c r="BF17" s="450">
        <v>0</v>
      </c>
      <c r="BG17" s="450">
        <f t="shared" si="62"/>
        <v>600</v>
      </c>
      <c r="BH17" s="450">
        <f t="shared" si="91"/>
        <v>109.52380952380953</v>
      </c>
      <c r="BI17" s="450">
        <f t="shared" si="13"/>
        <v>1500</v>
      </c>
      <c r="BJ17" s="450">
        <f t="shared" si="14"/>
        <v>131.25</v>
      </c>
      <c r="BK17" s="450">
        <v>3650</v>
      </c>
      <c r="BL17" s="450">
        <v>0</v>
      </c>
      <c r="BM17" s="450">
        <v>8499</v>
      </c>
      <c r="BN17" s="450">
        <v>0</v>
      </c>
      <c r="BO17" s="450">
        <v>5000</v>
      </c>
      <c r="BP17" s="450">
        <v>0</v>
      </c>
      <c r="BQ17" s="450">
        <v>5500</v>
      </c>
      <c r="BR17" s="450">
        <v>0</v>
      </c>
      <c r="BS17" s="450">
        <f t="shared" si="64"/>
        <v>500</v>
      </c>
      <c r="BT17" s="450"/>
      <c r="BU17" s="450">
        <f t="shared" si="16"/>
        <v>1350</v>
      </c>
      <c r="BV17" s="450"/>
      <c r="BW17" s="450">
        <v>8900</v>
      </c>
      <c r="BX17" s="450">
        <v>0</v>
      </c>
      <c r="BY17" s="450">
        <v>18385</v>
      </c>
      <c r="BZ17" s="450">
        <v>0</v>
      </c>
      <c r="CA17" s="450">
        <v>9900</v>
      </c>
      <c r="CB17" s="450">
        <v>0</v>
      </c>
      <c r="CC17" s="450">
        <v>11000</v>
      </c>
      <c r="CD17" s="450">
        <v>0</v>
      </c>
      <c r="CE17" s="450">
        <f t="shared" si="66"/>
        <v>1100</v>
      </c>
      <c r="CF17" s="450">
        <f>+CC17/CA17*100</f>
        <v>111.11111111111111</v>
      </c>
      <c r="CG17" s="450">
        <f t="shared" si="20"/>
        <v>1000</v>
      </c>
      <c r="CH17" s="450">
        <f t="shared" si="21"/>
        <v>111.23595505617978</v>
      </c>
      <c r="CI17" s="450">
        <v>4350</v>
      </c>
      <c r="CJ17" s="450">
        <v>0</v>
      </c>
      <c r="CK17" s="450">
        <v>5319</v>
      </c>
      <c r="CL17" s="450">
        <v>0</v>
      </c>
      <c r="CM17" s="450">
        <v>7000</v>
      </c>
      <c r="CN17" s="450">
        <v>0</v>
      </c>
      <c r="CO17" s="450">
        <v>7800</v>
      </c>
      <c r="CP17" s="450">
        <v>0</v>
      </c>
      <c r="CQ17" s="450">
        <f t="shared" si="68"/>
        <v>800</v>
      </c>
      <c r="CR17" s="450">
        <f t="shared" si="92"/>
        <v>111.42857142857143</v>
      </c>
      <c r="CS17" s="450">
        <f t="shared" si="23"/>
        <v>2650</v>
      </c>
      <c r="CT17" s="450">
        <f t="shared" si="24"/>
        <v>160.91954022988506</v>
      </c>
      <c r="CU17" s="450">
        <v>5750</v>
      </c>
      <c r="CV17" s="450">
        <v>0</v>
      </c>
      <c r="CW17" s="450">
        <v>5583</v>
      </c>
      <c r="CX17" s="450">
        <v>0</v>
      </c>
      <c r="CY17" s="450">
        <v>7000</v>
      </c>
      <c r="CZ17" s="450">
        <v>0</v>
      </c>
      <c r="DA17" s="450">
        <v>7500</v>
      </c>
      <c r="DB17" s="450">
        <v>0</v>
      </c>
      <c r="DC17" s="450">
        <f t="shared" si="70"/>
        <v>500</v>
      </c>
      <c r="DD17" s="450">
        <f t="shared" si="26"/>
        <v>107.14285714285714</v>
      </c>
      <c r="DE17" s="450">
        <f t="shared" si="27"/>
        <v>1250</v>
      </c>
      <c r="DF17" s="450">
        <f t="shared" si="28"/>
        <v>121.73913043478262</v>
      </c>
      <c r="DG17" s="450">
        <v>5100</v>
      </c>
      <c r="DH17" s="450">
        <v>0</v>
      </c>
      <c r="DI17" s="450">
        <v>4706</v>
      </c>
      <c r="DJ17" s="450">
        <v>0</v>
      </c>
      <c r="DK17" s="450">
        <v>6000</v>
      </c>
      <c r="DL17" s="450">
        <v>0</v>
      </c>
      <c r="DM17" s="450">
        <v>6700</v>
      </c>
      <c r="DN17" s="450">
        <v>0</v>
      </c>
      <c r="DO17" s="450">
        <f t="shared" si="72"/>
        <v>700</v>
      </c>
      <c r="DP17" s="450">
        <f t="shared" si="30"/>
        <v>111.66666666666667</v>
      </c>
      <c r="DQ17" s="450">
        <f t="shared" si="31"/>
        <v>900</v>
      </c>
      <c r="DR17" s="450">
        <f t="shared" si="32"/>
        <v>117.64705882352942</v>
      </c>
      <c r="DS17" s="450">
        <v>3650</v>
      </c>
      <c r="DT17" s="450">
        <v>0</v>
      </c>
      <c r="DU17" s="450">
        <v>3699</v>
      </c>
      <c r="DV17" s="450">
        <v>0</v>
      </c>
      <c r="DW17" s="450">
        <v>4500</v>
      </c>
      <c r="DX17" s="450">
        <v>0</v>
      </c>
      <c r="DY17" s="450">
        <v>5000</v>
      </c>
      <c r="DZ17" s="450">
        <v>0</v>
      </c>
      <c r="EA17" s="450">
        <f t="shared" si="74"/>
        <v>500</v>
      </c>
      <c r="EB17" s="450"/>
      <c r="EC17" s="450">
        <f t="shared" si="34"/>
        <v>850</v>
      </c>
      <c r="ED17" s="450"/>
      <c r="EE17" s="450">
        <v>8000</v>
      </c>
      <c r="EF17" s="450">
        <v>0</v>
      </c>
      <c r="EG17" s="450">
        <v>14498</v>
      </c>
      <c r="EH17" s="450">
        <v>0</v>
      </c>
      <c r="EI17" s="450">
        <v>9900</v>
      </c>
      <c r="EJ17" s="450">
        <v>0</v>
      </c>
      <c r="EK17" s="450">
        <v>11000</v>
      </c>
      <c r="EL17" s="450">
        <v>0</v>
      </c>
      <c r="EM17" s="450">
        <f t="shared" si="76"/>
        <v>1100</v>
      </c>
      <c r="EN17" s="450">
        <f t="shared" si="37"/>
        <v>111.11111111111111</v>
      </c>
      <c r="EO17" s="450">
        <f t="shared" si="93"/>
        <v>1900</v>
      </c>
      <c r="EP17" s="450">
        <f t="shared" si="38"/>
        <v>123.75</v>
      </c>
      <c r="EQ17" s="450">
        <v>3300</v>
      </c>
      <c r="ER17" s="450">
        <v>0</v>
      </c>
      <c r="ES17" s="450">
        <v>3145</v>
      </c>
      <c r="ET17" s="450">
        <v>0</v>
      </c>
      <c r="EU17" s="450">
        <v>3500</v>
      </c>
      <c r="EV17" s="450">
        <v>0</v>
      </c>
      <c r="EW17" s="450">
        <v>3900</v>
      </c>
      <c r="EX17" s="450">
        <v>0</v>
      </c>
      <c r="EY17" s="450">
        <f t="shared" si="78"/>
        <v>400</v>
      </c>
      <c r="EZ17" s="450"/>
      <c r="FA17" s="450">
        <f t="shared" si="79"/>
        <v>200</v>
      </c>
      <c r="FB17" s="451">
        <f t="shared" si="40"/>
        <v>106.06060606060606</v>
      </c>
    </row>
    <row r="18" spans="1:158" s="485" customFormat="1">
      <c r="A18" s="483">
        <v>3</v>
      </c>
      <c r="B18" s="484" t="s">
        <v>485</v>
      </c>
      <c r="C18" s="450">
        <f t="shared" si="80"/>
        <v>97000</v>
      </c>
      <c r="D18" s="450">
        <f t="shared" si="80"/>
        <v>97000</v>
      </c>
      <c r="E18" s="450">
        <f t="shared" si="80"/>
        <v>62636</v>
      </c>
      <c r="F18" s="450">
        <f t="shared" si="80"/>
        <v>62636</v>
      </c>
      <c r="G18" s="450">
        <f t="shared" si="80"/>
        <v>90000</v>
      </c>
      <c r="H18" s="450">
        <f t="shared" si="80"/>
        <v>90000</v>
      </c>
      <c r="I18" s="450">
        <f t="shared" si="80"/>
        <v>97000</v>
      </c>
      <c r="J18" s="450">
        <f t="shared" si="80"/>
        <v>97000</v>
      </c>
      <c r="K18" s="450">
        <f t="shared" si="1"/>
        <v>7000</v>
      </c>
      <c r="L18" s="450">
        <f t="shared" si="2"/>
        <v>107.77777777777777</v>
      </c>
      <c r="M18" s="450">
        <f t="shared" si="3"/>
        <v>-7000</v>
      </c>
      <c r="N18" s="450">
        <f t="shared" si="4"/>
        <v>92.783505154639172</v>
      </c>
      <c r="O18" s="450">
        <v>2920</v>
      </c>
      <c r="P18" s="450">
        <f t="shared" si="81"/>
        <v>2920</v>
      </c>
      <c r="Q18" s="450">
        <v>1831</v>
      </c>
      <c r="R18" s="450">
        <f t="shared" ref="R18:R25" si="94">Q18</f>
        <v>1831</v>
      </c>
      <c r="S18" s="450">
        <v>2500</v>
      </c>
      <c r="T18" s="450">
        <f>S18</f>
        <v>2500</v>
      </c>
      <c r="U18" s="450">
        <v>2700</v>
      </c>
      <c r="V18" s="450">
        <f t="shared" ref="V18:V25" si="95">U18</f>
        <v>2700</v>
      </c>
      <c r="W18" s="450">
        <f t="shared" si="55"/>
        <v>200</v>
      </c>
      <c r="X18" s="450">
        <f>+U18/S18*100</f>
        <v>108</v>
      </c>
      <c r="Y18" s="450">
        <f t="shared" si="56"/>
        <v>-420</v>
      </c>
      <c r="Z18" s="450">
        <f>+S18/O18*100</f>
        <v>85.61643835616438</v>
      </c>
      <c r="AA18" s="450">
        <v>9420</v>
      </c>
      <c r="AB18" s="450">
        <f t="shared" si="82"/>
        <v>9420</v>
      </c>
      <c r="AC18" s="450">
        <v>5171</v>
      </c>
      <c r="AD18" s="450">
        <f t="shared" ref="AD18:AD25" si="96">AC18</f>
        <v>5171</v>
      </c>
      <c r="AE18" s="450">
        <v>7500</v>
      </c>
      <c r="AF18" s="450">
        <f t="shared" ref="AF18:AF25" si="97">AE18</f>
        <v>7500</v>
      </c>
      <c r="AG18" s="450">
        <v>8100</v>
      </c>
      <c r="AH18" s="450">
        <f t="shared" ref="AH18:AH25" si="98">AG18</f>
        <v>8100</v>
      </c>
      <c r="AI18" s="450">
        <f t="shared" si="58"/>
        <v>600</v>
      </c>
      <c r="AJ18" s="450">
        <f>+AG18/AE18*100</f>
        <v>108</v>
      </c>
      <c r="AK18" s="450">
        <f t="shared" si="7"/>
        <v>-1920</v>
      </c>
      <c r="AL18" s="450">
        <f t="shared" si="8"/>
        <v>79.617834394904463</v>
      </c>
      <c r="AM18" s="450">
        <v>3580</v>
      </c>
      <c r="AN18" s="450">
        <f t="shared" si="83"/>
        <v>3580</v>
      </c>
      <c r="AO18" s="450">
        <v>2556</v>
      </c>
      <c r="AP18" s="450">
        <f t="shared" ref="AP18:AP25" si="99">AO18</f>
        <v>2556</v>
      </c>
      <c r="AQ18" s="450">
        <v>3600</v>
      </c>
      <c r="AR18" s="450">
        <f t="shared" ref="AR18:AR25" si="100">AQ18</f>
        <v>3600</v>
      </c>
      <c r="AS18" s="450">
        <v>3800</v>
      </c>
      <c r="AT18" s="450">
        <f t="shared" ref="AT18:AT25" si="101">AS18</f>
        <v>3800</v>
      </c>
      <c r="AU18" s="450">
        <f t="shared" si="60"/>
        <v>200</v>
      </c>
      <c r="AV18" s="450">
        <f t="shared" ref="AV18:AV25" si="102">+AS18/AQ18*100</f>
        <v>105.55555555555556</v>
      </c>
      <c r="AW18" s="450">
        <f t="shared" si="10"/>
        <v>20</v>
      </c>
      <c r="AX18" s="450">
        <f t="shared" si="11"/>
        <v>100.55865921787711</v>
      </c>
      <c r="AY18" s="450">
        <v>5660</v>
      </c>
      <c r="AZ18" s="450">
        <f t="shared" si="84"/>
        <v>5660</v>
      </c>
      <c r="BA18" s="450">
        <v>3576</v>
      </c>
      <c r="BB18" s="450">
        <f t="shared" ref="BB18:BB25" si="103">BA18</f>
        <v>3576</v>
      </c>
      <c r="BC18" s="450">
        <v>5100</v>
      </c>
      <c r="BD18" s="450">
        <f t="shared" ref="BD18:BD25" si="104">BC18</f>
        <v>5100</v>
      </c>
      <c r="BE18" s="450">
        <v>5400</v>
      </c>
      <c r="BF18" s="450">
        <f t="shared" ref="BF18:BF25" si="105">BE18</f>
        <v>5400</v>
      </c>
      <c r="BG18" s="450">
        <f t="shared" si="62"/>
        <v>300</v>
      </c>
      <c r="BH18" s="450">
        <f t="shared" si="91"/>
        <v>105.88235294117648</v>
      </c>
      <c r="BI18" s="450">
        <f t="shared" si="13"/>
        <v>-560</v>
      </c>
      <c r="BJ18" s="450">
        <f t="shared" si="14"/>
        <v>90.10600706713781</v>
      </c>
      <c r="BK18" s="450">
        <v>5300</v>
      </c>
      <c r="BL18" s="450">
        <f t="shared" si="85"/>
        <v>5300</v>
      </c>
      <c r="BM18" s="450">
        <v>4331</v>
      </c>
      <c r="BN18" s="450">
        <f t="shared" ref="BN18:BN25" si="106">BM18</f>
        <v>4331</v>
      </c>
      <c r="BO18" s="450">
        <v>6100</v>
      </c>
      <c r="BP18" s="450">
        <f t="shared" ref="BP18:BP25" si="107">BO18</f>
        <v>6100</v>
      </c>
      <c r="BQ18" s="450">
        <v>6530</v>
      </c>
      <c r="BR18" s="450">
        <f t="shared" ref="BR18:BR25" si="108">BQ18</f>
        <v>6530</v>
      </c>
      <c r="BS18" s="450">
        <f t="shared" si="64"/>
        <v>430</v>
      </c>
      <c r="BT18" s="450">
        <f t="shared" ref="BT18:BT25" si="109">+BQ18/BO18*100</f>
        <v>107.04918032786885</v>
      </c>
      <c r="BU18" s="450">
        <f t="shared" si="16"/>
        <v>800</v>
      </c>
      <c r="BV18" s="450">
        <f t="shared" si="17"/>
        <v>115.09433962264151</v>
      </c>
      <c r="BW18" s="450">
        <v>21970</v>
      </c>
      <c r="BX18" s="450">
        <f>+BW18</f>
        <v>21970</v>
      </c>
      <c r="BY18" s="450">
        <v>11936</v>
      </c>
      <c r="BZ18" s="450">
        <f t="shared" ref="BZ18:BZ25" si="110">BY18</f>
        <v>11936</v>
      </c>
      <c r="CA18" s="450">
        <v>18230</v>
      </c>
      <c r="CB18" s="450">
        <f>CA18</f>
        <v>18230</v>
      </c>
      <c r="CC18" s="450">
        <v>19860</v>
      </c>
      <c r="CD18" s="450">
        <f>CC18</f>
        <v>19860</v>
      </c>
      <c r="CE18" s="450">
        <f t="shared" si="66"/>
        <v>1630</v>
      </c>
      <c r="CF18" s="450">
        <f>+CC18/CA18*100</f>
        <v>108.94130554031815</v>
      </c>
      <c r="CG18" s="450">
        <f t="shared" si="20"/>
        <v>-3740</v>
      </c>
      <c r="CH18" s="450">
        <f t="shared" si="21"/>
        <v>82.976786527082382</v>
      </c>
      <c r="CI18" s="450">
        <v>9180</v>
      </c>
      <c r="CJ18" s="450">
        <f t="shared" si="86"/>
        <v>9180</v>
      </c>
      <c r="CK18" s="450">
        <v>5782</v>
      </c>
      <c r="CL18" s="450">
        <f t="shared" ref="CL18:CL25" si="111">CK18</f>
        <v>5782</v>
      </c>
      <c r="CM18" s="450">
        <v>8200</v>
      </c>
      <c r="CN18" s="450">
        <f t="shared" ref="CN18:CN25" si="112">CM18</f>
        <v>8200</v>
      </c>
      <c r="CO18" s="450">
        <v>8800</v>
      </c>
      <c r="CP18" s="450">
        <f t="shared" ref="CP18:CP25" si="113">CO18</f>
        <v>8800</v>
      </c>
      <c r="CQ18" s="450">
        <f t="shared" si="68"/>
        <v>600</v>
      </c>
      <c r="CR18" s="450">
        <f t="shared" si="92"/>
        <v>107.31707317073172</v>
      </c>
      <c r="CS18" s="450">
        <f t="shared" si="23"/>
        <v>-980</v>
      </c>
      <c r="CT18" s="450">
        <f t="shared" si="24"/>
        <v>89.324618736383442</v>
      </c>
      <c r="CU18" s="450">
        <v>6800</v>
      </c>
      <c r="CV18" s="450">
        <f t="shared" si="87"/>
        <v>6800</v>
      </c>
      <c r="CW18" s="450">
        <v>5087</v>
      </c>
      <c r="CX18" s="450">
        <f t="shared" ref="CX18:CX25" si="114">CW18</f>
        <v>5087</v>
      </c>
      <c r="CY18" s="450">
        <v>7300</v>
      </c>
      <c r="CZ18" s="450">
        <f t="shared" ref="CZ18:CZ25" si="115">CY18</f>
        <v>7300</v>
      </c>
      <c r="DA18" s="450">
        <v>7740</v>
      </c>
      <c r="DB18" s="450">
        <f t="shared" ref="DB18:DB25" si="116">DA18</f>
        <v>7740</v>
      </c>
      <c r="DC18" s="450">
        <f t="shared" si="70"/>
        <v>440</v>
      </c>
      <c r="DD18" s="450">
        <f t="shared" si="26"/>
        <v>106.02739726027397</v>
      </c>
      <c r="DE18" s="450">
        <f t="shared" si="27"/>
        <v>500</v>
      </c>
      <c r="DF18" s="450">
        <f t="shared" si="28"/>
        <v>107.35294117647058</v>
      </c>
      <c r="DG18" s="450">
        <v>9070</v>
      </c>
      <c r="DH18" s="450">
        <f t="shared" si="88"/>
        <v>9070</v>
      </c>
      <c r="DI18" s="450">
        <v>5472</v>
      </c>
      <c r="DJ18" s="450">
        <f t="shared" ref="DJ18:DJ25" si="117">DI18</f>
        <v>5472</v>
      </c>
      <c r="DK18" s="450">
        <v>8000</v>
      </c>
      <c r="DL18" s="450">
        <f t="shared" ref="DL18:DL25" si="118">DK18</f>
        <v>8000</v>
      </c>
      <c r="DM18" s="450">
        <v>8640</v>
      </c>
      <c r="DN18" s="450">
        <f t="shared" ref="DN18:DN25" si="119">DM18</f>
        <v>8640</v>
      </c>
      <c r="DO18" s="450">
        <f t="shared" si="72"/>
        <v>640</v>
      </c>
      <c r="DP18" s="450">
        <f t="shared" si="30"/>
        <v>108</v>
      </c>
      <c r="DQ18" s="450">
        <f t="shared" si="31"/>
        <v>-1070</v>
      </c>
      <c r="DR18" s="450">
        <f t="shared" si="32"/>
        <v>88.202866593164273</v>
      </c>
      <c r="DS18" s="450">
        <v>7350</v>
      </c>
      <c r="DT18" s="450">
        <f t="shared" si="89"/>
        <v>7350</v>
      </c>
      <c r="DU18" s="450">
        <v>5445</v>
      </c>
      <c r="DV18" s="450">
        <f t="shared" ref="DV18:DV25" si="120">DU18</f>
        <v>5445</v>
      </c>
      <c r="DW18" s="450">
        <v>7000</v>
      </c>
      <c r="DX18" s="450">
        <f t="shared" ref="DX18:DX25" si="121">DW18</f>
        <v>7000</v>
      </c>
      <c r="DY18" s="450">
        <v>7500</v>
      </c>
      <c r="DZ18" s="450">
        <f t="shared" ref="DZ18:DZ25" si="122">DY18</f>
        <v>7500</v>
      </c>
      <c r="EA18" s="450">
        <f t="shared" si="74"/>
        <v>500</v>
      </c>
      <c r="EB18" s="450">
        <f t="shared" ref="EB18:EB25" si="123">+DY18/DW18*100</f>
        <v>107.14285714285714</v>
      </c>
      <c r="EC18" s="450">
        <f t="shared" si="34"/>
        <v>-350</v>
      </c>
      <c r="ED18" s="450">
        <f>+DW18/DS18*100</f>
        <v>95.238095238095227</v>
      </c>
      <c r="EE18" s="450">
        <v>9780</v>
      </c>
      <c r="EF18" s="450">
        <f>+EE18</f>
        <v>9780</v>
      </c>
      <c r="EG18" s="450">
        <v>7921</v>
      </c>
      <c r="EH18" s="450">
        <f t="shared" ref="EH18:EH25" si="124">EG18</f>
        <v>7921</v>
      </c>
      <c r="EI18" s="450">
        <v>10500</v>
      </c>
      <c r="EJ18" s="450">
        <f>EI18</f>
        <v>10500</v>
      </c>
      <c r="EK18" s="450">
        <v>11500</v>
      </c>
      <c r="EL18" s="450">
        <f>EK18</f>
        <v>11500</v>
      </c>
      <c r="EM18" s="450">
        <f t="shared" si="76"/>
        <v>1000</v>
      </c>
      <c r="EN18" s="450">
        <f t="shared" si="37"/>
        <v>109.52380952380953</v>
      </c>
      <c r="EO18" s="450">
        <f t="shared" si="93"/>
        <v>720</v>
      </c>
      <c r="EP18" s="450">
        <f t="shared" si="38"/>
        <v>107.36196319018406</v>
      </c>
      <c r="EQ18" s="450">
        <v>5970</v>
      </c>
      <c r="ER18" s="450">
        <f t="shared" si="90"/>
        <v>5970</v>
      </c>
      <c r="ES18" s="450">
        <v>3528</v>
      </c>
      <c r="ET18" s="450">
        <f t="shared" ref="ET18:ET25" si="125">ES18</f>
        <v>3528</v>
      </c>
      <c r="EU18" s="450">
        <v>5970</v>
      </c>
      <c r="EV18" s="450">
        <f t="shared" ref="EV18:EV25" si="126">EU18</f>
        <v>5970</v>
      </c>
      <c r="EW18" s="450">
        <v>6430</v>
      </c>
      <c r="EX18" s="450">
        <f t="shared" ref="EX18:EX25" si="127">EW18</f>
        <v>6430</v>
      </c>
      <c r="EY18" s="450">
        <f t="shared" si="78"/>
        <v>460</v>
      </c>
      <c r="EZ18" s="450">
        <f t="shared" ref="EZ18:EZ25" si="128">+EW18/EU18*100</f>
        <v>107.70519262981576</v>
      </c>
      <c r="FA18" s="450">
        <f t="shared" si="79"/>
        <v>0</v>
      </c>
      <c r="FB18" s="450">
        <f t="shared" si="40"/>
        <v>100</v>
      </c>
    </row>
    <row r="19" spans="1:158" s="485" customFormat="1">
      <c r="A19" s="483">
        <v>4</v>
      </c>
      <c r="B19" s="484" t="s">
        <v>77</v>
      </c>
      <c r="C19" s="450">
        <f t="shared" si="80"/>
        <v>0</v>
      </c>
      <c r="D19" s="450">
        <f t="shared" si="80"/>
        <v>0</v>
      </c>
      <c r="E19" s="450">
        <f t="shared" si="80"/>
        <v>456</v>
      </c>
      <c r="F19" s="450">
        <f t="shared" si="80"/>
        <v>456</v>
      </c>
      <c r="G19" s="450">
        <f t="shared" si="80"/>
        <v>500</v>
      </c>
      <c r="H19" s="450">
        <f t="shared" si="80"/>
        <v>500</v>
      </c>
      <c r="I19" s="450">
        <f t="shared" si="80"/>
        <v>500</v>
      </c>
      <c r="J19" s="450">
        <f t="shared" si="80"/>
        <v>500</v>
      </c>
      <c r="K19" s="450">
        <f t="shared" si="1"/>
        <v>0</v>
      </c>
      <c r="L19" s="450">
        <f t="shared" si="2"/>
        <v>100</v>
      </c>
      <c r="M19" s="450">
        <f t="shared" si="3"/>
        <v>500</v>
      </c>
      <c r="N19" s="450"/>
      <c r="O19" s="450">
        <v>0</v>
      </c>
      <c r="P19" s="450">
        <f>O19</f>
        <v>0</v>
      </c>
      <c r="Q19" s="450">
        <v>0</v>
      </c>
      <c r="R19" s="450">
        <f t="shared" si="94"/>
        <v>0</v>
      </c>
      <c r="S19" s="450">
        <f>Q19/8*12</f>
        <v>0</v>
      </c>
      <c r="T19" s="450">
        <f t="shared" ref="T19:T25" si="129">S19</f>
        <v>0</v>
      </c>
      <c r="U19" s="450"/>
      <c r="V19" s="450">
        <f t="shared" si="95"/>
        <v>0</v>
      </c>
      <c r="W19" s="450">
        <f t="shared" si="55"/>
        <v>0</v>
      </c>
      <c r="X19" s="450"/>
      <c r="Y19" s="450">
        <f t="shared" si="56"/>
        <v>0</v>
      </c>
      <c r="Z19" s="450"/>
      <c r="AA19" s="450">
        <v>0</v>
      </c>
      <c r="AB19" s="450">
        <f>AA19</f>
        <v>0</v>
      </c>
      <c r="AC19" s="450">
        <v>0</v>
      </c>
      <c r="AD19" s="450">
        <f t="shared" si="96"/>
        <v>0</v>
      </c>
      <c r="AE19" s="450">
        <f>AC19/8*12</f>
        <v>0</v>
      </c>
      <c r="AF19" s="450">
        <f t="shared" si="97"/>
        <v>0</v>
      </c>
      <c r="AG19" s="450">
        <v>50</v>
      </c>
      <c r="AH19" s="450">
        <f t="shared" si="98"/>
        <v>50</v>
      </c>
      <c r="AI19" s="450">
        <f t="shared" si="58"/>
        <v>50</v>
      </c>
      <c r="AJ19" s="450"/>
      <c r="AK19" s="450">
        <f t="shared" si="7"/>
        <v>0</v>
      </c>
      <c r="AL19" s="450"/>
      <c r="AM19" s="450">
        <v>0</v>
      </c>
      <c r="AN19" s="450">
        <f>AM19</f>
        <v>0</v>
      </c>
      <c r="AO19" s="450">
        <v>25</v>
      </c>
      <c r="AP19" s="450">
        <f t="shared" si="99"/>
        <v>25</v>
      </c>
      <c r="AQ19" s="450">
        <v>20</v>
      </c>
      <c r="AR19" s="450">
        <f t="shared" si="100"/>
        <v>20</v>
      </c>
      <c r="AS19" s="450">
        <v>100</v>
      </c>
      <c r="AT19" s="450">
        <f t="shared" si="101"/>
        <v>100</v>
      </c>
      <c r="AU19" s="450">
        <f t="shared" si="60"/>
        <v>80</v>
      </c>
      <c r="AV19" s="450">
        <f t="shared" si="102"/>
        <v>500</v>
      </c>
      <c r="AW19" s="450">
        <f t="shared" si="10"/>
        <v>20</v>
      </c>
      <c r="AX19" s="450"/>
      <c r="AY19" s="450">
        <v>0</v>
      </c>
      <c r="AZ19" s="450">
        <f>AY19</f>
        <v>0</v>
      </c>
      <c r="BA19" s="450">
        <v>20</v>
      </c>
      <c r="BB19" s="450">
        <f t="shared" si="103"/>
        <v>20</v>
      </c>
      <c r="BC19" s="450">
        <v>31</v>
      </c>
      <c r="BD19" s="450">
        <f t="shared" si="104"/>
        <v>31</v>
      </c>
      <c r="BE19" s="450">
        <v>100</v>
      </c>
      <c r="BF19" s="450">
        <f t="shared" si="105"/>
        <v>100</v>
      </c>
      <c r="BG19" s="450">
        <f t="shared" si="62"/>
        <v>69</v>
      </c>
      <c r="BH19" s="450">
        <f t="shared" si="91"/>
        <v>322.58064516129031</v>
      </c>
      <c r="BI19" s="450">
        <f t="shared" si="13"/>
        <v>31</v>
      </c>
      <c r="BJ19" s="450"/>
      <c r="BK19" s="450">
        <v>0</v>
      </c>
      <c r="BL19" s="450">
        <f>BK19</f>
        <v>0</v>
      </c>
      <c r="BM19" s="450">
        <v>0</v>
      </c>
      <c r="BN19" s="450">
        <f t="shared" si="106"/>
        <v>0</v>
      </c>
      <c r="BO19" s="450">
        <v>22</v>
      </c>
      <c r="BP19" s="450">
        <f t="shared" si="107"/>
        <v>22</v>
      </c>
      <c r="BQ19" s="450"/>
      <c r="BR19" s="450">
        <f t="shared" si="108"/>
        <v>0</v>
      </c>
      <c r="BS19" s="450">
        <f t="shared" si="64"/>
        <v>-22</v>
      </c>
      <c r="BT19" s="450">
        <f t="shared" si="109"/>
        <v>0</v>
      </c>
      <c r="BU19" s="450">
        <f t="shared" si="16"/>
        <v>22</v>
      </c>
      <c r="BV19" s="450"/>
      <c r="BW19" s="450">
        <v>0</v>
      </c>
      <c r="BX19" s="450">
        <f>BW19</f>
        <v>0</v>
      </c>
      <c r="BY19" s="450">
        <v>0</v>
      </c>
      <c r="BZ19" s="450">
        <f t="shared" si="110"/>
        <v>0</v>
      </c>
      <c r="CA19" s="450">
        <f>BY19/8*12</f>
        <v>0</v>
      </c>
      <c r="CB19" s="450">
        <f>CA19</f>
        <v>0</v>
      </c>
      <c r="CC19" s="450"/>
      <c r="CD19" s="450">
        <f>CC19</f>
        <v>0</v>
      </c>
      <c r="CE19" s="450">
        <f t="shared" si="66"/>
        <v>0</v>
      </c>
      <c r="CF19" s="450"/>
      <c r="CG19" s="450">
        <f t="shared" si="20"/>
        <v>0</v>
      </c>
      <c r="CH19" s="450"/>
      <c r="CI19" s="450">
        <v>0</v>
      </c>
      <c r="CJ19" s="450">
        <f>CI19</f>
        <v>0</v>
      </c>
      <c r="CK19" s="450">
        <v>411</v>
      </c>
      <c r="CL19" s="450">
        <f t="shared" si="111"/>
        <v>411</v>
      </c>
      <c r="CM19" s="450">
        <v>411</v>
      </c>
      <c r="CN19" s="450">
        <f t="shared" si="112"/>
        <v>411</v>
      </c>
      <c r="CO19" s="450">
        <v>150</v>
      </c>
      <c r="CP19" s="450">
        <f t="shared" si="113"/>
        <v>150</v>
      </c>
      <c r="CQ19" s="450">
        <f t="shared" si="68"/>
        <v>-261</v>
      </c>
      <c r="CR19" s="450">
        <f t="shared" si="92"/>
        <v>36.496350364963504</v>
      </c>
      <c r="CS19" s="450">
        <f t="shared" si="23"/>
        <v>411</v>
      </c>
      <c r="CT19" s="450"/>
      <c r="CU19" s="450">
        <v>0</v>
      </c>
      <c r="CV19" s="450">
        <f>CU19</f>
        <v>0</v>
      </c>
      <c r="CW19" s="450">
        <v>0</v>
      </c>
      <c r="CX19" s="450">
        <f t="shared" si="114"/>
        <v>0</v>
      </c>
      <c r="CY19" s="450">
        <v>16</v>
      </c>
      <c r="CZ19" s="450">
        <f t="shared" si="115"/>
        <v>16</v>
      </c>
      <c r="DA19" s="450">
        <v>100</v>
      </c>
      <c r="DB19" s="450">
        <f t="shared" si="116"/>
        <v>100</v>
      </c>
      <c r="DC19" s="450">
        <f t="shared" si="70"/>
        <v>84</v>
      </c>
      <c r="DD19" s="450">
        <f t="shared" si="26"/>
        <v>625</v>
      </c>
      <c r="DE19" s="450">
        <f t="shared" si="27"/>
        <v>16</v>
      </c>
      <c r="DF19" s="450"/>
      <c r="DG19" s="450">
        <v>0</v>
      </c>
      <c r="DH19" s="450">
        <f>DG19</f>
        <v>0</v>
      </c>
      <c r="DI19" s="450">
        <v>0</v>
      </c>
      <c r="DJ19" s="450">
        <f t="shared" si="117"/>
        <v>0</v>
      </c>
      <c r="DK19" s="450">
        <v>0</v>
      </c>
      <c r="DL19" s="450">
        <f t="shared" si="118"/>
        <v>0</v>
      </c>
      <c r="DM19" s="450"/>
      <c r="DN19" s="450">
        <f t="shared" si="119"/>
        <v>0</v>
      </c>
      <c r="DO19" s="450">
        <f t="shared" si="72"/>
        <v>0</v>
      </c>
      <c r="DP19" s="450"/>
      <c r="DQ19" s="450">
        <f t="shared" si="31"/>
        <v>0</v>
      </c>
      <c r="DR19" s="450"/>
      <c r="DS19" s="450">
        <v>0</v>
      </c>
      <c r="DT19" s="450">
        <f>DS19</f>
        <v>0</v>
      </c>
      <c r="DU19" s="450">
        <v>0</v>
      </c>
      <c r="DV19" s="450">
        <f t="shared" si="120"/>
        <v>0</v>
      </c>
      <c r="DW19" s="450">
        <v>0</v>
      </c>
      <c r="DX19" s="450">
        <f t="shared" si="121"/>
        <v>0</v>
      </c>
      <c r="DY19" s="450"/>
      <c r="DZ19" s="450">
        <f t="shared" si="122"/>
        <v>0</v>
      </c>
      <c r="EA19" s="450">
        <f t="shared" si="74"/>
        <v>0</v>
      </c>
      <c r="EB19" s="450"/>
      <c r="EC19" s="450">
        <f t="shared" si="34"/>
        <v>0</v>
      </c>
      <c r="ED19" s="450"/>
      <c r="EE19" s="450">
        <v>0</v>
      </c>
      <c r="EF19" s="450">
        <f>EE19</f>
        <v>0</v>
      </c>
      <c r="EG19" s="450">
        <v>0</v>
      </c>
      <c r="EH19" s="450">
        <f t="shared" si="124"/>
        <v>0</v>
      </c>
      <c r="EI19" s="450">
        <v>0</v>
      </c>
      <c r="EJ19" s="450">
        <f>EI19</f>
        <v>0</v>
      </c>
      <c r="EK19" s="450"/>
      <c r="EL19" s="450">
        <f>EK19</f>
        <v>0</v>
      </c>
      <c r="EM19" s="450">
        <f t="shared" si="76"/>
        <v>0</v>
      </c>
      <c r="EN19" s="450"/>
      <c r="EO19" s="450">
        <f t="shared" si="93"/>
        <v>0</v>
      </c>
      <c r="EP19" s="450"/>
      <c r="EQ19" s="450">
        <v>0</v>
      </c>
      <c r="ER19" s="450">
        <f>EQ19</f>
        <v>0</v>
      </c>
      <c r="ES19" s="450">
        <v>0</v>
      </c>
      <c r="ET19" s="450">
        <f t="shared" si="125"/>
        <v>0</v>
      </c>
      <c r="EU19" s="450">
        <v>0</v>
      </c>
      <c r="EV19" s="450">
        <f t="shared" si="126"/>
        <v>0</v>
      </c>
      <c r="EW19" s="450"/>
      <c r="EX19" s="450">
        <f t="shared" si="127"/>
        <v>0</v>
      </c>
      <c r="EY19" s="450">
        <f t="shared" si="78"/>
        <v>0</v>
      </c>
      <c r="EZ19" s="450"/>
      <c r="FA19" s="450">
        <f>+EU19-EQ19</f>
        <v>0</v>
      </c>
      <c r="FB19" s="450"/>
    </row>
    <row r="20" spans="1:158" s="485" customFormat="1">
      <c r="A20" s="483">
        <v>5</v>
      </c>
      <c r="B20" s="484" t="s">
        <v>540</v>
      </c>
      <c r="C20" s="450">
        <f t="shared" si="80"/>
        <v>8150</v>
      </c>
      <c r="D20" s="450">
        <f t="shared" si="80"/>
        <v>8150</v>
      </c>
      <c r="E20" s="450">
        <f t="shared" si="80"/>
        <v>7347</v>
      </c>
      <c r="F20" s="450">
        <f t="shared" si="80"/>
        <v>7347</v>
      </c>
      <c r="G20" s="450">
        <f t="shared" si="80"/>
        <v>8000</v>
      </c>
      <c r="H20" s="450">
        <f t="shared" si="80"/>
        <v>8000</v>
      </c>
      <c r="I20" s="450">
        <f t="shared" si="80"/>
        <v>8000</v>
      </c>
      <c r="J20" s="450">
        <f t="shared" si="80"/>
        <v>8000</v>
      </c>
      <c r="K20" s="450">
        <f t="shared" si="1"/>
        <v>0</v>
      </c>
      <c r="L20" s="450">
        <f t="shared" si="2"/>
        <v>100</v>
      </c>
      <c r="M20" s="450">
        <f t="shared" si="3"/>
        <v>-150</v>
      </c>
      <c r="N20" s="450">
        <f t="shared" ref="N20:N25" si="130">+G20/C20*100</f>
        <v>98.159509202453989</v>
      </c>
      <c r="O20" s="450">
        <v>50</v>
      </c>
      <c r="P20" s="450">
        <f>O20</f>
        <v>50</v>
      </c>
      <c r="Q20" s="450">
        <v>7</v>
      </c>
      <c r="R20" s="450">
        <f t="shared" si="94"/>
        <v>7</v>
      </c>
      <c r="S20" s="450">
        <v>10</v>
      </c>
      <c r="T20" s="450">
        <f t="shared" si="129"/>
        <v>10</v>
      </c>
      <c r="U20" s="450">
        <v>10</v>
      </c>
      <c r="V20" s="450">
        <f t="shared" si="95"/>
        <v>10</v>
      </c>
      <c r="W20" s="450">
        <f t="shared" si="55"/>
        <v>0</v>
      </c>
      <c r="X20" s="450">
        <f t="shared" ref="X20:X25" si="131">+U20/S20*100</f>
        <v>100</v>
      </c>
      <c r="Y20" s="450">
        <f t="shared" si="56"/>
        <v>-40</v>
      </c>
      <c r="Z20" s="450">
        <v>160</v>
      </c>
      <c r="AA20" s="450">
        <v>170</v>
      </c>
      <c r="AB20" s="450">
        <f>AA20</f>
        <v>170</v>
      </c>
      <c r="AC20" s="450">
        <v>233</v>
      </c>
      <c r="AD20" s="450">
        <f t="shared" si="96"/>
        <v>233</v>
      </c>
      <c r="AE20" s="450">
        <v>220</v>
      </c>
      <c r="AF20" s="450">
        <f t="shared" si="97"/>
        <v>220</v>
      </c>
      <c r="AG20" s="450">
        <v>200</v>
      </c>
      <c r="AH20" s="450">
        <f t="shared" si="98"/>
        <v>200</v>
      </c>
      <c r="AI20" s="450">
        <f t="shared" si="58"/>
        <v>-20</v>
      </c>
      <c r="AJ20" s="450">
        <f t="shared" ref="AJ20:AJ25" si="132">+AG20/AE20*100</f>
        <v>90.909090909090907</v>
      </c>
      <c r="AK20" s="450">
        <f t="shared" si="7"/>
        <v>50</v>
      </c>
      <c r="AL20" s="450">
        <v>160</v>
      </c>
      <c r="AM20" s="450">
        <v>190</v>
      </c>
      <c r="AN20" s="450">
        <f>AM20</f>
        <v>190</v>
      </c>
      <c r="AO20" s="450">
        <v>84</v>
      </c>
      <c r="AP20" s="450">
        <f t="shared" si="99"/>
        <v>84</v>
      </c>
      <c r="AQ20" s="450">
        <v>140</v>
      </c>
      <c r="AR20" s="450">
        <f t="shared" si="100"/>
        <v>140</v>
      </c>
      <c r="AS20" s="450">
        <v>150</v>
      </c>
      <c r="AT20" s="450">
        <f t="shared" si="101"/>
        <v>150</v>
      </c>
      <c r="AU20" s="450">
        <f t="shared" si="60"/>
        <v>10</v>
      </c>
      <c r="AV20" s="450">
        <f t="shared" si="102"/>
        <v>107.14285714285714</v>
      </c>
      <c r="AW20" s="450">
        <f t="shared" si="10"/>
        <v>-50</v>
      </c>
      <c r="AX20" s="450">
        <f t="shared" ref="AX20:AX25" si="133">+AQ20/AM20*100</f>
        <v>73.68421052631578</v>
      </c>
      <c r="AY20" s="450">
        <v>210</v>
      </c>
      <c r="AZ20" s="450">
        <f>AY20</f>
        <v>210</v>
      </c>
      <c r="BA20" s="450">
        <v>128</v>
      </c>
      <c r="BB20" s="450">
        <f t="shared" si="103"/>
        <v>128</v>
      </c>
      <c r="BC20" s="450">
        <v>170</v>
      </c>
      <c r="BD20" s="450">
        <f t="shared" si="104"/>
        <v>170</v>
      </c>
      <c r="BE20" s="450">
        <v>200</v>
      </c>
      <c r="BF20" s="450">
        <f t="shared" si="105"/>
        <v>200</v>
      </c>
      <c r="BG20" s="450">
        <f t="shared" si="62"/>
        <v>30</v>
      </c>
      <c r="BH20" s="450">
        <f t="shared" si="91"/>
        <v>117.64705882352942</v>
      </c>
      <c r="BI20" s="450">
        <f>+BC20-AY20</f>
        <v>-40</v>
      </c>
      <c r="BJ20" s="450">
        <f t="shared" ref="BJ20:BJ25" si="134">+BC20/AY20*100</f>
        <v>80.952380952380949</v>
      </c>
      <c r="BK20" s="450">
        <v>540</v>
      </c>
      <c r="BL20" s="450">
        <f>BK20</f>
        <v>540</v>
      </c>
      <c r="BM20" s="450">
        <v>427</v>
      </c>
      <c r="BN20" s="450">
        <f t="shared" si="106"/>
        <v>427</v>
      </c>
      <c r="BO20" s="450">
        <v>540</v>
      </c>
      <c r="BP20" s="450">
        <f t="shared" si="107"/>
        <v>540</v>
      </c>
      <c r="BQ20" s="450">
        <v>600</v>
      </c>
      <c r="BR20" s="450">
        <f t="shared" si="108"/>
        <v>600</v>
      </c>
      <c r="BS20" s="450">
        <f t="shared" si="64"/>
        <v>60</v>
      </c>
      <c r="BT20" s="450">
        <f t="shared" si="109"/>
        <v>111.11111111111111</v>
      </c>
      <c r="BU20" s="450">
        <f>+BO20-BK20</f>
        <v>0</v>
      </c>
      <c r="BV20" s="450">
        <f t="shared" ref="BV20:BV25" si="135">+BO20/BK20*100</f>
        <v>100</v>
      </c>
      <c r="BW20" s="450">
        <v>1850</v>
      </c>
      <c r="BX20" s="450">
        <f>BW20</f>
        <v>1850</v>
      </c>
      <c r="BY20" s="450">
        <v>1718</v>
      </c>
      <c r="BZ20" s="450">
        <f t="shared" si="110"/>
        <v>1718</v>
      </c>
      <c r="CA20" s="450">
        <v>1850</v>
      </c>
      <c r="CB20" s="450">
        <f>CA20</f>
        <v>1850</v>
      </c>
      <c r="CC20" s="450">
        <v>1890</v>
      </c>
      <c r="CD20" s="450">
        <f>CC20</f>
        <v>1890</v>
      </c>
      <c r="CE20" s="450">
        <f t="shared" si="66"/>
        <v>40</v>
      </c>
      <c r="CF20" s="450">
        <f t="shared" ref="CF20:CF25" si="136">+CC20/CA20*100</f>
        <v>102.16216216216216</v>
      </c>
      <c r="CG20" s="450">
        <f>+CA20-BW20</f>
        <v>0</v>
      </c>
      <c r="CH20" s="450">
        <f t="shared" ref="CH20:CH25" si="137">+CA20/BW20*100</f>
        <v>100</v>
      </c>
      <c r="CI20" s="450">
        <v>950</v>
      </c>
      <c r="CJ20" s="450">
        <f>CI20</f>
        <v>950</v>
      </c>
      <c r="CK20" s="450">
        <v>710</v>
      </c>
      <c r="CL20" s="450">
        <f t="shared" si="111"/>
        <v>710</v>
      </c>
      <c r="CM20" s="450">
        <v>850</v>
      </c>
      <c r="CN20" s="450">
        <f t="shared" si="112"/>
        <v>850</v>
      </c>
      <c r="CO20" s="450">
        <v>850</v>
      </c>
      <c r="CP20" s="450">
        <f t="shared" si="113"/>
        <v>850</v>
      </c>
      <c r="CQ20" s="450">
        <f t="shared" si="68"/>
        <v>0</v>
      </c>
      <c r="CR20" s="450">
        <f t="shared" si="92"/>
        <v>100</v>
      </c>
      <c r="CS20" s="450">
        <f>+CM20-CI20</f>
        <v>-100</v>
      </c>
      <c r="CT20" s="450">
        <f t="shared" ref="CT20:CT25" si="138">+CM20/CI20*100</f>
        <v>89.473684210526315</v>
      </c>
      <c r="CU20" s="450">
        <v>850</v>
      </c>
      <c r="CV20" s="450">
        <f>CU20</f>
        <v>850</v>
      </c>
      <c r="CW20" s="450">
        <v>684</v>
      </c>
      <c r="CX20" s="450">
        <f t="shared" si="114"/>
        <v>684</v>
      </c>
      <c r="CY20" s="450">
        <v>800</v>
      </c>
      <c r="CZ20" s="450">
        <f t="shared" si="115"/>
        <v>800</v>
      </c>
      <c r="DA20" s="450">
        <v>750</v>
      </c>
      <c r="DB20" s="450">
        <f t="shared" si="116"/>
        <v>750</v>
      </c>
      <c r="DC20" s="450">
        <f t="shared" si="70"/>
        <v>-50</v>
      </c>
      <c r="DD20" s="450">
        <f t="shared" si="26"/>
        <v>93.75</v>
      </c>
      <c r="DE20" s="450">
        <f>+CY20-CU20</f>
        <v>-50</v>
      </c>
      <c r="DF20" s="450">
        <f t="shared" ref="DF20:DF25" si="139">+CY20/CU20*100</f>
        <v>94.117647058823522</v>
      </c>
      <c r="DG20" s="450">
        <v>510</v>
      </c>
      <c r="DH20" s="450">
        <f>DG20</f>
        <v>510</v>
      </c>
      <c r="DI20" s="450">
        <v>552</v>
      </c>
      <c r="DJ20" s="450">
        <f t="shared" si="117"/>
        <v>552</v>
      </c>
      <c r="DK20" s="450">
        <v>560</v>
      </c>
      <c r="DL20" s="450">
        <f t="shared" si="118"/>
        <v>560</v>
      </c>
      <c r="DM20" s="450">
        <v>510</v>
      </c>
      <c r="DN20" s="450">
        <f t="shared" si="119"/>
        <v>510</v>
      </c>
      <c r="DO20" s="450">
        <f t="shared" si="72"/>
        <v>-50</v>
      </c>
      <c r="DP20" s="450">
        <f t="shared" si="30"/>
        <v>91.071428571428569</v>
      </c>
      <c r="DQ20" s="450">
        <f>+DK20-DG20</f>
        <v>50</v>
      </c>
      <c r="DR20" s="450">
        <f t="shared" ref="DR20:DR25" si="140">+DK20/DG20*100</f>
        <v>109.80392156862746</v>
      </c>
      <c r="DS20" s="450">
        <v>530</v>
      </c>
      <c r="DT20" s="450">
        <f>DS20</f>
        <v>530</v>
      </c>
      <c r="DU20" s="450">
        <v>557</v>
      </c>
      <c r="DV20" s="450">
        <f t="shared" si="120"/>
        <v>557</v>
      </c>
      <c r="DW20" s="450">
        <v>560</v>
      </c>
      <c r="DX20" s="450">
        <f t="shared" si="121"/>
        <v>560</v>
      </c>
      <c r="DY20" s="450">
        <v>540</v>
      </c>
      <c r="DZ20" s="450">
        <f t="shared" si="122"/>
        <v>540</v>
      </c>
      <c r="EA20" s="450">
        <f t="shared" si="74"/>
        <v>-20</v>
      </c>
      <c r="EB20" s="450">
        <f t="shared" si="123"/>
        <v>96.428571428571431</v>
      </c>
      <c r="EC20" s="450">
        <f>+DW20-DS20</f>
        <v>30</v>
      </c>
      <c r="ED20" s="450">
        <f t="shared" ref="ED20:ED25" si="141">+DW20/DS20*100</f>
        <v>105.66037735849056</v>
      </c>
      <c r="EE20" s="450">
        <v>1700</v>
      </c>
      <c r="EF20" s="450">
        <f>EE20</f>
        <v>1700</v>
      </c>
      <c r="EG20" s="450">
        <v>1683</v>
      </c>
      <c r="EH20" s="450">
        <f t="shared" si="124"/>
        <v>1683</v>
      </c>
      <c r="EI20" s="450">
        <v>1700</v>
      </c>
      <c r="EJ20" s="450">
        <f>EI20</f>
        <v>1700</v>
      </c>
      <c r="EK20" s="450">
        <v>1700</v>
      </c>
      <c r="EL20" s="450">
        <f>EK20</f>
        <v>1700</v>
      </c>
      <c r="EM20" s="450">
        <f t="shared" si="76"/>
        <v>0</v>
      </c>
      <c r="EN20" s="450">
        <f t="shared" si="37"/>
        <v>100</v>
      </c>
      <c r="EO20" s="450">
        <f t="shared" si="93"/>
        <v>0</v>
      </c>
      <c r="EP20" s="450">
        <f t="shared" si="38"/>
        <v>100</v>
      </c>
      <c r="EQ20" s="450">
        <v>600</v>
      </c>
      <c r="ER20" s="450">
        <f>EQ20</f>
        <v>600</v>
      </c>
      <c r="ES20" s="450">
        <v>564</v>
      </c>
      <c r="ET20" s="450">
        <f t="shared" si="125"/>
        <v>564</v>
      </c>
      <c r="EU20" s="450">
        <v>600</v>
      </c>
      <c r="EV20" s="450">
        <f t="shared" si="126"/>
        <v>600</v>
      </c>
      <c r="EW20" s="450">
        <v>600</v>
      </c>
      <c r="EX20" s="450">
        <f t="shared" si="127"/>
        <v>600</v>
      </c>
      <c r="EY20" s="450">
        <f t="shared" si="78"/>
        <v>0</v>
      </c>
      <c r="EZ20" s="450">
        <f t="shared" si="128"/>
        <v>100</v>
      </c>
      <c r="FA20" s="450">
        <f>+EU20-EQ20</f>
        <v>0</v>
      </c>
      <c r="FB20" s="450">
        <f t="shared" ref="FB20:FB25" si="142">+EU20/EQ20*100</f>
        <v>100</v>
      </c>
    </row>
    <row r="21" spans="1:158" s="485" customFormat="1">
      <c r="A21" s="483">
        <v>6</v>
      </c>
      <c r="B21" s="484" t="s">
        <v>486</v>
      </c>
      <c r="C21" s="450">
        <f t="shared" si="80"/>
        <v>66000</v>
      </c>
      <c r="D21" s="450">
        <f t="shared" si="80"/>
        <v>66000</v>
      </c>
      <c r="E21" s="450">
        <f t="shared" si="80"/>
        <v>69843</v>
      </c>
      <c r="F21" s="450">
        <f t="shared" si="80"/>
        <v>69843</v>
      </c>
      <c r="G21" s="450">
        <f t="shared" si="80"/>
        <v>77800</v>
      </c>
      <c r="H21" s="450">
        <f t="shared" si="80"/>
        <v>77800</v>
      </c>
      <c r="I21" s="450">
        <f t="shared" si="80"/>
        <v>78000</v>
      </c>
      <c r="J21" s="450">
        <f t="shared" si="80"/>
        <v>78000</v>
      </c>
      <c r="K21" s="450">
        <f t="shared" si="1"/>
        <v>200</v>
      </c>
      <c r="L21" s="450">
        <f t="shared" si="2"/>
        <v>100.25706940874035</v>
      </c>
      <c r="M21" s="450">
        <f t="shared" si="3"/>
        <v>11800</v>
      </c>
      <c r="N21" s="450">
        <f t="shared" si="130"/>
        <v>117.87878787878788</v>
      </c>
      <c r="O21" s="450">
        <v>2000</v>
      </c>
      <c r="P21" s="450">
        <f>+O21</f>
        <v>2000</v>
      </c>
      <c r="Q21" s="450">
        <v>3039</v>
      </c>
      <c r="R21" s="450">
        <f t="shared" si="94"/>
        <v>3039</v>
      </c>
      <c r="S21" s="450">
        <v>4000</v>
      </c>
      <c r="T21" s="450">
        <f t="shared" si="129"/>
        <v>4000</v>
      </c>
      <c r="U21" s="450">
        <v>10000</v>
      </c>
      <c r="V21" s="450">
        <f t="shared" si="95"/>
        <v>10000</v>
      </c>
      <c r="W21" s="450">
        <f t="shared" si="55"/>
        <v>6000</v>
      </c>
      <c r="X21" s="450">
        <f t="shared" si="131"/>
        <v>250</v>
      </c>
      <c r="Y21" s="450">
        <f t="shared" si="56"/>
        <v>2000</v>
      </c>
      <c r="Z21" s="450">
        <f>+S21/O21*100</f>
        <v>200</v>
      </c>
      <c r="AA21" s="450">
        <v>5000</v>
      </c>
      <c r="AB21" s="450">
        <f>+AA21</f>
        <v>5000</v>
      </c>
      <c r="AC21" s="450">
        <v>8376</v>
      </c>
      <c r="AD21" s="450">
        <f t="shared" si="96"/>
        <v>8376</v>
      </c>
      <c r="AE21" s="450">
        <v>8400</v>
      </c>
      <c r="AF21" s="450">
        <f t="shared" si="97"/>
        <v>8400</v>
      </c>
      <c r="AG21" s="450">
        <v>1000</v>
      </c>
      <c r="AH21" s="450">
        <f t="shared" si="98"/>
        <v>1000</v>
      </c>
      <c r="AI21" s="450">
        <f t="shared" si="58"/>
        <v>-7400</v>
      </c>
      <c r="AJ21" s="450">
        <f t="shared" si="132"/>
        <v>11.904761904761903</v>
      </c>
      <c r="AK21" s="450">
        <f t="shared" si="7"/>
        <v>3400</v>
      </c>
      <c r="AL21" s="450">
        <f>+AE21/AA21*100</f>
        <v>168</v>
      </c>
      <c r="AM21" s="450">
        <v>1000</v>
      </c>
      <c r="AN21" s="450">
        <f>+AM21</f>
        <v>1000</v>
      </c>
      <c r="AO21" s="450">
        <v>1687</v>
      </c>
      <c r="AP21" s="450">
        <f t="shared" si="99"/>
        <v>1687</v>
      </c>
      <c r="AQ21" s="450">
        <v>1800</v>
      </c>
      <c r="AR21" s="450">
        <f t="shared" si="100"/>
        <v>1800</v>
      </c>
      <c r="AS21" s="450">
        <v>2000</v>
      </c>
      <c r="AT21" s="450">
        <f t="shared" si="101"/>
        <v>2000</v>
      </c>
      <c r="AU21" s="450">
        <f t="shared" si="60"/>
        <v>200</v>
      </c>
      <c r="AV21" s="450">
        <f t="shared" si="102"/>
        <v>111.11111111111111</v>
      </c>
      <c r="AW21" s="450">
        <f t="shared" si="10"/>
        <v>800</v>
      </c>
      <c r="AX21" s="450">
        <f t="shared" si="133"/>
        <v>180</v>
      </c>
      <c r="AY21" s="450">
        <v>5000</v>
      </c>
      <c r="AZ21" s="450">
        <f>+AY21</f>
        <v>5000</v>
      </c>
      <c r="BA21" s="450">
        <v>8492</v>
      </c>
      <c r="BB21" s="450">
        <f t="shared" si="103"/>
        <v>8492</v>
      </c>
      <c r="BC21" s="450">
        <v>8600</v>
      </c>
      <c r="BD21" s="450">
        <f t="shared" si="104"/>
        <v>8600</v>
      </c>
      <c r="BE21" s="450">
        <v>5000</v>
      </c>
      <c r="BF21" s="450">
        <f t="shared" si="105"/>
        <v>5000</v>
      </c>
      <c r="BG21" s="450">
        <f t="shared" si="62"/>
        <v>-3600</v>
      </c>
      <c r="BH21" s="450">
        <f t="shared" si="91"/>
        <v>58.139534883720934</v>
      </c>
      <c r="BI21" s="450">
        <f t="shared" si="13"/>
        <v>3600</v>
      </c>
      <c r="BJ21" s="450">
        <f t="shared" si="134"/>
        <v>172</v>
      </c>
      <c r="BK21" s="450">
        <v>7000</v>
      </c>
      <c r="BL21" s="450">
        <f>+BK21</f>
        <v>7000</v>
      </c>
      <c r="BM21" s="450">
        <v>4622</v>
      </c>
      <c r="BN21" s="450">
        <f t="shared" si="106"/>
        <v>4622</v>
      </c>
      <c r="BO21" s="450">
        <v>7000</v>
      </c>
      <c r="BP21" s="450">
        <f t="shared" si="107"/>
        <v>7000</v>
      </c>
      <c r="BQ21" s="450">
        <v>12000</v>
      </c>
      <c r="BR21" s="450">
        <f t="shared" si="108"/>
        <v>12000</v>
      </c>
      <c r="BS21" s="450">
        <f t="shared" si="64"/>
        <v>5000</v>
      </c>
      <c r="BT21" s="450">
        <f t="shared" si="109"/>
        <v>171.42857142857142</v>
      </c>
      <c r="BU21" s="450">
        <f t="shared" si="16"/>
        <v>0</v>
      </c>
      <c r="BV21" s="450">
        <f t="shared" si="135"/>
        <v>100</v>
      </c>
      <c r="BW21" s="450">
        <v>9000</v>
      </c>
      <c r="BX21" s="450">
        <f>+BW21</f>
        <v>9000</v>
      </c>
      <c r="BY21" s="450">
        <v>8093</v>
      </c>
      <c r="BZ21" s="450">
        <f t="shared" si="110"/>
        <v>8093</v>
      </c>
      <c r="CA21" s="450">
        <v>9000</v>
      </c>
      <c r="CB21" s="450">
        <f>CA21</f>
        <v>9000</v>
      </c>
      <c r="CC21" s="450">
        <v>9000</v>
      </c>
      <c r="CD21" s="450">
        <f>+CC21</f>
        <v>9000</v>
      </c>
      <c r="CE21" s="450">
        <f t="shared" si="66"/>
        <v>0</v>
      </c>
      <c r="CF21" s="450">
        <f t="shared" si="136"/>
        <v>100</v>
      </c>
      <c r="CG21" s="450">
        <f t="shared" si="20"/>
        <v>0</v>
      </c>
      <c r="CH21" s="450">
        <f t="shared" si="137"/>
        <v>100</v>
      </c>
      <c r="CI21" s="450">
        <v>9000</v>
      </c>
      <c r="CJ21" s="450">
        <f>+CI21</f>
        <v>9000</v>
      </c>
      <c r="CK21" s="450">
        <v>9530</v>
      </c>
      <c r="CL21" s="450">
        <f t="shared" si="111"/>
        <v>9530</v>
      </c>
      <c r="CM21" s="450">
        <v>9000</v>
      </c>
      <c r="CN21" s="450">
        <f t="shared" si="112"/>
        <v>9000</v>
      </c>
      <c r="CO21" s="450">
        <v>9000</v>
      </c>
      <c r="CP21" s="450">
        <f t="shared" si="113"/>
        <v>9000</v>
      </c>
      <c r="CQ21" s="450">
        <f t="shared" si="68"/>
        <v>0</v>
      </c>
      <c r="CR21" s="450">
        <f t="shared" si="92"/>
        <v>100</v>
      </c>
      <c r="CS21" s="450">
        <f t="shared" si="23"/>
        <v>0</v>
      </c>
      <c r="CT21" s="450">
        <f t="shared" si="138"/>
        <v>100</v>
      </c>
      <c r="CU21" s="450">
        <v>5000</v>
      </c>
      <c r="CV21" s="450">
        <f>+CU21</f>
        <v>5000</v>
      </c>
      <c r="CW21" s="450">
        <v>6816</v>
      </c>
      <c r="CX21" s="450">
        <f t="shared" si="114"/>
        <v>6816</v>
      </c>
      <c r="CY21" s="450">
        <v>7000</v>
      </c>
      <c r="CZ21" s="450">
        <f t="shared" si="115"/>
        <v>7000</v>
      </c>
      <c r="DA21" s="450">
        <v>6000</v>
      </c>
      <c r="DB21" s="450">
        <f t="shared" si="116"/>
        <v>6000</v>
      </c>
      <c r="DC21" s="450">
        <f t="shared" si="70"/>
        <v>-1000</v>
      </c>
      <c r="DD21" s="450">
        <f t="shared" si="26"/>
        <v>85.714285714285708</v>
      </c>
      <c r="DE21" s="450">
        <f t="shared" si="27"/>
        <v>2000</v>
      </c>
      <c r="DF21" s="450">
        <f t="shared" si="139"/>
        <v>140</v>
      </c>
      <c r="DG21" s="450">
        <v>6000</v>
      </c>
      <c r="DH21" s="450">
        <f>+DG21</f>
        <v>6000</v>
      </c>
      <c r="DI21" s="450">
        <v>6888</v>
      </c>
      <c r="DJ21" s="450">
        <f t="shared" si="117"/>
        <v>6888</v>
      </c>
      <c r="DK21" s="450">
        <v>7000</v>
      </c>
      <c r="DL21" s="450">
        <f t="shared" si="118"/>
        <v>7000</v>
      </c>
      <c r="DM21" s="450">
        <v>7000</v>
      </c>
      <c r="DN21" s="450">
        <f t="shared" si="119"/>
        <v>7000</v>
      </c>
      <c r="DO21" s="450">
        <f t="shared" si="72"/>
        <v>0</v>
      </c>
      <c r="DP21" s="450">
        <f t="shared" si="30"/>
        <v>100</v>
      </c>
      <c r="DQ21" s="450">
        <f t="shared" si="31"/>
        <v>1000</v>
      </c>
      <c r="DR21" s="450">
        <f t="shared" si="140"/>
        <v>116.66666666666667</v>
      </c>
      <c r="DS21" s="450">
        <v>7000</v>
      </c>
      <c r="DT21" s="450">
        <f>+DS21</f>
        <v>7000</v>
      </c>
      <c r="DU21" s="450">
        <v>3935</v>
      </c>
      <c r="DV21" s="450">
        <f t="shared" si="120"/>
        <v>3935</v>
      </c>
      <c r="DW21" s="450">
        <v>5500</v>
      </c>
      <c r="DX21" s="450">
        <f t="shared" si="121"/>
        <v>5500</v>
      </c>
      <c r="DY21" s="450">
        <v>6000</v>
      </c>
      <c r="DZ21" s="450">
        <f t="shared" si="122"/>
        <v>6000</v>
      </c>
      <c r="EA21" s="450">
        <f t="shared" si="74"/>
        <v>500</v>
      </c>
      <c r="EB21" s="450">
        <f t="shared" si="123"/>
        <v>109.09090909090908</v>
      </c>
      <c r="EC21" s="450">
        <f t="shared" si="34"/>
        <v>-1500</v>
      </c>
      <c r="ED21" s="450">
        <f t="shared" si="141"/>
        <v>78.571428571428569</v>
      </c>
      <c r="EE21" s="450">
        <v>5000</v>
      </c>
      <c r="EF21" s="450">
        <f>+EE21</f>
        <v>5000</v>
      </c>
      <c r="EG21" s="450">
        <v>3203</v>
      </c>
      <c r="EH21" s="450">
        <f t="shared" si="124"/>
        <v>3203</v>
      </c>
      <c r="EI21" s="450">
        <v>5000</v>
      </c>
      <c r="EJ21" s="450">
        <f>EI21</f>
        <v>5000</v>
      </c>
      <c r="EK21" s="450">
        <v>5000</v>
      </c>
      <c r="EL21" s="450">
        <f>+EK21</f>
        <v>5000</v>
      </c>
      <c r="EM21" s="450">
        <f t="shared" si="76"/>
        <v>0</v>
      </c>
      <c r="EN21" s="450">
        <f t="shared" si="37"/>
        <v>100</v>
      </c>
      <c r="EO21" s="450">
        <f t="shared" si="93"/>
        <v>0</v>
      </c>
      <c r="EP21" s="450">
        <f t="shared" si="38"/>
        <v>100</v>
      </c>
      <c r="EQ21" s="450">
        <v>5000</v>
      </c>
      <c r="ER21" s="450">
        <f>+EQ21</f>
        <v>5000</v>
      </c>
      <c r="ES21" s="450">
        <v>5162</v>
      </c>
      <c r="ET21" s="450">
        <f t="shared" si="125"/>
        <v>5162</v>
      </c>
      <c r="EU21" s="450">
        <v>5500</v>
      </c>
      <c r="EV21" s="450">
        <f t="shared" si="126"/>
        <v>5500</v>
      </c>
      <c r="EW21" s="450">
        <v>6000</v>
      </c>
      <c r="EX21" s="450">
        <f t="shared" si="127"/>
        <v>6000</v>
      </c>
      <c r="EY21" s="450">
        <f t="shared" si="78"/>
        <v>500</v>
      </c>
      <c r="EZ21" s="450">
        <f t="shared" si="128"/>
        <v>109.09090909090908</v>
      </c>
      <c r="FA21" s="450">
        <f t="shared" si="79"/>
        <v>500</v>
      </c>
      <c r="FB21" s="450">
        <f t="shared" si="142"/>
        <v>110.00000000000001</v>
      </c>
    </row>
    <row r="22" spans="1:158" s="485" customFormat="1">
      <c r="A22" s="483">
        <v>7</v>
      </c>
      <c r="B22" s="484" t="s">
        <v>790</v>
      </c>
      <c r="C22" s="450">
        <f t="shared" si="80"/>
        <v>21270</v>
      </c>
      <c r="D22" s="450">
        <f t="shared" si="80"/>
        <v>21270</v>
      </c>
      <c r="E22" s="450">
        <f t="shared" si="80"/>
        <v>18163</v>
      </c>
      <c r="F22" s="450">
        <f t="shared" si="80"/>
        <v>18163</v>
      </c>
      <c r="G22" s="450">
        <f t="shared" si="80"/>
        <v>21000</v>
      </c>
      <c r="H22" s="450">
        <f t="shared" si="80"/>
        <v>21000</v>
      </c>
      <c r="I22" s="450">
        <f t="shared" si="80"/>
        <v>22000</v>
      </c>
      <c r="J22" s="450">
        <f t="shared" si="80"/>
        <v>22000</v>
      </c>
      <c r="K22" s="450"/>
      <c r="L22" s="450"/>
      <c r="M22" s="450"/>
      <c r="N22" s="450"/>
      <c r="O22" s="450">
        <v>3000</v>
      </c>
      <c r="P22" s="450">
        <f>O22</f>
        <v>3000</v>
      </c>
      <c r="Q22" s="450">
        <v>834</v>
      </c>
      <c r="R22" s="450">
        <f t="shared" si="94"/>
        <v>834</v>
      </c>
      <c r="S22" s="450">
        <v>1400</v>
      </c>
      <c r="T22" s="450">
        <f t="shared" si="129"/>
        <v>1400</v>
      </c>
      <c r="U22" s="450">
        <v>2500</v>
      </c>
      <c r="V22" s="450">
        <f t="shared" si="95"/>
        <v>2500</v>
      </c>
      <c r="W22" s="450">
        <f t="shared" si="55"/>
        <v>1100</v>
      </c>
      <c r="X22" s="450">
        <f t="shared" si="131"/>
        <v>178.57142857142858</v>
      </c>
      <c r="Y22" s="450">
        <f t="shared" si="56"/>
        <v>-1600</v>
      </c>
      <c r="Z22" s="450"/>
      <c r="AA22" s="450">
        <v>60</v>
      </c>
      <c r="AB22" s="450">
        <f>AA22</f>
        <v>60</v>
      </c>
      <c r="AC22" s="450">
        <v>353</v>
      </c>
      <c r="AD22" s="450">
        <f t="shared" si="96"/>
        <v>353</v>
      </c>
      <c r="AE22" s="450">
        <v>360</v>
      </c>
      <c r="AF22" s="450">
        <f t="shared" si="97"/>
        <v>360</v>
      </c>
      <c r="AG22" s="450">
        <v>200</v>
      </c>
      <c r="AH22" s="450">
        <f t="shared" si="98"/>
        <v>200</v>
      </c>
      <c r="AI22" s="450">
        <f t="shared" si="58"/>
        <v>-160</v>
      </c>
      <c r="AJ22" s="450">
        <f t="shared" si="132"/>
        <v>55.555555555555557</v>
      </c>
      <c r="AK22" s="450">
        <f t="shared" si="7"/>
        <v>300</v>
      </c>
      <c r="AL22" s="450"/>
      <c r="AM22" s="450">
        <v>400</v>
      </c>
      <c r="AN22" s="450">
        <f>AM22</f>
        <v>400</v>
      </c>
      <c r="AO22" s="450">
        <v>441</v>
      </c>
      <c r="AP22" s="450">
        <f t="shared" si="99"/>
        <v>441</v>
      </c>
      <c r="AQ22" s="450">
        <v>450</v>
      </c>
      <c r="AR22" s="450">
        <f t="shared" si="100"/>
        <v>450</v>
      </c>
      <c r="AS22" s="450">
        <v>440</v>
      </c>
      <c r="AT22" s="450">
        <f t="shared" si="101"/>
        <v>440</v>
      </c>
      <c r="AU22" s="450">
        <f t="shared" si="60"/>
        <v>-10</v>
      </c>
      <c r="AV22" s="450">
        <f t="shared" si="102"/>
        <v>97.777777777777771</v>
      </c>
      <c r="AW22" s="450">
        <f t="shared" si="10"/>
        <v>50</v>
      </c>
      <c r="AX22" s="450">
        <f t="shared" si="133"/>
        <v>112.5</v>
      </c>
      <c r="AY22" s="450">
        <v>260</v>
      </c>
      <c r="AZ22" s="450">
        <f>AY22</f>
        <v>260</v>
      </c>
      <c r="BA22" s="450">
        <v>168</v>
      </c>
      <c r="BB22" s="450">
        <f t="shared" si="103"/>
        <v>168</v>
      </c>
      <c r="BC22" s="450">
        <v>260</v>
      </c>
      <c r="BD22" s="450">
        <f t="shared" si="104"/>
        <v>260</v>
      </c>
      <c r="BE22" s="450">
        <v>320</v>
      </c>
      <c r="BF22" s="450">
        <f t="shared" si="105"/>
        <v>320</v>
      </c>
      <c r="BG22" s="450">
        <f t="shared" si="62"/>
        <v>60</v>
      </c>
      <c r="BH22" s="450">
        <f t="shared" si="91"/>
        <v>123.07692307692308</v>
      </c>
      <c r="BI22" s="450">
        <f t="shared" si="13"/>
        <v>0</v>
      </c>
      <c r="BJ22" s="450">
        <f t="shared" si="134"/>
        <v>100</v>
      </c>
      <c r="BK22" s="450">
        <v>4860</v>
      </c>
      <c r="BL22" s="450">
        <f>BK22</f>
        <v>4860</v>
      </c>
      <c r="BM22" s="450">
        <v>2868</v>
      </c>
      <c r="BN22" s="450">
        <f t="shared" si="106"/>
        <v>2868</v>
      </c>
      <c r="BO22" s="450">
        <v>3500</v>
      </c>
      <c r="BP22" s="450">
        <f t="shared" si="107"/>
        <v>3500</v>
      </c>
      <c r="BQ22" s="450">
        <v>4600</v>
      </c>
      <c r="BR22" s="450">
        <f t="shared" si="108"/>
        <v>4600</v>
      </c>
      <c r="BS22" s="450">
        <f t="shared" si="64"/>
        <v>1100</v>
      </c>
      <c r="BT22" s="450">
        <f t="shared" si="109"/>
        <v>131.42857142857142</v>
      </c>
      <c r="BU22" s="450">
        <f t="shared" si="16"/>
        <v>-1360</v>
      </c>
      <c r="BV22" s="450"/>
      <c r="BW22" s="450">
        <v>6450</v>
      </c>
      <c r="BX22" s="450">
        <f>BW22</f>
        <v>6450</v>
      </c>
      <c r="BY22" s="450">
        <v>7129</v>
      </c>
      <c r="BZ22" s="450">
        <f t="shared" si="110"/>
        <v>7129</v>
      </c>
      <c r="CA22" s="450">
        <v>7200</v>
      </c>
      <c r="CB22" s="450">
        <f>CA22</f>
        <v>7200</v>
      </c>
      <c r="CC22" s="450">
        <v>6700</v>
      </c>
      <c r="CD22" s="450">
        <f>CC22</f>
        <v>6700</v>
      </c>
      <c r="CE22" s="450">
        <f t="shared" si="66"/>
        <v>-500</v>
      </c>
      <c r="CF22" s="450">
        <f t="shared" si="136"/>
        <v>93.055555555555557</v>
      </c>
      <c r="CG22" s="450">
        <f t="shared" si="20"/>
        <v>750</v>
      </c>
      <c r="CH22" s="450">
        <f t="shared" si="137"/>
        <v>111.62790697674419</v>
      </c>
      <c r="CI22" s="450">
        <v>1430</v>
      </c>
      <c r="CJ22" s="450">
        <f>CI22</f>
        <v>1430</v>
      </c>
      <c r="CK22" s="450">
        <v>1218</v>
      </c>
      <c r="CL22" s="450">
        <f t="shared" si="111"/>
        <v>1218</v>
      </c>
      <c r="CM22" s="450">
        <v>1400</v>
      </c>
      <c r="CN22" s="450">
        <f t="shared" si="112"/>
        <v>1400</v>
      </c>
      <c r="CO22" s="450">
        <v>1500</v>
      </c>
      <c r="CP22" s="450">
        <f t="shared" si="113"/>
        <v>1500</v>
      </c>
      <c r="CQ22" s="450">
        <f t="shared" si="68"/>
        <v>100</v>
      </c>
      <c r="CR22" s="450">
        <f t="shared" si="92"/>
        <v>107.14285714285714</v>
      </c>
      <c r="CS22" s="450">
        <f t="shared" si="23"/>
        <v>-30</v>
      </c>
      <c r="CT22" s="450">
        <f t="shared" si="138"/>
        <v>97.902097902097907</v>
      </c>
      <c r="CU22" s="450">
        <v>210</v>
      </c>
      <c r="CV22" s="450">
        <f>CU22</f>
        <v>210</v>
      </c>
      <c r="CW22" s="450">
        <v>474</v>
      </c>
      <c r="CX22" s="450">
        <f t="shared" si="114"/>
        <v>474</v>
      </c>
      <c r="CY22" s="450">
        <v>480</v>
      </c>
      <c r="CZ22" s="450">
        <f t="shared" si="115"/>
        <v>480</v>
      </c>
      <c r="DA22" s="450">
        <v>200</v>
      </c>
      <c r="DB22" s="450">
        <f t="shared" si="116"/>
        <v>200</v>
      </c>
      <c r="DC22" s="450">
        <f t="shared" si="70"/>
        <v>-280</v>
      </c>
      <c r="DD22" s="450">
        <f t="shared" si="26"/>
        <v>41.666666666666671</v>
      </c>
      <c r="DE22" s="450">
        <f t="shared" si="27"/>
        <v>270</v>
      </c>
      <c r="DF22" s="450">
        <f t="shared" si="139"/>
        <v>228.57142857142856</v>
      </c>
      <c r="DG22" s="450">
        <v>1050</v>
      </c>
      <c r="DH22" s="450">
        <f>DG22</f>
        <v>1050</v>
      </c>
      <c r="DI22" s="450">
        <v>1130</v>
      </c>
      <c r="DJ22" s="450">
        <f t="shared" si="117"/>
        <v>1130</v>
      </c>
      <c r="DK22" s="450">
        <v>1200</v>
      </c>
      <c r="DL22" s="450">
        <f t="shared" si="118"/>
        <v>1200</v>
      </c>
      <c r="DM22" s="450">
        <v>1000</v>
      </c>
      <c r="DN22" s="450">
        <f t="shared" si="119"/>
        <v>1000</v>
      </c>
      <c r="DO22" s="450">
        <f t="shared" si="72"/>
        <v>-200</v>
      </c>
      <c r="DP22" s="450">
        <f t="shared" si="30"/>
        <v>83.333333333333343</v>
      </c>
      <c r="DQ22" s="450">
        <f t="shared" si="31"/>
        <v>150</v>
      </c>
      <c r="DR22" s="450">
        <f t="shared" si="140"/>
        <v>114.28571428571428</v>
      </c>
      <c r="DS22" s="450">
        <v>380</v>
      </c>
      <c r="DT22" s="450">
        <f>DS22</f>
        <v>380</v>
      </c>
      <c r="DU22" s="450">
        <v>420</v>
      </c>
      <c r="DV22" s="450">
        <f t="shared" si="120"/>
        <v>420</v>
      </c>
      <c r="DW22" s="450">
        <v>1300</v>
      </c>
      <c r="DX22" s="450">
        <f t="shared" si="121"/>
        <v>1300</v>
      </c>
      <c r="DY22" s="450">
        <v>900</v>
      </c>
      <c r="DZ22" s="450">
        <f t="shared" si="122"/>
        <v>900</v>
      </c>
      <c r="EA22" s="450">
        <f t="shared" si="74"/>
        <v>-400</v>
      </c>
      <c r="EB22" s="450">
        <f t="shared" si="123"/>
        <v>69.230769230769226</v>
      </c>
      <c r="EC22" s="450">
        <f t="shared" si="34"/>
        <v>920</v>
      </c>
      <c r="ED22" s="450"/>
      <c r="EE22" s="450">
        <v>2600</v>
      </c>
      <c r="EF22" s="450">
        <f>EE22</f>
        <v>2600</v>
      </c>
      <c r="EG22" s="450">
        <v>2279</v>
      </c>
      <c r="EH22" s="450">
        <f t="shared" si="124"/>
        <v>2279</v>
      </c>
      <c r="EI22" s="450">
        <v>2600</v>
      </c>
      <c r="EJ22" s="450">
        <f>EI22</f>
        <v>2600</v>
      </c>
      <c r="EK22" s="450">
        <v>2750</v>
      </c>
      <c r="EL22" s="450">
        <f>EK22</f>
        <v>2750</v>
      </c>
      <c r="EM22" s="450">
        <f t="shared" si="76"/>
        <v>150</v>
      </c>
      <c r="EN22" s="450">
        <f t="shared" si="37"/>
        <v>105.76923076923077</v>
      </c>
      <c r="EO22" s="450">
        <f t="shared" si="93"/>
        <v>0</v>
      </c>
      <c r="EP22" s="450">
        <f t="shared" si="38"/>
        <v>100</v>
      </c>
      <c r="EQ22" s="450">
        <v>570</v>
      </c>
      <c r="ER22" s="450">
        <f>EQ22</f>
        <v>570</v>
      </c>
      <c r="ES22" s="450">
        <v>849</v>
      </c>
      <c r="ET22" s="450">
        <f t="shared" si="125"/>
        <v>849</v>
      </c>
      <c r="EU22" s="450">
        <v>850</v>
      </c>
      <c r="EV22" s="450">
        <f t="shared" si="126"/>
        <v>850</v>
      </c>
      <c r="EW22" s="450">
        <v>890</v>
      </c>
      <c r="EX22" s="450">
        <f t="shared" si="127"/>
        <v>890</v>
      </c>
      <c r="EY22" s="450">
        <f t="shared" si="78"/>
        <v>40</v>
      </c>
      <c r="EZ22" s="450">
        <f t="shared" si="128"/>
        <v>104.70588235294119</v>
      </c>
      <c r="FA22" s="450">
        <f t="shared" si="79"/>
        <v>280</v>
      </c>
      <c r="FB22" s="450">
        <f t="shared" si="142"/>
        <v>149.12280701754386</v>
      </c>
    </row>
    <row r="23" spans="1:158" s="485" customFormat="1">
      <c r="A23" s="483">
        <v>8</v>
      </c>
      <c r="B23" s="484" t="s">
        <v>487</v>
      </c>
      <c r="C23" s="450">
        <f t="shared" si="80"/>
        <v>350000</v>
      </c>
      <c r="D23" s="450">
        <f t="shared" si="80"/>
        <v>350000</v>
      </c>
      <c r="E23" s="450">
        <f t="shared" si="80"/>
        <v>150258</v>
      </c>
      <c r="F23" s="450">
        <f t="shared" si="80"/>
        <v>150258</v>
      </c>
      <c r="G23" s="450">
        <f t="shared" si="80"/>
        <v>200000</v>
      </c>
      <c r="H23" s="450">
        <f t="shared" si="80"/>
        <v>200000</v>
      </c>
      <c r="I23" s="450">
        <f t="shared" si="80"/>
        <v>250000</v>
      </c>
      <c r="J23" s="450">
        <f t="shared" si="80"/>
        <v>250000</v>
      </c>
      <c r="K23" s="450">
        <f t="shared" si="1"/>
        <v>50000</v>
      </c>
      <c r="L23" s="450">
        <f t="shared" si="2"/>
        <v>125</v>
      </c>
      <c r="M23" s="450">
        <f t="shared" si="3"/>
        <v>-150000</v>
      </c>
      <c r="N23" s="450">
        <f t="shared" si="130"/>
        <v>57.142857142857139</v>
      </c>
      <c r="O23" s="450">
        <v>8000</v>
      </c>
      <c r="P23" s="450">
        <f>+O23</f>
        <v>8000</v>
      </c>
      <c r="Q23" s="450">
        <v>3388</v>
      </c>
      <c r="R23" s="450">
        <f t="shared" si="94"/>
        <v>3388</v>
      </c>
      <c r="S23" s="450">
        <v>5000</v>
      </c>
      <c r="T23" s="450">
        <f t="shared" si="129"/>
        <v>5000</v>
      </c>
      <c r="U23" s="450">
        <v>5000</v>
      </c>
      <c r="V23" s="450">
        <f t="shared" si="95"/>
        <v>5000</v>
      </c>
      <c r="W23" s="450">
        <f t="shared" si="55"/>
        <v>0</v>
      </c>
      <c r="X23" s="450">
        <f t="shared" si="131"/>
        <v>100</v>
      </c>
      <c r="Y23" s="450">
        <f t="shared" si="56"/>
        <v>-3000</v>
      </c>
      <c r="Z23" s="450">
        <f>+S23/O23*100</f>
        <v>62.5</v>
      </c>
      <c r="AA23" s="450">
        <v>65000</v>
      </c>
      <c r="AB23" s="450">
        <f>+AA23</f>
        <v>65000</v>
      </c>
      <c r="AC23" s="450">
        <v>35454</v>
      </c>
      <c r="AD23" s="450">
        <f t="shared" si="96"/>
        <v>35454</v>
      </c>
      <c r="AE23" s="450">
        <v>40000</v>
      </c>
      <c r="AF23" s="450">
        <f t="shared" si="97"/>
        <v>40000</v>
      </c>
      <c r="AG23" s="450">
        <v>40000</v>
      </c>
      <c r="AH23" s="450">
        <f t="shared" si="98"/>
        <v>40000</v>
      </c>
      <c r="AI23" s="450">
        <f t="shared" si="58"/>
        <v>0</v>
      </c>
      <c r="AJ23" s="450">
        <f t="shared" si="132"/>
        <v>100</v>
      </c>
      <c r="AK23" s="450">
        <f t="shared" si="7"/>
        <v>-25000</v>
      </c>
      <c r="AL23" s="450">
        <f>+AE23/AA23*100</f>
        <v>61.53846153846154</v>
      </c>
      <c r="AM23" s="450">
        <v>10000</v>
      </c>
      <c r="AN23" s="450">
        <f>+AM23</f>
        <v>10000</v>
      </c>
      <c r="AO23" s="450">
        <v>2205</v>
      </c>
      <c r="AP23" s="450">
        <f t="shared" si="99"/>
        <v>2205</v>
      </c>
      <c r="AQ23" s="450">
        <v>4000</v>
      </c>
      <c r="AR23" s="450">
        <f t="shared" si="100"/>
        <v>4000</v>
      </c>
      <c r="AS23" s="450">
        <v>5000</v>
      </c>
      <c r="AT23" s="450">
        <f t="shared" si="101"/>
        <v>5000</v>
      </c>
      <c r="AU23" s="450">
        <f t="shared" si="60"/>
        <v>1000</v>
      </c>
      <c r="AV23" s="450">
        <f t="shared" si="102"/>
        <v>125</v>
      </c>
      <c r="AW23" s="450">
        <f t="shared" si="10"/>
        <v>-6000</v>
      </c>
      <c r="AX23" s="450">
        <f t="shared" si="133"/>
        <v>40</v>
      </c>
      <c r="AY23" s="450">
        <v>10000</v>
      </c>
      <c r="AZ23" s="450">
        <f>+AY23</f>
        <v>10000</v>
      </c>
      <c r="BA23" s="450">
        <v>3778</v>
      </c>
      <c r="BB23" s="450">
        <f t="shared" si="103"/>
        <v>3778</v>
      </c>
      <c r="BC23" s="450">
        <v>5000</v>
      </c>
      <c r="BD23" s="450">
        <f t="shared" si="104"/>
        <v>5000</v>
      </c>
      <c r="BE23" s="450">
        <v>9000</v>
      </c>
      <c r="BF23" s="450">
        <f t="shared" si="105"/>
        <v>9000</v>
      </c>
      <c r="BG23" s="450">
        <f t="shared" si="62"/>
        <v>4000</v>
      </c>
      <c r="BH23" s="450">
        <f t="shared" si="91"/>
        <v>180</v>
      </c>
      <c r="BI23" s="450">
        <f t="shared" si="13"/>
        <v>-5000</v>
      </c>
      <c r="BJ23" s="450">
        <f t="shared" si="134"/>
        <v>50</v>
      </c>
      <c r="BK23" s="450">
        <v>14000</v>
      </c>
      <c r="BL23" s="450">
        <f>+BK23</f>
        <v>14000</v>
      </c>
      <c r="BM23" s="450">
        <v>5577</v>
      </c>
      <c r="BN23" s="450">
        <f t="shared" si="106"/>
        <v>5577</v>
      </c>
      <c r="BO23" s="450">
        <v>8000</v>
      </c>
      <c r="BP23" s="450">
        <f t="shared" si="107"/>
        <v>8000</v>
      </c>
      <c r="BQ23" s="450">
        <v>14000</v>
      </c>
      <c r="BR23" s="450">
        <f t="shared" si="108"/>
        <v>14000</v>
      </c>
      <c r="BS23" s="450">
        <f t="shared" si="64"/>
        <v>6000</v>
      </c>
      <c r="BT23" s="450">
        <f t="shared" si="109"/>
        <v>175</v>
      </c>
      <c r="BU23" s="450">
        <f t="shared" si="16"/>
        <v>-6000</v>
      </c>
      <c r="BV23" s="450">
        <f t="shared" si="135"/>
        <v>57.142857142857139</v>
      </c>
      <c r="BW23" s="450">
        <v>68000</v>
      </c>
      <c r="BX23" s="450">
        <f>+BW23</f>
        <v>68000</v>
      </c>
      <c r="BY23" s="450">
        <v>17121</v>
      </c>
      <c r="BZ23" s="450">
        <f t="shared" si="110"/>
        <v>17121</v>
      </c>
      <c r="CA23" s="450">
        <v>22000</v>
      </c>
      <c r="CB23" s="450">
        <f>+CA23</f>
        <v>22000</v>
      </c>
      <c r="CC23" s="450">
        <v>30000</v>
      </c>
      <c r="CD23" s="450">
        <f>+CC23</f>
        <v>30000</v>
      </c>
      <c r="CE23" s="450">
        <f t="shared" si="66"/>
        <v>8000</v>
      </c>
      <c r="CF23" s="450">
        <f t="shared" si="136"/>
        <v>136.36363636363635</v>
      </c>
      <c r="CG23" s="450">
        <f t="shared" si="20"/>
        <v>-46000</v>
      </c>
      <c r="CH23" s="450">
        <f t="shared" si="137"/>
        <v>32.352941176470587</v>
      </c>
      <c r="CI23" s="450">
        <v>35000</v>
      </c>
      <c r="CJ23" s="450">
        <f>+CI23</f>
        <v>35000</v>
      </c>
      <c r="CK23" s="450">
        <v>10898</v>
      </c>
      <c r="CL23" s="450">
        <f t="shared" si="111"/>
        <v>10898</v>
      </c>
      <c r="CM23" s="450">
        <v>15000</v>
      </c>
      <c r="CN23" s="450">
        <f t="shared" si="112"/>
        <v>15000</v>
      </c>
      <c r="CO23" s="450">
        <v>30000</v>
      </c>
      <c r="CP23" s="450">
        <f t="shared" si="113"/>
        <v>30000</v>
      </c>
      <c r="CQ23" s="450">
        <f t="shared" si="68"/>
        <v>15000</v>
      </c>
      <c r="CR23" s="450">
        <f t="shared" si="92"/>
        <v>200</v>
      </c>
      <c r="CS23" s="450">
        <f t="shared" si="23"/>
        <v>-20000</v>
      </c>
      <c r="CT23" s="450">
        <f t="shared" si="138"/>
        <v>42.857142857142854</v>
      </c>
      <c r="CU23" s="450">
        <v>35000</v>
      </c>
      <c r="CV23" s="450">
        <f>+CU23</f>
        <v>35000</v>
      </c>
      <c r="CW23" s="450">
        <v>14072</v>
      </c>
      <c r="CX23" s="450">
        <f t="shared" si="114"/>
        <v>14072</v>
      </c>
      <c r="CY23" s="450">
        <v>20000</v>
      </c>
      <c r="CZ23" s="450">
        <f t="shared" si="115"/>
        <v>20000</v>
      </c>
      <c r="DA23" s="450">
        <f>32000+3000</f>
        <v>35000</v>
      </c>
      <c r="DB23" s="450">
        <f t="shared" si="116"/>
        <v>35000</v>
      </c>
      <c r="DC23" s="450">
        <f t="shared" si="70"/>
        <v>15000</v>
      </c>
      <c r="DD23" s="450">
        <f t="shared" si="26"/>
        <v>175</v>
      </c>
      <c r="DE23" s="450">
        <f t="shared" si="27"/>
        <v>-15000</v>
      </c>
      <c r="DF23" s="450">
        <f t="shared" si="139"/>
        <v>57.142857142857139</v>
      </c>
      <c r="DG23" s="450">
        <v>35000</v>
      </c>
      <c r="DH23" s="450">
        <f>+DG23</f>
        <v>35000</v>
      </c>
      <c r="DI23" s="450">
        <v>14606</v>
      </c>
      <c r="DJ23" s="450">
        <f t="shared" si="117"/>
        <v>14606</v>
      </c>
      <c r="DK23" s="450">
        <v>20000</v>
      </c>
      <c r="DL23" s="450">
        <f t="shared" si="118"/>
        <v>20000</v>
      </c>
      <c r="DM23" s="450">
        <v>20000</v>
      </c>
      <c r="DN23" s="450">
        <f t="shared" si="119"/>
        <v>20000</v>
      </c>
      <c r="DO23" s="450">
        <f t="shared" si="72"/>
        <v>0</v>
      </c>
      <c r="DP23" s="450">
        <f t="shared" si="30"/>
        <v>100</v>
      </c>
      <c r="DQ23" s="450">
        <f t="shared" si="31"/>
        <v>-15000</v>
      </c>
      <c r="DR23" s="450">
        <f t="shared" si="140"/>
        <v>57.142857142857139</v>
      </c>
      <c r="DS23" s="450">
        <v>10000</v>
      </c>
      <c r="DT23" s="450">
        <f>+DS23</f>
        <v>10000</v>
      </c>
      <c r="DU23" s="450">
        <v>1284</v>
      </c>
      <c r="DV23" s="450">
        <f t="shared" si="120"/>
        <v>1284</v>
      </c>
      <c r="DW23" s="450">
        <v>4000</v>
      </c>
      <c r="DX23" s="450">
        <f t="shared" si="121"/>
        <v>4000</v>
      </c>
      <c r="DY23" s="450">
        <v>7000</v>
      </c>
      <c r="DZ23" s="450">
        <f t="shared" si="122"/>
        <v>7000</v>
      </c>
      <c r="EA23" s="450">
        <f t="shared" si="74"/>
        <v>3000</v>
      </c>
      <c r="EB23" s="450">
        <f t="shared" si="123"/>
        <v>175</v>
      </c>
      <c r="EC23" s="450">
        <f t="shared" si="34"/>
        <v>-6000</v>
      </c>
      <c r="ED23" s="450">
        <f t="shared" si="141"/>
        <v>40</v>
      </c>
      <c r="EE23" s="450">
        <v>40000</v>
      </c>
      <c r="EF23" s="450">
        <f>+EE23</f>
        <v>40000</v>
      </c>
      <c r="EG23" s="450">
        <v>27812</v>
      </c>
      <c r="EH23" s="450">
        <f t="shared" si="124"/>
        <v>27812</v>
      </c>
      <c r="EI23" s="450">
        <v>37000</v>
      </c>
      <c r="EJ23" s="450">
        <f>+EI23</f>
        <v>37000</v>
      </c>
      <c r="EK23" s="450">
        <f>30000+10000</f>
        <v>40000</v>
      </c>
      <c r="EL23" s="450">
        <f>+EK23</f>
        <v>40000</v>
      </c>
      <c r="EM23" s="450">
        <f t="shared" si="76"/>
        <v>3000</v>
      </c>
      <c r="EN23" s="450">
        <f t="shared" si="37"/>
        <v>108.10810810810811</v>
      </c>
      <c r="EO23" s="450">
        <f t="shared" si="93"/>
        <v>-3000</v>
      </c>
      <c r="EP23" s="450">
        <f t="shared" si="38"/>
        <v>92.5</v>
      </c>
      <c r="EQ23" s="450">
        <v>20000</v>
      </c>
      <c r="ER23" s="450">
        <f>+EQ23</f>
        <v>20000</v>
      </c>
      <c r="ES23" s="450">
        <v>14063</v>
      </c>
      <c r="ET23" s="450">
        <f t="shared" si="125"/>
        <v>14063</v>
      </c>
      <c r="EU23" s="450">
        <v>20000</v>
      </c>
      <c r="EV23" s="450">
        <f t="shared" si="126"/>
        <v>20000</v>
      </c>
      <c r="EW23" s="450">
        <v>15000</v>
      </c>
      <c r="EX23" s="450">
        <f t="shared" si="127"/>
        <v>15000</v>
      </c>
      <c r="EY23" s="450">
        <f t="shared" si="78"/>
        <v>-5000</v>
      </c>
      <c r="EZ23" s="450">
        <f t="shared" si="128"/>
        <v>75</v>
      </c>
      <c r="FA23" s="450">
        <f t="shared" si="79"/>
        <v>0</v>
      </c>
      <c r="FB23" s="450">
        <f t="shared" si="142"/>
        <v>100</v>
      </c>
    </row>
    <row r="24" spans="1:158" s="485" customFormat="1">
      <c r="A24" s="483">
        <v>9</v>
      </c>
      <c r="B24" s="484" t="s">
        <v>488</v>
      </c>
      <c r="C24" s="450">
        <f t="shared" si="80"/>
        <v>32200</v>
      </c>
      <c r="D24" s="450">
        <f t="shared" si="80"/>
        <v>32200</v>
      </c>
      <c r="E24" s="450">
        <f t="shared" si="80"/>
        <v>32302</v>
      </c>
      <c r="F24" s="450">
        <f t="shared" si="80"/>
        <v>32302</v>
      </c>
      <c r="G24" s="450">
        <f t="shared" si="80"/>
        <v>30100</v>
      </c>
      <c r="H24" s="450">
        <f t="shared" si="80"/>
        <v>30100</v>
      </c>
      <c r="I24" s="450">
        <f t="shared" si="80"/>
        <v>31000</v>
      </c>
      <c r="J24" s="450">
        <f t="shared" si="80"/>
        <v>31000</v>
      </c>
      <c r="K24" s="450">
        <f t="shared" si="1"/>
        <v>900</v>
      </c>
      <c r="L24" s="450">
        <f t="shared" si="2"/>
        <v>102.99003322259136</v>
      </c>
      <c r="M24" s="450">
        <f t="shared" si="3"/>
        <v>-2100</v>
      </c>
      <c r="N24" s="450">
        <f t="shared" si="130"/>
        <v>93.478260869565219</v>
      </c>
      <c r="O24" s="450">
        <v>2000</v>
      </c>
      <c r="P24" s="450">
        <f>+O24</f>
        <v>2000</v>
      </c>
      <c r="Q24" s="450">
        <v>1164</v>
      </c>
      <c r="R24" s="450">
        <f t="shared" si="94"/>
        <v>1164</v>
      </c>
      <c r="S24" s="450">
        <v>2000</v>
      </c>
      <c r="T24" s="450">
        <f t="shared" si="129"/>
        <v>2000</v>
      </c>
      <c r="U24" s="450">
        <v>2000</v>
      </c>
      <c r="V24" s="450">
        <f t="shared" si="95"/>
        <v>2000</v>
      </c>
      <c r="W24" s="450">
        <f t="shared" si="55"/>
        <v>0</v>
      </c>
      <c r="X24" s="450">
        <f t="shared" si="131"/>
        <v>100</v>
      </c>
      <c r="Y24" s="450">
        <f t="shared" si="56"/>
        <v>0</v>
      </c>
      <c r="Z24" s="450">
        <f>+S24/O24*100</f>
        <v>100</v>
      </c>
      <c r="AA24" s="450">
        <v>3500</v>
      </c>
      <c r="AB24" s="450">
        <f>+AA24</f>
        <v>3500</v>
      </c>
      <c r="AC24" s="450">
        <v>2042</v>
      </c>
      <c r="AD24" s="450">
        <f t="shared" si="96"/>
        <v>2042</v>
      </c>
      <c r="AE24" s="450">
        <v>2000</v>
      </c>
      <c r="AF24" s="450">
        <f t="shared" si="97"/>
        <v>2000</v>
      </c>
      <c r="AG24" s="450">
        <v>2000</v>
      </c>
      <c r="AH24" s="450">
        <f t="shared" si="98"/>
        <v>2000</v>
      </c>
      <c r="AI24" s="450">
        <f t="shared" si="58"/>
        <v>0</v>
      </c>
      <c r="AJ24" s="450">
        <f t="shared" si="132"/>
        <v>100</v>
      </c>
      <c r="AK24" s="450">
        <f t="shared" si="7"/>
        <v>-1500</v>
      </c>
      <c r="AL24" s="450">
        <f>+AE24/AA24*100</f>
        <v>57.142857142857139</v>
      </c>
      <c r="AM24" s="450">
        <v>2000</v>
      </c>
      <c r="AN24" s="450">
        <f>+AM24</f>
        <v>2000</v>
      </c>
      <c r="AO24" s="450">
        <v>1264</v>
      </c>
      <c r="AP24" s="450">
        <f t="shared" si="99"/>
        <v>1264</v>
      </c>
      <c r="AQ24" s="450">
        <v>2000</v>
      </c>
      <c r="AR24" s="450">
        <f t="shared" si="100"/>
        <v>2000</v>
      </c>
      <c r="AS24" s="450">
        <v>2000</v>
      </c>
      <c r="AT24" s="450">
        <f t="shared" si="101"/>
        <v>2000</v>
      </c>
      <c r="AU24" s="450">
        <f t="shared" si="60"/>
        <v>0</v>
      </c>
      <c r="AV24" s="450">
        <f t="shared" si="102"/>
        <v>100</v>
      </c>
      <c r="AW24" s="450">
        <f t="shared" si="10"/>
        <v>0</v>
      </c>
      <c r="AX24" s="450">
        <f t="shared" si="133"/>
        <v>100</v>
      </c>
      <c r="AY24" s="450">
        <v>1000</v>
      </c>
      <c r="AZ24" s="450">
        <f>+AY24</f>
        <v>1000</v>
      </c>
      <c r="BA24" s="450">
        <v>1094</v>
      </c>
      <c r="BB24" s="450">
        <f>BA24</f>
        <v>1094</v>
      </c>
      <c r="BC24" s="450">
        <v>1000</v>
      </c>
      <c r="BD24" s="450">
        <f t="shared" si="104"/>
        <v>1000</v>
      </c>
      <c r="BE24" s="450">
        <v>1000</v>
      </c>
      <c r="BF24" s="450">
        <f t="shared" si="105"/>
        <v>1000</v>
      </c>
      <c r="BG24" s="450">
        <f t="shared" si="62"/>
        <v>0</v>
      </c>
      <c r="BH24" s="450">
        <f t="shared" si="91"/>
        <v>100</v>
      </c>
      <c r="BI24" s="450">
        <f t="shared" si="13"/>
        <v>0</v>
      </c>
      <c r="BJ24" s="450">
        <f t="shared" si="134"/>
        <v>100</v>
      </c>
      <c r="BK24" s="450">
        <v>2500</v>
      </c>
      <c r="BL24" s="450">
        <f>+BK24</f>
        <v>2500</v>
      </c>
      <c r="BM24" s="450">
        <v>1206</v>
      </c>
      <c r="BN24" s="450">
        <f t="shared" si="106"/>
        <v>1206</v>
      </c>
      <c r="BO24" s="450">
        <v>2600</v>
      </c>
      <c r="BP24" s="450">
        <f t="shared" si="107"/>
        <v>2600</v>
      </c>
      <c r="BQ24" s="450">
        <v>3000</v>
      </c>
      <c r="BR24" s="450">
        <f t="shared" si="108"/>
        <v>3000</v>
      </c>
      <c r="BS24" s="450">
        <f t="shared" si="64"/>
        <v>400</v>
      </c>
      <c r="BT24" s="450">
        <f t="shared" si="109"/>
        <v>115.38461538461537</v>
      </c>
      <c r="BU24" s="450">
        <f t="shared" si="16"/>
        <v>100</v>
      </c>
      <c r="BV24" s="450">
        <f t="shared" si="135"/>
        <v>104</v>
      </c>
      <c r="BW24" s="450">
        <v>4000</v>
      </c>
      <c r="BX24" s="450">
        <f>+BW24</f>
        <v>4000</v>
      </c>
      <c r="BY24" s="450">
        <v>6929</v>
      </c>
      <c r="BZ24" s="450">
        <f t="shared" si="110"/>
        <v>6929</v>
      </c>
      <c r="CA24" s="450">
        <v>4000</v>
      </c>
      <c r="CB24" s="450">
        <v>4000</v>
      </c>
      <c r="CC24" s="450">
        <v>4000</v>
      </c>
      <c r="CD24" s="450">
        <f>+CC24</f>
        <v>4000</v>
      </c>
      <c r="CE24" s="450">
        <f t="shared" si="66"/>
        <v>0</v>
      </c>
      <c r="CF24" s="450">
        <f t="shared" si="136"/>
        <v>100</v>
      </c>
      <c r="CG24" s="450">
        <f t="shared" si="20"/>
        <v>0</v>
      </c>
      <c r="CH24" s="450">
        <f t="shared" si="137"/>
        <v>100</v>
      </c>
      <c r="CI24" s="450">
        <v>3000</v>
      </c>
      <c r="CJ24" s="450">
        <f>+CI24</f>
        <v>3000</v>
      </c>
      <c r="CK24" s="450">
        <v>10518</v>
      </c>
      <c r="CL24" s="450">
        <f t="shared" si="111"/>
        <v>10518</v>
      </c>
      <c r="CM24" s="450">
        <v>3000</v>
      </c>
      <c r="CN24" s="450">
        <f t="shared" si="112"/>
        <v>3000</v>
      </c>
      <c r="CO24" s="450">
        <v>3000</v>
      </c>
      <c r="CP24" s="450">
        <f t="shared" si="113"/>
        <v>3000</v>
      </c>
      <c r="CQ24" s="450">
        <f t="shared" si="68"/>
        <v>0</v>
      </c>
      <c r="CR24" s="450">
        <f t="shared" si="92"/>
        <v>100</v>
      </c>
      <c r="CS24" s="450">
        <f t="shared" si="23"/>
        <v>0</v>
      </c>
      <c r="CT24" s="450">
        <f t="shared" si="138"/>
        <v>100</v>
      </c>
      <c r="CU24" s="450">
        <v>2000</v>
      </c>
      <c r="CV24" s="450">
        <f>+CU24</f>
        <v>2000</v>
      </c>
      <c r="CW24" s="450">
        <v>925</v>
      </c>
      <c r="CX24" s="450">
        <f t="shared" si="114"/>
        <v>925</v>
      </c>
      <c r="CY24" s="450">
        <v>2000</v>
      </c>
      <c r="CZ24" s="450">
        <f t="shared" si="115"/>
        <v>2000</v>
      </c>
      <c r="DA24" s="450">
        <v>2000</v>
      </c>
      <c r="DB24" s="450">
        <f t="shared" si="116"/>
        <v>2000</v>
      </c>
      <c r="DC24" s="450">
        <f t="shared" si="70"/>
        <v>0</v>
      </c>
      <c r="DD24" s="450">
        <f t="shared" si="26"/>
        <v>100</v>
      </c>
      <c r="DE24" s="450">
        <f t="shared" si="27"/>
        <v>0</v>
      </c>
      <c r="DF24" s="450">
        <f t="shared" si="139"/>
        <v>100</v>
      </c>
      <c r="DG24" s="450">
        <v>3000</v>
      </c>
      <c r="DH24" s="450">
        <f>+DG24</f>
        <v>3000</v>
      </c>
      <c r="DI24" s="450">
        <v>566</v>
      </c>
      <c r="DJ24" s="450">
        <f t="shared" si="117"/>
        <v>566</v>
      </c>
      <c r="DK24" s="450">
        <v>3000</v>
      </c>
      <c r="DL24" s="450">
        <f t="shared" si="118"/>
        <v>3000</v>
      </c>
      <c r="DM24" s="450">
        <v>3000</v>
      </c>
      <c r="DN24" s="450">
        <f t="shared" si="119"/>
        <v>3000</v>
      </c>
      <c r="DO24" s="450">
        <f t="shared" si="72"/>
        <v>0</v>
      </c>
      <c r="DP24" s="450">
        <f t="shared" si="30"/>
        <v>100</v>
      </c>
      <c r="DQ24" s="450">
        <f t="shared" si="31"/>
        <v>0</v>
      </c>
      <c r="DR24" s="450">
        <f t="shared" si="140"/>
        <v>100</v>
      </c>
      <c r="DS24" s="450">
        <v>1700</v>
      </c>
      <c r="DT24" s="450">
        <f>+DS24</f>
        <v>1700</v>
      </c>
      <c r="DU24" s="450">
        <v>920</v>
      </c>
      <c r="DV24" s="450">
        <f t="shared" si="120"/>
        <v>920</v>
      </c>
      <c r="DW24" s="450">
        <v>1500</v>
      </c>
      <c r="DX24" s="450">
        <f t="shared" si="121"/>
        <v>1500</v>
      </c>
      <c r="DY24" s="450">
        <v>2000</v>
      </c>
      <c r="DZ24" s="450">
        <f t="shared" si="122"/>
        <v>2000</v>
      </c>
      <c r="EA24" s="450">
        <f t="shared" si="74"/>
        <v>500</v>
      </c>
      <c r="EB24" s="450">
        <f t="shared" si="123"/>
        <v>133.33333333333331</v>
      </c>
      <c r="EC24" s="450">
        <f t="shared" si="34"/>
        <v>-200</v>
      </c>
      <c r="ED24" s="450">
        <f t="shared" si="141"/>
        <v>88.235294117647058</v>
      </c>
      <c r="EE24" s="450">
        <v>4000</v>
      </c>
      <c r="EF24" s="450">
        <f>+EE24</f>
        <v>4000</v>
      </c>
      <c r="EG24" s="450">
        <f>4034+88</f>
        <v>4122</v>
      </c>
      <c r="EH24" s="450">
        <f t="shared" si="124"/>
        <v>4122</v>
      </c>
      <c r="EI24" s="450">
        <v>4000</v>
      </c>
      <c r="EJ24" s="450">
        <f>EI24</f>
        <v>4000</v>
      </c>
      <c r="EK24" s="450">
        <v>4000</v>
      </c>
      <c r="EL24" s="450">
        <f>+EK24</f>
        <v>4000</v>
      </c>
      <c r="EM24" s="450">
        <f t="shared" si="76"/>
        <v>0</v>
      </c>
      <c r="EN24" s="450">
        <f t="shared" si="37"/>
        <v>100</v>
      </c>
      <c r="EO24" s="450">
        <f t="shared" si="93"/>
        <v>0</v>
      </c>
      <c r="EP24" s="450">
        <f t="shared" si="38"/>
        <v>100</v>
      </c>
      <c r="EQ24" s="450">
        <v>3500</v>
      </c>
      <c r="ER24" s="450">
        <f>+EQ24</f>
        <v>3500</v>
      </c>
      <c r="ES24" s="450">
        <f>1516+36</f>
        <v>1552</v>
      </c>
      <c r="ET24" s="450">
        <f t="shared" si="125"/>
        <v>1552</v>
      </c>
      <c r="EU24" s="450">
        <v>3000</v>
      </c>
      <c r="EV24" s="450">
        <f t="shared" si="126"/>
        <v>3000</v>
      </c>
      <c r="EW24" s="450">
        <v>3000</v>
      </c>
      <c r="EX24" s="450">
        <f t="shared" si="127"/>
        <v>3000</v>
      </c>
      <c r="EY24" s="450">
        <f t="shared" si="78"/>
        <v>0</v>
      </c>
      <c r="EZ24" s="450">
        <f t="shared" si="128"/>
        <v>100</v>
      </c>
      <c r="FA24" s="450">
        <f t="shared" si="79"/>
        <v>-500</v>
      </c>
      <c r="FB24" s="450">
        <f t="shared" si="142"/>
        <v>85.714285714285708</v>
      </c>
    </row>
    <row r="25" spans="1:158" s="485" customFormat="1">
      <c r="A25" s="499">
        <v>10</v>
      </c>
      <c r="B25" s="500" t="s">
        <v>653</v>
      </c>
      <c r="C25" s="452">
        <f t="shared" si="80"/>
        <v>11600</v>
      </c>
      <c r="D25" s="452">
        <f t="shared" si="80"/>
        <v>11600</v>
      </c>
      <c r="E25" s="450">
        <f t="shared" si="80"/>
        <v>9088</v>
      </c>
      <c r="F25" s="450">
        <f t="shared" si="80"/>
        <v>9088</v>
      </c>
      <c r="G25" s="452">
        <f t="shared" si="80"/>
        <v>12000</v>
      </c>
      <c r="H25" s="452">
        <f t="shared" si="80"/>
        <v>12000</v>
      </c>
      <c r="I25" s="452">
        <f t="shared" si="80"/>
        <v>12000</v>
      </c>
      <c r="J25" s="452">
        <f t="shared" si="80"/>
        <v>12000</v>
      </c>
      <c r="K25" s="452">
        <f t="shared" si="1"/>
        <v>0</v>
      </c>
      <c r="L25" s="452">
        <f t="shared" si="2"/>
        <v>100</v>
      </c>
      <c r="M25" s="452">
        <f t="shared" si="3"/>
        <v>400</v>
      </c>
      <c r="N25" s="452">
        <f t="shared" si="130"/>
        <v>103.44827586206897</v>
      </c>
      <c r="O25" s="452">
        <v>2000</v>
      </c>
      <c r="P25" s="452">
        <f>+O25</f>
        <v>2000</v>
      </c>
      <c r="Q25" s="452">
        <v>1430</v>
      </c>
      <c r="R25" s="452">
        <f t="shared" si="94"/>
        <v>1430</v>
      </c>
      <c r="S25" s="452">
        <v>2000</v>
      </c>
      <c r="T25" s="452">
        <f t="shared" si="129"/>
        <v>2000</v>
      </c>
      <c r="U25" s="452">
        <v>2000</v>
      </c>
      <c r="V25" s="452">
        <f t="shared" si="95"/>
        <v>2000</v>
      </c>
      <c r="W25" s="452">
        <f t="shared" si="55"/>
        <v>0</v>
      </c>
      <c r="X25" s="452">
        <f t="shared" si="131"/>
        <v>100</v>
      </c>
      <c r="Y25" s="452">
        <f t="shared" si="56"/>
        <v>0</v>
      </c>
      <c r="Z25" s="452">
        <f>+S25/O25*100</f>
        <v>100</v>
      </c>
      <c r="AA25" s="452">
        <v>500</v>
      </c>
      <c r="AB25" s="452">
        <f>+AA25</f>
        <v>500</v>
      </c>
      <c r="AC25" s="452">
        <v>286</v>
      </c>
      <c r="AD25" s="452">
        <f t="shared" si="96"/>
        <v>286</v>
      </c>
      <c r="AE25" s="452">
        <v>500</v>
      </c>
      <c r="AF25" s="452">
        <f t="shared" si="97"/>
        <v>500</v>
      </c>
      <c r="AG25" s="452">
        <v>500</v>
      </c>
      <c r="AH25" s="452">
        <f t="shared" si="98"/>
        <v>500</v>
      </c>
      <c r="AI25" s="452">
        <f t="shared" si="58"/>
        <v>0</v>
      </c>
      <c r="AJ25" s="452">
        <f t="shared" si="132"/>
        <v>100</v>
      </c>
      <c r="AK25" s="452">
        <f t="shared" si="7"/>
        <v>0</v>
      </c>
      <c r="AL25" s="452"/>
      <c r="AM25" s="452">
        <v>1000</v>
      </c>
      <c r="AN25" s="452">
        <f>+AM25</f>
        <v>1000</v>
      </c>
      <c r="AO25" s="452">
        <v>665</v>
      </c>
      <c r="AP25" s="452">
        <f t="shared" si="99"/>
        <v>665</v>
      </c>
      <c r="AQ25" s="452">
        <v>1000</v>
      </c>
      <c r="AR25" s="452">
        <f t="shared" si="100"/>
        <v>1000</v>
      </c>
      <c r="AS25" s="452">
        <v>1000</v>
      </c>
      <c r="AT25" s="452">
        <f t="shared" si="101"/>
        <v>1000</v>
      </c>
      <c r="AU25" s="452">
        <f t="shared" si="60"/>
        <v>0</v>
      </c>
      <c r="AV25" s="452">
        <f t="shared" si="102"/>
        <v>100</v>
      </c>
      <c r="AW25" s="452">
        <f t="shared" si="10"/>
        <v>0</v>
      </c>
      <c r="AX25" s="452">
        <f t="shared" si="133"/>
        <v>100</v>
      </c>
      <c r="AY25" s="452">
        <v>600</v>
      </c>
      <c r="AZ25" s="452">
        <f>+AY25</f>
        <v>600</v>
      </c>
      <c r="BA25" s="452">
        <v>367</v>
      </c>
      <c r="BB25" s="452">
        <f t="shared" si="103"/>
        <v>367</v>
      </c>
      <c r="BC25" s="452">
        <v>600</v>
      </c>
      <c r="BD25" s="452">
        <f t="shared" si="104"/>
        <v>600</v>
      </c>
      <c r="BE25" s="452">
        <v>600</v>
      </c>
      <c r="BF25" s="452">
        <f t="shared" si="105"/>
        <v>600</v>
      </c>
      <c r="BG25" s="452">
        <f t="shared" si="62"/>
        <v>0</v>
      </c>
      <c r="BH25" s="452">
        <f t="shared" si="91"/>
        <v>100</v>
      </c>
      <c r="BI25" s="452">
        <f t="shared" si="13"/>
        <v>0</v>
      </c>
      <c r="BJ25" s="452">
        <f t="shared" si="134"/>
        <v>100</v>
      </c>
      <c r="BK25" s="452">
        <v>1000</v>
      </c>
      <c r="BL25" s="452">
        <f>+BK25</f>
        <v>1000</v>
      </c>
      <c r="BM25" s="452">
        <v>1612</v>
      </c>
      <c r="BN25" s="452">
        <f t="shared" si="106"/>
        <v>1612</v>
      </c>
      <c r="BO25" s="452">
        <v>1400</v>
      </c>
      <c r="BP25" s="452">
        <f t="shared" si="107"/>
        <v>1400</v>
      </c>
      <c r="BQ25" s="452">
        <v>1400</v>
      </c>
      <c r="BR25" s="452">
        <f t="shared" si="108"/>
        <v>1400</v>
      </c>
      <c r="BS25" s="452">
        <f t="shared" si="64"/>
        <v>0</v>
      </c>
      <c r="BT25" s="452">
        <f t="shared" si="109"/>
        <v>100</v>
      </c>
      <c r="BU25" s="452">
        <f t="shared" si="16"/>
        <v>400</v>
      </c>
      <c r="BV25" s="452">
        <f t="shared" si="135"/>
        <v>140</v>
      </c>
      <c r="BW25" s="452">
        <v>1000</v>
      </c>
      <c r="BX25" s="452">
        <f>+BW25</f>
        <v>1000</v>
      </c>
      <c r="BY25" s="452">
        <v>658</v>
      </c>
      <c r="BZ25" s="452">
        <f t="shared" si="110"/>
        <v>658</v>
      </c>
      <c r="CA25" s="450">
        <v>1000</v>
      </c>
      <c r="CB25" s="452">
        <v>1000</v>
      </c>
      <c r="CC25" s="452">
        <v>1000</v>
      </c>
      <c r="CD25" s="452">
        <f>+CC25</f>
        <v>1000</v>
      </c>
      <c r="CE25" s="452">
        <f t="shared" si="66"/>
        <v>0</v>
      </c>
      <c r="CF25" s="452">
        <f t="shared" si="136"/>
        <v>100</v>
      </c>
      <c r="CG25" s="452">
        <f t="shared" si="20"/>
        <v>0</v>
      </c>
      <c r="CH25" s="452">
        <f t="shared" si="137"/>
        <v>100</v>
      </c>
      <c r="CI25" s="452">
        <v>1000</v>
      </c>
      <c r="CJ25" s="452">
        <f>+CI25</f>
        <v>1000</v>
      </c>
      <c r="CK25" s="452">
        <v>798</v>
      </c>
      <c r="CL25" s="452">
        <f t="shared" si="111"/>
        <v>798</v>
      </c>
      <c r="CM25" s="452">
        <v>1000</v>
      </c>
      <c r="CN25" s="452">
        <f t="shared" si="112"/>
        <v>1000</v>
      </c>
      <c r="CO25" s="452">
        <v>1000</v>
      </c>
      <c r="CP25" s="452">
        <f t="shared" si="113"/>
        <v>1000</v>
      </c>
      <c r="CQ25" s="452">
        <f t="shared" si="68"/>
        <v>0</v>
      </c>
      <c r="CR25" s="452">
        <f t="shared" si="92"/>
        <v>100</v>
      </c>
      <c r="CS25" s="452">
        <f t="shared" si="23"/>
        <v>0</v>
      </c>
      <c r="CT25" s="452">
        <f t="shared" si="138"/>
        <v>100</v>
      </c>
      <c r="CU25" s="452">
        <v>1000</v>
      </c>
      <c r="CV25" s="452">
        <f>+CU25</f>
        <v>1000</v>
      </c>
      <c r="CW25" s="452">
        <v>770</v>
      </c>
      <c r="CX25" s="452">
        <f t="shared" si="114"/>
        <v>770</v>
      </c>
      <c r="CY25" s="452">
        <v>1000</v>
      </c>
      <c r="CZ25" s="452">
        <f t="shared" si="115"/>
        <v>1000</v>
      </c>
      <c r="DA25" s="452">
        <v>1000</v>
      </c>
      <c r="DB25" s="452">
        <f t="shared" si="116"/>
        <v>1000</v>
      </c>
      <c r="DC25" s="452">
        <f t="shared" si="70"/>
        <v>0</v>
      </c>
      <c r="DD25" s="452">
        <f t="shared" si="26"/>
        <v>100</v>
      </c>
      <c r="DE25" s="452">
        <f t="shared" si="27"/>
        <v>0</v>
      </c>
      <c r="DF25" s="452">
        <f t="shared" si="139"/>
        <v>100</v>
      </c>
      <c r="DG25" s="452">
        <v>1000</v>
      </c>
      <c r="DH25" s="452">
        <f>+DG25</f>
        <v>1000</v>
      </c>
      <c r="DI25" s="452">
        <v>678</v>
      </c>
      <c r="DJ25" s="452">
        <f t="shared" si="117"/>
        <v>678</v>
      </c>
      <c r="DK25" s="452">
        <v>1000</v>
      </c>
      <c r="DL25" s="452">
        <f t="shared" si="118"/>
        <v>1000</v>
      </c>
      <c r="DM25" s="452">
        <v>1000</v>
      </c>
      <c r="DN25" s="452">
        <f t="shared" si="119"/>
        <v>1000</v>
      </c>
      <c r="DO25" s="452">
        <f t="shared" si="72"/>
        <v>0</v>
      </c>
      <c r="DP25" s="452">
        <f t="shared" si="30"/>
        <v>100</v>
      </c>
      <c r="DQ25" s="452">
        <f t="shared" si="31"/>
        <v>0</v>
      </c>
      <c r="DR25" s="452">
        <f t="shared" si="140"/>
        <v>100</v>
      </c>
      <c r="DS25" s="452">
        <v>1000</v>
      </c>
      <c r="DT25" s="452">
        <f>+DS25</f>
        <v>1000</v>
      </c>
      <c r="DU25" s="452">
        <v>648</v>
      </c>
      <c r="DV25" s="452">
        <f t="shared" si="120"/>
        <v>648</v>
      </c>
      <c r="DW25" s="452">
        <v>1000</v>
      </c>
      <c r="DX25" s="452">
        <f t="shared" si="121"/>
        <v>1000</v>
      </c>
      <c r="DY25" s="452">
        <v>1000</v>
      </c>
      <c r="DZ25" s="452">
        <f t="shared" si="122"/>
        <v>1000</v>
      </c>
      <c r="EA25" s="452">
        <f t="shared" si="74"/>
        <v>0</v>
      </c>
      <c r="EB25" s="452">
        <f t="shared" si="123"/>
        <v>100</v>
      </c>
      <c r="EC25" s="452">
        <f t="shared" si="34"/>
        <v>0</v>
      </c>
      <c r="ED25" s="452">
        <f t="shared" si="141"/>
        <v>100</v>
      </c>
      <c r="EE25" s="452">
        <v>1000</v>
      </c>
      <c r="EF25" s="452">
        <f>+EE25</f>
        <v>1000</v>
      </c>
      <c r="EG25" s="452">
        <v>715</v>
      </c>
      <c r="EH25" s="452">
        <f t="shared" si="124"/>
        <v>715</v>
      </c>
      <c r="EI25" s="450">
        <v>1000</v>
      </c>
      <c r="EJ25" s="452">
        <f>EI25</f>
        <v>1000</v>
      </c>
      <c r="EK25" s="452">
        <v>1000</v>
      </c>
      <c r="EL25" s="452">
        <f>+EK25</f>
        <v>1000</v>
      </c>
      <c r="EM25" s="452">
        <f t="shared" si="76"/>
        <v>0</v>
      </c>
      <c r="EN25" s="452">
        <f t="shared" si="37"/>
        <v>100</v>
      </c>
      <c r="EO25" s="452">
        <f t="shared" si="93"/>
        <v>0</v>
      </c>
      <c r="EP25" s="452">
        <f t="shared" si="38"/>
        <v>100</v>
      </c>
      <c r="EQ25" s="452">
        <v>500</v>
      </c>
      <c r="ER25" s="452">
        <f>+EQ25</f>
        <v>500</v>
      </c>
      <c r="ES25" s="452">
        <v>461</v>
      </c>
      <c r="ET25" s="452">
        <f t="shared" si="125"/>
        <v>461</v>
      </c>
      <c r="EU25" s="452">
        <v>500</v>
      </c>
      <c r="EV25" s="452">
        <f t="shared" si="126"/>
        <v>500</v>
      </c>
      <c r="EW25" s="452">
        <v>500</v>
      </c>
      <c r="EX25" s="452">
        <f t="shared" si="127"/>
        <v>500</v>
      </c>
      <c r="EY25" s="452">
        <f t="shared" si="78"/>
        <v>0</v>
      </c>
      <c r="EZ25" s="452">
        <f t="shared" si="128"/>
        <v>100</v>
      </c>
      <c r="FA25" s="452">
        <f t="shared" si="79"/>
        <v>0</v>
      </c>
      <c r="FB25" s="452">
        <f t="shared" si="142"/>
        <v>100</v>
      </c>
    </row>
    <row r="26" spans="1:158" s="480" customFormat="1" ht="18.75" customHeight="1">
      <c r="A26" s="478" t="s">
        <v>654</v>
      </c>
      <c r="B26" s="479" t="s">
        <v>489</v>
      </c>
      <c r="C26" s="447"/>
      <c r="D26" s="447"/>
      <c r="E26" s="447"/>
      <c r="F26" s="447"/>
      <c r="G26" s="447"/>
      <c r="H26" s="447"/>
      <c r="I26" s="447"/>
      <c r="J26" s="447"/>
      <c r="K26" s="453"/>
      <c r="L26" s="453"/>
      <c r="M26" s="453"/>
      <c r="N26" s="454"/>
      <c r="O26" s="447"/>
      <c r="P26" s="447"/>
      <c r="Q26" s="447"/>
      <c r="R26" s="447"/>
      <c r="S26" s="447"/>
      <c r="T26" s="447"/>
      <c r="U26" s="447"/>
      <c r="V26" s="447"/>
      <c r="W26" s="453"/>
      <c r="X26" s="453"/>
      <c r="Y26" s="453"/>
      <c r="Z26" s="454"/>
      <c r="AA26" s="447"/>
      <c r="AB26" s="447"/>
      <c r="AC26" s="447"/>
      <c r="AD26" s="447"/>
      <c r="AE26" s="447"/>
      <c r="AF26" s="447"/>
      <c r="AG26" s="447"/>
      <c r="AH26" s="447"/>
      <c r="AI26" s="453"/>
      <c r="AJ26" s="453"/>
      <c r="AK26" s="453"/>
      <c r="AL26" s="454"/>
      <c r="AM26" s="447"/>
      <c r="AN26" s="447"/>
      <c r="AO26" s="447"/>
      <c r="AP26" s="447"/>
      <c r="AQ26" s="455"/>
      <c r="AR26" s="455"/>
      <c r="AS26" s="455"/>
      <c r="AT26" s="455"/>
      <c r="AU26" s="453"/>
      <c r="AV26" s="453"/>
      <c r="AW26" s="453"/>
      <c r="AX26" s="454"/>
      <c r="AY26" s="447"/>
      <c r="AZ26" s="447"/>
      <c r="BA26" s="447"/>
      <c r="BB26" s="447"/>
      <c r="BC26" s="447"/>
      <c r="BD26" s="447"/>
      <c r="BE26" s="447"/>
      <c r="BF26" s="447"/>
      <c r="BG26" s="453"/>
      <c r="BH26" s="453"/>
      <c r="BI26" s="453"/>
      <c r="BJ26" s="454"/>
      <c r="BK26" s="447"/>
      <c r="BL26" s="447"/>
      <c r="BM26" s="447"/>
      <c r="BN26" s="447"/>
      <c r="BO26" s="447"/>
      <c r="BP26" s="447"/>
      <c r="BQ26" s="447"/>
      <c r="BR26" s="447"/>
      <c r="BS26" s="453"/>
      <c r="BT26" s="453"/>
      <c r="BU26" s="453"/>
      <c r="BV26" s="454"/>
      <c r="BW26" s="447"/>
      <c r="BX26" s="447"/>
      <c r="BY26" s="447"/>
      <c r="BZ26" s="447"/>
      <c r="CA26" s="447"/>
      <c r="CB26" s="447"/>
      <c r="CC26" s="447"/>
      <c r="CD26" s="447"/>
      <c r="CE26" s="453"/>
      <c r="CF26" s="453"/>
      <c r="CG26" s="453"/>
      <c r="CH26" s="454"/>
      <c r="CI26" s="447"/>
      <c r="CJ26" s="447"/>
      <c r="CK26" s="447"/>
      <c r="CL26" s="447"/>
      <c r="CM26" s="447"/>
      <c r="CN26" s="447"/>
      <c r="CO26" s="447"/>
      <c r="CP26" s="456"/>
      <c r="CQ26" s="453"/>
      <c r="CR26" s="453"/>
      <c r="CS26" s="453"/>
      <c r="CT26" s="454"/>
      <c r="CU26" s="447"/>
      <c r="CV26" s="447"/>
      <c r="CW26" s="447"/>
      <c r="CX26" s="447"/>
      <c r="CY26" s="447"/>
      <c r="CZ26" s="447"/>
      <c r="DA26" s="447"/>
      <c r="DB26" s="447"/>
      <c r="DC26" s="453"/>
      <c r="DD26" s="453"/>
      <c r="DE26" s="453"/>
      <c r="DF26" s="454"/>
      <c r="DG26" s="447"/>
      <c r="DH26" s="447"/>
      <c r="DI26" s="447"/>
      <c r="DJ26" s="447"/>
      <c r="DK26" s="447"/>
      <c r="DL26" s="447"/>
      <c r="DM26" s="447"/>
      <c r="DN26" s="456"/>
      <c r="DO26" s="453"/>
      <c r="DP26" s="453"/>
      <c r="DQ26" s="453"/>
      <c r="DR26" s="454"/>
      <c r="DS26" s="447"/>
      <c r="DT26" s="447"/>
      <c r="DU26" s="447"/>
      <c r="DV26" s="447"/>
      <c r="DW26" s="447"/>
      <c r="DX26" s="447"/>
      <c r="DY26" s="447"/>
      <c r="DZ26" s="447"/>
      <c r="EA26" s="453"/>
      <c r="EB26" s="453"/>
      <c r="EC26" s="453"/>
      <c r="ED26" s="454"/>
      <c r="EE26" s="447"/>
      <c r="EF26" s="447"/>
      <c r="EG26" s="447"/>
      <c r="EH26" s="447"/>
      <c r="EI26" s="447"/>
      <c r="EJ26" s="447"/>
      <c r="EK26" s="447"/>
      <c r="EL26" s="456"/>
      <c r="EM26" s="453"/>
      <c r="EN26" s="453"/>
      <c r="EO26" s="453"/>
      <c r="EP26" s="454"/>
      <c r="EQ26" s="447"/>
      <c r="ER26" s="447"/>
      <c r="ES26" s="447"/>
      <c r="ET26" s="447"/>
      <c r="EU26" s="447"/>
      <c r="EV26" s="447"/>
      <c r="EW26" s="447"/>
      <c r="EX26" s="447"/>
      <c r="EY26" s="453"/>
      <c r="EZ26" s="453"/>
      <c r="FA26" s="453"/>
      <c r="FB26" s="454"/>
    </row>
    <row r="27" spans="1:158" s="490" customFormat="1" ht="18.75" customHeight="1">
      <c r="A27" s="488" t="s">
        <v>847</v>
      </c>
      <c r="B27" s="489" t="s">
        <v>490</v>
      </c>
      <c r="C27" s="457"/>
      <c r="D27" s="451">
        <f>SUM(AB27,AN27,AZ27,BL27,BX27,CJ27,CV27,DH27,DT27,EF27,ER27,P27)</f>
        <v>1516590</v>
      </c>
      <c r="E27" s="457"/>
      <c r="F27" s="457"/>
      <c r="G27" s="457"/>
      <c r="H27" s="451">
        <f>SUM(AF27,AR27,BD27,BP27,CB27,CN27,CZ27,DL27,DX27,EJ27,EV27,T27)</f>
        <v>925965</v>
      </c>
      <c r="I27" s="457"/>
      <c r="J27" s="451">
        <f>+J8</f>
        <v>1023300</v>
      </c>
      <c r="K27" s="451"/>
      <c r="L27" s="451"/>
      <c r="M27" s="451"/>
      <c r="N27" s="458"/>
      <c r="O27" s="457"/>
      <c r="P27" s="451">
        <f>+P8</f>
        <v>49940</v>
      </c>
      <c r="Q27" s="457"/>
      <c r="R27" s="457"/>
      <c r="S27" s="457"/>
      <c r="T27" s="451">
        <f>+T8</f>
        <v>24010</v>
      </c>
      <c r="U27" s="457"/>
      <c r="V27" s="451">
        <f>+V8</f>
        <v>30890</v>
      </c>
      <c r="W27" s="451"/>
      <c r="X27" s="451"/>
      <c r="Y27" s="451"/>
      <c r="Z27" s="458"/>
      <c r="AA27" s="457"/>
      <c r="AB27" s="451">
        <f>+AB8</f>
        <v>109320</v>
      </c>
      <c r="AC27" s="457"/>
      <c r="AD27" s="457"/>
      <c r="AE27" s="457"/>
      <c r="AF27" s="451">
        <f>+AF8</f>
        <v>79340</v>
      </c>
      <c r="AG27" s="457"/>
      <c r="AH27" s="451">
        <f>+AH8</f>
        <v>74300</v>
      </c>
      <c r="AI27" s="451"/>
      <c r="AJ27" s="451"/>
      <c r="AK27" s="451"/>
      <c r="AL27" s="458"/>
      <c r="AM27" s="457"/>
      <c r="AN27" s="451">
        <f>+AN8</f>
        <v>25045</v>
      </c>
      <c r="AO27" s="457"/>
      <c r="AP27" s="457"/>
      <c r="AQ27" s="457"/>
      <c r="AR27" s="451">
        <f>+AR8</f>
        <v>22050</v>
      </c>
      <c r="AS27" s="457"/>
      <c r="AT27" s="451">
        <f>+AT8</f>
        <v>21850</v>
      </c>
      <c r="AU27" s="451"/>
      <c r="AV27" s="451"/>
      <c r="AW27" s="451"/>
      <c r="AX27" s="458"/>
      <c r="AY27" s="457"/>
      <c r="AZ27" s="451">
        <f>+AZ8</f>
        <v>39060</v>
      </c>
      <c r="BA27" s="457"/>
      <c r="BB27" s="457"/>
      <c r="BC27" s="457"/>
      <c r="BD27" s="451">
        <f>+BD8</f>
        <v>32119</v>
      </c>
      <c r="BE27" s="457"/>
      <c r="BF27" s="451">
        <f>+BF8</f>
        <v>33590</v>
      </c>
      <c r="BG27" s="451"/>
      <c r="BH27" s="451"/>
      <c r="BI27" s="451"/>
      <c r="BJ27" s="458"/>
      <c r="BK27" s="457"/>
      <c r="BL27" s="451">
        <f>+BL8</f>
        <v>74830</v>
      </c>
      <c r="BM27" s="457"/>
      <c r="BN27" s="457"/>
      <c r="BO27" s="457"/>
      <c r="BP27" s="451">
        <f>+BP8</f>
        <v>80792</v>
      </c>
      <c r="BQ27" s="457"/>
      <c r="BR27" s="451">
        <f>+BR8</f>
        <v>97290</v>
      </c>
      <c r="BS27" s="451"/>
      <c r="BT27" s="451"/>
      <c r="BU27" s="451"/>
      <c r="BV27" s="458"/>
      <c r="BW27" s="457"/>
      <c r="BX27" s="451">
        <f>+BX8</f>
        <v>257480</v>
      </c>
      <c r="BY27" s="457"/>
      <c r="BZ27" s="457"/>
      <c r="CA27" s="457"/>
      <c r="CB27" s="451">
        <f>+CB8</f>
        <v>200260</v>
      </c>
      <c r="CC27" s="457"/>
      <c r="CD27" s="451">
        <f>+CD8</f>
        <v>222880</v>
      </c>
      <c r="CE27" s="451"/>
      <c r="CF27" s="451"/>
      <c r="CG27" s="451"/>
      <c r="CH27" s="458"/>
      <c r="CI27" s="457"/>
      <c r="CJ27" s="451">
        <f>+CJ8</f>
        <v>86960</v>
      </c>
      <c r="CK27" s="457"/>
      <c r="CL27" s="457"/>
      <c r="CM27" s="457"/>
      <c r="CN27" s="451">
        <f>+CN8</f>
        <v>64016</v>
      </c>
      <c r="CO27" s="457"/>
      <c r="CP27" s="451">
        <f>+CP8</f>
        <v>81220</v>
      </c>
      <c r="CQ27" s="451"/>
      <c r="CR27" s="451"/>
      <c r="CS27" s="451"/>
      <c r="CT27" s="458"/>
      <c r="CU27" s="457"/>
      <c r="CV27" s="451">
        <f>+CV8</f>
        <v>70570</v>
      </c>
      <c r="CW27" s="457"/>
      <c r="CX27" s="457"/>
      <c r="CY27" s="457"/>
      <c r="CZ27" s="451">
        <f>+CZ8</f>
        <v>59096</v>
      </c>
      <c r="DA27" s="457"/>
      <c r="DB27" s="451">
        <f>+DB8</f>
        <v>74500</v>
      </c>
      <c r="DC27" s="451"/>
      <c r="DD27" s="451"/>
      <c r="DE27" s="451"/>
      <c r="DF27" s="458"/>
      <c r="DG27" s="457"/>
      <c r="DH27" s="451">
        <f>+DH8</f>
        <v>281330</v>
      </c>
      <c r="DI27" s="457"/>
      <c r="DJ27" s="457"/>
      <c r="DK27" s="457"/>
      <c r="DL27" s="451">
        <f>+DL8</f>
        <v>88930</v>
      </c>
      <c r="DM27" s="457"/>
      <c r="DN27" s="451">
        <f>+DN8</f>
        <v>92870</v>
      </c>
      <c r="DO27" s="451"/>
      <c r="DP27" s="451"/>
      <c r="DQ27" s="451"/>
      <c r="DR27" s="458"/>
      <c r="DS27" s="457"/>
      <c r="DT27" s="451">
        <f>+DT8</f>
        <v>81795</v>
      </c>
      <c r="DU27" s="457"/>
      <c r="DV27" s="457"/>
      <c r="DW27" s="457"/>
      <c r="DX27" s="451">
        <f>+DX8</f>
        <v>63350</v>
      </c>
      <c r="DY27" s="457"/>
      <c r="DZ27" s="451">
        <f>+DZ8</f>
        <v>71090</v>
      </c>
      <c r="EA27" s="451"/>
      <c r="EB27" s="451"/>
      <c r="EC27" s="451"/>
      <c r="ED27" s="458"/>
      <c r="EE27" s="457"/>
      <c r="EF27" s="451">
        <f>+EF8</f>
        <v>300360</v>
      </c>
      <c r="EG27" s="457"/>
      <c r="EH27" s="457"/>
      <c r="EI27" s="457"/>
      <c r="EJ27" s="451">
        <f>+EJ8</f>
        <v>145240</v>
      </c>
      <c r="EK27" s="457"/>
      <c r="EL27" s="451">
        <f>+EL8</f>
        <v>157440</v>
      </c>
      <c r="EM27" s="451"/>
      <c r="EN27" s="451"/>
      <c r="EO27" s="451"/>
      <c r="EP27" s="458"/>
      <c r="EQ27" s="457"/>
      <c r="ER27" s="451">
        <f>+ER8</f>
        <v>139900</v>
      </c>
      <c r="ES27" s="457"/>
      <c r="ET27" s="457"/>
      <c r="EU27" s="457"/>
      <c r="EV27" s="451">
        <f>+EV8</f>
        <v>66762</v>
      </c>
      <c r="EW27" s="457"/>
      <c r="EX27" s="451">
        <f>+EX8</f>
        <v>65380</v>
      </c>
      <c r="EY27" s="451"/>
      <c r="EZ27" s="451"/>
      <c r="FA27" s="451"/>
      <c r="FB27" s="458"/>
    </row>
    <row r="28" spans="1:158" s="490" customFormat="1" ht="18.75" customHeight="1">
      <c r="A28" s="488"/>
      <c r="B28" s="489" t="s">
        <v>491</v>
      </c>
      <c r="C28" s="457"/>
      <c r="D28" s="451">
        <f>+D23</f>
        <v>350000</v>
      </c>
      <c r="E28" s="457"/>
      <c r="F28" s="457"/>
      <c r="G28" s="457"/>
      <c r="H28" s="451">
        <f>+H23</f>
        <v>200000</v>
      </c>
      <c r="I28" s="457"/>
      <c r="J28" s="451">
        <f>+J23</f>
        <v>250000</v>
      </c>
      <c r="K28" s="451"/>
      <c r="L28" s="451"/>
      <c r="M28" s="451"/>
      <c r="N28" s="458"/>
      <c r="O28" s="457"/>
      <c r="P28" s="451">
        <f>+P23</f>
        <v>8000</v>
      </c>
      <c r="Q28" s="457"/>
      <c r="R28" s="457"/>
      <c r="S28" s="457"/>
      <c r="T28" s="451">
        <f>+T23</f>
        <v>5000</v>
      </c>
      <c r="U28" s="457"/>
      <c r="V28" s="451">
        <f>+V23</f>
        <v>5000</v>
      </c>
      <c r="W28" s="451"/>
      <c r="X28" s="451"/>
      <c r="Y28" s="451"/>
      <c r="Z28" s="458"/>
      <c r="AA28" s="457"/>
      <c r="AB28" s="451">
        <f>+AB23</f>
        <v>65000</v>
      </c>
      <c r="AC28" s="457"/>
      <c r="AD28" s="457"/>
      <c r="AE28" s="457"/>
      <c r="AF28" s="451">
        <f>+AF23</f>
        <v>40000</v>
      </c>
      <c r="AG28" s="457"/>
      <c r="AH28" s="451">
        <f>+AH23</f>
        <v>40000</v>
      </c>
      <c r="AI28" s="451"/>
      <c r="AJ28" s="451"/>
      <c r="AK28" s="451"/>
      <c r="AL28" s="458"/>
      <c r="AM28" s="457"/>
      <c r="AN28" s="451">
        <f>+AN23</f>
        <v>10000</v>
      </c>
      <c r="AO28" s="457"/>
      <c r="AP28" s="457"/>
      <c r="AQ28" s="457"/>
      <c r="AR28" s="451">
        <f>+AR23</f>
        <v>4000</v>
      </c>
      <c r="AS28" s="457"/>
      <c r="AT28" s="451">
        <f>+AT23</f>
        <v>5000</v>
      </c>
      <c r="AU28" s="451"/>
      <c r="AV28" s="451"/>
      <c r="AW28" s="451"/>
      <c r="AX28" s="458"/>
      <c r="AY28" s="457"/>
      <c r="AZ28" s="451">
        <f>+AZ23</f>
        <v>10000</v>
      </c>
      <c r="BA28" s="457"/>
      <c r="BB28" s="457"/>
      <c r="BC28" s="457"/>
      <c r="BD28" s="451">
        <f>+BD23</f>
        <v>5000</v>
      </c>
      <c r="BE28" s="457"/>
      <c r="BF28" s="451">
        <f>+BF23</f>
        <v>9000</v>
      </c>
      <c r="BG28" s="451"/>
      <c r="BH28" s="451"/>
      <c r="BI28" s="451"/>
      <c r="BJ28" s="458"/>
      <c r="BK28" s="457"/>
      <c r="BL28" s="451">
        <f>+BL23</f>
        <v>14000</v>
      </c>
      <c r="BM28" s="457"/>
      <c r="BN28" s="457"/>
      <c r="BO28" s="457"/>
      <c r="BP28" s="451">
        <f>+BP23</f>
        <v>8000</v>
      </c>
      <c r="BQ28" s="457"/>
      <c r="BR28" s="451">
        <f>+BR23</f>
        <v>14000</v>
      </c>
      <c r="BS28" s="451"/>
      <c r="BT28" s="451"/>
      <c r="BU28" s="451"/>
      <c r="BV28" s="458"/>
      <c r="BW28" s="457"/>
      <c r="BX28" s="451">
        <f>+BX23</f>
        <v>68000</v>
      </c>
      <c r="BY28" s="457"/>
      <c r="BZ28" s="457"/>
      <c r="CA28" s="457"/>
      <c r="CB28" s="451">
        <f>+CB23</f>
        <v>22000</v>
      </c>
      <c r="CC28" s="457"/>
      <c r="CD28" s="451">
        <f>+CD23</f>
        <v>30000</v>
      </c>
      <c r="CE28" s="451"/>
      <c r="CF28" s="451"/>
      <c r="CG28" s="451"/>
      <c r="CH28" s="458"/>
      <c r="CI28" s="457"/>
      <c r="CJ28" s="451">
        <f>+CJ23</f>
        <v>35000</v>
      </c>
      <c r="CK28" s="457"/>
      <c r="CL28" s="457"/>
      <c r="CM28" s="457"/>
      <c r="CN28" s="451">
        <f>+CN23</f>
        <v>15000</v>
      </c>
      <c r="CO28" s="457"/>
      <c r="CP28" s="451">
        <f>+CP23</f>
        <v>30000</v>
      </c>
      <c r="CQ28" s="451"/>
      <c r="CR28" s="451"/>
      <c r="CS28" s="451"/>
      <c r="CT28" s="458"/>
      <c r="CU28" s="457"/>
      <c r="CV28" s="451">
        <f>+CV23</f>
        <v>35000</v>
      </c>
      <c r="CW28" s="457"/>
      <c r="CX28" s="457"/>
      <c r="CY28" s="457"/>
      <c r="CZ28" s="451">
        <f>+CZ23</f>
        <v>20000</v>
      </c>
      <c r="DA28" s="457"/>
      <c r="DB28" s="451">
        <f>+DB23</f>
        <v>35000</v>
      </c>
      <c r="DC28" s="451"/>
      <c r="DD28" s="451"/>
      <c r="DE28" s="451"/>
      <c r="DF28" s="458"/>
      <c r="DG28" s="457"/>
      <c r="DH28" s="451">
        <f>+DH23</f>
        <v>35000</v>
      </c>
      <c r="DI28" s="457"/>
      <c r="DJ28" s="457"/>
      <c r="DK28" s="457"/>
      <c r="DL28" s="451">
        <f>+DL23</f>
        <v>20000</v>
      </c>
      <c r="DM28" s="457"/>
      <c r="DN28" s="451">
        <f>+DN23</f>
        <v>20000</v>
      </c>
      <c r="DO28" s="451"/>
      <c r="DP28" s="451"/>
      <c r="DQ28" s="451"/>
      <c r="DR28" s="458"/>
      <c r="DS28" s="457"/>
      <c r="DT28" s="451">
        <f>+DT23</f>
        <v>10000</v>
      </c>
      <c r="DU28" s="457"/>
      <c r="DV28" s="457"/>
      <c r="DW28" s="457"/>
      <c r="DX28" s="451">
        <f>+DX23</f>
        <v>4000</v>
      </c>
      <c r="DY28" s="457"/>
      <c r="DZ28" s="451">
        <f>+DZ23</f>
        <v>7000</v>
      </c>
      <c r="EA28" s="451"/>
      <c r="EB28" s="451"/>
      <c r="EC28" s="451"/>
      <c r="ED28" s="458"/>
      <c r="EE28" s="457"/>
      <c r="EF28" s="451">
        <f>+EF23</f>
        <v>40000</v>
      </c>
      <c r="EG28" s="457"/>
      <c r="EH28" s="457"/>
      <c r="EI28" s="457"/>
      <c r="EJ28" s="451">
        <f>+EJ23</f>
        <v>37000</v>
      </c>
      <c r="EK28" s="457"/>
      <c r="EL28" s="451">
        <f>+EL23</f>
        <v>40000</v>
      </c>
      <c r="EM28" s="451"/>
      <c r="EN28" s="451"/>
      <c r="EO28" s="451"/>
      <c r="EP28" s="458"/>
      <c r="EQ28" s="457"/>
      <c r="ER28" s="451">
        <f>+ER23</f>
        <v>20000</v>
      </c>
      <c r="ES28" s="457"/>
      <c r="ET28" s="457"/>
      <c r="EU28" s="457"/>
      <c r="EV28" s="451">
        <f>+EV23</f>
        <v>20000</v>
      </c>
      <c r="EW28" s="457"/>
      <c r="EX28" s="451">
        <f>+EX23</f>
        <v>15000</v>
      </c>
      <c r="EY28" s="451"/>
      <c r="EZ28" s="451"/>
      <c r="FA28" s="451"/>
      <c r="FB28" s="458"/>
    </row>
    <row r="29" spans="1:158" s="490" customFormat="1" ht="18.75" customHeight="1">
      <c r="A29" s="488" t="s">
        <v>847</v>
      </c>
      <c r="B29" s="489" t="s">
        <v>492</v>
      </c>
      <c r="C29" s="457"/>
      <c r="D29" s="451">
        <f>+D27-D28</f>
        <v>1166590</v>
      </c>
      <c r="E29" s="457"/>
      <c r="F29" s="457"/>
      <c r="G29" s="457"/>
      <c r="H29" s="451">
        <f>+H27-H28</f>
        <v>725965</v>
      </c>
      <c r="I29" s="457"/>
      <c r="J29" s="451">
        <f>+J27-J28</f>
        <v>773300</v>
      </c>
      <c r="K29" s="451"/>
      <c r="L29" s="451"/>
      <c r="M29" s="451"/>
      <c r="N29" s="457"/>
      <c r="O29" s="457"/>
      <c r="P29" s="451">
        <f>+P27-P28</f>
        <v>41940</v>
      </c>
      <c r="Q29" s="457"/>
      <c r="R29" s="457"/>
      <c r="S29" s="457"/>
      <c r="T29" s="451">
        <f>+T27-T28</f>
        <v>19010</v>
      </c>
      <c r="U29" s="457"/>
      <c r="V29" s="451">
        <f>+V27-V28</f>
        <v>25890</v>
      </c>
      <c r="W29" s="451"/>
      <c r="X29" s="451"/>
      <c r="Y29" s="451"/>
      <c r="Z29" s="457"/>
      <c r="AA29" s="457"/>
      <c r="AB29" s="451">
        <f>+AB27-AB28</f>
        <v>44320</v>
      </c>
      <c r="AC29" s="457"/>
      <c r="AD29" s="457"/>
      <c r="AE29" s="457"/>
      <c r="AF29" s="451">
        <f>+AF27-AF28</f>
        <v>39340</v>
      </c>
      <c r="AG29" s="457"/>
      <c r="AH29" s="451">
        <f>+AH27-AH28</f>
        <v>34300</v>
      </c>
      <c r="AI29" s="451"/>
      <c r="AJ29" s="451"/>
      <c r="AK29" s="451"/>
      <c r="AL29" s="457"/>
      <c r="AM29" s="457"/>
      <c r="AN29" s="451">
        <f>+AN27-AN28</f>
        <v>15045</v>
      </c>
      <c r="AO29" s="457"/>
      <c r="AP29" s="457"/>
      <c r="AQ29" s="457"/>
      <c r="AR29" s="451">
        <f>+AR27-AR28</f>
        <v>18050</v>
      </c>
      <c r="AS29" s="457"/>
      <c r="AT29" s="451">
        <f>+AT27-AT28</f>
        <v>16850</v>
      </c>
      <c r="AU29" s="451"/>
      <c r="AV29" s="451"/>
      <c r="AW29" s="451"/>
      <c r="AX29" s="457"/>
      <c r="AY29" s="457"/>
      <c r="AZ29" s="451">
        <f>+AZ27-AZ28</f>
        <v>29060</v>
      </c>
      <c r="BA29" s="457"/>
      <c r="BB29" s="457"/>
      <c r="BC29" s="457"/>
      <c r="BD29" s="451">
        <f>+BD27-BD28</f>
        <v>27119</v>
      </c>
      <c r="BE29" s="457"/>
      <c r="BF29" s="451">
        <f>+BF27-BF28</f>
        <v>24590</v>
      </c>
      <c r="BG29" s="451"/>
      <c r="BH29" s="451"/>
      <c r="BI29" s="451"/>
      <c r="BJ29" s="457"/>
      <c r="BK29" s="457"/>
      <c r="BL29" s="451">
        <f>+BL27-BL28</f>
        <v>60830</v>
      </c>
      <c r="BM29" s="457"/>
      <c r="BN29" s="457"/>
      <c r="BO29" s="457"/>
      <c r="BP29" s="451">
        <f>+BP27-BP28</f>
        <v>72792</v>
      </c>
      <c r="BQ29" s="457"/>
      <c r="BR29" s="451">
        <f>+BR27-BR28</f>
        <v>83290</v>
      </c>
      <c r="BS29" s="451"/>
      <c r="BT29" s="451"/>
      <c r="BU29" s="451"/>
      <c r="BV29" s="457"/>
      <c r="BW29" s="457"/>
      <c r="BX29" s="451">
        <f>+BX27-BX28</f>
        <v>189480</v>
      </c>
      <c r="BY29" s="457"/>
      <c r="BZ29" s="457"/>
      <c r="CA29" s="457"/>
      <c r="CB29" s="451">
        <f>+CB27-CB28</f>
        <v>178260</v>
      </c>
      <c r="CC29" s="457"/>
      <c r="CD29" s="451">
        <f>+CD27-CD28</f>
        <v>192880</v>
      </c>
      <c r="CE29" s="451"/>
      <c r="CF29" s="451"/>
      <c r="CG29" s="451"/>
      <c r="CH29" s="457"/>
      <c r="CI29" s="457"/>
      <c r="CJ29" s="451">
        <f>+CJ27-CJ28</f>
        <v>51960</v>
      </c>
      <c r="CK29" s="457"/>
      <c r="CL29" s="457"/>
      <c r="CM29" s="457"/>
      <c r="CN29" s="451">
        <f>+CN27-CN28</f>
        <v>49016</v>
      </c>
      <c r="CO29" s="457"/>
      <c r="CP29" s="451">
        <f>+CP27-CP28</f>
        <v>51220</v>
      </c>
      <c r="CQ29" s="451"/>
      <c r="CR29" s="451"/>
      <c r="CS29" s="451"/>
      <c r="CT29" s="457"/>
      <c r="CU29" s="457"/>
      <c r="CV29" s="451">
        <f>+CV27-CV28</f>
        <v>35570</v>
      </c>
      <c r="CW29" s="457"/>
      <c r="CX29" s="457"/>
      <c r="CY29" s="457"/>
      <c r="CZ29" s="451">
        <f>+CZ27-CZ28</f>
        <v>39096</v>
      </c>
      <c r="DA29" s="457"/>
      <c r="DB29" s="451">
        <f>+DB27-DB28</f>
        <v>39500</v>
      </c>
      <c r="DC29" s="451"/>
      <c r="DD29" s="451"/>
      <c r="DE29" s="451"/>
      <c r="DF29" s="457"/>
      <c r="DG29" s="457"/>
      <c r="DH29" s="451">
        <f>+DH27-DH28</f>
        <v>246330</v>
      </c>
      <c r="DI29" s="457"/>
      <c r="DJ29" s="457"/>
      <c r="DK29" s="457"/>
      <c r="DL29" s="451">
        <f>+DL27-DL28</f>
        <v>68930</v>
      </c>
      <c r="DM29" s="457"/>
      <c r="DN29" s="451">
        <f>+DN27-DN28</f>
        <v>72870</v>
      </c>
      <c r="DO29" s="451"/>
      <c r="DP29" s="451"/>
      <c r="DQ29" s="451"/>
      <c r="DR29" s="457"/>
      <c r="DS29" s="457"/>
      <c r="DT29" s="451">
        <f>+DT27-DT28</f>
        <v>71795</v>
      </c>
      <c r="DU29" s="457"/>
      <c r="DV29" s="457"/>
      <c r="DW29" s="457"/>
      <c r="DX29" s="451">
        <f>+DX27-DX28</f>
        <v>59350</v>
      </c>
      <c r="DY29" s="457"/>
      <c r="DZ29" s="451">
        <f>+DZ27-DZ28</f>
        <v>64090</v>
      </c>
      <c r="EA29" s="451"/>
      <c r="EB29" s="451"/>
      <c r="EC29" s="451"/>
      <c r="ED29" s="457"/>
      <c r="EE29" s="457"/>
      <c r="EF29" s="451">
        <f>+EF27-EF28</f>
        <v>260360</v>
      </c>
      <c r="EG29" s="457"/>
      <c r="EH29" s="457"/>
      <c r="EI29" s="457"/>
      <c r="EJ29" s="451">
        <f>+EJ27-EJ28</f>
        <v>108240</v>
      </c>
      <c r="EK29" s="457"/>
      <c r="EL29" s="451">
        <f>+EL27-EL28</f>
        <v>117440</v>
      </c>
      <c r="EM29" s="451"/>
      <c r="EN29" s="451"/>
      <c r="EO29" s="451"/>
      <c r="EP29" s="457"/>
      <c r="EQ29" s="457"/>
      <c r="ER29" s="451">
        <f>+ER27-ER28</f>
        <v>119900</v>
      </c>
      <c r="ES29" s="457"/>
      <c r="ET29" s="457"/>
      <c r="EU29" s="457"/>
      <c r="EV29" s="451">
        <f>+EV27-EV28</f>
        <v>46762</v>
      </c>
      <c r="EW29" s="457"/>
      <c r="EX29" s="451">
        <f>+EX27-EX28</f>
        <v>50380</v>
      </c>
      <c r="EY29" s="451"/>
      <c r="EZ29" s="451"/>
      <c r="FA29" s="451"/>
      <c r="FB29" s="457"/>
    </row>
    <row r="30" spans="1:158" s="490" customFormat="1" ht="18.75" customHeight="1">
      <c r="A30" s="488" t="s">
        <v>847</v>
      </c>
      <c r="B30" s="491" t="s">
        <v>898</v>
      </c>
      <c r="C30" s="457"/>
      <c r="D30" s="457"/>
      <c r="E30" s="457"/>
      <c r="F30" s="457"/>
      <c r="G30" s="457"/>
      <c r="H30" s="459">
        <f>SUM(AF30,AR30,BD30,BP30,CB30,CN30,CZ30,DL30,DX30,EJ30,EV30,T30)</f>
        <v>-440625</v>
      </c>
      <c r="I30" s="457"/>
      <c r="J30" s="457"/>
      <c r="K30" s="457"/>
      <c r="L30" s="457"/>
      <c r="M30" s="457"/>
      <c r="N30" s="457"/>
      <c r="O30" s="457"/>
      <c r="P30" s="457"/>
      <c r="Q30" s="457"/>
      <c r="R30" s="457"/>
      <c r="S30" s="457"/>
      <c r="T30" s="457">
        <f>T29-P29</f>
        <v>-22930</v>
      </c>
      <c r="U30" s="457"/>
      <c r="V30" s="457"/>
      <c r="W30" s="457"/>
      <c r="X30" s="457"/>
      <c r="Y30" s="457"/>
      <c r="Z30" s="457"/>
      <c r="AA30" s="457"/>
      <c r="AB30" s="457"/>
      <c r="AC30" s="457"/>
      <c r="AD30" s="457"/>
      <c r="AE30" s="457"/>
      <c r="AF30" s="457">
        <f>AF29-AB29</f>
        <v>-4980</v>
      </c>
      <c r="AG30" s="457"/>
      <c r="AH30" s="457"/>
      <c r="AI30" s="457"/>
      <c r="AJ30" s="457"/>
      <c r="AK30" s="457"/>
      <c r="AL30" s="457"/>
      <c r="AM30" s="457"/>
      <c r="AN30" s="457"/>
      <c r="AO30" s="457"/>
      <c r="AP30" s="457"/>
      <c r="AQ30" s="457"/>
      <c r="AR30" s="457">
        <f>AR29-AN29</f>
        <v>3005</v>
      </c>
      <c r="AS30" s="457"/>
      <c r="AT30" s="457"/>
      <c r="AU30" s="457"/>
      <c r="AV30" s="457"/>
      <c r="AW30" s="457"/>
      <c r="AX30" s="457"/>
      <c r="AY30" s="457"/>
      <c r="AZ30" s="457"/>
      <c r="BA30" s="457"/>
      <c r="BB30" s="457"/>
      <c r="BC30" s="457"/>
      <c r="BD30" s="457">
        <f>BD29-AZ29</f>
        <v>-1941</v>
      </c>
      <c r="BE30" s="457"/>
      <c r="BF30" s="457"/>
      <c r="BG30" s="457"/>
      <c r="BH30" s="457"/>
      <c r="BI30" s="457"/>
      <c r="BJ30" s="457"/>
      <c r="BK30" s="457"/>
      <c r="BL30" s="457"/>
      <c r="BM30" s="457"/>
      <c r="BN30" s="457"/>
      <c r="BO30" s="457"/>
      <c r="BP30" s="457">
        <f>BP29-BL29</f>
        <v>11962</v>
      </c>
      <c r="BQ30" s="457"/>
      <c r="BR30" s="457"/>
      <c r="BS30" s="457"/>
      <c r="BT30" s="457"/>
      <c r="BU30" s="457"/>
      <c r="BV30" s="457"/>
      <c r="BW30" s="457"/>
      <c r="BX30" s="457"/>
      <c r="BY30" s="457"/>
      <c r="BZ30" s="457"/>
      <c r="CA30" s="457"/>
      <c r="CB30" s="457">
        <f>CB29-BX29</f>
        <v>-11220</v>
      </c>
      <c r="CC30" s="457"/>
      <c r="CD30" s="457"/>
      <c r="CE30" s="457"/>
      <c r="CF30" s="457"/>
      <c r="CG30" s="457"/>
      <c r="CH30" s="457"/>
      <c r="CI30" s="457"/>
      <c r="CJ30" s="457"/>
      <c r="CK30" s="457"/>
      <c r="CL30" s="457"/>
      <c r="CM30" s="457"/>
      <c r="CN30" s="457">
        <f>CN29-CJ29</f>
        <v>-2944</v>
      </c>
      <c r="CO30" s="457"/>
      <c r="CP30" s="457"/>
      <c r="CQ30" s="457"/>
      <c r="CR30" s="457"/>
      <c r="CS30" s="457"/>
      <c r="CT30" s="457"/>
      <c r="CU30" s="457"/>
      <c r="CV30" s="457"/>
      <c r="CW30" s="457"/>
      <c r="CX30" s="457"/>
      <c r="CY30" s="457"/>
      <c r="CZ30" s="457">
        <f>CZ29-CV29</f>
        <v>3526</v>
      </c>
      <c r="DA30" s="457"/>
      <c r="DB30" s="457"/>
      <c r="DC30" s="457"/>
      <c r="DD30" s="457"/>
      <c r="DE30" s="457"/>
      <c r="DF30" s="457"/>
      <c r="DG30" s="457"/>
      <c r="DH30" s="457"/>
      <c r="DI30" s="457"/>
      <c r="DJ30" s="457"/>
      <c r="DK30" s="457"/>
      <c r="DL30" s="457">
        <f>DL29-DH29</f>
        <v>-177400</v>
      </c>
      <c r="DM30" s="457"/>
      <c r="DN30" s="457"/>
      <c r="DO30" s="457"/>
      <c r="DP30" s="457"/>
      <c r="DQ30" s="457"/>
      <c r="DR30" s="457"/>
      <c r="DS30" s="457"/>
      <c r="DT30" s="457"/>
      <c r="DU30" s="457"/>
      <c r="DV30" s="457"/>
      <c r="DW30" s="457"/>
      <c r="DX30" s="457">
        <f>DX29-DT29</f>
        <v>-12445</v>
      </c>
      <c r="DY30" s="457"/>
      <c r="DZ30" s="457"/>
      <c r="EA30" s="457"/>
      <c r="EB30" s="457"/>
      <c r="EC30" s="457"/>
      <c r="ED30" s="457"/>
      <c r="EE30" s="457"/>
      <c r="EF30" s="457"/>
      <c r="EG30" s="457"/>
      <c r="EH30" s="457"/>
      <c r="EI30" s="457"/>
      <c r="EJ30" s="457">
        <f>EJ29-EF29</f>
        <v>-152120</v>
      </c>
      <c r="EK30" s="457"/>
      <c r="EL30" s="457"/>
      <c r="EM30" s="457"/>
      <c r="EN30" s="457"/>
      <c r="EO30" s="457"/>
      <c r="EP30" s="457"/>
      <c r="EQ30" s="457"/>
      <c r="ER30" s="457"/>
      <c r="ES30" s="457"/>
      <c r="ET30" s="457"/>
      <c r="EU30" s="457"/>
      <c r="EV30" s="457">
        <f>EV29-ER29</f>
        <v>-73138</v>
      </c>
      <c r="EW30" s="457"/>
      <c r="EX30" s="457"/>
      <c r="EY30" s="457"/>
      <c r="EZ30" s="457"/>
      <c r="FA30" s="457"/>
      <c r="FB30" s="457"/>
    </row>
    <row r="31" spans="1:158" s="480" customFormat="1" ht="18.75" customHeight="1">
      <c r="A31" s="492">
        <v>1</v>
      </c>
      <c r="B31" s="493" t="s">
        <v>899</v>
      </c>
      <c r="C31" s="459"/>
      <c r="D31" s="459"/>
      <c r="E31" s="459"/>
      <c r="F31" s="459"/>
      <c r="G31" s="459"/>
      <c r="H31" s="459">
        <f>SUM(AF31,AR31,BD31,BP31,CB31,CN31,CZ31,DL31,DX31,EJ31,EV31,T31)</f>
        <v>-220320</v>
      </c>
      <c r="I31" s="459"/>
      <c r="J31" s="459"/>
      <c r="K31" s="450"/>
      <c r="L31" s="459"/>
      <c r="M31" s="459"/>
      <c r="N31" s="459"/>
      <c r="O31" s="459"/>
      <c r="P31" s="459"/>
      <c r="Q31" s="459"/>
      <c r="R31" s="459"/>
      <c r="S31" s="459"/>
      <c r="T31" s="459">
        <f>ROUND(T30*0.5,-1)</f>
        <v>-11470</v>
      </c>
      <c r="U31" s="459"/>
      <c r="V31" s="459"/>
      <c r="W31" s="459"/>
      <c r="X31" s="459"/>
      <c r="Y31" s="459"/>
      <c r="Z31" s="459"/>
      <c r="AA31" s="459"/>
      <c r="AB31" s="459"/>
      <c r="AC31" s="459"/>
      <c r="AD31" s="459"/>
      <c r="AE31" s="459"/>
      <c r="AF31" s="459">
        <f>ROUND(AF30*0.5,-1)</f>
        <v>-2490</v>
      </c>
      <c r="AG31" s="459"/>
      <c r="AH31" s="459"/>
      <c r="AI31" s="459"/>
      <c r="AJ31" s="459"/>
      <c r="AK31" s="459"/>
      <c r="AL31" s="459"/>
      <c r="AM31" s="459"/>
      <c r="AN31" s="459"/>
      <c r="AO31" s="459"/>
      <c r="AP31" s="459"/>
      <c r="AQ31" s="459"/>
      <c r="AR31" s="459">
        <f>ROUND(AR30*0.5,-1)</f>
        <v>1500</v>
      </c>
      <c r="AS31" s="459"/>
      <c r="AT31" s="459"/>
      <c r="AU31" s="459"/>
      <c r="AV31" s="459"/>
      <c r="AW31" s="459"/>
      <c r="AX31" s="459"/>
      <c r="AY31" s="459"/>
      <c r="AZ31" s="459"/>
      <c r="BA31" s="459"/>
      <c r="BB31" s="459"/>
      <c r="BC31" s="459"/>
      <c r="BD31" s="459">
        <f>ROUND(BD30*0.5,-1)</f>
        <v>-970</v>
      </c>
      <c r="BE31" s="459"/>
      <c r="BF31" s="459"/>
      <c r="BG31" s="459"/>
      <c r="BH31" s="459"/>
      <c r="BI31" s="459"/>
      <c r="BJ31" s="459"/>
      <c r="BK31" s="459"/>
      <c r="BL31" s="459"/>
      <c r="BM31" s="459"/>
      <c r="BN31" s="459"/>
      <c r="BO31" s="459"/>
      <c r="BP31" s="459">
        <f>ROUND(BP30*0.5,-1)</f>
        <v>5980</v>
      </c>
      <c r="BQ31" s="459"/>
      <c r="BR31" s="459"/>
      <c r="BS31" s="459"/>
      <c r="BT31" s="459"/>
      <c r="BU31" s="459"/>
      <c r="BV31" s="459"/>
      <c r="BW31" s="459"/>
      <c r="BX31" s="459"/>
      <c r="BY31" s="459"/>
      <c r="BZ31" s="459"/>
      <c r="CA31" s="459"/>
      <c r="CB31" s="459">
        <f>ROUND(CB30*0.5,-1)</f>
        <v>-5610</v>
      </c>
      <c r="CC31" s="459"/>
      <c r="CD31" s="459"/>
      <c r="CE31" s="459"/>
      <c r="CF31" s="459"/>
      <c r="CG31" s="459"/>
      <c r="CH31" s="459"/>
      <c r="CI31" s="459"/>
      <c r="CJ31" s="459"/>
      <c r="CK31" s="459"/>
      <c r="CL31" s="459"/>
      <c r="CM31" s="459"/>
      <c r="CN31" s="459">
        <f>ROUND(CN30*0.5,-1)</f>
        <v>-1470</v>
      </c>
      <c r="CO31" s="459"/>
      <c r="CP31" s="459"/>
      <c r="CQ31" s="459"/>
      <c r="CR31" s="459"/>
      <c r="CS31" s="459"/>
      <c r="CT31" s="459"/>
      <c r="CU31" s="459"/>
      <c r="CV31" s="459"/>
      <c r="CW31" s="459"/>
      <c r="CX31" s="459"/>
      <c r="CY31" s="459"/>
      <c r="CZ31" s="459">
        <f>ROUND(CZ30*0.5,-1)</f>
        <v>1760</v>
      </c>
      <c r="DA31" s="459"/>
      <c r="DB31" s="459"/>
      <c r="DC31" s="459"/>
      <c r="DD31" s="459"/>
      <c r="DE31" s="459"/>
      <c r="DF31" s="459"/>
      <c r="DG31" s="459"/>
      <c r="DH31" s="459"/>
      <c r="DI31" s="459"/>
      <c r="DJ31" s="459"/>
      <c r="DK31" s="459"/>
      <c r="DL31" s="459">
        <f>ROUND(DL30*0.5,-1)</f>
        <v>-88700</v>
      </c>
      <c r="DM31" s="459"/>
      <c r="DN31" s="459"/>
      <c r="DO31" s="459"/>
      <c r="DP31" s="459"/>
      <c r="DQ31" s="459"/>
      <c r="DR31" s="459"/>
      <c r="DS31" s="459"/>
      <c r="DT31" s="459"/>
      <c r="DU31" s="459"/>
      <c r="DV31" s="459"/>
      <c r="DW31" s="459"/>
      <c r="DX31" s="459">
        <f>ROUND(DX30*0.5,-1)</f>
        <v>-6220</v>
      </c>
      <c r="DY31" s="459"/>
      <c r="DZ31" s="459"/>
      <c r="EA31" s="459"/>
      <c r="EB31" s="459"/>
      <c r="EC31" s="459"/>
      <c r="ED31" s="459"/>
      <c r="EE31" s="459"/>
      <c r="EF31" s="459"/>
      <c r="EG31" s="459"/>
      <c r="EH31" s="459"/>
      <c r="EI31" s="459"/>
      <c r="EJ31" s="459">
        <f>ROUND(EJ30*0.5,-1)</f>
        <v>-76060</v>
      </c>
      <c r="EK31" s="459"/>
      <c r="EL31" s="459"/>
      <c r="EM31" s="459"/>
      <c r="EN31" s="459"/>
      <c r="EO31" s="459"/>
      <c r="EP31" s="459"/>
      <c r="EQ31" s="459"/>
      <c r="ER31" s="459"/>
      <c r="ES31" s="459"/>
      <c r="ET31" s="459"/>
      <c r="EU31" s="459"/>
      <c r="EV31" s="459">
        <f>ROUND(EV30*0.5,-1)</f>
        <v>-36570</v>
      </c>
      <c r="EW31" s="459"/>
      <c r="EX31" s="459"/>
      <c r="EY31" s="459"/>
      <c r="EZ31" s="459"/>
      <c r="FA31" s="459"/>
      <c r="FB31" s="459"/>
    </row>
    <row r="32" spans="1:158" s="490" customFormat="1" ht="18.75" customHeight="1">
      <c r="A32" s="488" t="s">
        <v>847</v>
      </c>
      <c r="B32" s="491" t="s">
        <v>900</v>
      </c>
      <c r="C32" s="457"/>
      <c r="D32" s="457"/>
      <c r="E32" s="457"/>
      <c r="F32" s="457"/>
      <c r="G32" s="457"/>
      <c r="H32" s="457"/>
      <c r="I32" s="457"/>
      <c r="J32" s="457">
        <f>J29-D29</f>
        <v>-393290</v>
      </c>
      <c r="K32" s="451"/>
      <c r="L32" s="457"/>
      <c r="M32" s="457"/>
      <c r="N32" s="457"/>
      <c r="O32" s="457"/>
      <c r="P32" s="457"/>
      <c r="Q32" s="457"/>
      <c r="R32" s="457"/>
      <c r="S32" s="457"/>
      <c r="T32" s="457"/>
      <c r="U32" s="457"/>
      <c r="V32" s="457">
        <f>V29-P29</f>
        <v>-16050</v>
      </c>
      <c r="W32" s="457"/>
      <c r="X32" s="457"/>
      <c r="Y32" s="457"/>
      <c r="Z32" s="457"/>
      <c r="AA32" s="457"/>
      <c r="AB32" s="457"/>
      <c r="AC32" s="457"/>
      <c r="AD32" s="457"/>
      <c r="AE32" s="457"/>
      <c r="AF32" s="457"/>
      <c r="AG32" s="457"/>
      <c r="AH32" s="457">
        <f>AH29-AB29</f>
        <v>-10020</v>
      </c>
      <c r="AI32" s="457"/>
      <c r="AJ32" s="457"/>
      <c r="AK32" s="457"/>
      <c r="AL32" s="457"/>
      <c r="AM32" s="457"/>
      <c r="AN32" s="457"/>
      <c r="AO32" s="457"/>
      <c r="AP32" s="457"/>
      <c r="AQ32" s="457"/>
      <c r="AR32" s="457"/>
      <c r="AS32" s="457"/>
      <c r="AT32" s="457">
        <f>AT29-AN29</f>
        <v>1805</v>
      </c>
      <c r="AU32" s="457"/>
      <c r="AV32" s="457"/>
      <c r="AW32" s="457"/>
      <c r="AX32" s="457"/>
      <c r="AY32" s="457"/>
      <c r="AZ32" s="457"/>
      <c r="BA32" s="457"/>
      <c r="BB32" s="457"/>
      <c r="BC32" s="457"/>
      <c r="BD32" s="457"/>
      <c r="BE32" s="457"/>
      <c r="BF32" s="457">
        <f>BF29-AZ29</f>
        <v>-4470</v>
      </c>
      <c r="BG32" s="457"/>
      <c r="BH32" s="457"/>
      <c r="BI32" s="457"/>
      <c r="BJ32" s="457"/>
      <c r="BK32" s="457"/>
      <c r="BL32" s="457"/>
      <c r="BM32" s="457"/>
      <c r="BN32" s="457"/>
      <c r="BO32" s="457"/>
      <c r="BP32" s="457"/>
      <c r="BQ32" s="457"/>
      <c r="BR32" s="457">
        <f>BR29-BL29</f>
        <v>22460</v>
      </c>
      <c r="BS32" s="457"/>
      <c r="BT32" s="457"/>
      <c r="BU32" s="457"/>
      <c r="BV32" s="457"/>
      <c r="BW32" s="457"/>
      <c r="BX32" s="457"/>
      <c r="BY32" s="457"/>
      <c r="BZ32" s="457"/>
      <c r="CA32" s="457"/>
      <c r="CB32" s="457"/>
      <c r="CC32" s="457"/>
      <c r="CD32" s="457">
        <f>CD29-BX29</f>
        <v>3400</v>
      </c>
      <c r="CE32" s="457"/>
      <c r="CF32" s="457"/>
      <c r="CG32" s="457"/>
      <c r="CH32" s="457"/>
      <c r="CI32" s="457"/>
      <c r="CJ32" s="457"/>
      <c r="CK32" s="457"/>
      <c r="CL32" s="457"/>
      <c r="CM32" s="457"/>
      <c r="CN32" s="457"/>
      <c r="CO32" s="457"/>
      <c r="CP32" s="457">
        <f>CP29-CJ29</f>
        <v>-740</v>
      </c>
      <c r="CQ32" s="457"/>
      <c r="CR32" s="457"/>
      <c r="CS32" s="457"/>
      <c r="CT32" s="457"/>
      <c r="CU32" s="457"/>
      <c r="CV32" s="457"/>
      <c r="CW32" s="457"/>
      <c r="CX32" s="457"/>
      <c r="CY32" s="457"/>
      <c r="CZ32" s="457"/>
      <c r="DA32" s="457"/>
      <c r="DB32" s="457">
        <f>DB29-CV29</f>
        <v>3930</v>
      </c>
      <c r="DC32" s="457"/>
      <c r="DD32" s="457"/>
      <c r="DE32" s="457"/>
      <c r="DF32" s="457"/>
      <c r="DG32" s="457"/>
      <c r="DH32" s="457"/>
      <c r="DI32" s="457"/>
      <c r="DJ32" s="457"/>
      <c r="DK32" s="457"/>
      <c r="DL32" s="457"/>
      <c r="DM32" s="457"/>
      <c r="DN32" s="457">
        <f>DN29-DH29</f>
        <v>-173460</v>
      </c>
      <c r="DO32" s="457"/>
      <c r="DP32" s="457"/>
      <c r="DQ32" s="457"/>
      <c r="DR32" s="457"/>
      <c r="DS32" s="457"/>
      <c r="DT32" s="457"/>
      <c r="DU32" s="457"/>
      <c r="DV32" s="457"/>
      <c r="DW32" s="457"/>
      <c r="DX32" s="457"/>
      <c r="DY32" s="457"/>
      <c r="DZ32" s="457">
        <f>DZ29-DT29</f>
        <v>-7705</v>
      </c>
      <c r="EA32" s="457"/>
      <c r="EB32" s="457"/>
      <c r="EC32" s="457"/>
      <c r="ED32" s="457"/>
      <c r="EE32" s="457"/>
      <c r="EF32" s="457"/>
      <c r="EG32" s="457"/>
      <c r="EH32" s="457"/>
      <c r="EI32" s="457"/>
      <c r="EJ32" s="457"/>
      <c r="EK32" s="457"/>
      <c r="EL32" s="457">
        <f>EL29-EF29</f>
        <v>-142920</v>
      </c>
      <c r="EM32" s="457"/>
      <c r="EN32" s="457"/>
      <c r="EO32" s="457"/>
      <c r="EP32" s="457"/>
      <c r="EQ32" s="457"/>
      <c r="ER32" s="457"/>
      <c r="ES32" s="457"/>
      <c r="ET32" s="457"/>
      <c r="EU32" s="457"/>
      <c r="EV32" s="457"/>
      <c r="EW32" s="457"/>
      <c r="EX32" s="457">
        <f>EX29-ER29</f>
        <v>-69520</v>
      </c>
      <c r="EY32" s="457"/>
      <c r="EZ32" s="457"/>
      <c r="FA32" s="457"/>
      <c r="FB32" s="457"/>
    </row>
    <row r="33" spans="1:158" s="480" customFormat="1" ht="18.75" customHeight="1">
      <c r="A33" s="494">
        <v>2</v>
      </c>
      <c r="B33" s="495" t="s">
        <v>901</v>
      </c>
      <c r="C33" s="460"/>
      <c r="D33" s="460"/>
      <c r="E33" s="460"/>
      <c r="F33" s="460"/>
      <c r="G33" s="460"/>
      <c r="H33" s="460"/>
      <c r="I33" s="460"/>
      <c r="J33" s="460">
        <f>SUM(AH33,AT33,BF33,BR33,CD33,CP33,DB33,DN33,DZ33,EL33,EX33,V33)</f>
        <v>-196650</v>
      </c>
      <c r="K33" s="452"/>
      <c r="L33" s="460"/>
      <c r="M33" s="460"/>
      <c r="N33" s="461"/>
      <c r="O33" s="460"/>
      <c r="P33" s="460"/>
      <c r="Q33" s="460"/>
      <c r="R33" s="460"/>
      <c r="S33" s="460"/>
      <c r="T33" s="460"/>
      <c r="U33" s="460"/>
      <c r="V33" s="460">
        <f>ROUND(V32*0.5,-1)</f>
        <v>-8030</v>
      </c>
      <c r="W33" s="460"/>
      <c r="X33" s="460"/>
      <c r="Y33" s="460"/>
      <c r="Z33" s="461"/>
      <c r="AA33" s="460"/>
      <c r="AB33" s="460"/>
      <c r="AC33" s="460"/>
      <c r="AD33" s="460"/>
      <c r="AE33" s="460"/>
      <c r="AF33" s="460"/>
      <c r="AG33" s="460"/>
      <c r="AH33" s="460">
        <f>ROUND(AH32*0.5,-1)</f>
        <v>-5010</v>
      </c>
      <c r="AI33" s="460"/>
      <c r="AJ33" s="460"/>
      <c r="AK33" s="460"/>
      <c r="AL33" s="461"/>
      <c r="AM33" s="460"/>
      <c r="AN33" s="460"/>
      <c r="AO33" s="460"/>
      <c r="AP33" s="460"/>
      <c r="AQ33" s="460"/>
      <c r="AR33" s="460"/>
      <c r="AS33" s="460"/>
      <c r="AT33" s="460">
        <f>ROUND(AT32*0.5,-1)</f>
        <v>900</v>
      </c>
      <c r="AU33" s="460"/>
      <c r="AV33" s="460"/>
      <c r="AW33" s="460"/>
      <c r="AX33" s="461"/>
      <c r="AY33" s="460"/>
      <c r="AZ33" s="460"/>
      <c r="BA33" s="460"/>
      <c r="BB33" s="460"/>
      <c r="BC33" s="460"/>
      <c r="BD33" s="460"/>
      <c r="BE33" s="460"/>
      <c r="BF33" s="460">
        <f>ROUND(BF32*0.5,-1)</f>
        <v>-2240</v>
      </c>
      <c r="BG33" s="460"/>
      <c r="BH33" s="460"/>
      <c r="BI33" s="460"/>
      <c r="BJ33" s="461"/>
      <c r="BK33" s="460"/>
      <c r="BL33" s="460"/>
      <c r="BM33" s="460"/>
      <c r="BN33" s="460"/>
      <c r="BO33" s="460"/>
      <c r="BP33" s="460"/>
      <c r="BQ33" s="460"/>
      <c r="BR33" s="460">
        <f>ROUND(BR32*0.5,-1)</f>
        <v>11230</v>
      </c>
      <c r="BS33" s="460"/>
      <c r="BT33" s="460"/>
      <c r="BU33" s="460"/>
      <c r="BV33" s="461"/>
      <c r="BW33" s="460"/>
      <c r="BX33" s="460"/>
      <c r="BY33" s="460"/>
      <c r="BZ33" s="460"/>
      <c r="CA33" s="460"/>
      <c r="CB33" s="460"/>
      <c r="CC33" s="460"/>
      <c r="CD33" s="460">
        <f>ROUND(CD32*0.5,-1)</f>
        <v>1700</v>
      </c>
      <c r="CE33" s="460"/>
      <c r="CF33" s="460"/>
      <c r="CG33" s="460"/>
      <c r="CH33" s="461"/>
      <c r="CI33" s="460"/>
      <c r="CJ33" s="460"/>
      <c r="CK33" s="460"/>
      <c r="CL33" s="460"/>
      <c r="CM33" s="460"/>
      <c r="CN33" s="460"/>
      <c r="CO33" s="460"/>
      <c r="CP33" s="460">
        <f>ROUND(CP32*0.5,-1)</f>
        <v>-370</v>
      </c>
      <c r="CQ33" s="460"/>
      <c r="CR33" s="460"/>
      <c r="CS33" s="460"/>
      <c r="CT33" s="461"/>
      <c r="CU33" s="460"/>
      <c r="CV33" s="460"/>
      <c r="CW33" s="460"/>
      <c r="CX33" s="460"/>
      <c r="CY33" s="460"/>
      <c r="CZ33" s="460"/>
      <c r="DA33" s="460"/>
      <c r="DB33" s="460">
        <f>ROUND(DB32*0.5,-1)</f>
        <v>1970</v>
      </c>
      <c r="DC33" s="460"/>
      <c r="DD33" s="460"/>
      <c r="DE33" s="460"/>
      <c r="DF33" s="461"/>
      <c r="DG33" s="460"/>
      <c r="DH33" s="460"/>
      <c r="DI33" s="460"/>
      <c r="DJ33" s="460"/>
      <c r="DK33" s="460"/>
      <c r="DL33" s="460"/>
      <c r="DM33" s="460"/>
      <c r="DN33" s="460">
        <f>ROUND(DN32*0.5,-1)</f>
        <v>-86730</v>
      </c>
      <c r="DO33" s="460"/>
      <c r="DP33" s="460"/>
      <c r="DQ33" s="460"/>
      <c r="DR33" s="461"/>
      <c r="DS33" s="460"/>
      <c r="DT33" s="460"/>
      <c r="DU33" s="460"/>
      <c r="DV33" s="460"/>
      <c r="DW33" s="460"/>
      <c r="DX33" s="460"/>
      <c r="DY33" s="460"/>
      <c r="DZ33" s="460">
        <f>ROUND(DZ32*0.5,-1)</f>
        <v>-3850</v>
      </c>
      <c r="EA33" s="460"/>
      <c r="EB33" s="460"/>
      <c r="EC33" s="460"/>
      <c r="ED33" s="461"/>
      <c r="EE33" s="460"/>
      <c r="EF33" s="460"/>
      <c r="EG33" s="460"/>
      <c r="EH33" s="460"/>
      <c r="EI33" s="460"/>
      <c r="EJ33" s="460"/>
      <c r="EK33" s="460"/>
      <c r="EL33" s="460">
        <f>ROUND(EL32*0.5,-1)</f>
        <v>-71460</v>
      </c>
      <c r="EM33" s="460"/>
      <c r="EN33" s="460"/>
      <c r="EO33" s="460"/>
      <c r="EP33" s="461"/>
      <c r="EQ33" s="460"/>
      <c r="ER33" s="460"/>
      <c r="ES33" s="460"/>
      <c r="ET33" s="460"/>
      <c r="EU33" s="460"/>
      <c r="EV33" s="460"/>
      <c r="EW33" s="460"/>
      <c r="EX33" s="460">
        <f>ROUND(EX32*0.5,-1)</f>
        <v>-34760</v>
      </c>
      <c r="EY33" s="460"/>
      <c r="EZ33" s="460"/>
      <c r="FA33" s="460"/>
      <c r="FB33" s="461"/>
    </row>
    <row r="34" spans="1:158" hidden="1">
      <c r="H34" s="468">
        <v>65590</v>
      </c>
      <c r="N34" s="497"/>
      <c r="O34" s="497"/>
      <c r="P34" s="497"/>
      <c r="Q34" s="497"/>
      <c r="R34" s="497"/>
      <c r="S34" s="497"/>
      <c r="T34" s="497"/>
      <c r="U34" s="497"/>
      <c r="V34" s="497"/>
      <c r="W34" s="497"/>
      <c r="X34" s="497"/>
      <c r="Y34" s="497"/>
      <c r="Z34" s="497"/>
      <c r="AF34" s="468">
        <v>3660</v>
      </c>
      <c r="AQ34" s="474"/>
      <c r="AR34" s="468">
        <v>20</v>
      </c>
      <c r="BD34" s="468">
        <v>1920</v>
      </c>
      <c r="BO34" s="468">
        <f>IF(BP30&gt;0,0,BO17)</f>
        <v>0</v>
      </c>
      <c r="BP34" s="468">
        <v>1340</v>
      </c>
      <c r="CA34" s="468">
        <f>IF((IF(CB30&gt;0,0,CA17))&gt;-CB30,IF(CB30&gt;0,0,CA17),IF(CB30&gt;0,0,CA17))</f>
        <v>9900</v>
      </c>
      <c r="CB34" s="468">
        <v>520</v>
      </c>
      <c r="CM34" s="468">
        <f>IF((IF(CN30&gt;0,0,CM17))&gt;-CN30,IF(CN30&gt;0,0,CM17),IF(CN30&gt;0,0,CM17))</f>
        <v>7000</v>
      </c>
      <c r="CN34" s="468">
        <v>10910</v>
      </c>
      <c r="CY34" s="474"/>
      <c r="CZ34" s="468">
        <v>1710</v>
      </c>
      <c r="DL34" s="468">
        <v>25730</v>
      </c>
      <c r="DW34" s="474">
        <f>-(IF((AND(DX30&lt;0,DW17&gt;-DX30)),0,-(-DX30)+DW17))</f>
        <v>7945</v>
      </c>
      <c r="DX34" s="468">
        <v>1430</v>
      </c>
      <c r="EJ34" s="468">
        <v>13420</v>
      </c>
      <c r="EV34" s="468">
        <v>4930</v>
      </c>
    </row>
    <row r="35" spans="1:158" hidden="1">
      <c r="H35" s="474">
        <f>+H34-H31</f>
        <v>285910</v>
      </c>
      <c r="N35" s="497"/>
      <c r="O35" s="497"/>
      <c r="P35" s="497"/>
      <c r="Q35" s="497"/>
      <c r="R35" s="497"/>
      <c r="S35" s="497"/>
      <c r="T35" s="497"/>
      <c r="U35" s="497">
        <f>640/590%</f>
        <v>108.47457627118644</v>
      </c>
      <c r="V35" s="497"/>
      <c r="W35" s="497"/>
      <c r="X35" s="497"/>
      <c r="Y35" s="497"/>
      <c r="Z35" s="497"/>
      <c r="AF35" s="474">
        <f>+AF34-AF31</f>
        <v>6150</v>
      </c>
      <c r="AR35" s="474">
        <f>+AR34-AR31</f>
        <v>-1480</v>
      </c>
      <c r="BD35" s="474">
        <f>+BD34-BD31</f>
        <v>2890</v>
      </c>
      <c r="BP35" s="474">
        <f>+BP34-BP31</f>
        <v>-4640</v>
      </c>
      <c r="CB35" s="474">
        <f>CB34-CB31</f>
        <v>6130</v>
      </c>
      <c r="CN35" s="474">
        <f>+CN34-CN31</f>
        <v>12380</v>
      </c>
      <c r="CZ35" s="474">
        <f>+CZ34-CZ31</f>
        <v>-50</v>
      </c>
      <c r="DL35" s="474">
        <f>+DL34-DL31</f>
        <v>114430</v>
      </c>
      <c r="DX35" s="474">
        <f>+DX34-DX31</f>
        <v>7650</v>
      </c>
      <c r="EJ35" s="474">
        <f>+EJ34-EJ31</f>
        <v>89480</v>
      </c>
      <c r="EV35" s="474">
        <f>+EV34-EV31</f>
        <v>41500</v>
      </c>
    </row>
    <row r="36" spans="1:158" hidden="1">
      <c r="N36" s="497"/>
      <c r="O36" s="497"/>
      <c r="P36" s="497"/>
      <c r="Q36" s="497"/>
      <c r="R36" s="497"/>
      <c r="S36" s="497"/>
      <c r="T36" s="497"/>
      <c r="U36" s="497"/>
      <c r="V36" s="497"/>
      <c r="W36" s="497"/>
      <c r="X36" s="497"/>
      <c r="Y36" s="497"/>
      <c r="Z36" s="497"/>
    </row>
    <row r="37" spans="1:158" hidden="1">
      <c r="H37" s="474">
        <f>+T30+AR30+BD30+CB30+CZ30+DX30</f>
        <v>-42005</v>
      </c>
      <c r="N37" s="497"/>
      <c r="O37" s="497"/>
      <c r="P37" s="497"/>
      <c r="Q37" s="497"/>
      <c r="R37" s="497"/>
      <c r="S37" s="497"/>
      <c r="T37" s="497"/>
      <c r="U37" s="497"/>
      <c r="V37" s="497"/>
      <c r="W37" s="497"/>
      <c r="X37" s="497"/>
      <c r="Y37" s="497"/>
      <c r="Z37" s="497"/>
    </row>
    <row r="38" spans="1:158" hidden="1">
      <c r="N38" s="497"/>
      <c r="O38" s="497"/>
      <c r="P38" s="497"/>
      <c r="Q38" s="497"/>
      <c r="R38" s="497"/>
      <c r="S38" s="497"/>
      <c r="T38" s="497"/>
      <c r="U38" s="497"/>
      <c r="V38" s="497"/>
      <c r="W38" s="497"/>
      <c r="X38" s="497"/>
      <c r="Y38" s="497"/>
      <c r="Z38" s="497"/>
    </row>
    <row r="39" spans="1:158" hidden="1">
      <c r="N39" s="497"/>
      <c r="O39" s="497"/>
      <c r="P39" s="497"/>
      <c r="Q39" s="497"/>
      <c r="R39" s="497"/>
      <c r="S39" s="497"/>
      <c r="T39" s="497"/>
      <c r="U39" s="497"/>
      <c r="V39" s="497"/>
      <c r="W39" s="497"/>
      <c r="X39" s="497"/>
      <c r="Y39" s="497"/>
      <c r="Z39" s="497"/>
      <c r="EG39" s="474"/>
    </row>
    <row r="40" spans="1:158" hidden="1">
      <c r="J40" s="498">
        <f>J11+J12</f>
        <v>492365</v>
      </c>
      <c r="N40" s="497"/>
      <c r="O40" s="497"/>
      <c r="P40" s="497"/>
      <c r="Q40" s="497"/>
      <c r="R40" s="497"/>
      <c r="S40" s="497"/>
      <c r="T40" s="497"/>
      <c r="U40" s="497"/>
      <c r="V40" s="497"/>
      <c r="W40" s="497"/>
      <c r="X40" s="497"/>
      <c r="Y40" s="497"/>
      <c r="Z40" s="497"/>
    </row>
    <row r="41" spans="1:158" hidden="1">
      <c r="J41" s="498">
        <f>+J8-J40</f>
        <v>530935</v>
      </c>
      <c r="N41" s="497"/>
      <c r="O41" s="497"/>
      <c r="P41" s="497"/>
      <c r="Q41" s="497"/>
      <c r="R41" s="497"/>
      <c r="S41" s="497"/>
      <c r="T41" s="497"/>
      <c r="U41" s="497"/>
      <c r="V41" s="497"/>
      <c r="W41" s="497"/>
      <c r="X41" s="497"/>
      <c r="Y41" s="497"/>
      <c r="Z41" s="497"/>
    </row>
    <row r="42" spans="1:158" hidden="1">
      <c r="N42" s="497"/>
      <c r="O42" s="497"/>
      <c r="P42" s="497"/>
      <c r="Q42" s="497"/>
      <c r="R42" s="497"/>
      <c r="S42" s="497"/>
      <c r="T42" s="497"/>
      <c r="U42" s="497"/>
      <c r="V42" s="497"/>
      <c r="W42" s="497"/>
      <c r="X42" s="497"/>
      <c r="Y42" s="497"/>
      <c r="Z42" s="497"/>
    </row>
    <row r="43" spans="1:158" hidden="1">
      <c r="N43" s="497"/>
      <c r="O43" s="497"/>
      <c r="P43" s="497"/>
      <c r="Q43" s="497"/>
      <c r="R43" s="497"/>
      <c r="S43" s="497"/>
      <c r="T43" s="497"/>
      <c r="U43" s="497"/>
      <c r="V43" s="497"/>
      <c r="W43" s="497"/>
      <c r="X43" s="497"/>
      <c r="Y43" s="497"/>
      <c r="Z43" s="497"/>
    </row>
    <row r="44" spans="1:158" hidden="1">
      <c r="N44" s="497"/>
      <c r="O44" s="497"/>
      <c r="P44" s="497"/>
      <c r="Q44" s="497"/>
      <c r="R44" s="497"/>
      <c r="S44" s="497"/>
      <c r="T44" s="497"/>
      <c r="U44" s="497"/>
      <c r="V44" s="497"/>
      <c r="W44" s="497"/>
      <c r="X44" s="497"/>
      <c r="Y44" s="497"/>
      <c r="Z44" s="497"/>
    </row>
    <row r="45" spans="1:158" hidden="1">
      <c r="N45" s="497"/>
      <c r="O45" s="497"/>
      <c r="P45" s="497"/>
      <c r="Q45" s="497"/>
      <c r="R45" s="497"/>
      <c r="S45" s="497"/>
      <c r="T45" s="497"/>
      <c r="U45" s="497"/>
      <c r="V45" s="497"/>
      <c r="W45" s="497"/>
      <c r="X45" s="497"/>
      <c r="Y45" s="497"/>
      <c r="Z45" s="497"/>
    </row>
    <row r="46" spans="1:158" hidden="1"/>
    <row r="47" spans="1:158" hidden="1"/>
    <row r="48" spans="1:158" hidden="1">
      <c r="J48" s="468">
        <f>J8/I8%</f>
        <v>83.616604020264745</v>
      </c>
    </row>
    <row r="49" spans="5:70" hidden="1"/>
    <row r="50" spans="5:70" hidden="1"/>
    <row r="51" spans="5:70" hidden="1"/>
    <row r="52" spans="5:70" hidden="1"/>
    <row r="53" spans="5:70" hidden="1"/>
    <row r="54" spans="5:70" hidden="1"/>
    <row r="55" spans="5:70" hidden="1"/>
    <row r="56" spans="5:70" hidden="1"/>
    <row r="57" spans="5:70" hidden="1"/>
    <row r="58" spans="5:70" hidden="1"/>
    <row r="59" spans="5:70" hidden="1"/>
    <row r="60" spans="5:70" hidden="1"/>
    <row r="61" spans="5:70" hidden="1"/>
    <row r="62" spans="5:70">
      <c r="V62" s="529"/>
    </row>
    <row r="63" spans="5:70">
      <c r="E63" s="497">
        <v>600000</v>
      </c>
      <c r="BR63" s="468">
        <f>+BR33*10%</f>
        <v>1123</v>
      </c>
    </row>
    <row r="64" spans="5:70">
      <c r="E64" s="498">
        <f>E10/8*12</f>
        <v>705681</v>
      </c>
    </row>
    <row r="65" spans="5:5">
      <c r="E65" s="468">
        <v>470454</v>
      </c>
    </row>
    <row r="67" spans="5:5">
      <c r="E67" s="527">
        <f>E10*12/E63</f>
        <v>9.4090799999999994</v>
      </c>
    </row>
    <row r="68" spans="5:5">
      <c r="E68" s="528"/>
    </row>
    <row r="69" spans="5:5">
      <c r="E69" s="528">
        <v>650000</v>
      </c>
    </row>
    <row r="70" spans="5:5">
      <c r="E70" s="468">
        <f>+E69/E63%</f>
        <v>108.33333333333333</v>
      </c>
    </row>
  </sheetData>
  <mergeCells count="210">
    <mergeCell ref="EQ5:EQ6"/>
    <mergeCell ref="ER5:ER6"/>
    <mergeCell ref="ES5:ES6"/>
    <mergeCell ref="EX5:EX6"/>
    <mergeCell ref="EY5:EZ5"/>
    <mergeCell ref="FA5:FB5"/>
    <mergeCell ref="ET5:ET6"/>
    <mergeCell ref="EU5:EU6"/>
    <mergeCell ref="EV5:EV6"/>
    <mergeCell ref="EW5:EW6"/>
    <mergeCell ref="EI5:EI6"/>
    <mergeCell ref="EJ5:EJ6"/>
    <mergeCell ref="EK5:EK6"/>
    <mergeCell ref="EL5:EL6"/>
    <mergeCell ref="EM5:EN5"/>
    <mergeCell ref="EO5:EP5"/>
    <mergeCell ref="EA5:EB5"/>
    <mergeCell ref="EC5:ED5"/>
    <mergeCell ref="EE5:EE6"/>
    <mergeCell ref="EF5:EF6"/>
    <mergeCell ref="EG5:EG6"/>
    <mergeCell ref="EH5:EH6"/>
    <mergeCell ref="DU5:DU6"/>
    <mergeCell ref="DV5:DV6"/>
    <mergeCell ref="DW5:DW6"/>
    <mergeCell ref="DX5:DX6"/>
    <mergeCell ref="DY5:DY6"/>
    <mergeCell ref="DZ5:DZ6"/>
    <mergeCell ref="DM5:DM6"/>
    <mergeCell ref="DN5:DN6"/>
    <mergeCell ref="DO5:DP5"/>
    <mergeCell ref="DQ5:DR5"/>
    <mergeCell ref="DS5:DS6"/>
    <mergeCell ref="DT5:DT6"/>
    <mergeCell ref="DG5:DG6"/>
    <mergeCell ref="DH5:DH6"/>
    <mergeCell ref="DI5:DI6"/>
    <mergeCell ref="DJ5:DJ6"/>
    <mergeCell ref="DK5:DK6"/>
    <mergeCell ref="DL5:DL6"/>
    <mergeCell ref="CY5:CY6"/>
    <mergeCell ref="CZ5:CZ6"/>
    <mergeCell ref="DA5:DA6"/>
    <mergeCell ref="DB5:DB6"/>
    <mergeCell ref="DC5:DD5"/>
    <mergeCell ref="DE5:DF5"/>
    <mergeCell ref="CQ5:CR5"/>
    <mergeCell ref="CS5:CT5"/>
    <mergeCell ref="CU5:CU6"/>
    <mergeCell ref="CV5:CV6"/>
    <mergeCell ref="CW5:CW6"/>
    <mergeCell ref="CX5:CX6"/>
    <mergeCell ref="CK5:CK6"/>
    <mergeCell ref="CL5:CL6"/>
    <mergeCell ref="CM5:CM6"/>
    <mergeCell ref="CN5:CN6"/>
    <mergeCell ref="CO5:CO6"/>
    <mergeCell ref="CP5:CP6"/>
    <mergeCell ref="CB5:CB6"/>
    <mergeCell ref="CC5:CC6"/>
    <mergeCell ref="CD5:CD6"/>
    <mergeCell ref="CJ5:CJ6"/>
    <mergeCell ref="CE5:CF5"/>
    <mergeCell ref="CG5:CH5"/>
    <mergeCell ref="CI5:CI6"/>
    <mergeCell ref="BU5:BV5"/>
    <mergeCell ref="BW5:BW6"/>
    <mergeCell ref="BX5:BX6"/>
    <mergeCell ref="BY5:BY6"/>
    <mergeCell ref="BZ5:BZ6"/>
    <mergeCell ref="CA5:CA6"/>
    <mergeCell ref="BN5:BN6"/>
    <mergeCell ref="BO5:BO6"/>
    <mergeCell ref="BP5:BP6"/>
    <mergeCell ref="BQ5:BQ6"/>
    <mergeCell ref="BR5:BR6"/>
    <mergeCell ref="BS5:BT5"/>
    <mergeCell ref="BF5:BF6"/>
    <mergeCell ref="BG5:BH5"/>
    <mergeCell ref="BI5:BJ5"/>
    <mergeCell ref="BK5:BK6"/>
    <mergeCell ref="BL5:BL6"/>
    <mergeCell ref="BM5:BM6"/>
    <mergeCell ref="AZ5:AZ6"/>
    <mergeCell ref="BA5:BA6"/>
    <mergeCell ref="BB5:BB6"/>
    <mergeCell ref="BC5:BC6"/>
    <mergeCell ref="BD5:BD6"/>
    <mergeCell ref="BE5:BE6"/>
    <mergeCell ref="AR5:AR6"/>
    <mergeCell ref="AS5:AS6"/>
    <mergeCell ref="AT5:AT6"/>
    <mergeCell ref="AU5:AV5"/>
    <mergeCell ref="AW5:AX5"/>
    <mergeCell ref="AY5:AY6"/>
    <mergeCell ref="AQ5:AQ6"/>
    <mergeCell ref="AM5:AM6"/>
    <mergeCell ref="AN5:AN6"/>
    <mergeCell ref="AO5:AO6"/>
    <mergeCell ref="AG5:AG6"/>
    <mergeCell ref="AH5:AH6"/>
    <mergeCell ref="AI5:AJ5"/>
    <mergeCell ref="AB5:AB6"/>
    <mergeCell ref="AC5:AC6"/>
    <mergeCell ref="AD5:AD6"/>
    <mergeCell ref="AE5:AE6"/>
    <mergeCell ref="AF5:AF6"/>
    <mergeCell ref="AP5:AP6"/>
    <mergeCell ref="AK5:AL5"/>
    <mergeCell ref="V5:V6"/>
    <mergeCell ref="W5:X5"/>
    <mergeCell ref="Y5:Z5"/>
    <mergeCell ref="AA5:AA6"/>
    <mergeCell ref="I5:I6"/>
    <mergeCell ref="O5:O6"/>
    <mergeCell ref="P5:P6"/>
    <mergeCell ref="Q5:Q6"/>
    <mergeCell ref="R5:R6"/>
    <mergeCell ref="S5:S6"/>
    <mergeCell ref="M5:N5"/>
    <mergeCell ref="EU4:EV4"/>
    <mergeCell ref="EW4:EX4"/>
    <mergeCell ref="EY4:FB4"/>
    <mergeCell ref="C5:C6"/>
    <mergeCell ref="D5:D6"/>
    <mergeCell ref="E5:E6"/>
    <mergeCell ref="F5:F6"/>
    <mergeCell ref="G5:G6"/>
    <mergeCell ref="EA4:ED4"/>
    <mergeCell ref="EE4:EF4"/>
    <mergeCell ref="EG4:EH4"/>
    <mergeCell ref="EI4:EJ4"/>
    <mergeCell ref="EK4:EL4"/>
    <mergeCell ref="EM4:EP4"/>
    <mergeCell ref="DM4:DN4"/>
    <mergeCell ref="DO4:DR4"/>
    <mergeCell ref="DS4:DT4"/>
    <mergeCell ref="DU4:DV4"/>
    <mergeCell ref="DW4:DX4"/>
    <mergeCell ref="DY4:DZ4"/>
    <mergeCell ref="CY4:CZ4"/>
    <mergeCell ref="DA4:DB4"/>
    <mergeCell ref="T5:T6"/>
    <mergeCell ref="U5:U6"/>
    <mergeCell ref="DK4:DL4"/>
    <mergeCell ref="CK4:CL4"/>
    <mergeCell ref="CM4:CN4"/>
    <mergeCell ref="CO4:CP4"/>
    <mergeCell ref="CQ4:CT4"/>
    <mergeCell ref="CU4:CV4"/>
    <mergeCell ref="CW4:CX4"/>
    <mergeCell ref="EQ4:ER4"/>
    <mergeCell ref="ES4:ET4"/>
    <mergeCell ref="BG4:BJ4"/>
    <mergeCell ref="BK4:BL4"/>
    <mergeCell ref="BM4:BN4"/>
    <mergeCell ref="BO4:BP4"/>
    <mergeCell ref="BQ4:BR4"/>
    <mergeCell ref="BS4:BV4"/>
    <mergeCell ref="DC4:DF4"/>
    <mergeCell ref="DG4:DH4"/>
    <mergeCell ref="DI4:DJ4"/>
    <mergeCell ref="EE3:EP3"/>
    <mergeCell ref="EQ3:FB3"/>
    <mergeCell ref="C4:D4"/>
    <mergeCell ref="E4:F4"/>
    <mergeCell ref="G4:H4"/>
    <mergeCell ref="I4:J4"/>
    <mergeCell ref="K4:N4"/>
    <mergeCell ref="O4:P4"/>
    <mergeCell ref="Q4:R4"/>
    <mergeCell ref="AA4:AB4"/>
    <mergeCell ref="BK3:BV3"/>
    <mergeCell ref="BW3:CH3"/>
    <mergeCell ref="CI3:CT3"/>
    <mergeCell ref="CU3:DF3"/>
    <mergeCell ref="DG3:DR3"/>
    <mergeCell ref="DS3:ED3"/>
    <mergeCell ref="AA3:AL3"/>
    <mergeCell ref="AM3:AX3"/>
    <mergeCell ref="BW4:BX4"/>
    <mergeCell ref="BY4:BZ4"/>
    <mergeCell ref="CA4:CB4"/>
    <mergeCell ref="CC4:CD4"/>
    <mergeCell ref="CE4:CH4"/>
    <mergeCell ref="CI4:CJ4"/>
    <mergeCell ref="AY3:BJ3"/>
    <mergeCell ref="AC4:AD4"/>
    <mergeCell ref="AE4:AF4"/>
    <mergeCell ref="AG4:AH4"/>
    <mergeCell ref="AI4:AL4"/>
    <mergeCell ref="AM4:AN4"/>
    <mergeCell ref="AO4:AP4"/>
    <mergeCell ref="AQ4:AR4"/>
    <mergeCell ref="A3:A6"/>
    <mergeCell ref="B3:B6"/>
    <mergeCell ref="C3:N3"/>
    <mergeCell ref="O3:Z3"/>
    <mergeCell ref="S4:T4"/>
    <mergeCell ref="U4:V4"/>
    <mergeCell ref="W4:Z4"/>
    <mergeCell ref="J5:J6"/>
    <mergeCell ref="K5:L5"/>
    <mergeCell ref="H5:H6"/>
    <mergeCell ref="AS4:AT4"/>
    <mergeCell ref="AU4:AX4"/>
    <mergeCell ref="AY4:AZ4"/>
    <mergeCell ref="BA4:BB4"/>
    <mergeCell ref="BC4:BD4"/>
    <mergeCell ref="BE4:BF4"/>
  </mergeCells>
  <phoneticPr fontId="2" type="noConversion"/>
  <printOptions horizontalCentered="1"/>
  <pageMargins left="0.51181102362204722" right="0.51181102362204722" top="0.39370078740157483" bottom="0" header="0.19685039370078741" footer="0.19685039370078741"/>
  <pageSetup paperSize="9" scale="80" orientation="landscape" r:id="rId1"/>
  <headerFooter alignWithMargins="0"/>
  <ignoredErrors>
    <ignoredError sqref="CM8:CO9 BO8:BQ9 S8:U8 S10:U10 AE8:AG9 AQ8:AS9 BC8:BE9 CA10:CC10 BC10:BE10 AQ10:AS10 AE10:AG10 BO10:BQ10 CD8:CD9 CC8:CC9 CY10 CD10 CM10:CO10 CZ10:DA10 CY8:CY9 CZ8:DA9 O8:O10 DK10 EQ8 DM10 DY10 DY8:DY9 DM8:DM9 DW10 EI10 EK8:EK10 EU8:EW10 AA10 CU8:CU10 AM10 Q8:Q10 AC8:AC10 AO8:AO10 BA8:BA10 BM8:BM10 BY8:BY10 CK8:CK10 CW8:CW10 DI8:DI10 DU8:DU10 EG8:EG10 ES8:ES10 DK8 EE8:EE10 EI8:EJ8 BW8:BW10" formulaRange="1"/>
    <ignoredError sqref="BH9:BJ9 P21:P22 BL21:BL22 CA21:CB21 BX21:BX22 EF21:EF22 EJ21 AB21:AB22 L9:N9 CE9:CH9 CS9:CT9 CQ9:CR9 CV21:CV22 DC9:DD9 DE9:DF9 DH21:DH22 DO9:DP9 DQ9:DR9 DT21:DT22 EA9:EB9 EC9:ED9 EL21:EL22 EM9 EO9 ER21:ER22 EY9 FA9 K9 AI9:AJ9 AU9:AV9 AZ21:AZ22 BG9 AW8:AX9 AY9 BS9:BT9 BU9:BV9 W9:Z9 AK8:AL9 CJ21:CJ22 AN21:AN22 DA23 EJ23:EK23 S19 CD21 CA19" formula="1"/>
    <ignoredError sqref="AY8 AM8:AM9" formula="1" formulaRange="1"/>
  </ignoredErrors>
</worksheet>
</file>

<file path=xl/worksheets/sheet12.xml><?xml version="1.0" encoding="utf-8"?>
<worksheet xmlns="http://schemas.openxmlformats.org/spreadsheetml/2006/main" xmlns:r="http://schemas.openxmlformats.org/officeDocument/2006/relationships">
  <sheetPr codeName="Sheet12">
    <tabColor indexed="8"/>
    <pageSetUpPr fitToPage="1"/>
  </sheetPr>
  <dimension ref="A1:O35"/>
  <sheetViews>
    <sheetView topLeftCell="B1" zoomScale="73" zoomScaleNormal="73" workbookViewId="0">
      <pane xSplit="1" ySplit="8" topLeftCell="C9" activePane="bottomRight" state="frozen"/>
      <selection sqref="A1:G1"/>
      <selection pane="topRight" sqref="A1:G1"/>
      <selection pane="bottomLeft" sqref="A1:G1"/>
      <selection pane="bottomRight" sqref="A1:G1"/>
    </sheetView>
  </sheetViews>
  <sheetFormatPr defaultColWidth="9" defaultRowHeight="15.75"/>
  <cols>
    <col min="1" max="1" width="4.5" style="297" customWidth="1"/>
    <col min="2" max="2" width="58.875" style="297" customWidth="1"/>
    <col min="3" max="3" width="10.875" style="297" customWidth="1"/>
    <col min="4" max="5" width="10" style="297" customWidth="1"/>
    <col min="6" max="6" width="10.5" style="297" customWidth="1"/>
    <col min="7" max="7" width="10.625" style="297" customWidth="1"/>
    <col min="8" max="8" width="10.75" style="297" customWidth="1"/>
    <col min="9" max="9" width="10.25" style="297" customWidth="1"/>
    <col min="10" max="10" width="11.625" style="297" customWidth="1"/>
    <col min="11" max="11" width="11.75" style="297" customWidth="1"/>
    <col min="12" max="12" width="11.625" style="297" customWidth="1"/>
    <col min="13" max="13" width="11.875" style="297" customWidth="1"/>
    <col min="14" max="15" width="11.625" style="297" customWidth="1"/>
    <col min="16" max="16384" width="9" style="297"/>
  </cols>
  <sheetData>
    <row r="1" spans="1:15" hidden="1">
      <c r="A1" s="17"/>
      <c r="B1" s="18" t="s">
        <v>753</v>
      </c>
      <c r="C1" s="653" t="s">
        <v>714</v>
      </c>
      <c r="D1" s="653"/>
      <c r="E1" s="653"/>
      <c r="F1" s="653"/>
      <c r="G1" s="653"/>
      <c r="H1" s="653"/>
      <c r="I1" s="653"/>
      <c r="J1" s="653"/>
      <c r="K1" s="653"/>
      <c r="L1" s="20"/>
      <c r="M1" s="20"/>
      <c r="N1" s="20"/>
      <c r="O1" s="20"/>
    </row>
    <row r="2" spans="1:15" hidden="1">
      <c r="A2" s="17"/>
      <c r="B2" s="18" t="s">
        <v>754</v>
      </c>
      <c r="C2" s="653" t="s">
        <v>700</v>
      </c>
      <c r="D2" s="653"/>
      <c r="E2" s="653"/>
      <c r="F2" s="653"/>
      <c r="G2" s="653"/>
      <c r="H2" s="653"/>
      <c r="I2" s="653"/>
      <c r="J2" s="653"/>
      <c r="K2" s="653"/>
      <c r="L2" s="20"/>
      <c r="M2" s="20"/>
      <c r="N2" s="20"/>
      <c r="O2" s="20"/>
    </row>
    <row r="3" spans="1:15" hidden="1">
      <c r="A3" s="17"/>
      <c r="B3" s="18" t="s">
        <v>629</v>
      </c>
      <c r="C3" s="670" t="s">
        <v>715</v>
      </c>
      <c r="D3" s="670"/>
      <c r="E3" s="670"/>
      <c r="F3" s="670"/>
      <c r="G3" s="670"/>
      <c r="H3" s="670"/>
      <c r="I3" s="670"/>
      <c r="J3" s="670"/>
      <c r="K3" s="670"/>
      <c r="L3" s="20"/>
      <c r="M3" s="20"/>
      <c r="N3" s="20"/>
      <c r="O3" s="20"/>
    </row>
    <row r="4" spans="1:15" ht="40.5" customHeight="1">
      <c r="A4" s="736" t="s">
        <v>937</v>
      </c>
      <c r="B4" s="737"/>
      <c r="C4" s="737"/>
      <c r="D4" s="737"/>
      <c r="E4" s="737"/>
      <c r="F4" s="737"/>
      <c r="G4" s="737"/>
      <c r="H4" s="737"/>
      <c r="I4" s="737"/>
      <c r="J4" s="737"/>
      <c r="K4" s="737"/>
      <c r="L4" s="737"/>
      <c r="M4" s="737"/>
      <c r="N4" s="737"/>
      <c r="O4" s="737"/>
    </row>
    <row r="5" spans="1:15" ht="18" customHeight="1">
      <c r="C5" s="298"/>
      <c r="D5" s="298"/>
      <c r="E5" s="298"/>
      <c r="F5" s="298"/>
      <c r="G5" s="298"/>
      <c r="H5" s="298"/>
      <c r="I5" s="298"/>
      <c r="J5" s="298"/>
      <c r="K5" s="298"/>
      <c r="L5" s="298"/>
      <c r="M5" s="298"/>
      <c r="O5" s="298"/>
    </row>
    <row r="6" spans="1:15" s="299" customFormat="1">
      <c r="A6" s="735" t="s">
        <v>1</v>
      </c>
      <c r="B6" s="735" t="s">
        <v>767</v>
      </c>
      <c r="C6" s="735" t="s">
        <v>634</v>
      </c>
      <c r="D6" s="735" t="s">
        <v>507</v>
      </c>
      <c r="E6" s="735" t="s">
        <v>4</v>
      </c>
      <c r="F6" s="735" t="s">
        <v>453</v>
      </c>
      <c r="G6" s="735" t="s">
        <v>141</v>
      </c>
      <c r="H6" s="735" t="s">
        <v>454</v>
      </c>
      <c r="I6" s="735" t="s">
        <v>508</v>
      </c>
      <c r="J6" s="735" t="s">
        <v>509</v>
      </c>
      <c r="K6" s="735" t="s">
        <v>39</v>
      </c>
      <c r="L6" s="735" t="s">
        <v>40</v>
      </c>
      <c r="M6" s="735" t="s">
        <v>457</v>
      </c>
      <c r="N6" s="735" t="s">
        <v>200</v>
      </c>
      <c r="O6" s="735" t="s">
        <v>458</v>
      </c>
    </row>
    <row r="7" spans="1:15" s="299" customFormat="1" ht="38.25" customHeight="1">
      <c r="A7" s="735"/>
      <c r="B7" s="735"/>
      <c r="C7" s="735"/>
      <c r="D7" s="735"/>
      <c r="E7" s="735"/>
      <c r="F7" s="735"/>
      <c r="G7" s="735"/>
      <c r="H7" s="735"/>
      <c r="I7" s="735"/>
      <c r="J7" s="735"/>
      <c r="K7" s="735"/>
      <c r="L7" s="735"/>
      <c r="M7" s="735"/>
      <c r="N7" s="735"/>
      <c r="O7" s="735"/>
    </row>
    <row r="8" spans="1:15" s="302" customFormat="1">
      <c r="A8" s="300" t="s">
        <v>641</v>
      </c>
      <c r="B8" s="311" t="s">
        <v>889</v>
      </c>
      <c r="C8" s="301">
        <f>SUM(C9:C22)</f>
        <v>923685</v>
      </c>
      <c r="D8" s="301">
        <f>SUM(D9:D22)</f>
        <v>88320</v>
      </c>
      <c r="E8" s="301">
        <f>SUM(E9:E22)</f>
        <v>50020</v>
      </c>
      <c r="F8" s="301">
        <f>SUM(F9:F22)</f>
        <v>82050</v>
      </c>
      <c r="G8" s="301">
        <f t="shared" ref="G8:O8" si="0">SUM(G9:G22)</f>
        <v>71285</v>
      </c>
      <c r="H8" s="301">
        <f>SUM(H9:H22)</f>
        <v>119620</v>
      </c>
      <c r="I8" s="462">
        <f t="shared" si="0"/>
        <v>97390</v>
      </c>
      <c r="J8" s="301">
        <f t="shared" si="0"/>
        <v>124245</v>
      </c>
      <c r="K8" s="301">
        <f t="shared" si="0"/>
        <v>103050</v>
      </c>
      <c r="L8" s="301">
        <f t="shared" si="0"/>
        <v>24390</v>
      </c>
      <c r="M8" s="301">
        <f t="shared" si="0"/>
        <v>98110</v>
      </c>
      <c r="N8" s="301">
        <f t="shared" si="0"/>
        <v>1950</v>
      </c>
      <c r="O8" s="301">
        <f t="shared" si="0"/>
        <v>63255</v>
      </c>
    </row>
    <row r="9" spans="1:15">
      <c r="A9" s="303">
        <v>1</v>
      </c>
      <c r="B9" s="304" t="s">
        <v>906</v>
      </c>
      <c r="C9" s="305">
        <f t="shared" ref="C9:C22" si="1">SUM(D9:O9)</f>
        <v>68750</v>
      </c>
      <c r="D9" s="305">
        <v>4110</v>
      </c>
      <c r="E9" s="305">
        <v>0</v>
      </c>
      <c r="F9" s="305">
        <v>430</v>
      </c>
      <c r="G9" s="305">
        <v>1130</v>
      </c>
      <c r="H9" s="305">
        <v>14870</v>
      </c>
      <c r="I9" s="463">
        <v>0</v>
      </c>
      <c r="J9" s="305">
        <v>6250</v>
      </c>
      <c r="K9" s="305">
        <v>5540</v>
      </c>
      <c r="L9" s="305">
        <v>0</v>
      </c>
      <c r="M9" s="305">
        <v>9350</v>
      </c>
      <c r="N9" s="305">
        <v>21940</v>
      </c>
      <c r="O9" s="305">
        <v>5130</v>
      </c>
    </row>
    <row r="10" spans="1:15">
      <c r="A10" s="303" t="s">
        <v>510</v>
      </c>
      <c r="B10" s="304" t="s">
        <v>518</v>
      </c>
      <c r="C10" s="305">
        <f t="shared" si="1"/>
        <v>60930</v>
      </c>
      <c r="D10" s="305">
        <v>4720</v>
      </c>
      <c r="E10" s="305">
        <v>2820</v>
      </c>
      <c r="F10" s="305">
        <v>3930</v>
      </c>
      <c r="G10" s="305">
        <v>3760</v>
      </c>
      <c r="H10" s="305">
        <v>5260</v>
      </c>
      <c r="I10" s="463">
        <v>6070</v>
      </c>
      <c r="J10" s="305">
        <v>6580</v>
      </c>
      <c r="K10" s="305">
        <v>5170</v>
      </c>
      <c r="L10" s="305">
        <v>6230</v>
      </c>
      <c r="M10" s="305">
        <v>4570</v>
      </c>
      <c r="N10" s="305">
        <v>7490</v>
      </c>
      <c r="O10" s="305">
        <v>4330</v>
      </c>
    </row>
    <row r="11" spans="1:15">
      <c r="A11" s="303" t="s">
        <v>511</v>
      </c>
      <c r="B11" s="304" t="s">
        <v>515</v>
      </c>
      <c r="C11" s="305">
        <f t="shared" si="1"/>
        <v>10590</v>
      </c>
      <c r="D11" s="305">
        <v>630</v>
      </c>
      <c r="E11" s="305">
        <v>250</v>
      </c>
      <c r="F11" s="305">
        <v>500</v>
      </c>
      <c r="G11" s="305">
        <v>600</v>
      </c>
      <c r="H11" s="305">
        <v>480</v>
      </c>
      <c r="I11" s="463">
        <v>2060</v>
      </c>
      <c r="J11" s="305">
        <v>1270</v>
      </c>
      <c r="K11" s="305">
        <v>980</v>
      </c>
      <c r="L11" s="305">
        <v>780</v>
      </c>
      <c r="M11" s="305">
        <v>900</v>
      </c>
      <c r="N11" s="305">
        <v>1140</v>
      </c>
      <c r="O11" s="305">
        <v>1000</v>
      </c>
    </row>
    <row r="12" spans="1:15">
      <c r="A12" s="303" t="s">
        <v>512</v>
      </c>
      <c r="B12" s="304" t="s">
        <v>520</v>
      </c>
      <c r="C12" s="305">
        <f t="shared" ref="C12:C17" si="2">SUM(D12:O12)</f>
        <v>8230</v>
      </c>
      <c r="D12" s="305">
        <v>0</v>
      </c>
      <c r="E12" s="305">
        <v>0</v>
      </c>
      <c r="F12" s="305">
        <v>0</v>
      </c>
      <c r="G12" s="305">
        <v>0</v>
      </c>
      <c r="H12" s="305">
        <v>0</v>
      </c>
      <c r="I12" s="463">
        <v>1160</v>
      </c>
      <c r="J12" s="305">
        <v>0</v>
      </c>
      <c r="K12" s="305">
        <v>0</v>
      </c>
      <c r="L12" s="305">
        <v>2480</v>
      </c>
      <c r="M12" s="305">
        <v>0</v>
      </c>
      <c r="N12" s="305">
        <v>3540</v>
      </c>
      <c r="O12" s="305">
        <v>1050</v>
      </c>
    </row>
    <row r="13" spans="1:15" s="425" customFormat="1">
      <c r="A13" s="422"/>
      <c r="B13" s="304" t="s">
        <v>49</v>
      </c>
      <c r="C13" s="305">
        <f t="shared" si="2"/>
        <v>2440</v>
      </c>
      <c r="D13" s="305">
        <v>80</v>
      </c>
      <c r="E13" s="305">
        <v>0</v>
      </c>
      <c r="F13" s="305">
        <v>0</v>
      </c>
      <c r="G13" s="305">
        <v>0</v>
      </c>
      <c r="H13" s="305">
        <v>100</v>
      </c>
      <c r="I13" s="463">
        <v>0</v>
      </c>
      <c r="J13" s="305">
        <v>30</v>
      </c>
      <c r="K13" s="305">
        <v>0</v>
      </c>
      <c r="L13" s="305">
        <v>0</v>
      </c>
      <c r="M13" s="305">
        <v>210</v>
      </c>
      <c r="N13" s="305">
        <v>2020</v>
      </c>
      <c r="O13" s="305">
        <v>0</v>
      </c>
    </row>
    <row r="14" spans="1:15" s="425" customFormat="1">
      <c r="A14" s="422"/>
      <c r="B14" s="304" t="s">
        <v>926</v>
      </c>
      <c r="C14" s="305">
        <f t="shared" si="2"/>
        <v>950</v>
      </c>
      <c r="D14" s="305">
        <v>0</v>
      </c>
      <c r="E14" s="305">
        <v>20</v>
      </c>
      <c r="F14" s="305">
        <v>0</v>
      </c>
      <c r="G14" s="305">
        <v>0</v>
      </c>
      <c r="H14" s="305">
        <v>80</v>
      </c>
      <c r="I14" s="463">
        <v>0</v>
      </c>
      <c r="J14" s="305">
        <v>0</v>
      </c>
      <c r="K14" s="305">
        <v>0</v>
      </c>
      <c r="L14" s="305">
        <v>0</v>
      </c>
      <c r="M14" s="305">
        <v>610</v>
      </c>
      <c r="N14" s="305">
        <v>0</v>
      </c>
      <c r="O14" s="305">
        <v>240</v>
      </c>
    </row>
    <row r="15" spans="1:15">
      <c r="A15" s="303" t="s">
        <v>513</v>
      </c>
      <c r="B15" s="423" t="s">
        <v>582</v>
      </c>
      <c r="C15" s="424">
        <f t="shared" si="2"/>
        <v>125260</v>
      </c>
      <c r="D15" s="424">
        <f>3580-2500</f>
        <v>1080</v>
      </c>
      <c r="E15" s="424">
        <v>1160</v>
      </c>
      <c r="F15" s="424">
        <v>280</v>
      </c>
      <c r="G15" s="424">
        <f>1070-720</f>
        <v>350</v>
      </c>
      <c r="H15" s="424">
        <v>3550</v>
      </c>
      <c r="I15" s="464">
        <v>16640</v>
      </c>
      <c r="J15" s="424">
        <v>0</v>
      </c>
      <c r="K15" s="424">
        <v>0</v>
      </c>
      <c r="L15" s="424">
        <v>32810</v>
      </c>
      <c r="M15" s="424">
        <v>2440</v>
      </c>
      <c r="N15" s="424">
        <f>50430</f>
        <v>50430</v>
      </c>
      <c r="O15" s="424">
        <v>16520</v>
      </c>
    </row>
    <row r="16" spans="1:15">
      <c r="A16" s="303"/>
      <c r="B16" s="423" t="s">
        <v>586</v>
      </c>
      <c r="C16" s="305">
        <f t="shared" si="2"/>
        <v>55190</v>
      </c>
      <c r="D16" s="305">
        <v>4800</v>
      </c>
      <c r="E16" s="305">
        <v>900</v>
      </c>
      <c r="F16" s="305">
        <v>1410</v>
      </c>
      <c r="G16" s="305">
        <v>3750</v>
      </c>
      <c r="H16" s="305">
        <v>5000</v>
      </c>
      <c r="I16" s="463">
        <v>440</v>
      </c>
      <c r="J16" s="305">
        <v>4370</v>
      </c>
      <c r="K16" s="305">
        <v>1590</v>
      </c>
      <c r="L16" s="305">
        <v>2600</v>
      </c>
      <c r="M16" s="305">
        <v>6120</v>
      </c>
      <c r="N16" s="305">
        <v>24210</v>
      </c>
      <c r="O16" s="305">
        <v>0</v>
      </c>
    </row>
    <row r="17" spans="1:15">
      <c r="A17" s="303"/>
      <c r="B17" s="423" t="s">
        <v>52</v>
      </c>
      <c r="C17" s="305">
        <f t="shared" si="2"/>
        <v>-54720</v>
      </c>
      <c r="D17" s="305">
        <v>-1900</v>
      </c>
      <c r="E17" s="305">
        <v>2780</v>
      </c>
      <c r="F17" s="305">
        <v>440</v>
      </c>
      <c r="G17" s="305">
        <v>-2960</v>
      </c>
      <c r="H17" s="305">
        <v>3360</v>
      </c>
      <c r="I17" s="463">
        <v>-26530</v>
      </c>
      <c r="J17" s="305">
        <v>2150</v>
      </c>
      <c r="K17" s="305">
        <v>-1400</v>
      </c>
      <c r="L17" s="305">
        <v>-8390</v>
      </c>
      <c r="M17" s="305">
        <v>10170</v>
      </c>
      <c r="N17" s="305">
        <v>-37360</v>
      </c>
      <c r="O17" s="305">
        <v>4920</v>
      </c>
    </row>
    <row r="18" spans="1:15">
      <c r="A18" s="303"/>
      <c r="B18" s="408" t="s">
        <v>50</v>
      </c>
      <c r="C18" s="305">
        <f t="shared" si="1"/>
        <v>153830</v>
      </c>
      <c r="D18" s="305">
        <v>17550</v>
      </c>
      <c r="E18" s="305">
        <v>11000</v>
      </c>
      <c r="F18" s="305">
        <v>16470</v>
      </c>
      <c r="G18" s="305">
        <v>14980</v>
      </c>
      <c r="H18" s="305">
        <v>19940</v>
      </c>
      <c r="I18" s="463">
        <v>0</v>
      </c>
      <c r="J18" s="305">
        <v>17260</v>
      </c>
      <c r="K18" s="305">
        <v>20370</v>
      </c>
      <c r="L18" s="305">
        <v>0</v>
      </c>
      <c r="M18" s="305">
        <v>20010</v>
      </c>
      <c r="N18" s="305">
        <v>0</v>
      </c>
      <c r="O18" s="305">
        <v>16250</v>
      </c>
    </row>
    <row r="19" spans="1:15">
      <c r="A19" s="303"/>
      <c r="B19" s="408" t="s">
        <v>51</v>
      </c>
      <c r="C19" s="305">
        <f t="shared" si="1"/>
        <v>373680</v>
      </c>
      <c r="D19" s="305">
        <v>41570</v>
      </c>
      <c r="E19" s="305">
        <v>25850</v>
      </c>
      <c r="F19" s="305">
        <v>37600</v>
      </c>
      <c r="G19" s="305">
        <v>28730</v>
      </c>
      <c r="H19" s="305">
        <v>35700</v>
      </c>
      <c r="I19" s="463">
        <v>35500</v>
      </c>
      <c r="J19" s="305">
        <v>55430</v>
      </c>
      <c r="K19" s="305">
        <v>41800</v>
      </c>
      <c r="L19" s="305">
        <v>7800</v>
      </c>
      <c r="M19" s="305">
        <v>32900</v>
      </c>
      <c r="N19" s="305">
        <v>0</v>
      </c>
      <c r="O19" s="305">
        <v>30800</v>
      </c>
    </row>
    <row r="20" spans="1:15">
      <c r="A20" s="303"/>
      <c r="B20" s="408" t="s">
        <v>925</v>
      </c>
      <c r="C20" s="305">
        <f t="shared" si="1"/>
        <v>315205</v>
      </c>
      <c r="D20" s="305">
        <f>82830-17550-41570</f>
        <v>23710</v>
      </c>
      <c r="E20" s="305">
        <f>47100-11000-25850</f>
        <v>10250</v>
      </c>
      <c r="F20" s="305">
        <f>74160-16470-37600</f>
        <v>20090</v>
      </c>
      <c r="G20" s="305">
        <f>66895-14980-28730</f>
        <v>23185</v>
      </c>
      <c r="H20" s="305">
        <f>75690-19940-35700</f>
        <v>20050</v>
      </c>
      <c r="I20" s="463">
        <f>95850-0-35500</f>
        <v>60350</v>
      </c>
      <c r="J20" s="305">
        <f>103965-17260-55430</f>
        <v>31275</v>
      </c>
      <c r="K20" s="305">
        <f>89200-20370-41800</f>
        <v>27030</v>
      </c>
      <c r="L20" s="305">
        <f>74610-0-7800</f>
        <v>66810</v>
      </c>
      <c r="M20" s="305">
        <f>67590-20010-32900</f>
        <v>14680</v>
      </c>
      <c r="N20" s="305">
        <f>0-0-0</f>
        <v>0</v>
      </c>
      <c r="O20" s="305">
        <f>64825-16250-30800</f>
        <v>17775</v>
      </c>
    </row>
    <row r="21" spans="1:15" hidden="1">
      <c r="A21" s="303"/>
      <c r="B21" s="408" t="s">
        <v>927</v>
      </c>
      <c r="C21" s="305">
        <f t="shared" si="1"/>
        <v>0</v>
      </c>
      <c r="D21" s="305"/>
      <c r="E21" s="305"/>
      <c r="F21" s="305"/>
      <c r="G21" s="305"/>
      <c r="H21" s="305"/>
      <c r="I21" s="463"/>
      <c r="J21" s="305"/>
      <c r="K21" s="305"/>
      <c r="L21" s="305"/>
      <c r="M21" s="305"/>
      <c r="N21" s="305"/>
      <c r="O21" s="305"/>
    </row>
    <row r="22" spans="1:15" s="425" customFormat="1">
      <c r="A22" s="422" t="s">
        <v>514</v>
      </c>
      <c r="B22" s="423" t="s">
        <v>924</v>
      </c>
      <c r="C22" s="424">
        <f t="shared" si="1"/>
        <v>-196650</v>
      </c>
      <c r="D22" s="424">
        <f>'Thu NSH'!V33</f>
        <v>-8030</v>
      </c>
      <c r="E22" s="424">
        <f>'Thu NSH'!AH33</f>
        <v>-5010</v>
      </c>
      <c r="F22" s="424">
        <f>'Thu NSH'!AT33</f>
        <v>900</v>
      </c>
      <c r="G22" s="424">
        <f>'Thu NSH'!BF33</f>
        <v>-2240</v>
      </c>
      <c r="H22" s="424">
        <f>'Thu NSH'!BR33</f>
        <v>11230</v>
      </c>
      <c r="I22" s="464">
        <f>'Thu NSH'!CD33</f>
        <v>1700</v>
      </c>
      <c r="J22" s="424">
        <f>'Thu NSH'!CP33</f>
        <v>-370</v>
      </c>
      <c r="K22" s="424">
        <f>'Thu NSH'!DB33</f>
        <v>1970</v>
      </c>
      <c r="L22" s="424">
        <f>'Thu NSH'!DN33</f>
        <v>-86730</v>
      </c>
      <c r="M22" s="424">
        <f>'Thu NSH'!DZ33</f>
        <v>-3850</v>
      </c>
      <c r="N22" s="424">
        <f>'Thu NSH'!EL33</f>
        <v>-71460</v>
      </c>
      <c r="O22" s="424">
        <f>'Thu NSH'!EX33</f>
        <v>-34760</v>
      </c>
    </row>
    <row r="23" spans="1:15" s="302" customFormat="1">
      <c r="A23" s="306" t="s">
        <v>654</v>
      </c>
      <c r="B23" s="312" t="s">
        <v>890</v>
      </c>
      <c r="C23" s="307">
        <f>SUM(D23:O23)</f>
        <v>1110885</v>
      </c>
      <c r="D23" s="412">
        <f>70350+16400+2800+2690+3660+2510+130+3880</f>
        <v>102420</v>
      </c>
      <c r="E23" s="412">
        <f>41980+9800+1220+980+1030+2870+1750+130</f>
        <v>59760</v>
      </c>
      <c r="F23" s="412">
        <f>60190+19870+500+160+1480+1080+80+6660</f>
        <v>90020</v>
      </c>
      <c r="G23" s="412">
        <f>52170+12362+7583+500-220+455+180+525+1690+200</f>
        <v>75445</v>
      </c>
      <c r="H23" s="412">
        <f>70030+22970+500-60+890+1610+340</f>
        <v>96280</v>
      </c>
      <c r="I23" s="465">
        <f>71920+23770+2080+390</f>
        <v>98160</v>
      </c>
      <c r="J23" s="412">
        <f>84910+31775+1680+3175+2010+110+90</f>
        <v>123750</v>
      </c>
      <c r="K23" s="412">
        <f>69910+25480+150+1490+390</f>
        <v>97420</v>
      </c>
      <c r="L23" s="412">
        <f>83500+26770+500+350+2450+1580+130</f>
        <v>115280</v>
      </c>
      <c r="M23" s="412">
        <f>66940+24800+260+2300+800+800</f>
        <v>95900</v>
      </c>
      <c r="N23" s="412">
        <f>45000+14060+90+1490+230</f>
        <v>60870</v>
      </c>
      <c r="O23" s="412">
        <f>69950+22555+140+1225+1620+90</f>
        <v>95580</v>
      </c>
    </row>
    <row r="24" spans="1:15" ht="31.5">
      <c r="A24" s="303" t="s">
        <v>670</v>
      </c>
      <c r="B24" s="169" t="s">
        <v>519</v>
      </c>
      <c r="C24" s="305">
        <f>SUM(D24:O24)</f>
        <v>218875</v>
      </c>
      <c r="D24" s="305">
        <f t="shared" ref="D24:M24" si="3">IF(D8-D23&lt;0,-(D8-D23),0)</f>
        <v>14100</v>
      </c>
      <c r="E24" s="305">
        <f t="shared" si="3"/>
        <v>9740</v>
      </c>
      <c r="F24" s="305">
        <f>IF(F8-F23&lt;0,-(F8-F23),0)</f>
        <v>7970</v>
      </c>
      <c r="G24" s="305">
        <f t="shared" si="3"/>
        <v>4160</v>
      </c>
      <c r="H24" s="305">
        <f t="shared" si="3"/>
        <v>0</v>
      </c>
      <c r="I24" s="305">
        <f t="shared" si="3"/>
        <v>770</v>
      </c>
      <c r="J24" s="305">
        <f t="shared" si="3"/>
        <v>0</v>
      </c>
      <c r="K24" s="305">
        <f t="shared" si="3"/>
        <v>0</v>
      </c>
      <c r="L24" s="305">
        <f t="shared" si="3"/>
        <v>90890</v>
      </c>
      <c r="M24" s="305">
        <f t="shared" si="3"/>
        <v>0</v>
      </c>
      <c r="N24" s="305">
        <f>ROUND(IF(N8-N23&lt;0,-(N8-N23),0),-1)</f>
        <v>58920</v>
      </c>
      <c r="O24" s="305">
        <f>IF(O8-O23&lt;0,-(O8-O23),0)</f>
        <v>32325</v>
      </c>
    </row>
    <row r="25" spans="1:15">
      <c r="A25" s="308" t="s">
        <v>671</v>
      </c>
      <c r="B25" s="309" t="s">
        <v>516</v>
      </c>
      <c r="C25" s="310">
        <f>SUM(D25:O25)</f>
        <v>31675</v>
      </c>
      <c r="D25" s="310">
        <f t="shared" ref="D25:I25" si="4">IF(D8-D23&gt;0,D8-D23,0)</f>
        <v>0</v>
      </c>
      <c r="E25" s="310">
        <f t="shared" si="4"/>
        <v>0</v>
      </c>
      <c r="F25" s="310">
        <f t="shared" si="4"/>
        <v>0</v>
      </c>
      <c r="G25" s="310">
        <f t="shared" si="4"/>
        <v>0</v>
      </c>
      <c r="H25" s="310">
        <f t="shared" si="4"/>
        <v>23340</v>
      </c>
      <c r="I25" s="310">
        <f t="shared" si="4"/>
        <v>0</v>
      </c>
      <c r="J25" s="310">
        <f t="shared" ref="J25:O25" si="5">IF(J8-J23&gt;0,J8-J23,0)</f>
        <v>495</v>
      </c>
      <c r="K25" s="310">
        <f t="shared" si="5"/>
        <v>5630</v>
      </c>
      <c r="L25" s="310">
        <f t="shared" si="5"/>
        <v>0</v>
      </c>
      <c r="M25" s="310">
        <f t="shared" si="5"/>
        <v>2210</v>
      </c>
      <c r="N25" s="310"/>
      <c r="O25" s="310">
        <f t="shared" si="5"/>
        <v>0</v>
      </c>
    </row>
    <row r="27" spans="1:15">
      <c r="C27" s="530">
        <f>SUM(D27:O27)</f>
        <v>52570</v>
      </c>
      <c r="D27" s="530">
        <f>D23-'[3]TLTT nam 2014-huyen'!D19</f>
        <v>10180</v>
      </c>
      <c r="E27" s="530">
        <f>E23-'[3]TLTT nam 2014-huyen'!E19</f>
        <v>4750</v>
      </c>
      <c r="F27" s="530">
        <f>F23-'[3]TLTT nam 2014-huyen'!F19</f>
        <v>9300</v>
      </c>
      <c r="G27" s="530">
        <f>G23-'[3]TLTT nam 2014-huyen'!G19</f>
        <v>3050</v>
      </c>
      <c r="H27" s="530">
        <f>H23-'[3]TLTT nam 2014-huyen'!H19</f>
        <v>2840</v>
      </c>
      <c r="I27" s="530">
        <f>I23-'[3]TLTT nam 2014-huyen'!I19</f>
        <v>2470</v>
      </c>
      <c r="J27" s="530">
        <f>J23-'[3]TLTT nam 2014-huyen'!J19</f>
        <v>5385</v>
      </c>
      <c r="K27" s="530">
        <f>K23-'[3]TLTT nam 2014-huyen'!K19</f>
        <v>1880</v>
      </c>
      <c r="L27" s="530">
        <f>L23-'[3]TLTT nam 2014-huyen'!L19</f>
        <v>4160</v>
      </c>
      <c r="M27" s="530">
        <f>M23-'[3]TLTT nam 2014-huyen'!M19</f>
        <v>3900</v>
      </c>
      <c r="N27" s="530">
        <f>N23-'[3]TLTT nam 2014-huyen'!N19</f>
        <v>1720</v>
      </c>
      <c r="O27" s="530">
        <f>O23-'[3]TLTT nam 2014-huyen'!O19</f>
        <v>2935</v>
      </c>
    </row>
    <row r="28" spans="1:15">
      <c r="C28" s="530"/>
      <c r="D28" s="60">
        <f>16200/25550</f>
        <v>0.63405088062622306</v>
      </c>
      <c r="E28" s="60">
        <f>9680/15900</f>
        <v>0.60880503144654086</v>
      </c>
      <c r="F28" s="60">
        <f>13430/22010</f>
        <v>0.61017719218537025</v>
      </c>
      <c r="G28" s="60">
        <f>11960/20860</f>
        <v>0.57334611697027804</v>
      </c>
      <c r="H28" s="60">
        <f>15890/24300</f>
        <v>0.65390946502057612</v>
      </c>
      <c r="I28" s="60">
        <f>15210/25860</f>
        <v>0.58816705336426911</v>
      </c>
      <c r="J28" s="60">
        <f>22610/36630</f>
        <v>0.61725361725361727</v>
      </c>
      <c r="K28" s="60">
        <f>16490/27120</f>
        <v>0.60803834808259583</v>
      </c>
      <c r="L28" s="60">
        <f>18550/30070</f>
        <v>0.61689391420019957</v>
      </c>
      <c r="M28" s="60">
        <f>16020/27360</f>
        <v>0.58552631578947367</v>
      </c>
      <c r="N28" s="60">
        <f>9410/15640</f>
        <v>0.60166240409207161</v>
      </c>
      <c r="O28" s="60">
        <f>13740/23920</f>
        <v>0.57441471571906355</v>
      </c>
    </row>
    <row r="29" spans="1:15">
      <c r="C29" s="530">
        <f>SUM(D29:O29)</f>
        <v>32200</v>
      </c>
      <c r="D29" s="531">
        <f>ROUND(D27*D28,-2)</f>
        <v>6500</v>
      </c>
      <c r="E29" s="531">
        <f>ROUND(E27*E28,-2)</f>
        <v>2900</v>
      </c>
      <c r="F29" s="531">
        <f t="shared" ref="F29:O29" si="6">ROUND(F27*F28,-2)</f>
        <v>5700</v>
      </c>
      <c r="G29" s="531">
        <f t="shared" si="6"/>
        <v>1700</v>
      </c>
      <c r="H29" s="531">
        <f t="shared" si="6"/>
        <v>1900</v>
      </c>
      <c r="I29" s="531">
        <f t="shared" si="6"/>
        <v>1500</v>
      </c>
      <c r="J29" s="531">
        <f t="shared" si="6"/>
        <v>3300</v>
      </c>
      <c r="K29" s="531">
        <f t="shared" si="6"/>
        <v>1100</v>
      </c>
      <c r="L29" s="531">
        <f t="shared" si="6"/>
        <v>2600</v>
      </c>
      <c r="M29" s="531">
        <f t="shared" si="6"/>
        <v>2300</v>
      </c>
      <c r="N29" s="531">
        <f t="shared" si="6"/>
        <v>1000</v>
      </c>
      <c r="O29" s="531">
        <f t="shared" si="6"/>
        <v>1700</v>
      </c>
    </row>
    <row r="31" spans="1:15">
      <c r="C31" s="530">
        <f>SUM(D31:O31)</f>
        <v>52570</v>
      </c>
      <c r="D31" s="530">
        <f>D23-'[3]TLTT nam 2014-huyen'!D19</f>
        <v>10180</v>
      </c>
      <c r="E31" s="530">
        <f>E23-'[3]TLTT nam 2014-huyen'!E19</f>
        <v>4750</v>
      </c>
      <c r="F31" s="530">
        <f>F23-'[3]TLTT nam 2014-huyen'!F19</f>
        <v>9300</v>
      </c>
      <c r="G31" s="530">
        <f>G23-'[3]TLTT nam 2014-huyen'!G19</f>
        <v>3050</v>
      </c>
      <c r="H31" s="530">
        <f>H23-'[3]TLTT nam 2014-huyen'!H19</f>
        <v>2840</v>
      </c>
      <c r="I31" s="530">
        <f>I23-'[3]TLTT nam 2014-huyen'!I19</f>
        <v>2470</v>
      </c>
      <c r="J31" s="530">
        <f>J23-'[3]TLTT nam 2014-huyen'!J19</f>
        <v>5385</v>
      </c>
      <c r="K31" s="530">
        <f>K23-'[3]TLTT nam 2014-huyen'!K19</f>
        <v>1880</v>
      </c>
      <c r="L31" s="530">
        <f>L23-'[3]TLTT nam 2014-huyen'!L19</f>
        <v>4160</v>
      </c>
      <c r="M31" s="530">
        <f>M23-'[3]TLTT nam 2014-huyen'!M19</f>
        <v>3900</v>
      </c>
      <c r="N31" s="530">
        <f>N23-'[3]TLTT nam 2014-huyen'!N19</f>
        <v>1720</v>
      </c>
      <c r="O31" s="530">
        <f>O23-'[3]TLTT nam 2014-huyen'!O19</f>
        <v>2935</v>
      </c>
    </row>
    <row r="33" spans="3:15">
      <c r="D33" s="297">
        <f>+D29/2</f>
        <v>3250</v>
      </c>
      <c r="E33" s="297">
        <f t="shared" ref="E33:O33" si="7">+E29/2</f>
        <v>1450</v>
      </c>
      <c r="F33" s="297">
        <f t="shared" si="7"/>
        <v>2850</v>
      </c>
      <c r="G33" s="297">
        <f t="shared" si="7"/>
        <v>850</v>
      </c>
      <c r="H33" s="297">
        <f t="shared" si="7"/>
        <v>950</v>
      </c>
      <c r="I33" s="297">
        <f t="shared" si="7"/>
        <v>750</v>
      </c>
      <c r="J33" s="297">
        <f t="shared" si="7"/>
        <v>1650</v>
      </c>
      <c r="K33" s="297">
        <f t="shared" si="7"/>
        <v>550</v>
      </c>
      <c r="L33" s="297">
        <f t="shared" si="7"/>
        <v>1300</v>
      </c>
      <c r="M33" s="297">
        <f t="shared" si="7"/>
        <v>1150</v>
      </c>
      <c r="N33" s="297">
        <f t="shared" si="7"/>
        <v>500</v>
      </c>
      <c r="O33" s="297">
        <f t="shared" si="7"/>
        <v>850</v>
      </c>
    </row>
    <row r="34" spans="3:15">
      <c r="M34" s="530"/>
    </row>
    <row r="35" spans="3:15">
      <c r="C35" s="530">
        <f>C23-'[3]TLTT nam 2014-huyen'!$C$19</f>
        <v>52570</v>
      </c>
    </row>
  </sheetData>
  <mergeCells count="19">
    <mergeCell ref="C1:K1"/>
    <mergeCell ref="C2:K2"/>
    <mergeCell ref="C3:K3"/>
    <mergeCell ref="A4:O4"/>
    <mergeCell ref="A6:A7"/>
    <mergeCell ref="B6:B7"/>
    <mergeCell ref="C6:C7"/>
    <mergeCell ref="D6:D7"/>
    <mergeCell ref="E6:E7"/>
    <mergeCell ref="F6:F7"/>
    <mergeCell ref="G6:G7"/>
    <mergeCell ref="H6:H7"/>
    <mergeCell ref="M6:M7"/>
    <mergeCell ref="N6:N7"/>
    <mergeCell ref="O6:O7"/>
    <mergeCell ref="I6:I7"/>
    <mergeCell ref="J6:J7"/>
    <mergeCell ref="K6:K7"/>
    <mergeCell ref="L6:L7"/>
  </mergeCells>
  <phoneticPr fontId="2" type="noConversion"/>
  <printOptions horizontalCentered="1"/>
  <pageMargins left="0" right="0" top="1" bottom="1" header="0.5" footer="0.5"/>
  <pageSetup paperSize="9" scale="65" orientation="landscape" r:id="rId1"/>
  <headerFooter alignWithMargins="0"/>
  <ignoredErrors>
    <ignoredError sqref="N24" formula="1"/>
  </ignoredErrors>
  <legacyDrawing r:id="rId2"/>
</worksheet>
</file>

<file path=xl/worksheets/sheet13.xml><?xml version="1.0" encoding="utf-8"?>
<worksheet xmlns="http://schemas.openxmlformats.org/spreadsheetml/2006/main" xmlns:r="http://schemas.openxmlformats.org/officeDocument/2006/relationships">
  <sheetPr codeName="Sheet13">
    <tabColor indexed="8"/>
  </sheetPr>
  <dimension ref="A2:D19"/>
  <sheetViews>
    <sheetView workbookViewId="0">
      <selection activeCell="E11" sqref="E11"/>
    </sheetView>
  </sheetViews>
  <sheetFormatPr defaultRowHeight="15.75"/>
  <cols>
    <col min="1" max="1" width="8.625" customWidth="1"/>
    <col min="2" max="2" width="36.375" customWidth="1"/>
    <col min="3" max="3" width="20.375" customWidth="1"/>
    <col min="4" max="4" width="19.25" customWidth="1"/>
  </cols>
  <sheetData>
    <row r="2" spans="1:4">
      <c r="A2" s="738" t="s">
        <v>891</v>
      </c>
      <c r="B2" s="738"/>
      <c r="C2" s="738"/>
      <c r="D2" s="738"/>
    </row>
    <row r="3" spans="1:4">
      <c r="A3" s="18"/>
      <c r="B3" s="18"/>
      <c r="C3" s="18"/>
      <c r="D3" s="18"/>
    </row>
    <row r="4" spans="1:4">
      <c r="D4" s="347" t="s">
        <v>766</v>
      </c>
    </row>
    <row r="5" spans="1:4" ht="108.75" customHeight="1">
      <c r="A5" s="50" t="s">
        <v>769</v>
      </c>
      <c r="B5" s="50" t="s">
        <v>742</v>
      </c>
      <c r="C5" s="348" t="s">
        <v>892</v>
      </c>
      <c r="D5" s="348" t="s">
        <v>893</v>
      </c>
    </row>
    <row r="6" spans="1:4">
      <c r="A6" s="149">
        <v>1</v>
      </c>
      <c r="B6" s="149">
        <v>2</v>
      </c>
      <c r="C6" s="149">
        <v>3</v>
      </c>
      <c r="D6" s="149">
        <v>4</v>
      </c>
    </row>
    <row r="7" spans="1:4" ht="24.95" customHeight="1">
      <c r="A7" s="349">
        <v>1</v>
      </c>
      <c r="B7" s="350" t="s">
        <v>452</v>
      </c>
      <c r="C7" s="351">
        <f>'Thu NSH'!V33</f>
        <v>-8030</v>
      </c>
      <c r="D7" s="351">
        <f>IF(ROUNDDOWN(C7*10%,-1)&lt;0,0,ROUNDDOWN(C7*10%,-1))</f>
        <v>0</v>
      </c>
    </row>
    <row r="8" spans="1:4" ht="24.95" customHeight="1">
      <c r="A8" s="163">
        <v>2</v>
      </c>
      <c r="B8" s="193" t="s">
        <v>4</v>
      </c>
      <c r="C8" s="352">
        <f>'Thu NSH'!AH33-2500</f>
        <v>-7510</v>
      </c>
      <c r="D8" s="352">
        <f t="shared" ref="D8:D18" si="0">IF(ROUNDDOWN(C8*10%,-1)&lt;0,0,ROUNDDOWN(C8*10%,-1))</f>
        <v>0</v>
      </c>
    </row>
    <row r="9" spans="1:4" ht="24.95" customHeight="1">
      <c r="A9" s="163">
        <v>3</v>
      </c>
      <c r="B9" s="193" t="s">
        <v>453</v>
      </c>
      <c r="C9" s="352">
        <f>'Thu NSH'!AT33-2500</f>
        <v>-1600</v>
      </c>
      <c r="D9" s="352">
        <f t="shared" si="0"/>
        <v>0</v>
      </c>
    </row>
    <row r="10" spans="1:4" ht="24.95" customHeight="1">
      <c r="A10" s="163">
        <v>4</v>
      </c>
      <c r="B10" s="193" t="s">
        <v>141</v>
      </c>
      <c r="C10" s="352">
        <f>'Thu NSH'!BF33</f>
        <v>-2240</v>
      </c>
      <c r="D10" s="352">
        <f t="shared" si="0"/>
        <v>0</v>
      </c>
    </row>
    <row r="11" spans="1:4" ht="24.95" customHeight="1">
      <c r="A11" s="163">
        <v>5</v>
      </c>
      <c r="B11" s="193" t="s">
        <v>454</v>
      </c>
      <c r="C11" s="352">
        <f>'Thu NSH'!BR33-2500</f>
        <v>8730</v>
      </c>
      <c r="D11" s="352">
        <f t="shared" si="0"/>
        <v>870</v>
      </c>
    </row>
    <row r="12" spans="1:4" ht="24.95" customHeight="1">
      <c r="A12" s="163">
        <v>6</v>
      </c>
      <c r="B12" s="193" t="s">
        <v>611</v>
      </c>
      <c r="C12" s="352">
        <f>'Thu NSH'!CD33</f>
        <v>1700</v>
      </c>
      <c r="D12" s="352">
        <f t="shared" si="0"/>
        <v>170</v>
      </c>
    </row>
    <row r="13" spans="1:4" ht="24.95" customHeight="1">
      <c r="A13" s="163">
        <v>7</v>
      </c>
      <c r="B13" s="193" t="s">
        <v>612</v>
      </c>
      <c r="C13" s="352">
        <f>'Thu NSH'!CP33-2500</f>
        <v>-2870</v>
      </c>
      <c r="D13" s="352">
        <f t="shared" si="0"/>
        <v>0</v>
      </c>
    </row>
    <row r="14" spans="1:4" ht="24.95" customHeight="1">
      <c r="A14" s="163">
        <v>8</v>
      </c>
      <c r="B14" s="193" t="s">
        <v>39</v>
      </c>
      <c r="C14" s="352">
        <f>'Thu NSH'!DB33</f>
        <v>1970</v>
      </c>
      <c r="D14" s="352">
        <f t="shared" si="0"/>
        <v>190</v>
      </c>
    </row>
    <row r="15" spans="1:4" ht="24.95" customHeight="1">
      <c r="A15" s="163">
        <v>9</v>
      </c>
      <c r="B15" s="193" t="s">
        <v>40</v>
      </c>
      <c r="C15" s="352">
        <f>'Thu NSH'!DN33</f>
        <v>-86730</v>
      </c>
      <c r="D15" s="352">
        <f t="shared" si="0"/>
        <v>0</v>
      </c>
    </row>
    <row r="16" spans="1:4" ht="24.95" customHeight="1">
      <c r="A16" s="163">
        <v>10</v>
      </c>
      <c r="B16" s="193" t="s">
        <v>457</v>
      </c>
      <c r="C16" s="352">
        <f>'Thu NSH'!DZ33-4000</f>
        <v>-7850</v>
      </c>
      <c r="D16" s="352">
        <f t="shared" si="0"/>
        <v>0</v>
      </c>
    </row>
    <row r="17" spans="1:4" ht="24.95" customHeight="1">
      <c r="A17" s="163">
        <v>11</v>
      </c>
      <c r="B17" s="193" t="s">
        <v>201</v>
      </c>
      <c r="C17" s="352">
        <f>'Thu NSH'!EL33</f>
        <v>-71460</v>
      </c>
      <c r="D17" s="352">
        <f t="shared" si="0"/>
        <v>0</v>
      </c>
    </row>
    <row r="18" spans="1:4" ht="24.95" customHeight="1">
      <c r="A18" s="356">
        <v>12</v>
      </c>
      <c r="B18" s="353" t="s">
        <v>458</v>
      </c>
      <c r="C18" s="354">
        <f>'Thu NSH'!EX33-2500</f>
        <v>-37260</v>
      </c>
      <c r="D18" s="354">
        <f t="shared" si="0"/>
        <v>0</v>
      </c>
    </row>
    <row r="19" spans="1:4" s="19" customFormat="1" ht="30.75" customHeight="1">
      <c r="A19" s="739" t="s">
        <v>613</v>
      </c>
      <c r="B19" s="739"/>
      <c r="C19" s="355">
        <f>SUM(C7:C18)</f>
        <v>-213150</v>
      </c>
      <c r="D19" s="355">
        <f>SUM(D7:D18)</f>
        <v>1230</v>
      </c>
    </row>
  </sheetData>
  <mergeCells count="2">
    <mergeCell ref="A2:D2"/>
    <mergeCell ref="A19:B19"/>
  </mergeCells>
  <phoneticPr fontId="2" type="noConversion"/>
  <printOptions horizontalCentered="1"/>
  <pageMargins left="0.59055118110236227" right="0.59055118110236227" top="0.78740157480314965" bottom="0.78740157480314965" header="0.39370078740157483"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14">
    <tabColor indexed="12"/>
  </sheetPr>
  <dimension ref="A1:D33"/>
  <sheetViews>
    <sheetView topLeftCell="A13" workbookViewId="0">
      <selection activeCell="O69" sqref="O69"/>
    </sheetView>
  </sheetViews>
  <sheetFormatPr defaultRowHeight="15.75"/>
  <cols>
    <col min="1" max="1" width="4.875" customWidth="1"/>
    <col min="2" max="2" width="60.25" customWidth="1"/>
    <col min="3" max="3" width="18" customWidth="1"/>
    <col min="4" max="4" width="9.625" bestFit="1" customWidth="1"/>
  </cols>
  <sheetData>
    <row r="1" spans="1:3" s="19" customFormat="1" hidden="1">
      <c r="B1" s="173" t="s">
        <v>273</v>
      </c>
      <c r="C1" s="17"/>
    </row>
    <row r="2" spans="1:3" s="19" customFormat="1" hidden="1">
      <c r="B2" s="173" t="s">
        <v>274</v>
      </c>
      <c r="C2" s="17"/>
    </row>
    <row r="3" spans="1:3" s="19" customFormat="1" hidden="1">
      <c r="C3" s="18"/>
    </row>
    <row r="4" spans="1:3">
      <c r="A4" s="738" t="s">
        <v>911</v>
      </c>
      <c r="B4" s="738"/>
      <c r="C4" s="738"/>
    </row>
    <row r="5" spans="1:3">
      <c r="A5" s="152"/>
      <c r="B5" s="152"/>
      <c r="C5" s="152"/>
    </row>
    <row r="6" spans="1:3">
      <c r="A6" s="152"/>
      <c r="C6" s="105" t="s">
        <v>766</v>
      </c>
    </row>
    <row r="7" spans="1:3" s="153" customFormat="1" ht="45.75" customHeight="1">
      <c r="A7" s="50" t="s">
        <v>72</v>
      </c>
      <c r="B7" s="50" t="s">
        <v>767</v>
      </c>
      <c r="C7" s="50" t="s">
        <v>867</v>
      </c>
    </row>
    <row r="8" spans="1:3" s="177" customFormat="1" ht="20.100000000000001" customHeight="1">
      <c r="A8" s="174" t="s">
        <v>639</v>
      </c>
      <c r="B8" s="175" t="s">
        <v>275</v>
      </c>
      <c r="C8" s="176">
        <f>SUM(C9:C10)</f>
        <v>3173000</v>
      </c>
    </row>
    <row r="9" spans="1:3" s="19" customFormat="1" ht="20.100000000000001" customHeight="1">
      <c r="A9" s="178" t="s">
        <v>641</v>
      </c>
      <c r="B9" s="179" t="s">
        <v>642</v>
      </c>
      <c r="C9" s="180">
        <f>'Phụ lục số 1'!N13</f>
        <v>2873000</v>
      </c>
    </row>
    <row r="10" spans="1:3" s="19" customFormat="1" ht="20.100000000000001" customHeight="1">
      <c r="A10" s="178" t="s">
        <v>654</v>
      </c>
      <c r="B10" s="179" t="s">
        <v>276</v>
      </c>
      <c r="C10" s="180">
        <f>'Phụ lục số 1'!N53</f>
        <v>300000</v>
      </c>
    </row>
    <row r="11" spans="1:3" s="177" customFormat="1" ht="20.100000000000001" customHeight="1">
      <c r="A11" s="181" t="s">
        <v>657</v>
      </c>
      <c r="B11" s="182" t="s">
        <v>581</v>
      </c>
      <c r="C11" s="183">
        <f>SUM(C12,C18,C21,C22)-C19</f>
        <v>7506934</v>
      </c>
    </row>
    <row r="12" spans="1:3" s="19" customFormat="1" ht="20.100000000000001" customHeight="1">
      <c r="A12" s="178" t="s">
        <v>641</v>
      </c>
      <c r="B12" s="179" t="s">
        <v>549</v>
      </c>
      <c r="C12" s="180">
        <f>SUM(C13,C17,C20)+C19</f>
        <v>6369055</v>
      </c>
    </row>
    <row r="13" spans="1:3" s="61" customFormat="1" ht="20.100000000000001" customHeight="1">
      <c r="A13" s="184">
        <v>1</v>
      </c>
      <c r="B13" s="185" t="s">
        <v>277</v>
      </c>
      <c r="C13" s="186">
        <f>'Phụ lục số 1'!Q12</f>
        <v>2754600</v>
      </c>
    </row>
    <row r="14" spans="1:3" s="190" customFormat="1" ht="20.100000000000001" customHeight="1">
      <c r="A14" s="187" t="s">
        <v>670</v>
      </c>
      <c r="B14" s="188" t="s">
        <v>278</v>
      </c>
      <c r="C14" s="189">
        <f>C13-C15</f>
        <v>630315</v>
      </c>
    </row>
    <row r="15" spans="1:3" s="190" customFormat="1" ht="20.100000000000001" customHeight="1">
      <c r="A15" s="191" t="s">
        <v>671</v>
      </c>
      <c r="B15" s="192" t="s">
        <v>279</v>
      </c>
      <c r="C15" s="189">
        <f>'Phụ lục số 1'!Q15+'Phụ lục số 1'!Q16+'Phụ lục số 1'!Q17+'Phụ lục số 1'!Q22+'Phụ lục số 1'!Q23+'Phụ lục số 1'!Q24+'Phụ lục số 1'!Q29+'Phụ lục số 1'!Q30+'Phụ lục số 1'!Q35+'Phụ lục số 1'!Q36+'Phụ lục số 1'!Q37+'Phụ lục số 1'!Q44+'Phụ lục số 1'!Q45</f>
        <v>2124285</v>
      </c>
    </row>
    <row r="16" spans="1:3" s="61" customFormat="1" ht="20.100000000000001" customHeight="1">
      <c r="A16" s="184">
        <v>2</v>
      </c>
      <c r="B16" s="185" t="s">
        <v>280</v>
      </c>
      <c r="C16" s="186">
        <f>SUM(C17:C18)</f>
        <v>3995484</v>
      </c>
    </row>
    <row r="17" spans="1:4" s="190" customFormat="1" ht="20.100000000000001" customHeight="1">
      <c r="A17" s="187" t="s">
        <v>670</v>
      </c>
      <c r="B17" s="188" t="s">
        <v>808</v>
      </c>
      <c r="C17" s="189">
        <f>'Phụ lục số 1'!Q57</f>
        <v>1174152</v>
      </c>
    </row>
    <row r="18" spans="1:4" s="190" customFormat="1" ht="20.100000000000001" customHeight="1">
      <c r="A18" s="187" t="s">
        <v>671</v>
      </c>
      <c r="B18" s="188" t="s">
        <v>809</v>
      </c>
      <c r="C18" s="189">
        <f>'Phụ lục số 1'!Q58</f>
        <v>2821332</v>
      </c>
    </row>
    <row r="19" spans="1:4" s="190" customFormat="1" ht="20.100000000000001" customHeight="1">
      <c r="A19" s="187" t="s">
        <v>281</v>
      </c>
      <c r="B19" s="188" t="s">
        <v>282</v>
      </c>
      <c r="C19" s="189">
        <f>'Phụ lục số 1'!Q58-'Phụ lục số 2'!K37</f>
        <v>2283453</v>
      </c>
      <c r="D19" s="118"/>
    </row>
    <row r="20" spans="1:4" s="190" customFormat="1" ht="20.100000000000001" customHeight="1">
      <c r="A20" s="184">
        <v>3</v>
      </c>
      <c r="B20" s="185" t="s">
        <v>283</v>
      </c>
      <c r="C20" s="186">
        <f>'Phụ lục số 1'!Q64</f>
        <v>156850</v>
      </c>
    </row>
    <row r="21" spans="1:4" s="19" customFormat="1" ht="20.100000000000001" customHeight="1">
      <c r="A21" s="178" t="s">
        <v>654</v>
      </c>
      <c r="B21" s="179" t="s">
        <v>284</v>
      </c>
      <c r="C21" s="180">
        <f>'Phụ lục số 1'!Q63</f>
        <v>600000</v>
      </c>
    </row>
    <row r="22" spans="1:4" s="19" customFormat="1" ht="20.100000000000001" hidden="1" customHeight="1">
      <c r="A22" s="178" t="s">
        <v>685</v>
      </c>
      <c r="B22" s="179" t="s">
        <v>811</v>
      </c>
      <c r="C22" s="180">
        <f>'Phụ lục số 1'!Q65</f>
        <v>0</v>
      </c>
    </row>
    <row r="23" spans="1:4" s="177" customFormat="1" ht="20.100000000000001" customHeight="1">
      <c r="A23" s="181" t="s">
        <v>661</v>
      </c>
      <c r="B23" s="182" t="s">
        <v>552</v>
      </c>
      <c r="C23" s="183">
        <f>SUM(C24,C30:C31,C32)</f>
        <v>7506934</v>
      </c>
    </row>
    <row r="24" spans="1:4" s="19" customFormat="1" ht="20.100000000000001" customHeight="1">
      <c r="A24" s="178" t="s">
        <v>641</v>
      </c>
      <c r="B24" s="179" t="s">
        <v>756</v>
      </c>
      <c r="C24" s="180">
        <f>SUM(C25:C29)</f>
        <v>6369055</v>
      </c>
    </row>
    <row r="25" spans="1:4" ht="20.100000000000001" customHeight="1">
      <c r="A25" s="163">
        <v>1</v>
      </c>
      <c r="B25" s="193" t="s">
        <v>285</v>
      </c>
      <c r="C25" s="95">
        <f>'Phụ lục số 2'!K13</f>
        <v>673000</v>
      </c>
    </row>
    <row r="26" spans="1:4" ht="20.100000000000001" customHeight="1">
      <c r="A26" s="163">
        <v>2</v>
      </c>
      <c r="B26" s="193" t="s">
        <v>697</v>
      </c>
      <c r="C26" s="95">
        <f>'Phụ lục số 2'!K18</f>
        <v>5584855</v>
      </c>
    </row>
    <row r="27" spans="1:4" ht="20.100000000000001" customHeight="1">
      <c r="A27" s="163">
        <v>3</v>
      </c>
      <c r="B27" s="193" t="s">
        <v>415</v>
      </c>
      <c r="C27" s="95">
        <f>'Phụ lục số 2'!K32</f>
        <v>2000</v>
      </c>
    </row>
    <row r="28" spans="1:4" ht="20.100000000000001" customHeight="1">
      <c r="A28" s="163">
        <v>4</v>
      </c>
      <c r="B28" s="193" t="s">
        <v>726</v>
      </c>
      <c r="C28" s="95">
        <f>'Phụ lục số 2'!K33</f>
        <v>109200</v>
      </c>
    </row>
    <row r="29" spans="1:4" s="61" customFormat="1" ht="20.100000000000001" hidden="1" customHeight="1">
      <c r="A29" s="184">
        <v>5</v>
      </c>
      <c r="B29" s="185" t="s">
        <v>787</v>
      </c>
      <c r="C29" s="186">
        <f>'Phụ lục số 2'!K34</f>
        <v>0</v>
      </c>
    </row>
    <row r="30" spans="1:4" s="19" customFormat="1" ht="20.100000000000001" customHeight="1">
      <c r="A30" s="178" t="s">
        <v>654</v>
      </c>
      <c r="B30" s="194" t="s">
        <v>287</v>
      </c>
      <c r="C30" s="180">
        <f>'Phụ lục số 2'!K37</f>
        <v>537879</v>
      </c>
    </row>
    <row r="31" spans="1:4" s="19" customFormat="1" ht="20.100000000000001" customHeight="1">
      <c r="A31" s="195" t="s">
        <v>685</v>
      </c>
      <c r="B31" s="196" t="s">
        <v>760</v>
      </c>
      <c r="C31" s="197">
        <f>'Phụ lục số 2'!K42</f>
        <v>600000</v>
      </c>
    </row>
    <row r="32" spans="1:4" hidden="1">
      <c r="A32" s="62" t="s">
        <v>686</v>
      </c>
      <c r="B32" s="328" t="s">
        <v>628</v>
      </c>
      <c r="C32" s="329">
        <f>'Phụ lục số 2'!K43</f>
        <v>0</v>
      </c>
    </row>
    <row r="33" spans="3:3">
      <c r="C33" s="18"/>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5.xml><?xml version="1.0" encoding="utf-8"?>
<worksheet xmlns="http://schemas.openxmlformats.org/spreadsheetml/2006/main" xmlns:r="http://schemas.openxmlformats.org/officeDocument/2006/relationships">
  <sheetPr codeName="Sheet15">
    <tabColor theme="1"/>
  </sheetPr>
  <dimension ref="A1:K36"/>
  <sheetViews>
    <sheetView topLeftCell="A12" workbookViewId="0">
      <selection activeCell="B11" sqref="B11"/>
    </sheetView>
  </sheetViews>
  <sheetFormatPr defaultColWidth="9" defaultRowHeight="12.75"/>
  <cols>
    <col min="1" max="1" width="13.375" style="371" customWidth="1"/>
    <col min="2" max="2" width="56.875" style="371" customWidth="1"/>
    <col min="3" max="3" width="14.75" style="371" customWidth="1"/>
    <col min="4" max="5" width="11" style="371" hidden="1" customWidth="1"/>
    <col min="6" max="8" width="0" style="371" hidden="1" customWidth="1"/>
    <col min="9" max="16384" width="9" style="371"/>
  </cols>
  <sheetData>
    <row r="1" spans="1:11" hidden="1"/>
    <row r="2" spans="1:11" ht="33.75" customHeight="1">
      <c r="A2" s="681" t="s">
        <v>938</v>
      </c>
      <c r="B2" s="681"/>
      <c r="C2" s="681"/>
      <c r="D2" s="214"/>
      <c r="E2" s="214"/>
    </row>
    <row r="4" spans="1:11" ht="15.75">
      <c r="C4" s="249" t="s">
        <v>766</v>
      </c>
    </row>
    <row r="5" spans="1:11" ht="47.25" customHeight="1">
      <c r="A5" s="50" t="s">
        <v>769</v>
      </c>
      <c r="B5" s="50" t="s">
        <v>584</v>
      </c>
      <c r="C5" s="50" t="s">
        <v>634</v>
      </c>
      <c r="D5" s="50" t="s">
        <v>591</v>
      </c>
      <c r="E5" s="50" t="s">
        <v>592</v>
      </c>
    </row>
    <row r="6" spans="1:11" s="177" customFormat="1" ht="30" customHeight="1">
      <c r="A6" s="372"/>
      <c r="B6" s="93" t="s">
        <v>598</v>
      </c>
      <c r="C6" s="92">
        <f>SUM(C7,C11,C16,C17,C19,C18)</f>
        <v>311814.73460869561</v>
      </c>
      <c r="D6" s="92">
        <f>SUM(D7,D11,D16,D17,D19,D18)</f>
        <v>176723.73460869558</v>
      </c>
      <c r="E6" s="92">
        <f>SUM(E7,E11,E16,E17,E19,E18)</f>
        <v>136431</v>
      </c>
      <c r="F6" s="114">
        <f>'Phụ lục số 3'!P7</f>
        <v>-3930</v>
      </c>
      <c r="G6" s="114">
        <f>'Phụ lục số 3'!Q7</f>
        <v>-493290</v>
      </c>
      <c r="H6" s="114">
        <f>+F6+G6</f>
        <v>-497220</v>
      </c>
      <c r="I6" s="177">
        <v>123080</v>
      </c>
      <c r="J6" s="114">
        <f>I6-C6</f>
        <v>-188734.73460869561</v>
      </c>
      <c r="K6" s="114">
        <f>+I6-C6</f>
        <v>-188734.73460869561</v>
      </c>
    </row>
    <row r="7" spans="1:11" ht="30" customHeight="1">
      <c r="A7" s="211" t="s">
        <v>641</v>
      </c>
      <c r="B7" s="36" t="s">
        <v>585</v>
      </c>
      <c r="C7" s="180">
        <f>SUM(C8:C10)</f>
        <v>-101000</v>
      </c>
      <c r="D7" s="180">
        <f>SUM(D8:D10)</f>
        <v>0</v>
      </c>
      <c r="E7" s="180">
        <f>SUM(E8:E10)</f>
        <v>-101000</v>
      </c>
      <c r="F7" s="373">
        <f>+F6-D6</f>
        <v>-180653.73460869558</v>
      </c>
      <c r="G7" s="373">
        <f>+G6-E6</f>
        <v>-629721</v>
      </c>
      <c r="H7" s="373">
        <f>+C6-H6</f>
        <v>809034.73460869561</v>
      </c>
    </row>
    <row r="8" spans="1:11" ht="30" customHeight="1">
      <c r="A8" s="374">
        <v>1</v>
      </c>
      <c r="B8" s="38" t="s">
        <v>579</v>
      </c>
      <c r="C8" s="38">
        <f>D8+E8</f>
        <v>-1000</v>
      </c>
      <c r="D8" s="38">
        <f>'Phụ lục số 2'!N14-210000</f>
        <v>0</v>
      </c>
      <c r="E8" s="38">
        <f>'Phụ lục số 2'!O14-214000</f>
        <v>-1000</v>
      </c>
      <c r="F8" s="373"/>
      <c r="H8" s="373"/>
    </row>
    <row r="9" spans="1:11" ht="30" customHeight="1">
      <c r="A9" s="374">
        <v>2</v>
      </c>
      <c r="B9" s="38" t="s">
        <v>718</v>
      </c>
      <c r="C9" s="38">
        <f>D9+E9</f>
        <v>-100000</v>
      </c>
      <c r="D9" s="38">
        <f>'Phụ lục số 2'!N15-'Phụ lục số 2'!D15</f>
        <v>0</v>
      </c>
      <c r="E9" s="38">
        <f>'Phụ lục số 2'!O15-'Phụ lục số 2'!E15</f>
        <v>-100000</v>
      </c>
      <c r="F9" s="373"/>
    </row>
    <row r="10" spans="1:11" ht="30" customHeight="1">
      <c r="A10" s="374">
        <v>3</v>
      </c>
      <c r="B10" s="38" t="s">
        <v>441</v>
      </c>
      <c r="C10" s="38">
        <f>D10+E10</f>
        <v>0</v>
      </c>
      <c r="D10" s="38"/>
      <c r="E10" s="375">
        <f>'[4]Phụ lục số 2'!E14-'[4]Phụ lục số 2'!C14</f>
        <v>0</v>
      </c>
    </row>
    <row r="11" spans="1:11" ht="30" customHeight="1">
      <c r="A11" s="211" t="s">
        <v>654</v>
      </c>
      <c r="B11" s="36" t="s">
        <v>587</v>
      </c>
      <c r="C11" s="180">
        <f>SUM(C12:C15)</f>
        <v>356894.73460869561</v>
      </c>
      <c r="D11" s="180">
        <f>SUM(D12:D15)</f>
        <v>179973.73460869558</v>
      </c>
      <c r="E11" s="180">
        <f>SUM(E12:E15)</f>
        <v>176921</v>
      </c>
      <c r="F11" s="373">
        <f>+C7+C17</f>
        <v>-106620</v>
      </c>
      <c r="G11" s="373">
        <f>'Phụ lục số 3'!O22</f>
        <v>0</v>
      </c>
      <c r="H11" s="373">
        <f>+G11-C12-C13-C14</f>
        <v>-16099.82608695652</v>
      </c>
    </row>
    <row r="12" spans="1:11" ht="30" customHeight="1">
      <c r="A12" s="374">
        <v>1</v>
      </c>
      <c r="B12" s="38" t="s">
        <v>588</v>
      </c>
      <c r="C12" s="38">
        <f>D12+E12</f>
        <v>16100</v>
      </c>
      <c r="D12" s="38">
        <f>'Phụ lục số 2'!N23-'Phụ lục số 2'!D23</f>
        <v>-2220</v>
      </c>
      <c r="E12" s="38">
        <f>'Phụ lục số 2'!O23-'Phụ lục số 2'!E23</f>
        <v>18320</v>
      </c>
      <c r="F12" s="373"/>
      <c r="G12" s="373">
        <f>+C11-G11</f>
        <v>356894.73460869561</v>
      </c>
    </row>
    <row r="13" spans="1:11" ht="30" customHeight="1">
      <c r="A13" s="374">
        <v>2</v>
      </c>
      <c r="B13" s="38" t="s">
        <v>789</v>
      </c>
      <c r="C13" s="38">
        <f t="shared" ref="C13:C18" si="0">D13+E13</f>
        <v>0</v>
      </c>
      <c r="D13" s="38">
        <f>'Phụ lục số 2'!N22-'Phụ lục số 2'!D22</f>
        <v>0</v>
      </c>
      <c r="E13" s="38">
        <f>'Phụ lục số 2'!O22-'Phụ lục số 2'!E22</f>
        <v>0</v>
      </c>
      <c r="F13" s="373">
        <f>+F6-D6</f>
        <v>-180653.73460869558</v>
      </c>
    </row>
    <row r="14" spans="1:11" ht="30" customHeight="1">
      <c r="A14" s="374">
        <v>3</v>
      </c>
      <c r="B14" s="38" t="s">
        <v>752</v>
      </c>
      <c r="C14" s="38">
        <f t="shared" si="0"/>
        <v>-0.1739130434798426</v>
      </c>
      <c r="D14" s="38">
        <f>'Phụ lục số 2'!N20-'Phụ lục số 2'!D20</f>
        <v>-1213.1739130434798</v>
      </c>
      <c r="E14" s="38">
        <f>'Phụ lục số 2'!O20-'Phụ lục số 2'!E20</f>
        <v>1213</v>
      </c>
    </row>
    <row r="15" spans="1:11" ht="30" customHeight="1">
      <c r="A15" s="374">
        <v>4</v>
      </c>
      <c r="B15" s="38" t="s">
        <v>505</v>
      </c>
      <c r="C15" s="38">
        <f t="shared" si="0"/>
        <v>340794.90852173907</v>
      </c>
      <c r="D15" s="38">
        <f>('Phụ lục số 2'!N18-'Phụ lục số 2'!N20-'Phụ lục số 2'!N22-'Phụ lục số 2'!N23)-('Phụ lục số 2'!D18-'Phụ lục số 2'!D20-'Phụ lục số 2'!D22-'Phụ lục số 2'!D23)</f>
        <v>183406.90852173907</v>
      </c>
      <c r="E15" s="38">
        <f>('Phụ lục số 2'!O18-'Phụ lục số 2'!O20-'Phụ lục số 2'!O22-'Phụ lục số 2'!O23)-('Phụ lục số 2'!E18-'Phụ lục số 2'!E20-'Phụ lục số 2'!E22-'Phụ lục số 2'!E23)</f>
        <v>157388</v>
      </c>
      <c r="G15" s="373">
        <f>+E15-H15</f>
        <v>-199506.73460869561</v>
      </c>
      <c r="H15" s="373">
        <f>+C15-H11</f>
        <v>356894.73460869561</v>
      </c>
    </row>
    <row r="16" spans="1:11" ht="30" hidden="1" customHeight="1">
      <c r="A16" s="211" t="s">
        <v>685</v>
      </c>
      <c r="B16" s="36" t="s">
        <v>702</v>
      </c>
      <c r="C16" s="36">
        <f t="shared" si="0"/>
        <v>0</v>
      </c>
      <c r="D16" s="36">
        <f>'Phụ lục số 2'!N32-'Phụ lục số 2'!D32</f>
        <v>0</v>
      </c>
      <c r="E16" s="36">
        <f>'Phụ lục số 2'!O32-'Phụ lục số 2'!E32</f>
        <v>0</v>
      </c>
    </row>
    <row r="17" spans="1:7" ht="30" customHeight="1">
      <c r="A17" s="211" t="s">
        <v>685</v>
      </c>
      <c r="B17" s="36" t="s">
        <v>589</v>
      </c>
      <c r="C17" s="36">
        <f t="shared" si="0"/>
        <v>-5620</v>
      </c>
      <c r="D17" s="36">
        <f>'Phụ lục số 2'!N33-'Phụ lục số 2'!D33</f>
        <v>-3250</v>
      </c>
      <c r="E17" s="180">
        <f>'Phụ lục số 2'!O33-'Phụ lục số 2'!E33</f>
        <v>-2370</v>
      </c>
    </row>
    <row r="18" spans="1:7" ht="30" hidden="1" customHeight="1">
      <c r="A18" s="211" t="s">
        <v>711</v>
      </c>
      <c r="B18" s="36" t="s">
        <v>590</v>
      </c>
      <c r="C18" s="36">
        <f t="shared" si="0"/>
        <v>0</v>
      </c>
      <c r="D18" s="36"/>
      <c r="E18" s="180"/>
      <c r="F18" s="373"/>
    </row>
    <row r="19" spans="1:7" ht="15.75">
      <c r="A19" s="376" t="s">
        <v>686</v>
      </c>
      <c r="B19" s="377" t="s">
        <v>554</v>
      </c>
      <c r="C19" s="377">
        <v>61540</v>
      </c>
      <c r="D19" s="377"/>
      <c r="E19" s="377">
        <v>62880</v>
      </c>
      <c r="F19" s="373">
        <f>+D6-D19</f>
        <v>176723.73460869558</v>
      </c>
      <c r="G19" s="373">
        <f>+E6-E19</f>
        <v>73551</v>
      </c>
    </row>
    <row r="20" spans="1:7" hidden="1"/>
    <row r="21" spans="1:7" hidden="1">
      <c r="E21" s="373">
        <f>ROUND(('[4]Phụ lục số x'!I8-50-10000)-('[4]Phụ lục số x'!D8-40-8800),-1)</f>
        <v>86790</v>
      </c>
    </row>
    <row r="22" spans="1:7" hidden="1">
      <c r="E22" s="373">
        <f>+E6</f>
        <v>136431</v>
      </c>
    </row>
    <row r="23" spans="1:7" hidden="1">
      <c r="E23" s="373">
        <f>+E21-E22</f>
        <v>-49641</v>
      </c>
    </row>
    <row r="24" spans="1:7" ht="6.75" customHeight="1"/>
    <row r="26" spans="1:7" hidden="1"/>
    <row r="27" spans="1:7" ht="15.75" hidden="1">
      <c r="E27" s="63">
        <f>'[5]Phụ lục số 1'!$N$56</f>
        <v>1086030</v>
      </c>
    </row>
    <row r="28" spans="1:7" hidden="1">
      <c r="E28" s="373">
        <f>'[5]Phụ lục số 1'!$C$56</f>
        <v>658310</v>
      </c>
    </row>
    <row r="29" spans="1:7" hidden="1">
      <c r="E29" s="373">
        <f>+E27-E28</f>
        <v>427720</v>
      </c>
    </row>
    <row r="30" spans="1:7" hidden="1">
      <c r="E30" s="373">
        <f>+E6-E29</f>
        <v>-291289</v>
      </c>
    </row>
    <row r="31" spans="1:7" hidden="1"/>
    <row r="32" spans="1:7" hidden="1"/>
    <row r="33" spans="5:6" hidden="1"/>
    <row r="34" spans="5:6" hidden="1"/>
    <row r="35" spans="5:6">
      <c r="E35" s="371">
        <f>'Thu NSH'!EL33</f>
        <v>-71460</v>
      </c>
      <c r="F35" s="373">
        <f>+E19-410</f>
        <v>62470</v>
      </c>
    </row>
    <row r="36" spans="5:6">
      <c r="E36" s="373">
        <f>+E19-E35</f>
        <v>134340</v>
      </c>
    </row>
  </sheetData>
  <mergeCells count="1">
    <mergeCell ref="A2:C2"/>
  </mergeCells>
  <phoneticPr fontId="2" type="noConversion"/>
  <printOptions horizontalCentered="1"/>
  <pageMargins left="0" right="0" top="0.39370078740157483" bottom="0.39370078740157483" header="0.19685039370078741" footer="0.19685039370078741"/>
  <pageSetup paperSize="9" orientation="portrait" r:id="rId1"/>
  <headerFooter alignWithMargins="0"/>
  <ignoredErrors>
    <ignoredError sqref="C11" formula="1"/>
  </ignoredErrors>
</worksheet>
</file>

<file path=xl/worksheets/sheet16.xml><?xml version="1.0" encoding="utf-8"?>
<worksheet xmlns="http://schemas.openxmlformats.org/spreadsheetml/2006/main" xmlns:r="http://schemas.openxmlformats.org/officeDocument/2006/relationships">
  <sheetPr codeName="Sheet16">
    <tabColor indexed="12"/>
  </sheetPr>
  <dimension ref="A1:E65"/>
  <sheetViews>
    <sheetView topLeftCell="A14" workbookViewId="0">
      <selection activeCell="O69" sqref="O69"/>
    </sheetView>
  </sheetViews>
  <sheetFormatPr defaultRowHeight="15.75"/>
  <cols>
    <col min="1" max="1" width="5.375" customWidth="1"/>
    <col min="2" max="2" width="64.25" customWidth="1"/>
    <col min="3" max="3" width="20.5" customWidth="1"/>
    <col min="4" max="4" width="9.625" hidden="1" customWidth="1"/>
  </cols>
  <sheetData>
    <row r="1" spans="1:4" hidden="1">
      <c r="A1" s="17"/>
      <c r="B1" s="173" t="s">
        <v>273</v>
      </c>
      <c r="C1" s="17"/>
    </row>
    <row r="2" spans="1:4" hidden="1">
      <c r="A2" s="17"/>
      <c r="B2" s="173" t="s">
        <v>274</v>
      </c>
      <c r="C2" s="17"/>
    </row>
    <row r="3" spans="1:4" hidden="1">
      <c r="A3" s="19"/>
      <c r="B3" s="19"/>
      <c r="C3" s="19"/>
    </row>
    <row r="4" spans="1:4" ht="21.75" customHeight="1">
      <c r="A4" s="681" t="s">
        <v>909</v>
      </c>
      <c r="B4" s="682"/>
      <c r="C4" s="682"/>
    </row>
    <row r="5" spans="1:4">
      <c r="C5" s="105" t="s">
        <v>766</v>
      </c>
    </row>
    <row r="6" spans="1:4" s="153" customFormat="1" ht="31.5">
      <c r="A6" s="50" t="s">
        <v>72</v>
      </c>
      <c r="B6" s="50" t="s">
        <v>690</v>
      </c>
      <c r="C6" s="50" t="s">
        <v>910</v>
      </c>
    </row>
    <row r="7" spans="1:4" s="177" customFormat="1" hidden="1">
      <c r="A7" s="198" t="s">
        <v>639</v>
      </c>
      <c r="B7" s="199" t="s">
        <v>288</v>
      </c>
      <c r="C7" s="199"/>
    </row>
    <row r="8" spans="1:4" s="177" customFormat="1">
      <c r="A8" s="181"/>
      <c r="B8" s="182" t="s">
        <v>289</v>
      </c>
      <c r="C8" s="183">
        <f>SUM(C9,C12,C15,C16,C17)</f>
        <v>6414884</v>
      </c>
      <c r="D8" s="114"/>
    </row>
    <row r="9" spans="1:4" s="177" customFormat="1">
      <c r="A9" s="181" t="s">
        <v>641</v>
      </c>
      <c r="B9" s="182" t="s">
        <v>290</v>
      </c>
      <c r="C9" s="183">
        <f>'Phụ lục số 1'!R12</f>
        <v>1731300</v>
      </c>
    </row>
    <row r="10" spans="1:4" s="190" customFormat="1">
      <c r="A10" s="187">
        <v>1</v>
      </c>
      <c r="B10" s="188" t="s">
        <v>383</v>
      </c>
      <c r="C10" s="189">
        <f>C9-C11</f>
        <v>99380</v>
      </c>
    </row>
    <row r="11" spans="1:4" s="190" customFormat="1">
      <c r="A11" s="187">
        <v>2</v>
      </c>
      <c r="B11" s="200" t="s">
        <v>384</v>
      </c>
      <c r="C11" s="189">
        <f>'Phụ lục số 1'!R15+'Phụ lục số 1'!R16+'Phụ lục số 1'!R17+'Phụ lục số 1'!R22+'Phụ lục số 1'!R23+'Phụ lục số 1'!R24+'Phụ lục số 1'!R29+'Phụ lục số 1'!R30+'Phụ lục số 1'!R35+'Phụ lục số 1'!R36+'Phụ lục số 1'!R37+'Phụ lục số 1'!R44+'Phụ lục số 1'!R45</f>
        <v>1631920</v>
      </c>
    </row>
    <row r="12" spans="1:4" s="177" customFormat="1">
      <c r="A12" s="181" t="s">
        <v>654</v>
      </c>
      <c r="B12" s="182" t="s">
        <v>385</v>
      </c>
      <c r="C12" s="183">
        <f>SUM(C13:C14)</f>
        <v>3995484</v>
      </c>
      <c r="D12" s="114"/>
    </row>
    <row r="13" spans="1:4" s="190" customFormat="1">
      <c r="A13" s="187">
        <v>1</v>
      </c>
      <c r="B13" s="188" t="s">
        <v>808</v>
      </c>
      <c r="C13" s="189">
        <f>'Phụ lục số 1'!R57</f>
        <v>1174152</v>
      </c>
    </row>
    <row r="14" spans="1:4" s="190" customFormat="1">
      <c r="A14" s="187">
        <v>2</v>
      </c>
      <c r="B14" s="188" t="s">
        <v>660</v>
      </c>
      <c r="C14" s="189">
        <f>'Phụ lục số 1'!R58</f>
        <v>2821332</v>
      </c>
    </row>
    <row r="15" spans="1:4" s="177" customFormat="1" hidden="1">
      <c r="A15" s="181" t="s">
        <v>685</v>
      </c>
      <c r="B15" s="182" t="s">
        <v>765</v>
      </c>
      <c r="C15" s="183">
        <f>'Phụ lục số 1'!R64</f>
        <v>88100</v>
      </c>
    </row>
    <row r="16" spans="1:4" s="177" customFormat="1">
      <c r="A16" s="181" t="s">
        <v>685</v>
      </c>
      <c r="B16" s="182" t="s">
        <v>284</v>
      </c>
      <c r="C16" s="183">
        <f>'Phụ lục số 1'!R63</f>
        <v>600000</v>
      </c>
    </row>
    <row r="17" spans="1:5" s="177" customFormat="1" hidden="1">
      <c r="A17" s="181" t="s">
        <v>711</v>
      </c>
      <c r="B17" s="182" t="s">
        <v>583</v>
      </c>
      <c r="C17" s="183">
        <f>'Phụ lục số 1'!R65</f>
        <v>0</v>
      </c>
    </row>
    <row r="18" spans="1:5" s="177" customFormat="1">
      <c r="A18" s="181" t="s">
        <v>657</v>
      </c>
      <c r="B18" s="182" t="s">
        <v>387</v>
      </c>
      <c r="C18" s="183">
        <f>SUM(C19,C43,C44,C47,C65)</f>
        <v>6414884</v>
      </c>
      <c r="D18" s="114">
        <f>+C8-C18</f>
        <v>0</v>
      </c>
      <c r="E18" s="114"/>
    </row>
    <row r="19" spans="1:5" s="205" customFormat="1">
      <c r="A19" s="201" t="s">
        <v>641</v>
      </c>
      <c r="B19" s="202" t="s">
        <v>388</v>
      </c>
      <c r="C19" s="203">
        <f>SUM(C20,C23,C40,C41,C42)</f>
        <v>2191534</v>
      </c>
      <c r="D19" s="204"/>
    </row>
    <row r="20" spans="1:5" s="205" customFormat="1">
      <c r="A20" s="206">
        <v>1</v>
      </c>
      <c r="B20" s="63" t="s">
        <v>666</v>
      </c>
      <c r="C20" s="203">
        <f>'Phụ lục số 2'!N13</f>
        <v>210000</v>
      </c>
      <c r="D20" s="204"/>
    </row>
    <row r="21" spans="1:5" s="210" customFormat="1">
      <c r="A21" s="207"/>
      <c r="B21" s="117" t="s">
        <v>575</v>
      </c>
      <c r="C21" s="208">
        <f>'Phụ lục số 4- HĐND'!D12</f>
        <v>45000</v>
      </c>
      <c r="D21" s="209"/>
    </row>
    <row r="22" spans="1:5" s="210" customFormat="1">
      <c r="A22" s="207"/>
      <c r="B22" s="117" t="s">
        <v>576</v>
      </c>
      <c r="C22" s="208">
        <f>'Phụ lục số 4- HĐND'!D13</f>
        <v>29000</v>
      </c>
      <c r="D22" s="209"/>
    </row>
    <row r="23" spans="1:5" s="205" customFormat="1">
      <c r="A23" s="206">
        <v>2</v>
      </c>
      <c r="B23" s="63" t="s">
        <v>697</v>
      </c>
      <c r="C23" s="203">
        <f>SUM(C24,C25,C26,C34,C35,C39)</f>
        <v>1926824</v>
      </c>
      <c r="D23" s="204"/>
    </row>
    <row r="24" spans="1:5" s="214" customFormat="1">
      <c r="A24" s="211" t="s">
        <v>389</v>
      </c>
      <c r="B24" s="36" t="s">
        <v>390</v>
      </c>
      <c r="C24" s="212">
        <f>'Phụ lục số 2'!N19</f>
        <v>266130</v>
      </c>
      <c r="D24" s="213"/>
    </row>
    <row r="25" spans="1:5" s="214" customFormat="1">
      <c r="A25" s="211" t="s">
        <v>391</v>
      </c>
      <c r="B25" s="36" t="s">
        <v>752</v>
      </c>
      <c r="C25" s="212">
        <f>'Phụ lục số 2'!N20</f>
        <v>27167</v>
      </c>
      <c r="D25" s="213"/>
    </row>
    <row r="26" spans="1:5" s="214" customFormat="1">
      <c r="A26" s="211" t="s">
        <v>392</v>
      </c>
      <c r="B26" s="36" t="s">
        <v>674</v>
      </c>
      <c r="C26" s="212">
        <f>SUM(C27:C33)</f>
        <v>1167957</v>
      </c>
      <c r="D26" s="213"/>
    </row>
    <row r="27" spans="1:5" s="210" customFormat="1">
      <c r="A27" s="207" t="s">
        <v>670</v>
      </c>
      <c r="B27" s="117" t="s">
        <v>395</v>
      </c>
      <c r="C27" s="208">
        <f>'Phụ lục số 2'!N22</f>
        <v>24000</v>
      </c>
      <c r="D27" s="209"/>
    </row>
    <row r="28" spans="1:5" s="210" customFormat="1">
      <c r="A28" s="207" t="s">
        <v>671</v>
      </c>
      <c r="B28" s="117" t="s">
        <v>740</v>
      </c>
      <c r="C28" s="208">
        <f>'Phụ lục số 2'!N23</f>
        <v>522780</v>
      </c>
      <c r="D28" s="209"/>
    </row>
    <row r="29" spans="1:5" s="210" customFormat="1">
      <c r="A29" s="207" t="s">
        <v>672</v>
      </c>
      <c r="B29" s="117" t="s">
        <v>675</v>
      </c>
      <c r="C29" s="208">
        <f>'Phụ lục số 2'!N24</f>
        <v>526072</v>
      </c>
      <c r="D29" s="209"/>
    </row>
    <row r="30" spans="1:5" s="210" customFormat="1">
      <c r="A30" s="207" t="s">
        <v>673</v>
      </c>
      <c r="B30" s="117" t="s">
        <v>677</v>
      </c>
      <c r="C30" s="208">
        <f>'Phụ lục số 2'!N25</f>
        <v>31305</v>
      </c>
      <c r="D30" s="209"/>
    </row>
    <row r="31" spans="1:5" s="210" customFormat="1">
      <c r="A31" s="207" t="s">
        <v>676</v>
      </c>
      <c r="B31" s="117" t="s">
        <v>679</v>
      </c>
      <c r="C31" s="208">
        <f>'Phụ lục số 2'!N26</f>
        <v>4400</v>
      </c>
      <c r="D31" s="209"/>
    </row>
    <row r="32" spans="1:5" s="210" customFormat="1">
      <c r="A32" s="207" t="s">
        <v>678</v>
      </c>
      <c r="B32" s="117" t="s">
        <v>681</v>
      </c>
      <c r="C32" s="208">
        <f>'Phụ lục số 2'!N27</f>
        <v>15000</v>
      </c>
      <c r="D32" s="209"/>
    </row>
    <row r="33" spans="1:4" s="210" customFormat="1">
      <c r="A33" s="207" t="s">
        <v>680</v>
      </c>
      <c r="B33" s="117" t="s">
        <v>396</v>
      </c>
      <c r="C33" s="208">
        <f>'Phụ lục số 2'!N28</f>
        <v>44400</v>
      </c>
      <c r="D33" s="209"/>
    </row>
    <row r="34" spans="1:4" s="214" customFormat="1">
      <c r="A34" s="211" t="s">
        <v>397</v>
      </c>
      <c r="B34" s="36" t="s">
        <v>683</v>
      </c>
      <c r="C34" s="212">
        <f>'Phụ lục số 2'!N29</f>
        <v>361451</v>
      </c>
      <c r="D34" s="213"/>
    </row>
    <row r="35" spans="1:4" s="214" customFormat="1">
      <c r="A35" s="211" t="s">
        <v>398</v>
      </c>
      <c r="B35" s="36" t="s">
        <v>684</v>
      </c>
      <c r="C35" s="212">
        <f>'Phụ lục số 2'!N30</f>
        <v>49845</v>
      </c>
      <c r="D35" s="213"/>
    </row>
    <row r="36" spans="1:4" s="210" customFormat="1" hidden="1">
      <c r="A36" s="207" t="s">
        <v>670</v>
      </c>
      <c r="B36" s="117" t="s">
        <v>399</v>
      </c>
      <c r="C36" s="208">
        <f>'Phụ lục số 4'!U61</f>
        <v>18984</v>
      </c>
      <c r="D36" s="209"/>
    </row>
    <row r="37" spans="1:4" s="210" customFormat="1" hidden="1">
      <c r="A37" s="207" t="s">
        <v>671</v>
      </c>
      <c r="B37" s="117" t="s">
        <v>402</v>
      </c>
      <c r="C37" s="208">
        <f>C35-C36-C38</f>
        <v>27351</v>
      </c>
      <c r="D37" s="209"/>
    </row>
    <row r="38" spans="1:4" s="210" customFormat="1" hidden="1">
      <c r="A38" s="207" t="s">
        <v>672</v>
      </c>
      <c r="B38" s="117" t="s">
        <v>403</v>
      </c>
      <c r="C38" s="208">
        <f>'Phụ lục số 4'!U63</f>
        <v>3510</v>
      </c>
      <c r="D38" s="209"/>
    </row>
    <row r="39" spans="1:4" s="214" customFormat="1">
      <c r="A39" s="211" t="s">
        <v>404</v>
      </c>
      <c r="B39" s="36" t="s">
        <v>757</v>
      </c>
      <c r="C39" s="212">
        <f>'Phụ lục số 2'!N31</f>
        <v>54274</v>
      </c>
      <c r="D39" s="213"/>
    </row>
    <row r="40" spans="1:4" s="205" customFormat="1">
      <c r="A40" s="206">
        <v>3</v>
      </c>
      <c r="B40" s="63" t="s">
        <v>405</v>
      </c>
      <c r="C40" s="203">
        <f>'Phụ lục số 2'!N32</f>
        <v>2000</v>
      </c>
      <c r="D40" s="204"/>
    </row>
    <row r="41" spans="1:4" s="205" customFormat="1">
      <c r="A41" s="206">
        <v>4</v>
      </c>
      <c r="B41" s="63" t="s">
        <v>726</v>
      </c>
      <c r="C41" s="203">
        <f>'Phụ lục số 2'!N33</f>
        <v>52710</v>
      </c>
      <c r="D41" s="204"/>
    </row>
    <row r="42" spans="1:4" s="205" customFormat="1" hidden="1">
      <c r="A42" s="206">
        <v>5</v>
      </c>
      <c r="B42" s="63" t="s">
        <v>787</v>
      </c>
      <c r="C42" s="203">
        <f>'Phụ lục số 2'!N34</f>
        <v>0</v>
      </c>
      <c r="D42" s="204"/>
    </row>
    <row r="43" spans="1:4" s="205" customFormat="1">
      <c r="A43" s="201" t="s">
        <v>654</v>
      </c>
      <c r="B43" s="202" t="s">
        <v>687</v>
      </c>
      <c r="C43" s="203">
        <f>'Phụ lục số 2'!N37</f>
        <v>537879</v>
      </c>
      <c r="D43" s="204"/>
    </row>
    <row r="44" spans="1:4" s="177" customFormat="1">
      <c r="A44" s="181" t="s">
        <v>685</v>
      </c>
      <c r="B44" s="182" t="s">
        <v>406</v>
      </c>
      <c r="C44" s="183">
        <f>SUM(C45:C46)</f>
        <v>3263161</v>
      </c>
    </row>
    <row r="45" spans="1:4" s="190" customFormat="1">
      <c r="A45" s="187">
        <v>1</v>
      </c>
      <c r="B45" s="188" t="s">
        <v>808</v>
      </c>
      <c r="C45" s="189">
        <f>'Phụ lục số 5'!E23</f>
        <v>1153620</v>
      </c>
    </row>
    <row r="46" spans="1:4" s="190" customFormat="1">
      <c r="A46" s="187">
        <v>2</v>
      </c>
      <c r="B46" s="188" t="s">
        <v>660</v>
      </c>
      <c r="C46" s="189">
        <f>'Phụ lục số 5'!E24</f>
        <v>2109541</v>
      </c>
    </row>
    <row r="47" spans="1:4" s="177" customFormat="1">
      <c r="A47" s="216" t="s">
        <v>686</v>
      </c>
      <c r="B47" s="217" t="s">
        <v>760</v>
      </c>
      <c r="C47" s="218">
        <f>'Phụ lục số 2'!N42</f>
        <v>422310</v>
      </c>
    </row>
    <row r="48" spans="1:4" s="205" customFormat="1" ht="31.5" hidden="1">
      <c r="A48" s="330" t="s">
        <v>657</v>
      </c>
      <c r="B48" s="331" t="s">
        <v>407</v>
      </c>
      <c r="C48" s="332"/>
    </row>
    <row r="49" spans="1:3" s="214" customFormat="1" hidden="1">
      <c r="A49" s="215" t="s">
        <v>641</v>
      </c>
      <c r="B49" s="194" t="s">
        <v>408</v>
      </c>
      <c r="C49" s="212">
        <f>SUM(C50,C53,C56)</f>
        <v>4411646</v>
      </c>
    </row>
    <row r="50" spans="1:3" hidden="1">
      <c r="A50" s="163">
        <v>1</v>
      </c>
      <c r="B50" s="193" t="s">
        <v>409</v>
      </c>
      <c r="C50" s="95">
        <f>SUM(C51:C52)</f>
        <v>1047640</v>
      </c>
    </row>
    <row r="51" spans="1:3" s="190" customFormat="1" hidden="1">
      <c r="A51" s="187" t="s">
        <v>670</v>
      </c>
      <c r="B51" s="188" t="s">
        <v>410</v>
      </c>
      <c r="C51" s="189">
        <f>'[6]Phụ lục số 1-HĐND'!C15-'[6]Phụ lục số 2-HĐND'!C10</f>
        <v>506360</v>
      </c>
    </row>
    <row r="52" spans="1:3" s="190" customFormat="1" hidden="1">
      <c r="A52" s="187" t="s">
        <v>671</v>
      </c>
      <c r="B52" s="200" t="s">
        <v>411</v>
      </c>
      <c r="C52" s="189">
        <f>'[6]Phụ lục số 1-HĐND'!C16-'[6]Phụ lục số 2-HĐND'!C11</f>
        <v>541280</v>
      </c>
    </row>
    <row r="53" spans="1:3" hidden="1">
      <c r="A53" s="163">
        <v>2</v>
      </c>
      <c r="B53" s="193" t="s">
        <v>412</v>
      </c>
      <c r="C53" s="95">
        <f>SUM(C54:C55)</f>
        <v>3263161</v>
      </c>
    </row>
    <row r="54" spans="1:3" s="190" customFormat="1" hidden="1">
      <c r="A54" s="187" t="s">
        <v>670</v>
      </c>
      <c r="B54" s="188" t="s">
        <v>808</v>
      </c>
      <c r="C54" s="189">
        <f>C45</f>
        <v>1153620</v>
      </c>
    </row>
    <row r="55" spans="1:3" s="190" customFormat="1" hidden="1">
      <c r="A55" s="187" t="s">
        <v>671</v>
      </c>
      <c r="B55" s="188" t="s">
        <v>660</v>
      </c>
      <c r="C55" s="189">
        <f>C46</f>
        <v>2109541</v>
      </c>
    </row>
    <row r="56" spans="1:3" hidden="1">
      <c r="A56" s="163">
        <v>3</v>
      </c>
      <c r="B56" s="193" t="s">
        <v>413</v>
      </c>
      <c r="C56" s="95">
        <f>'[6]Phụ lục số 1-HĐND'!C21-'[6]Phụ lục số 2-HĐND'!C15</f>
        <v>100845</v>
      </c>
    </row>
    <row r="57" spans="1:3" s="19" customFormat="1" hidden="1">
      <c r="A57" s="178" t="s">
        <v>654</v>
      </c>
      <c r="B57" s="179" t="s">
        <v>414</v>
      </c>
      <c r="C57" s="180">
        <f>'[7]Chi NSĐP'!$O$11</f>
        <v>1320490</v>
      </c>
    </row>
    <row r="58" spans="1:3" ht="15.75" hidden="1" customHeight="1">
      <c r="A58" s="163"/>
      <c r="B58" s="193"/>
      <c r="C58" s="188"/>
    </row>
    <row r="59" spans="1:3" ht="15.75" hidden="1" customHeight="1">
      <c r="A59" s="163"/>
      <c r="B59" s="193"/>
      <c r="C59" s="194"/>
    </row>
    <row r="60" spans="1:3" ht="15.75" hidden="1" customHeight="1">
      <c r="A60" s="163"/>
      <c r="B60" s="193"/>
      <c r="C60" s="179"/>
    </row>
    <row r="61" spans="1:3" hidden="1">
      <c r="A61" s="163"/>
      <c r="B61" s="193"/>
      <c r="C61" s="193"/>
    </row>
    <row r="62" spans="1:3" hidden="1">
      <c r="A62" s="163"/>
      <c r="B62" s="193"/>
      <c r="C62" s="95">
        <f>C8-C18</f>
        <v>0</v>
      </c>
    </row>
    <row r="63" spans="1:3" hidden="1">
      <c r="A63" s="163"/>
      <c r="B63" s="193"/>
      <c r="C63" s="95">
        <f>C49-C57</f>
        <v>3091156</v>
      </c>
    </row>
    <row r="64" spans="1:3" hidden="1">
      <c r="A64" s="163"/>
      <c r="B64" s="193"/>
      <c r="C64" s="193"/>
    </row>
    <row r="65" spans="1:3" hidden="1">
      <c r="A65" s="216" t="s">
        <v>711</v>
      </c>
      <c r="B65" s="217" t="s">
        <v>628</v>
      </c>
      <c r="C65" s="218">
        <f>'Phụ lục số 2'!N43</f>
        <v>0</v>
      </c>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7.xml><?xml version="1.0" encoding="utf-8"?>
<worksheet xmlns="http://schemas.openxmlformats.org/spreadsheetml/2006/main" xmlns:r="http://schemas.openxmlformats.org/officeDocument/2006/relationships">
  <sheetPr codeName="Sheet17">
    <tabColor indexed="12"/>
  </sheetPr>
  <dimension ref="A1:C38"/>
  <sheetViews>
    <sheetView topLeftCell="A5" workbookViewId="0">
      <selection activeCell="O69" sqref="O69"/>
    </sheetView>
  </sheetViews>
  <sheetFormatPr defaultColWidth="9" defaultRowHeight="15.75"/>
  <cols>
    <col min="1" max="1" width="4.625" style="220" customWidth="1"/>
    <col min="2" max="2" width="62.75" style="220" customWidth="1"/>
    <col min="3" max="3" width="22.5" style="220" customWidth="1"/>
    <col min="4" max="16384" width="9" style="220"/>
  </cols>
  <sheetData>
    <row r="1" spans="1:3" s="219" customFormat="1" ht="21" hidden="1" customHeight="1">
      <c r="B1" s="173" t="s">
        <v>273</v>
      </c>
      <c r="C1" s="17"/>
    </row>
    <row r="2" spans="1:3" s="219" customFormat="1" ht="21" hidden="1" customHeight="1">
      <c r="B2" s="173" t="s">
        <v>274</v>
      </c>
      <c r="C2" s="17"/>
    </row>
    <row r="3" spans="1:3" hidden="1">
      <c r="B3" s="221"/>
      <c r="C3" s="222"/>
    </row>
    <row r="4" spans="1:3" s="219" customFormat="1">
      <c r="A4" s="223" t="s">
        <v>912</v>
      </c>
      <c r="B4" s="223"/>
      <c r="C4" s="223"/>
    </row>
    <row r="5" spans="1:3" s="219" customFormat="1">
      <c r="A5" s="223"/>
      <c r="B5" s="223"/>
      <c r="C5" s="224"/>
    </row>
    <row r="6" spans="1:3" s="219" customFormat="1">
      <c r="A6" s="223"/>
      <c r="B6" s="223"/>
      <c r="C6" s="225" t="s">
        <v>766</v>
      </c>
    </row>
    <row r="7" spans="1:3" s="226" customFormat="1" ht="15.75" customHeight="1">
      <c r="A7" s="740" t="s">
        <v>72</v>
      </c>
      <c r="B7" s="740" t="s">
        <v>690</v>
      </c>
      <c r="C7" s="741" t="s">
        <v>910</v>
      </c>
    </row>
    <row r="8" spans="1:3" s="226" customFormat="1" ht="42" customHeight="1">
      <c r="A8" s="740"/>
      <c r="B8" s="740"/>
      <c r="C8" s="742"/>
    </row>
    <row r="9" spans="1:3" s="230" customFormat="1">
      <c r="A9" s="227" t="s">
        <v>639</v>
      </c>
      <c r="B9" s="228" t="s">
        <v>275</v>
      </c>
      <c r="C9" s="229">
        <f>SUM(C10,C25)</f>
        <v>3173000</v>
      </c>
    </row>
    <row r="10" spans="1:3" s="230" customFormat="1">
      <c r="A10" s="231" t="s">
        <v>641</v>
      </c>
      <c r="B10" s="232" t="s">
        <v>642</v>
      </c>
      <c r="C10" s="233">
        <f>SUM(C11,C12,C13,C14,C15:C20,C21:C24)</f>
        <v>2873000</v>
      </c>
    </row>
    <row r="11" spans="1:3" s="237" customFormat="1">
      <c r="A11" s="234">
        <v>1</v>
      </c>
      <c r="B11" s="235" t="s">
        <v>416</v>
      </c>
      <c r="C11" s="236">
        <f>'Phụ lục số 1'!N14</f>
        <v>260000</v>
      </c>
    </row>
    <row r="12" spans="1:3" s="237" customFormat="1">
      <c r="A12" s="234">
        <v>2</v>
      </c>
      <c r="B12" s="235" t="s">
        <v>417</v>
      </c>
      <c r="C12" s="236">
        <f>'Phụ lục số 1'!N21</f>
        <v>330000</v>
      </c>
    </row>
    <row r="13" spans="1:3" s="237" customFormat="1">
      <c r="A13" s="234">
        <v>3</v>
      </c>
      <c r="B13" s="235" t="s">
        <v>418</v>
      </c>
      <c r="C13" s="236">
        <f>'Phụ lục số 1'!N28</f>
        <v>20500</v>
      </c>
    </row>
    <row r="14" spans="1:3" s="238" customFormat="1">
      <c r="A14" s="234">
        <v>4</v>
      </c>
      <c r="B14" s="235" t="s">
        <v>75</v>
      </c>
      <c r="C14" s="236">
        <f>'Phụ lục số 1'!N34</f>
        <v>650000</v>
      </c>
    </row>
    <row r="15" spans="1:3" s="237" customFormat="1">
      <c r="A15" s="234">
        <v>5</v>
      </c>
      <c r="B15" s="235" t="s">
        <v>649</v>
      </c>
      <c r="C15" s="236">
        <f>'Phụ lục số 1'!N41</f>
        <v>97000</v>
      </c>
    </row>
    <row r="16" spans="1:3" s="237" customFormat="1">
      <c r="A16" s="234">
        <v>6</v>
      </c>
      <c r="B16" s="235" t="s">
        <v>77</v>
      </c>
      <c r="C16" s="236">
        <f>'Phụ lục số 1'!N42</f>
        <v>500</v>
      </c>
    </row>
    <row r="17" spans="1:3" s="237" customFormat="1">
      <c r="A17" s="234">
        <v>7</v>
      </c>
      <c r="B17" s="235" t="s">
        <v>559</v>
      </c>
      <c r="C17" s="236">
        <f>'Phụ lục số 1'!N43</f>
        <v>8000</v>
      </c>
    </row>
    <row r="18" spans="1:3" s="237" customFormat="1">
      <c r="A18" s="234">
        <v>8</v>
      </c>
      <c r="B18" s="235" t="s">
        <v>788</v>
      </c>
      <c r="C18" s="236">
        <f>'Phụ lục số 1'!N44</f>
        <v>263000</v>
      </c>
    </row>
    <row r="19" spans="1:3" s="237" customFormat="1">
      <c r="A19" s="234">
        <v>9</v>
      </c>
      <c r="B19" s="235" t="s">
        <v>593</v>
      </c>
      <c r="C19" s="236">
        <f>'Phụ lục số 1'!N45</f>
        <v>650000</v>
      </c>
    </row>
    <row r="20" spans="1:3" s="237" customFormat="1">
      <c r="A20" s="234">
        <v>10</v>
      </c>
      <c r="B20" s="235" t="s">
        <v>650</v>
      </c>
      <c r="C20" s="235">
        <f>'Phụ lục số 1'!N46</f>
        <v>133000</v>
      </c>
    </row>
    <row r="21" spans="1:3" s="237" customFormat="1">
      <c r="A21" s="234">
        <v>11</v>
      </c>
      <c r="B21" s="235" t="s">
        <v>651</v>
      </c>
      <c r="C21" s="236">
        <f>'Phụ lục số 1'!N48</f>
        <v>250000</v>
      </c>
    </row>
    <row r="22" spans="1:3" s="237" customFormat="1">
      <c r="A22" s="234">
        <v>12</v>
      </c>
      <c r="B22" s="235" t="s">
        <v>790</v>
      </c>
      <c r="C22" s="236">
        <f>'Phụ lục số 1'!N49</f>
        <v>22000</v>
      </c>
    </row>
    <row r="23" spans="1:3" s="237" customFormat="1">
      <c r="A23" s="234">
        <v>13</v>
      </c>
      <c r="B23" s="235" t="s">
        <v>652</v>
      </c>
      <c r="C23" s="236">
        <f>'Phụ lục số 1'!N51</f>
        <v>177000</v>
      </c>
    </row>
    <row r="24" spans="1:3" s="237" customFormat="1">
      <c r="A24" s="234">
        <v>14</v>
      </c>
      <c r="B24" s="235" t="s">
        <v>81</v>
      </c>
      <c r="C24" s="236">
        <f>'Phụ lục số 1'!N52</f>
        <v>12000</v>
      </c>
    </row>
    <row r="25" spans="1:3" s="239" customFormat="1">
      <c r="A25" s="231" t="s">
        <v>654</v>
      </c>
      <c r="B25" s="232" t="s">
        <v>815</v>
      </c>
      <c r="C25" s="232">
        <f>'Phụ lục số 1'!N53</f>
        <v>300000</v>
      </c>
    </row>
    <row r="26" spans="1:3" s="230" customFormat="1">
      <c r="A26" s="231" t="s">
        <v>657</v>
      </c>
      <c r="B26" s="182" t="s">
        <v>283</v>
      </c>
      <c r="C26" s="233">
        <f>'Phụ lục số 1'!N64</f>
        <v>156850</v>
      </c>
    </row>
    <row r="27" spans="1:3" s="239" customFormat="1">
      <c r="A27" s="231" t="s">
        <v>661</v>
      </c>
      <c r="B27" s="232" t="s">
        <v>284</v>
      </c>
      <c r="C27" s="233">
        <f>'Phụ lục số 1'!N63</f>
        <v>600000</v>
      </c>
    </row>
    <row r="28" spans="1:3" s="239" customFormat="1" hidden="1">
      <c r="A28" s="231" t="s">
        <v>701</v>
      </c>
      <c r="B28" s="232" t="s">
        <v>583</v>
      </c>
      <c r="C28" s="233">
        <f>'Phụ lục số 1- HĐND'!C22</f>
        <v>0</v>
      </c>
    </row>
    <row r="29" spans="1:3" s="239" customFormat="1">
      <c r="A29" s="231"/>
      <c r="B29" s="240" t="s">
        <v>47</v>
      </c>
      <c r="C29" s="232">
        <f>SUM(C30,C33,C37,C36,C38)</f>
        <v>7506934</v>
      </c>
    </row>
    <row r="30" spans="1:3" s="238" customFormat="1">
      <c r="A30" s="241" t="s">
        <v>641</v>
      </c>
      <c r="B30" s="242" t="s">
        <v>419</v>
      </c>
      <c r="C30" s="242">
        <f>SUM(C31:C32)</f>
        <v>2754600</v>
      </c>
    </row>
    <row r="31" spans="1:3" s="237" customFormat="1">
      <c r="A31" s="234">
        <v>1</v>
      </c>
      <c r="B31" s="235" t="s">
        <v>420</v>
      </c>
      <c r="C31" s="236">
        <f>'Phụ lục số 1- HĐND'!C14</f>
        <v>630315</v>
      </c>
    </row>
    <row r="32" spans="1:3" s="237" customFormat="1">
      <c r="A32" s="234">
        <v>2</v>
      </c>
      <c r="B32" s="235" t="s">
        <v>421</v>
      </c>
      <c r="C32" s="236">
        <f>'Phụ lục số 1- HĐND'!C15</f>
        <v>2124285</v>
      </c>
    </row>
    <row r="33" spans="1:3" s="238" customFormat="1">
      <c r="A33" s="241" t="s">
        <v>654</v>
      </c>
      <c r="B33" s="242" t="s">
        <v>658</v>
      </c>
      <c r="C33" s="243">
        <f>SUM(C34:C35)</f>
        <v>3995484</v>
      </c>
    </row>
    <row r="34" spans="1:3" s="237" customFormat="1">
      <c r="A34" s="234">
        <v>1</v>
      </c>
      <c r="B34" s="235" t="s">
        <v>808</v>
      </c>
      <c r="C34" s="236">
        <f>'Phụ lục số 1- HĐND'!C17</f>
        <v>1174152</v>
      </c>
    </row>
    <row r="35" spans="1:3" s="237" customFormat="1">
      <c r="A35" s="234">
        <v>2</v>
      </c>
      <c r="B35" s="235" t="s">
        <v>809</v>
      </c>
      <c r="C35" s="236">
        <f>'Phụ lục số 1- HĐND'!C18</f>
        <v>2821332</v>
      </c>
    </row>
    <row r="36" spans="1:3" s="238" customFormat="1">
      <c r="A36" s="244" t="s">
        <v>685</v>
      </c>
      <c r="B36" s="179" t="s">
        <v>413</v>
      </c>
      <c r="C36" s="245">
        <f>C26</f>
        <v>156850</v>
      </c>
    </row>
    <row r="37" spans="1:3" s="239" customFormat="1">
      <c r="A37" s="246" t="s">
        <v>686</v>
      </c>
      <c r="B37" s="336" t="s">
        <v>284</v>
      </c>
      <c r="C37" s="247">
        <f>C27</f>
        <v>600000</v>
      </c>
    </row>
    <row r="38" spans="1:3" s="248" customFormat="1" hidden="1">
      <c r="A38" s="333" t="s">
        <v>711</v>
      </c>
      <c r="B38" s="334" t="s">
        <v>583</v>
      </c>
      <c r="C38" s="335">
        <f>C28</f>
        <v>0</v>
      </c>
    </row>
  </sheetData>
  <mergeCells count="3">
    <mergeCell ref="A7:A8"/>
    <mergeCell ref="B7:B8"/>
    <mergeCell ref="C7:C8"/>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8.xml><?xml version="1.0" encoding="utf-8"?>
<worksheet xmlns="http://schemas.openxmlformats.org/spreadsheetml/2006/main" xmlns:r="http://schemas.openxmlformats.org/officeDocument/2006/relationships">
  <sheetPr codeName="Sheet18">
    <tabColor indexed="12"/>
  </sheetPr>
  <dimension ref="A1:DW41"/>
  <sheetViews>
    <sheetView topLeftCell="A4" workbookViewId="0">
      <selection activeCell="O69" sqref="O69"/>
    </sheetView>
  </sheetViews>
  <sheetFormatPr defaultColWidth="9" defaultRowHeight="15.75"/>
  <cols>
    <col min="1" max="1" width="4.25" style="61" customWidth="1"/>
    <col min="2" max="2" width="50.25" style="61" customWidth="1"/>
    <col min="3" max="3" width="12.5" style="61" customWidth="1"/>
    <col min="4" max="4" width="11.375" style="61" customWidth="1"/>
    <col min="5" max="5" width="10.75" style="61" customWidth="1"/>
    <col min="6" max="16384" width="9" style="61"/>
  </cols>
  <sheetData>
    <row r="1" spans="1:6" s="19" customFormat="1" hidden="1">
      <c r="B1" s="743" t="s">
        <v>273</v>
      </c>
      <c r="C1" s="743"/>
      <c r="D1" s="743"/>
      <c r="E1" s="17"/>
    </row>
    <row r="2" spans="1:6" s="19" customFormat="1" hidden="1">
      <c r="B2" s="743" t="s">
        <v>274</v>
      </c>
      <c r="C2" s="743"/>
      <c r="D2" s="743"/>
      <c r="E2" s="17"/>
    </row>
    <row r="3" spans="1:6" s="19" customFormat="1" hidden="1">
      <c r="B3" s="18"/>
      <c r="C3" s="738"/>
      <c r="D3" s="738"/>
      <c r="E3" s="738"/>
    </row>
    <row r="4" spans="1:6" s="19" customFormat="1">
      <c r="A4" s="738" t="s">
        <v>913</v>
      </c>
      <c r="B4" s="738"/>
      <c r="C4" s="738"/>
      <c r="D4" s="738"/>
      <c r="E4" s="738"/>
    </row>
    <row r="5" spans="1:6">
      <c r="E5" s="249" t="s">
        <v>766</v>
      </c>
    </row>
    <row r="6" spans="1:6" s="19" customFormat="1">
      <c r="A6" s="705" t="s">
        <v>72</v>
      </c>
      <c r="B6" s="739" t="s">
        <v>767</v>
      </c>
      <c r="C6" s="686" t="s">
        <v>914</v>
      </c>
      <c r="D6" s="686"/>
      <c r="E6" s="686"/>
    </row>
    <row r="7" spans="1:6" s="19" customFormat="1">
      <c r="A7" s="739"/>
      <c r="B7" s="739"/>
      <c r="C7" s="739" t="s">
        <v>634</v>
      </c>
      <c r="D7" s="686" t="s">
        <v>423</v>
      </c>
      <c r="E7" s="686"/>
    </row>
    <row r="8" spans="1:6" s="153" customFormat="1" ht="78.75" customHeight="1">
      <c r="A8" s="739"/>
      <c r="B8" s="739"/>
      <c r="C8" s="739"/>
      <c r="D8" s="50" t="s">
        <v>424</v>
      </c>
      <c r="E8" s="50" t="s">
        <v>425</v>
      </c>
    </row>
    <row r="9" spans="1:6" s="177" customFormat="1" ht="20.100000000000001" customHeight="1">
      <c r="A9" s="199"/>
      <c r="B9" s="55" t="s">
        <v>426</v>
      </c>
      <c r="C9" s="74">
        <f>SUM(C10,C16,C21,C22,C23,C24,C25,C26)</f>
        <v>7506934</v>
      </c>
      <c r="D9" s="74">
        <f>SUM(D10,D16,D21,D22,D23,D24,D25,D26)</f>
        <v>3151723</v>
      </c>
      <c r="E9" s="74">
        <f>SUM(E10,E16,E21,E22,E23,E24,E25,E26)</f>
        <v>4355211</v>
      </c>
      <c r="F9" s="114"/>
    </row>
    <row r="10" spans="1:6" s="177" customFormat="1" ht="20.100000000000001" customHeight="1">
      <c r="A10" s="181" t="s">
        <v>641</v>
      </c>
      <c r="B10" s="182" t="s">
        <v>666</v>
      </c>
      <c r="C10" s="63">
        <f>SUM(D10:E10)</f>
        <v>673000</v>
      </c>
      <c r="D10" s="63">
        <f>SUM(D14:D15)</f>
        <v>210000</v>
      </c>
      <c r="E10" s="63">
        <f>SUM(E14:E15)</f>
        <v>463000</v>
      </c>
    </row>
    <row r="11" spans="1:6" s="190" customFormat="1" ht="20.100000000000001" customHeight="1">
      <c r="A11" s="187"/>
      <c r="B11" s="188" t="s">
        <v>428</v>
      </c>
      <c r="C11" s="117"/>
      <c r="D11" s="117"/>
      <c r="E11" s="117"/>
      <c r="F11" s="118"/>
    </row>
    <row r="12" spans="1:6" s="190" customFormat="1" ht="20.100000000000001" customHeight="1">
      <c r="A12" s="187" t="s">
        <v>847</v>
      </c>
      <c r="B12" s="188" t="s">
        <v>566</v>
      </c>
      <c r="C12" s="117">
        <v>133000</v>
      </c>
      <c r="D12" s="117">
        <f>C12-E12</f>
        <v>45000</v>
      </c>
      <c r="E12" s="117">
        <f>'Phụ lục số 6'!C6</f>
        <v>88000</v>
      </c>
    </row>
    <row r="13" spans="1:6" s="190" customFormat="1" ht="20.100000000000001" customHeight="1">
      <c r="A13" s="187" t="s">
        <v>847</v>
      </c>
      <c r="B13" s="188" t="s">
        <v>567</v>
      </c>
      <c r="C13" s="117">
        <v>29000</v>
      </c>
      <c r="D13" s="117">
        <f>C13-E13</f>
        <v>29000</v>
      </c>
      <c r="E13" s="117">
        <v>0</v>
      </c>
    </row>
    <row r="14" spans="1:6" ht="20.100000000000001" customHeight="1">
      <c r="A14" s="184" t="s">
        <v>670</v>
      </c>
      <c r="B14" s="185" t="s">
        <v>560</v>
      </c>
      <c r="C14" s="38">
        <f>SUM(D14:E14)</f>
        <v>423000</v>
      </c>
      <c r="D14" s="38">
        <f>'Phụ lục số 2'!N14</f>
        <v>210000</v>
      </c>
      <c r="E14" s="38">
        <f>'Phụ lục số 2'!O14</f>
        <v>213000</v>
      </c>
    </row>
    <row r="15" spans="1:6" ht="20.100000000000001" customHeight="1">
      <c r="A15" s="184" t="s">
        <v>671</v>
      </c>
      <c r="B15" s="185" t="s">
        <v>561</v>
      </c>
      <c r="C15" s="38">
        <f>SUM(D15:E15)</f>
        <v>250000</v>
      </c>
      <c r="D15" s="38">
        <f>'Phụ lục số 2'!N15</f>
        <v>0</v>
      </c>
      <c r="E15" s="38">
        <f>'Phụ lục số 2'!O15</f>
        <v>250000</v>
      </c>
    </row>
    <row r="16" spans="1:6" s="177" customFormat="1" ht="20.100000000000001" customHeight="1">
      <c r="A16" s="181" t="s">
        <v>654</v>
      </c>
      <c r="B16" s="182" t="s">
        <v>427</v>
      </c>
      <c r="C16" s="63">
        <f>SUM(D16:E16)</f>
        <v>5584855</v>
      </c>
      <c r="D16" s="63">
        <f>'Phụ lục số 2'!N18</f>
        <v>1926824</v>
      </c>
      <c r="E16" s="63">
        <f>'Phụ lục số 2'!O18</f>
        <v>3658031</v>
      </c>
    </row>
    <row r="17" spans="1:5" s="19" customFormat="1" ht="20.100000000000001" customHeight="1">
      <c r="A17" s="178"/>
      <c r="B17" s="185" t="s">
        <v>428</v>
      </c>
      <c r="C17" s="36"/>
      <c r="D17" s="36"/>
      <c r="E17" s="36"/>
    </row>
    <row r="18" spans="1:5" ht="20.100000000000001" customHeight="1">
      <c r="A18" s="184" t="s">
        <v>670</v>
      </c>
      <c r="B18" s="185" t="s">
        <v>562</v>
      </c>
      <c r="C18" s="38">
        <f t="shared" ref="C18:C26" si="0">SUM(D18:E18)</f>
        <v>2458715</v>
      </c>
      <c r="D18" s="38">
        <f>'Phụ lục số 2'!N23</f>
        <v>522780</v>
      </c>
      <c r="E18" s="38">
        <f>'Phụ lục số 2'!O23</f>
        <v>1935935</v>
      </c>
    </row>
    <row r="19" spans="1:5" ht="20.100000000000001" customHeight="1">
      <c r="A19" s="184" t="s">
        <v>671</v>
      </c>
      <c r="B19" s="185" t="s">
        <v>563</v>
      </c>
      <c r="C19" s="38">
        <f t="shared" si="0"/>
        <v>26000</v>
      </c>
      <c r="D19" s="38">
        <f>'Phụ lục số 2'!N22</f>
        <v>24000</v>
      </c>
      <c r="E19" s="38">
        <f>'Phụ lục số 2'!O22</f>
        <v>2000</v>
      </c>
    </row>
    <row r="20" spans="1:5" ht="20.100000000000001" customHeight="1">
      <c r="A20" s="184" t="s">
        <v>672</v>
      </c>
      <c r="B20" s="185" t="s">
        <v>564</v>
      </c>
      <c r="C20" s="38">
        <f t="shared" si="0"/>
        <v>60200</v>
      </c>
      <c r="D20" s="38">
        <f>'Phụ lục số 2'!N20</f>
        <v>27167</v>
      </c>
      <c r="E20" s="38">
        <f>'Phụ lục số 2'!O20</f>
        <v>33033</v>
      </c>
    </row>
    <row r="21" spans="1:5" s="177" customFormat="1" ht="20.100000000000001" customHeight="1">
      <c r="A21" s="181" t="s">
        <v>685</v>
      </c>
      <c r="B21" s="250" t="s">
        <v>286</v>
      </c>
      <c r="C21" s="63">
        <f t="shared" si="0"/>
        <v>2000</v>
      </c>
      <c r="D21" s="63">
        <f>'Phụ lục số 2'!N32</f>
        <v>2000</v>
      </c>
      <c r="E21" s="63">
        <f>'Phụ lục số 2'!O32</f>
        <v>0</v>
      </c>
    </row>
    <row r="22" spans="1:5" s="177" customFormat="1" ht="20.100000000000001" customHeight="1">
      <c r="A22" s="181" t="s">
        <v>686</v>
      </c>
      <c r="B22" s="182" t="s">
        <v>726</v>
      </c>
      <c r="C22" s="63">
        <f t="shared" si="0"/>
        <v>109200</v>
      </c>
      <c r="D22" s="63">
        <f>'Phụ lục số 2'!N33</f>
        <v>52710</v>
      </c>
      <c r="E22" s="63">
        <f>'Phụ lục số 2'!O33</f>
        <v>56490</v>
      </c>
    </row>
    <row r="23" spans="1:5" s="177" customFormat="1" ht="20.100000000000001" hidden="1" customHeight="1">
      <c r="A23" s="181" t="s">
        <v>711</v>
      </c>
      <c r="B23" s="182" t="s">
        <v>787</v>
      </c>
      <c r="C23" s="63">
        <f t="shared" si="0"/>
        <v>0</v>
      </c>
      <c r="D23" s="63">
        <f>'Phụ lục số 2'!N34</f>
        <v>0</v>
      </c>
      <c r="E23" s="63">
        <f>'Phụ lục số 2'!O34</f>
        <v>0</v>
      </c>
    </row>
    <row r="24" spans="1:5" s="177" customFormat="1" ht="20.100000000000001" customHeight="1">
      <c r="A24" s="201" t="s">
        <v>711</v>
      </c>
      <c r="B24" s="202" t="s">
        <v>429</v>
      </c>
      <c r="C24" s="63">
        <f t="shared" si="0"/>
        <v>537879</v>
      </c>
      <c r="D24" s="63">
        <f>'Phụ lục số 2'!N37</f>
        <v>537879</v>
      </c>
      <c r="E24" s="63">
        <f>'Phụ lục số 2'!O37</f>
        <v>0</v>
      </c>
    </row>
    <row r="25" spans="1:5" s="177" customFormat="1" ht="20.100000000000001" customHeight="1">
      <c r="A25" s="251" t="s">
        <v>712</v>
      </c>
      <c r="B25" s="252" t="s">
        <v>760</v>
      </c>
      <c r="C25" s="52">
        <f t="shared" si="0"/>
        <v>600000</v>
      </c>
      <c r="D25" s="52">
        <f>'Phụ lục số 2'!N42</f>
        <v>422310</v>
      </c>
      <c r="E25" s="52">
        <f>'Phụ lục số 2'!O42</f>
        <v>177690</v>
      </c>
    </row>
    <row r="26" spans="1:5" s="177" customFormat="1" ht="20.100000000000001" hidden="1" customHeight="1">
      <c r="A26" s="325" t="s">
        <v>763</v>
      </c>
      <c r="B26" s="326" t="s">
        <v>628</v>
      </c>
      <c r="C26" s="327">
        <f t="shared" si="0"/>
        <v>0</v>
      </c>
      <c r="D26" s="327">
        <f>'Phụ lục số 2'!N43</f>
        <v>0</v>
      </c>
      <c r="E26" s="327">
        <f>'Phụ lục số 2'!O43</f>
        <v>0</v>
      </c>
    </row>
    <row r="27" spans="1:5">
      <c r="B27" s="254" t="s">
        <v>688</v>
      </c>
      <c r="C27" s="160"/>
      <c r="D27" s="160"/>
      <c r="E27" s="160"/>
    </row>
    <row r="28" spans="1:5">
      <c r="B28" s="255" t="s">
        <v>432</v>
      </c>
      <c r="C28" s="160"/>
      <c r="D28" s="256">
        <f>'Phụ lục số 5'!E22</f>
        <v>3263161</v>
      </c>
      <c r="E28" s="159" t="s">
        <v>430</v>
      </c>
    </row>
    <row r="29" spans="1:5">
      <c r="B29" s="255" t="s">
        <v>791</v>
      </c>
      <c r="C29" s="160"/>
      <c r="D29" s="255">
        <f>'Phụ lục số 5'!E23</f>
        <v>1153620</v>
      </c>
      <c r="E29" s="160" t="s">
        <v>430</v>
      </c>
    </row>
    <row r="30" spans="1:5">
      <c r="B30" s="255" t="s">
        <v>963</v>
      </c>
      <c r="C30" s="160"/>
      <c r="D30" s="255">
        <f>'Phụ lục số 5'!E25</f>
        <v>312228</v>
      </c>
      <c r="E30" s="160" t="s">
        <v>430</v>
      </c>
    </row>
    <row r="31" spans="1:5">
      <c r="B31" s="255" t="s">
        <v>551</v>
      </c>
      <c r="C31" s="160"/>
      <c r="D31" s="255">
        <f>'Phụ lục số 5'!E26</f>
        <v>244063</v>
      </c>
      <c r="E31" s="160" t="s">
        <v>430</v>
      </c>
    </row>
    <row r="32" spans="1:5">
      <c r="B32" s="255" t="s">
        <v>915</v>
      </c>
      <c r="C32" s="160"/>
      <c r="D32" s="255">
        <f>'Phụ lục số 5'!E27</f>
        <v>1085290</v>
      </c>
      <c r="E32" s="160" t="s">
        <v>430</v>
      </c>
    </row>
    <row r="33" spans="2:127">
      <c r="B33" s="255" t="s">
        <v>932</v>
      </c>
      <c r="C33" s="160"/>
      <c r="D33" s="255">
        <f>'Phụ lục số 5'!E28</f>
        <v>290270</v>
      </c>
      <c r="E33" s="160" t="s">
        <v>430</v>
      </c>
    </row>
    <row r="34" spans="2:127" hidden="1">
      <c r="B34" s="255" t="s">
        <v>431</v>
      </c>
      <c r="C34" s="160"/>
      <c r="D34" s="255">
        <f>'Phụ lục số 5'!E29</f>
        <v>0</v>
      </c>
      <c r="E34" s="160" t="s">
        <v>430</v>
      </c>
    </row>
    <row r="35" spans="2:127">
      <c r="B35" s="255" t="s">
        <v>800</v>
      </c>
      <c r="C35" s="160"/>
      <c r="D35" s="255">
        <f>'Phụ lục số 5'!E30</f>
        <v>177690</v>
      </c>
      <c r="E35" s="160" t="s">
        <v>430</v>
      </c>
    </row>
    <row r="36" spans="2:127" hidden="1">
      <c r="B36" s="255" t="s">
        <v>816</v>
      </c>
      <c r="C36" s="160"/>
      <c r="D36" s="255">
        <f>'Phụ lục số 5'!E31</f>
        <v>0</v>
      </c>
      <c r="E36" s="160" t="s">
        <v>430</v>
      </c>
      <c r="G36" s="5"/>
      <c r="J36" s="5"/>
      <c r="L36" s="5"/>
      <c r="O36" s="5"/>
      <c r="Q36" s="5"/>
      <c r="T36" s="5"/>
      <c r="V36" s="5"/>
      <c r="Y36" s="5"/>
      <c r="AA36" s="5"/>
      <c r="AD36" s="5"/>
      <c r="AF36" s="5"/>
      <c r="AI36" s="5"/>
      <c r="AK36" s="5"/>
      <c r="AN36" s="5"/>
      <c r="AP36" s="5"/>
      <c r="AS36" s="5"/>
      <c r="AU36" s="5"/>
      <c r="AX36" s="5"/>
      <c r="AZ36" s="5"/>
      <c r="BC36" s="5"/>
      <c r="BE36" s="5"/>
      <c r="BH36" s="5"/>
      <c r="BJ36" s="5"/>
      <c r="BM36" s="5"/>
      <c r="BO36" s="5"/>
      <c r="BR36" s="5"/>
      <c r="BT36" s="5"/>
      <c r="BW36" s="5"/>
      <c r="BY36" s="5"/>
      <c r="CB36" s="5"/>
      <c r="CD36" s="5"/>
      <c r="CG36" s="5"/>
      <c r="CI36" s="5"/>
      <c r="CL36" s="5"/>
      <c r="CN36" s="5"/>
      <c r="CQ36" s="5"/>
      <c r="CS36" s="5"/>
      <c r="CV36" s="5"/>
      <c r="CX36" s="5"/>
      <c r="DA36" s="5"/>
      <c r="DC36" s="5"/>
      <c r="DF36" s="5"/>
      <c r="DH36" s="5"/>
      <c r="DK36" s="5"/>
      <c r="DM36" s="5"/>
      <c r="DP36" s="5"/>
      <c r="DR36" s="5"/>
      <c r="DU36" s="5"/>
      <c r="DW36" s="5"/>
    </row>
    <row r="37" spans="2:127">
      <c r="B37" s="744" t="s">
        <v>624</v>
      </c>
      <c r="C37" s="744"/>
      <c r="D37" s="744"/>
      <c r="E37" s="744"/>
    </row>
    <row r="38" spans="2:127">
      <c r="B38" s="160"/>
      <c r="C38" s="160"/>
      <c r="D38" s="160"/>
      <c r="E38" s="160"/>
    </row>
    <row r="41" spans="2:127">
      <c r="B41" s="253"/>
      <c r="C41" s="253"/>
      <c r="D41" s="253"/>
      <c r="E41" s="253"/>
    </row>
  </sheetData>
  <mergeCells count="10">
    <mergeCell ref="B1:D1"/>
    <mergeCell ref="B2:D2"/>
    <mergeCell ref="C3:E3"/>
    <mergeCell ref="A4:E4"/>
    <mergeCell ref="B37:E37"/>
    <mergeCell ref="A6:A8"/>
    <mergeCell ref="B6:B8"/>
    <mergeCell ref="C6:E6"/>
    <mergeCell ref="C7:C8"/>
    <mergeCell ref="D7:E7"/>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19.xml><?xml version="1.0" encoding="utf-8"?>
<worksheet xmlns="http://schemas.openxmlformats.org/spreadsheetml/2006/main" xmlns:r="http://schemas.openxmlformats.org/officeDocument/2006/relationships">
  <sheetPr codeName="Sheet24">
    <tabColor theme="1"/>
  </sheetPr>
  <dimension ref="A2:S45"/>
  <sheetViews>
    <sheetView zoomScale="85" workbookViewId="0">
      <pane xSplit="4" ySplit="7" topLeftCell="E8" activePane="bottomRight" state="frozen"/>
      <selection activeCell="A46" sqref="A46"/>
      <selection pane="topRight" activeCell="A46" sqref="A46"/>
      <selection pane="bottomLeft" activeCell="A46" sqref="A46"/>
      <selection pane="bottomRight" activeCell="I21" sqref="I21"/>
    </sheetView>
  </sheetViews>
  <sheetFormatPr defaultRowHeight="15.75"/>
  <cols>
    <col min="1" max="1" width="4.25" customWidth="1"/>
    <col min="2" max="2" width="12" customWidth="1"/>
    <col min="5" max="5" width="9.625" customWidth="1"/>
    <col min="7" max="8" width="10.125" customWidth="1"/>
    <col min="9" max="9" width="11.25" customWidth="1"/>
  </cols>
  <sheetData>
    <row r="2" spans="1:19">
      <c r="A2" s="738" t="s">
        <v>627</v>
      </c>
      <c r="B2" s="738"/>
      <c r="C2" s="738"/>
      <c r="D2" s="738"/>
      <c r="E2" s="738"/>
      <c r="F2" s="738"/>
      <c r="G2" s="738"/>
      <c r="H2" s="738"/>
      <c r="I2" s="738"/>
      <c r="J2" s="738"/>
      <c r="K2" s="738"/>
      <c r="L2" s="738"/>
    </row>
    <row r="4" spans="1:19">
      <c r="K4" s="249" t="s">
        <v>828</v>
      </c>
    </row>
    <row r="5" spans="1:19" s="153" customFormat="1" ht="96.75" customHeight="1">
      <c r="A5" s="50" t="s">
        <v>769</v>
      </c>
      <c r="B5" s="50" t="s">
        <v>742</v>
      </c>
      <c r="C5" s="50" t="s">
        <v>523</v>
      </c>
      <c r="D5" s="50" t="s">
        <v>614</v>
      </c>
      <c r="E5" s="50" t="s">
        <v>615</v>
      </c>
      <c r="F5" s="50" t="s">
        <v>602</v>
      </c>
      <c r="G5" s="50" t="s">
        <v>526</v>
      </c>
      <c r="H5" s="50" t="s">
        <v>522</v>
      </c>
      <c r="I5" s="50" t="s">
        <v>603</v>
      </c>
      <c r="J5" s="50" t="s">
        <v>616</v>
      </c>
      <c r="K5" s="50" t="s">
        <v>617</v>
      </c>
      <c r="L5" s="50" t="s">
        <v>604</v>
      </c>
      <c r="N5" s="50" t="s">
        <v>605</v>
      </c>
      <c r="O5" s="153" t="s">
        <v>606</v>
      </c>
      <c r="P5" s="153" t="s">
        <v>607</v>
      </c>
      <c r="Q5" s="153" t="s">
        <v>553</v>
      </c>
      <c r="R5" s="153" t="s">
        <v>618</v>
      </c>
    </row>
    <row r="6" spans="1:19" s="153" customFormat="1">
      <c r="A6" s="313">
        <v>1</v>
      </c>
      <c r="B6" s="313">
        <v>2</v>
      </c>
      <c r="C6" s="313">
        <v>3</v>
      </c>
      <c r="D6" s="313">
        <v>4</v>
      </c>
      <c r="E6" s="313" t="s">
        <v>608</v>
      </c>
      <c r="F6" s="313">
        <v>6</v>
      </c>
      <c r="G6" s="313">
        <v>7</v>
      </c>
      <c r="H6" s="313">
        <v>8</v>
      </c>
      <c r="I6" s="313">
        <v>9</v>
      </c>
      <c r="J6" s="313">
        <v>8</v>
      </c>
      <c r="K6" s="313" t="s">
        <v>524</v>
      </c>
      <c r="L6" s="313" t="s">
        <v>525</v>
      </c>
      <c r="N6" s="313" t="s">
        <v>609</v>
      </c>
    </row>
    <row r="7" spans="1:19">
      <c r="A7" s="154">
        <v>1</v>
      </c>
      <c r="B7" s="314" t="s">
        <v>452</v>
      </c>
      <c r="C7" s="337">
        <f>+'[8]Bien che'!$AH$11</f>
        <v>1425</v>
      </c>
      <c r="D7" s="337">
        <v>1515</v>
      </c>
      <c r="E7" s="337">
        <f>D7-C7</f>
        <v>90</v>
      </c>
      <c r="F7" s="338">
        <f>IF(E7&lt;0,0,ROUND((E7*2.1*0.73*12+E7*2.1*0.73*12*22%+E7*2.1*0.73*12*50%)/80%,-1))</f>
        <v>3560</v>
      </c>
      <c r="G7" s="338">
        <f>ROUND([9]PL2!$E$12*12,-1)</f>
        <v>74140</v>
      </c>
      <c r="H7" s="338">
        <f>ROUNDUP(G7*1.006^3-G7,-2)</f>
        <v>1400</v>
      </c>
      <c r="I7" s="337">
        <f>ROUNDUP(2/8*H7,-2)</f>
        <v>400</v>
      </c>
      <c r="J7" s="337">
        <v>93430</v>
      </c>
      <c r="K7" s="337">
        <f>ROUNDUP(SUM(J7,I7,H7,F7),-2)+920</f>
        <v>99720</v>
      </c>
      <c r="L7" s="339">
        <f>K7/J7*100</f>
        <v>106.7323129615755</v>
      </c>
      <c r="M7" s="340">
        <f>+K7-J7</f>
        <v>6290</v>
      </c>
      <c r="N7" s="337">
        <f>K7-J7</f>
        <v>6290</v>
      </c>
      <c r="O7" s="340">
        <f>IF((N7-ROUND((E7*2.1*0.73*12+E7*2.1*0.73*12*22%+E7*2.1*0.73*12*40%),-1))&lt;0,0,(N7-ROUND((E7*2.1*0.73*12+E7*2.1*0.73*12*22%+E7*2.1*0.73*12*40%),-1)))</f>
        <v>3610</v>
      </c>
      <c r="P7" s="340">
        <f>ROUNDDOWN(O7*10%,-1)</f>
        <v>360</v>
      </c>
      <c r="Q7" s="340" t="e">
        <f>'Chi NSH'!#REF!</f>
        <v>#REF!</v>
      </c>
      <c r="R7" s="340" t="e">
        <f>+P7+Q7</f>
        <v>#REF!</v>
      </c>
      <c r="S7" s="315">
        <f>M7-O7</f>
        <v>2680</v>
      </c>
    </row>
    <row r="8" spans="1:19">
      <c r="A8" s="316">
        <v>2</v>
      </c>
      <c r="B8" s="317" t="s">
        <v>610</v>
      </c>
      <c r="C8" s="341">
        <f>+'[8]Bien che'!$AP$11</f>
        <v>858</v>
      </c>
      <c r="D8" s="341">
        <v>898</v>
      </c>
      <c r="E8" s="338">
        <f>D8-C8</f>
        <v>40</v>
      </c>
      <c r="F8" s="338">
        <f>IF(E8&lt;0,0,ROUND((E8*2.1*0.73*12+E8*2.1*0.73*12*22%+E8*2.1*0.73*12*39%)/80%,-1))</f>
        <v>1480</v>
      </c>
      <c r="G8" s="338">
        <f>ROUND([10]PL2!$E$12*12,-1)</f>
        <v>38680</v>
      </c>
      <c r="H8" s="338">
        <f>ROUNDUP(G8*1.01^3-G8,-2)</f>
        <v>1200</v>
      </c>
      <c r="I8" s="341">
        <f t="shared" ref="I8:I18" si="0">ROUNDUP(2/8*H8,-2)</f>
        <v>300</v>
      </c>
      <c r="J8" s="341">
        <v>47530</v>
      </c>
      <c r="K8" s="337">
        <f>ROUNDUP(SUM(J8,I8,H8,F8),-2)</f>
        <v>50600</v>
      </c>
      <c r="L8" s="339">
        <f>K8/J8*100</f>
        <v>106.45907847675153</v>
      </c>
      <c r="M8" s="340">
        <f>+K8-J8</f>
        <v>3070</v>
      </c>
      <c r="N8" s="337">
        <f>K8-J8</f>
        <v>3070</v>
      </c>
      <c r="O8" s="340">
        <f t="shared" ref="O8:O18" si="1">IF((N8-ROUND((E8*2.1*0.73*12+E8*2.1*0.73*12*22%+E8*2.1*0.73*12*40%),-1))&lt;0,0,(N8-ROUND((E8*2.1*0.73*12+E8*2.1*0.73*12*22%+E8*2.1*0.73*12*40%),-1)))</f>
        <v>1880</v>
      </c>
      <c r="P8" s="340">
        <f>ROUNDDOWN(O8*10%,-1)</f>
        <v>180</v>
      </c>
      <c r="Q8" s="340" t="e">
        <f>'Chi NSH'!#REF!</f>
        <v>#REF!</v>
      </c>
      <c r="R8" s="340" t="e">
        <f>+P8+Q8</f>
        <v>#REF!</v>
      </c>
      <c r="S8" s="315">
        <f t="shared" ref="S8:S18" si="2">M8-O8</f>
        <v>1190</v>
      </c>
    </row>
    <row r="9" spans="1:19">
      <c r="A9" s="154">
        <v>3</v>
      </c>
      <c r="B9" s="167" t="s">
        <v>453</v>
      </c>
      <c r="C9" s="338">
        <f>+'[8]Bien che'!$AX$11</f>
        <v>1284</v>
      </c>
      <c r="D9" s="338">
        <v>1445</v>
      </c>
      <c r="E9" s="338">
        <f>D9-C9</f>
        <v>161</v>
      </c>
      <c r="F9" s="338">
        <f>IF(E9&lt;0,0,ROUND((E9*2.1*0.73*12+E9*2.1*0.73*12*22%+E9*2.1*0.73*12*40%)/80%,-1))</f>
        <v>6000</v>
      </c>
      <c r="G9" s="338">
        <f>ROUND([11]PL2!$E$12*12,-1)</f>
        <v>62550</v>
      </c>
      <c r="H9" s="338"/>
      <c r="I9" s="338">
        <f t="shared" si="0"/>
        <v>0</v>
      </c>
      <c r="J9" s="338">
        <v>81000</v>
      </c>
      <c r="K9" s="337">
        <f>ROUNDUP(SUM(J9,I9,H9,F9),-2)+960</f>
        <v>87960</v>
      </c>
      <c r="L9" s="342">
        <f t="shared" ref="L9:L19" si="3">K9/J9*100</f>
        <v>108.5925925925926</v>
      </c>
      <c r="M9" s="340">
        <f t="shared" ref="M9:M17" si="4">+K9-J9</f>
        <v>6960</v>
      </c>
      <c r="N9" s="338">
        <f t="shared" ref="N9:N18" si="5">K9-J9</f>
        <v>6960</v>
      </c>
      <c r="O9" s="340">
        <f t="shared" si="1"/>
        <v>2160</v>
      </c>
      <c r="P9" s="340">
        <f t="shared" ref="P9:P18" si="6">ROUNDDOWN(O9*10%,-1)</f>
        <v>210</v>
      </c>
      <c r="Q9" s="340" t="e">
        <f>'Chi NSH'!#REF!</f>
        <v>#REF!</v>
      </c>
      <c r="R9" s="340" t="e">
        <f t="shared" ref="R9:R18" si="7">+P9+Q9</f>
        <v>#REF!</v>
      </c>
      <c r="S9" s="315">
        <f t="shared" si="2"/>
        <v>4800</v>
      </c>
    </row>
    <row r="10" spans="1:19">
      <c r="A10" s="316">
        <v>4</v>
      </c>
      <c r="B10" s="167" t="s">
        <v>141</v>
      </c>
      <c r="C10" s="338">
        <f>+'[8]Bien che'!$BF$11</f>
        <v>1317</v>
      </c>
      <c r="D10" s="338">
        <v>1405</v>
      </c>
      <c r="E10" s="338">
        <f t="shared" ref="E10:E18" si="8">D10-C10</f>
        <v>88</v>
      </c>
      <c r="F10" s="338">
        <f>IF(E10&lt;0,0,ROUND((E10*2.1*0.73*12+E10*2.1*0.73*12*22%+E10*2.1*0.73*12*39%)/80%,-1))</f>
        <v>3260</v>
      </c>
      <c r="G10" s="338">
        <f>ROUND([12]PL2!$E$12*12,-1)</f>
        <v>55220</v>
      </c>
      <c r="H10" s="338"/>
      <c r="I10" s="338">
        <f t="shared" si="0"/>
        <v>0</v>
      </c>
      <c r="J10" s="338">
        <v>71290</v>
      </c>
      <c r="K10" s="337">
        <f>ROUNDUP(SUM(J10,I10,H10,F10),-2)</f>
        <v>74600</v>
      </c>
      <c r="L10" s="342">
        <f t="shared" si="3"/>
        <v>104.64300743442278</v>
      </c>
      <c r="M10" s="340">
        <f>+K10-J10</f>
        <v>3310</v>
      </c>
      <c r="N10" s="338">
        <f t="shared" si="5"/>
        <v>3310</v>
      </c>
      <c r="O10" s="340">
        <f t="shared" si="1"/>
        <v>690</v>
      </c>
      <c r="P10" s="340">
        <f t="shared" si="6"/>
        <v>60</v>
      </c>
      <c r="Q10" s="340" t="e">
        <f>'Chi NSH'!#REF!</f>
        <v>#REF!</v>
      </c>
      <c r="R10" s="340" t="e">
        <f t="shared" si="7"/>
        <v>#REF!</v>
      </c>
      <c r="S10" s="315">
        <f t="shared" si="2"/>
        <v>2620</v>
      </c>
    </row>
    <row r="11" spans="1:19">
      <c r="A11" s="154">
        <v>5</v>
      </c>
      <c r="B11" s="167" t="s">
        <v>454</v>
      </c>
      <c r="C11" s="338">
        <f>+'[8]Bien che'!$BN$11</f>
        <v>1746</v>
      </c>
      <c r="D11" s="338">
        <v>1827</v>
      </c>
      <c r="E11" s="338">
        <f t="shared" si="8"/>
        <v>81</v>
      </c>
      <c r="F11" s="338">
        <f>IF(E11&lt;0,0,ROUND((E11*2.1*0.73*12+E11*2.1*0.73*12*22%+E11*2.1*0.73*12*37%)/80%,-1))</f>
        <v>2960</v>
      </c>
      <c r="G11" s="338">
        <f>ROUND([13]PL2!$E$12*12,-1)</f>
        <v>79020</v>
      </c>
      <c r="H11" s="338"/>
      <c r="I11" s="338">
        <f t="shared" si="0"/>
        <v>0</v>
      </c>
      <c r="J11" s="338">
        <v>99710</v>
      </c>
      <c r="K11" s="337">
        <f>ROUNDUP(SUM(J11,I11,H11,F11),-2)+660</f>
        <v>103360</v>
      </c>
      <c r="L11" s="342">
        <f t="shared" si="3"/>
        <v>103.66061578577876</v>
      </c>
      <c r="M11" s="340">
        <f t="shared" si="4"/>
        <v>3650</v>
      </c>
      <c r="N11" s="338">
        <f t="shared" si="5"/>
        <v>3650</v>
      </c>
      <c r="O11" s="340">
        <f t="shared" si="1"/>
        <v>1240</v>
      </c>
      <c r="P11" s="340">
        <f t="shared" si="6"/>
        <v>120</v>
      </c>
      <c r="Q11" s="340" t="e">
        <f>'Chi NSH'!#REF!</f>
        <v>#REF!</v>
      </c>
      <c r="R11" s="340" t="e">
        <f t="shared" si="7"/>
        <v>#REF!</v>
      </c>
      <c r="S11" s="315">
        <f t="shared" si="2"/>
        <v>2410</v>
      </c>
    </row>
    <row r="12" spans="1:19">
      <c r="A12" s="316">
        <v>6</v>
      </c>
      <c r="B12" s="167" t="s">
        <v>611</v>
      </c>
      <c r="C12" s="338">
        <f>+'[8]Bien che'!$BV$11</f>
        <v>1641</v>
      </c>
      <c r="D12" s="338">
        <v>1747</v>
      </c>
      <c r="E12" s="338">
        <f t="shared" si="8"/>
        <v>106</v>
      </c>
      <c r="F12" s="338">
        <f>IF(E12&lt;0,0,ROUND((E12*2.1*0.73*12+E12*2.1*0.73*12*22%+E12*2.1*0.73*12*30%)/80%,-1))</f>
        <v>3700</v>
      </c>
      <c r="G12" s="338">
        <f>ROUND([14]PL2!$E$12*12,-1)</f>
        <v>74920</v>
      </c>
      <c r="H12" s="338"/>
      <c r="I12" s="338"/>
      <c r="J12" s="338">
        <v>98480</v>
      </c>
      <c r="K12" s="337">
        <f>ROUNDUP(SUM(J12,I12,H12,F12),-2)</f>
        <v>102200</v>
      </c>
      <c r="L12" s="342">
        <f t="shared" si="3"/>
        <v>103.77741673436232</v>
      </c>
      <c r="M12" s="340">
        <f t="shared" si="4"/>
        <v>3720</v>
      </c>
      <c r="N12" s="338">
        <f t="shared" si="5"/>
        <v>3720</v>
      </c>
      <c r="O12" s="340">
        <f t="shared" si="1"/>
        <v>560</v>
      </c>
      <c r="P12" s="340">
        <f t="shared" si="6"/>
        <v>50</v>
      </c>
      <c r="Q12" s="340" t="e">
        <f>'Chi NSH'!#REF!</f>
        <v>#REF!</v>
      </c>
      <c r="R12" s="340" t="e">
        <f t="shared" si="7"/>
        <v>#REF!</v>
      </c>
      <c r="S12" s="315">
        <f t="shared" si="2"/>
        <v>3160</v>
      </c>
    </row>
    <row r="13" spans="1:19">
      <c r="A13" s="154">
        <v>7</v>
      </c>
      <c r="B13" s="167" t="s">
        <v>612</v>
      </c>
      <c r="C13" s="338">
        <f>+'[8]Bien che'!$CD$11</f>
        <v>2136</v>
      </c>
      <c r="D13" s="338">
        <v>2355</v>
      </c>
      <c r="E13" s="338">
        <f t="shared" si="8"/>
        <v>219</v>
      </c>
      <c r="F13" s="338">
        <f>IF(E13&lt;0,0,ROUND((E13*2.1*0.73*12+E13*2.1*0.73*12*22%+E13*2.1*0.73*12*30%)/80%,-1))</f>
        <v>7650</v>
      </c>
      <c r="G13" s="338">
        <f>ROUND([15]PL2!$E$12*12,-1)</f>
        <v>93010</v>
      </c>
      <c r="H13" s="338"/>
      <c r="I13" s="338">
        <f t="shared" si="0"/>
        <v>0</v>
      </c>
      <c r="J13" s="338">
        <v>124200</v>
      </c>
      <c r="K13" s="337">
        <f>ROUNDUP(SUM(J13,I13,H13,F13),-2)-2000+660</f>
        <v>130560</v>
      </c>
      <c r="L13" s="342">
        <f t="shared" si="3"/>
        <v>105.12077294685992</v>
      </c>
      <c r="M13" s="340">
        <f>+K13-J13</f>
        <v>6360</v>
      </c>
      <c r="N13" s="338">
        <f t="shared" si="5"/>
        <v>6360</v>
      </c>
      <c r="O13" s="340">
        <f t="shared" si="1"/>
        <v>0</v>
      </c>
      <c r="P13" s="340">
        <f t="shared" si="6"/>
        <v>0</v>
      </c>
      <c r="Q13" s="340" t="e">
        <f>'Chi NSH'!#REF!</f>
        <v>#REF!</v>
      </c>
      <c r="R13" s="340" t="e">
        <f t="shared" si="7"/>
        <v>#REF!</v>
      </c>
      <c r="S13" s="315">
        <f t="shared" si="2"/>
        <v>6360</v>
      </c>
    </row>
    <row r="14" spans="1:19">
      <c r="A14" s="316">
        <v>8</v>
      </c>
      <c r="B14" s="167" t="s">
        <v>39</v>
      </c>
      <c r="C14" s="338">
        <f>+'[8]Bien che'!$CL$11</f>
        <v>1995</v>
      </c>
      <c r="D14" s="338">
        <v>2119</v>
      </c>
      <c r="E14" s="338">
        <f t="shared" si="8"/>
        <v>124</v>
      </c>
      <c r="F14" s="338">
        <f>IF(E14&lt;0,0,ROUND((E14*2.1*0.73*12+E14*2.1*0.73*12*22%+E14*2.1*0.73*12*43%)/80%,-1))</f>
        <v>4700</v>
      </c>
      <c r="G14" s="338">
        <f>ROUND([16]PL2!$E$12*12,-1)</f>
        <v>81500</v>
      </c>
      <c r="H14" s="338">
        <f>ROUNDUP(G14*1.01^3-G14,-2)</f>
        <v>2500</v>
      </c>
      <c r="I14" s="338">
        <f t="shared" si="0"/>
        <v>700</v>
      </c>
      <c r="J14" s="338">
        <v>97960</v>
      </c>
      <c r="K14" s="337">
        <f>ROUNDUP(SUM(J14,I14,H14,F14),-2)+1940</f>
        <v>107840</v>
      </c>
      <c r="L14" s="342">
        <f t="shared" si="3"/>
        <v>110.08574928542262</v>
      </c>
      <c r="M14" s="340">
        <f t="shared" si="4"/>
        <v>9880</v>
      </c>
      <c r="N14" s="338">
        <f t="shared" si="5"/>
        <v>9880</v>
      </c>
      <c r="O14" s="340">
        <f t="shared" si="1"/>
        <v>6180</v>
      </c>
      <c r="P14" s="340">
        <f t="shared" si="6"/>
        <v>610</v>
      </c>
      <c r="Q14" s="340" t="e">
        <f>'Chi NSH'!#REF!</f>
        <v>#REF!</v>
      </c>
      <c r="R14" s="340" t="e">
        <f t="shared" si="7"/>
        <v>#REF!</v>
      </c>
      <c r="S14" s="315">
        <f t="shared" si="2"/>
        <v>3700</v>
      </c>
    </row>
    <row r="15" spans="1:19">
      <c r="A15" s="154">
        <v>9</v>
      </c>
      <c r="B15" s="167" t="s">
        <v>40</v>
      </c>
      <c r="C15" s="338">
        <f>+'[8]Bien che'!$CT$11</f>
        <v>1837</v>
      </c>
      <c r="D15" s="338">
        <f>1861+26</f>
        <v>1887</v>
      </c>
      <c r="E15" s="338">
        <f t="shared" si="8"/>
        <v>50</v>
      </c>
      <c r="F15" s="338">
        <f>IF(E15&lt;0,0,ROUND((E15*2.1*0.73*12+E15*2.1*0.73*12*22%+E15*2.1*0.73*12*34%)/80%,-1))</f>
        <v>1790</v>
      </c>
      <c r="G15" s="338">
        <f>ROUND([17]PL2!$E$12*12,-1)</f>
        <v>88450</v>
      </c>
      <c r="H15" s="338">
        <f>ROUNDUP(G15*1.01^3-G15,-2)</f>
        <v>2700</v>
      </c>
      <c r="I15" s="338">
        <f t="shared" si="0"/>
        <v>700</v>
      </c>
      <c r="J15" s="338">
        <v>110320</v>
      </c>
      <c r="K15" s="337">
        <f>ROUNDUP(SUM(J15,I15,H15,F15),-2)+7500+3490</f>
        <v>126590</v>
      </c>
      <c r="L15" s="342">
        <f t="shared" si="3"/>
        <v>114.74800580130528</v>
      </c>
      <c r="M15" s="340">
        <f t="shared" si="4"/>
        <v>16270</v>
      </c>
      <c r="N15" s="338">
        <f t="shared" si="5"/>
        <v>16270</v>
      </c>
      <c r="O15" s="340">
        <f t="shared" si="1"/>
        <v>14780</v>
      </c>
      <c r="P15" s="340">
        <f t="shared" si="6"/>
        <v>1470</v>
      </c>
      <c r="Q15" s="340" t="e">
        <f>'Chi NSH'!#REF!</f>
        <v>#REF!</v>
      </c>
      <c r="R15" s="340" t="e">
        <f t="shared" si="7"/>
        <v>#REF!</v>
      </c>
      <c r="S15" s="315">
        <f t="shared" si="2"/>
        <v>1490</v>
      </c>
    </row>
    <row r="16" spans="1:19">
      <c r="A16" s="316">
        <v>10</v>
      </c>
      <c r="B16" s="167" t="s">
        <v>457</v>
      </c>
      <c r="C16" s="338">
        <f>+'[8]Bien che'!$DB$11</f>
        <v>1683</v>
      </c>
      <c r="D16" s="338">
        <v>1693</v>
      </c>
      <c r="E16" s="338">
        <f t="shared" si="8"/>
        <v>10</v>
      </c>
      <c r="F16" s="338">
        <f>IF(E16&lt;0,0,ROUND((E16*2.1*0.73*12+E16*2.1*0.73*12*22%+E16*2.1*0.73*12*34%)/80%,-1))</f>
        <v>360</v>
      </c>
      <c r="G16" s="338">
        <f>ROUND([18]PL2!$E$12*12,-1)</f>
        <v>76170</v>
      </c>
      <c r="H16" s="338">
        <f>ROUNDUP(G16*1.006^3-G16,-2)</f>
        <v>1400</v>
      </c>
      <c r="I16" s="338">
        <f t="shared" si="0"/>
        <v>400</v>
      </c>
      <c r="J16" s="338">
        <v>95420</v>
      </c>
      <c r="K16" s="337">
        <f>ROUNDUP(SUM(J16,I16,H16,F16),-2)</f>
        <v>97600</v>
      </c>
      <c r="L16" s="342">
        <f t="shared" si="3"/>
        <v>102.28463634458184</v>
      </c>
      <c r="M16" s="340">
        <f t="shared" si="4"/>
        <v>2180</v>
      </c>
      <c r="N16" s="338">
        <f t="shared" si="5"/>
        <v>2180</v>
      </c>
      <c r="O16" s="340">
        <f t="shared" si="1"/>
        <v>1880</v>
      </c>
      <c r="P16" s="340">
        <f t="shared" si="6"/>
        <v>180</v>
      </c>
      <c r="Q16" s="340" t="e">
        <f>'Chi NSH'!#REF!</f>
        <v>#REF!</v>
      </c>
      <c r="R16" s="340" t="e">
        <f t="shared" si="7"/>
        <v>#REF!</v>
      </c>
      <c r="S16" s="315">
        <f t="shared" si="2"/>
        <v>300</v>
      </c>
    </row>
    <row r="17" spans="1:19">
      <c r="A17" s="154">
        <v>11</v>
      </c>
      <c r="B17" s="167" t="s">
        <v>201</v>
      </c>
      <c r="C17" s="338">
        <f>+'[8]Bien che'!$DJ$11</f>
        <v>971</v>
      </c>
      <c r="D17" s="338">
        <v>1023</v>
      </c>
      <c r="E17" s="338">
        <f t="shared" si="8"/>
        <v>52</v>
      </c>
      <c r="F17" s="338">
        <f>IF(E17&lt;0,0,ROUND((E17*2.1*0.73*12+E17*2.1*0.73*12*22%+E17*2.1*0.73*12*31%)/80%,-1))</f>
        <v>1830</v>
      </c>
      <c r="G17" s="338">
        <f>ROUND([19]PL2!$E$12*12,-1)</f>
        <v>43410</v>
      </c>
      <c r="H17" s="338">
        <f>ROUNDUP(G17*1.01^3-G17,-2)</f>
        <v>1400</v>
      </c>
      <c r="I17" s="338">
        <f t="shared" si="0"/>
        <v>400</v>
      </c>
      <c r="J17" s="338">
        <v>58630</v>
      </c>
      <c r="K17" s="337">
        <f>ROUNDUP(SUM(J17,I17,H17,F17),-2)+16000-600</f>
        <v>77700</v>
      </c>
      <c r="L17" s="342">
        <f t="shared" si="3"/>
        <v>132.52601057479106</v>
      </c>
      <c r="M17" s="340">
        <f t="shared" si="4"/>
        <v>19070</v>
      </c>
      <c r="N17" s="338">
        <f t="shared" si="5"/>
        <v>19070</v>
      </c>
      <c r="O17" s="340">
        <f t="shared" si="1"/>
        <v>17520</v>
      </c>
      <c r="P17" s="340">
        <f>ROUNDDOWN(O17*10%,-1)</f>
        <v>1750</v>
      </c>
      <c r="Q17" s="340" t="e">
        <f>'Chi NSH'!#REF!</f>
        <v>#REF!</v>
      </c>
      <c r="R17" s="340" t="e">
        <f t="shared" si="7"/>
        <v>#REF!</v>
      </c>
      <c r="S17" s="315">
        <f t="shared" si="2"/>
        <v>1550</v>
      </c>
    </row>
    <row r="18" spans="1:19">
      <c r="A18" s="316">
        <v>12</v>
      </c>
      <c r="B18" s="318" t="s">
        <v>458</v>
      </c>
      <c r="C18" s="343">
        <f>+'[8]Bien che'!$DR$11</f>
        <v>1512</v>
      </c>
      <c r="D18" s="343">
        <v>1529</v>
      </c>
      <c r="E18" s="338">
        <f t="shared" si="8"/>
        <v>17</v>
      </c>
      <c r="F18" s="338">
        <f>IF(E18&lt;0,0,ROUND((E18*2.1*0.73*12+E18*2.1*0.73*12*22%+E18*2.1*0.73*12*34%)/80%,-1))</f>
        <v>610</v>
      </c>
      <c r="G18" s="338">
        <f>ROUND([20]PL2!$E$12*12,-1)</f>
        <v>67290</v>
      </c>
      <c r="H18" s="338">
        <f>ROUNDUP(G18*1.01^3-G18,-2)</f>
        <v>2100</v>
      </c>
      <c r="I18" s="338">
        <f t="shared" si="0"/>
        <v>600</v>
      </c>
      <c r="J18" s="343">
        <v>85900</v>
      </c>
      <c r="K18" s="337">
        <f>ROUNDUP(SUM(J18,I18,H18,F18),-2)+1000-400+1370</f>
        <v>91270</v>
      </c>
      <c r="L18" s="344">
        <f t="shared" si="3"/>
        <v>106.25145518044236</v>
      </c>
      <c r="M18" s="340">
        <f>+K18-J18</f>
        <v>5370</v>
      </c>
      <c r="N18" s="343">
        <f t="shared" si="5"/>
        <v>5370</v>
      </c>
      <c r="O18" s="340">
        <f t="shared" si="1"/>
        <v>4860</v>
      </c>
      <c r="P18" s="340">
        <f t="shared" si="6"/>
        <v>480</v>
      </c>
      <c r="Q18" s="340" t="e">
        <f>'Chi NSH'!#REF!</f>
        <v>#REF!</v>
      </c>
      <c r="R18" s="340" t="e">
        <f t="shared" si="7"/>
        <v>#REF!</v>
      </c>
      <c r="S18" s="315">
        <f t="shared" si="2"/>
        <v>510</v>
      </c>
    </row>
    <row r="19" spans="1:19">
      <c r="A19" s="678" t="s">
        <v>613</v>
      </c>
      <c r="B19" s="680"/>
      <c r="C19" s="345">
        <f t="shared" ref="C19:K19" si="9">SUM(C7:C18)</f>
        <v>18405</v>
      </c>
      <c r="D19" s="345">
        <f t="shared" si="9"/>
        <v>19443</v>
      </c>
      <c r="E19" s="345">
        <f t="shared" si="9"/>
        <v>1038</v>
      </c>
      <c r="F19" s="345">
        <f t="shared" si="9"/>
        <v>37900</v>
      </c>
      <c r="G19" s="345">
        <f t="shared" si="9"/>
        <v>834360</v>
      </c>
      <c r="H19" s="345">
        <f t="shared" si="9"/>
        <v>12700</v>
      </c>
      <c r="I19" s="345">
        <f t="shared" si="9"/>
        <v>3500</v>
      </c>
      <c r="J19" s="345">
        <f t="shared" si="9"/>
        <v>1063870</v>
      </c>
      <c r="K19" s="345">
        <f t="shared" si="9"/>
        <v>1150000</v>
      </c>
      <c r="L19" s="346">
        <f t="shared" si="3"/>
        <v>108.09591397445178</v>
      </c>
      <c r="M19" s="340">
        <f t="shared" ref="M19:S19" si="10">SUM(M7:M18)</f>
        <v>86130</v>
      </c>
      <c r="N19" s="345">
        <f t="shared" si="10"/>
        <v>86130</v>
      </c>
      <c r="O19" s="345">
        <f t="shared" si="10"/>
        <v>55360</v>
      </c>
      <c r="P19" s="345">
        <f t="shared" si="10"/>
        <v>5470</v>
      </c>
      <c r="Q19" s="345" t="e">
        <f t="shared" si="10"/>
        <v>#REF!</v>
      </c>
      <c r="R19" s="345" t="e">
        <f t="shared" si="10"/>
        <v>#REF!</v>
      </c>
      <c r="S19" s="345">
        <f t="shared" si="10"/>
        <v>30770</v>
      </c>
    </row>
    <row r="20" spans="1:19">
      <c r="K20" s="315"/>
    </row>
    <row r="21" spans="1:19">
      <c r="F21" t="s">
        <v>538</v>
      </c>
      <c r="G21" s="319">
        <f>G7/80%</f>
        <v>92675</v>
      </c>
      <c r="H21" s="319">
        <f>'[21]Hồng Ngự'!$G$9</f>
        <v>93430</v>
      </c>
      <c r="I21" s="319" t="e">
        <f>H21+'Chi NSH'!#REF!</f>
        <v>#REF!</v>
      </c>
      <c r="K21" s="315">
        <f>+K19+270000</f>
        <v>1420000</v>
      </c>
    </row>
    <row r="22" spans="1:19">
      <c r="G22" s="319"/>
      <c r="H22" s="319"/>
      <c r="I22" s="319" t="e">
        <f>I21-H21</f>
        <v>#REF!</v>
      </c>
    </row>
    <row r="23" spans="1:19">
      <c r="F23" t="s">
        <v>537</v>
      </c>
      <c r="G23" s="319">
        <f>G8/80%</f>
        <v>48350</v>
      </c>
      <c r="H23" s="319">
        <f>'[21]Thị xã Hồng Ngự'!$G$9</f>
        <v>47530</v>
      </c>
      <c r="I23" s="319" t="e">
        <f>H23+'Chi NSH'!#REF!</f>
        <v>#REF!</v>
      </c>
    </row>
    <row r="24" spans="1:19">
      <c r="G24" s="319"/>
      <c r="H24" s="319"/>
      <c r="I24" s="319" t="e">
        <f>I23-H23</f>
        <v>#REF!</v>
      </c>
      <c r="J24" s="315">
        <f>+'Chi NSH'!AM20-SNGD!G24</f>
        <v>1085</v>
      </c>
      <c r="M24" s="315">
        <f>+M10-J24</f>
        <v>2225</v>
      </c>
    </row>
    <row r="25" spans="1:19">
      <c r="F25" t="s">
        <v>536</v>
      </c>
      <c r="G25" s="319">
        <f>G9/80%</f>
        <v>78187.5</v>
      </c>
      <c r="H25" s="319">
        <f>'[21]Tân Hồng'!$G$9</f>
        <v>81000</v>
      </c>
      <c r="I25" s="319" t="e">
        <f>H25+'Chi NSH'!#REF!</f>
        <v>#REF!</v>
      </c>
      <c r="J25" s="315">
        <f>+G24+'[21]Tam Nông'!$G$40</f>
        <v>1170</v>
      </c>
    </row>
    <row r="26" spans="1:19">
      <c r="G26" s="319"/>
      <c r="H26" s="319"/>
      <c r="I26" s="319" t="e">
        <f>I25-H25</f>
        <v>#REF!</v>
      </c>
    </row>
    <row r="27" spans="1:19">
      <c r="F27" t="s">
        <v>535</v>
      </c>
      <c r="G27" s="319">
        <f>G10/80%</f>
        <v>69025</v>
      </c>
      <c r="H27" s="319">
        <f>'[21]Tam Nông'!$G$9</f>
        <v>71290</v>
      </c>
      <c r="I27" s="319" t="e">
        <f>H27+'Chi NSH'!#REF!</f>
        <v>#REF!</v>
      </c>
    </row>
    <row r="28" spans="1:19">
      <c r="G28" s="319"/>
      <c r="H28" s="319"/>
      <c r="I28" s="319" t="e">
        <f>I27-H27</f>
        <v>#REF!</v>
      </c>
    </row>
    <row r="29" spans="1:19">
      <c r="F29" t="s">
        <v>534</v>
      </c>
      <c r="G29" s="319">
        <f>G11/80%</f>
        <v>98775</v>
      </c>
      <c r="H29" s="319">
        <f>'[21]Thanh Bình'!$G$9</f>
        <v>99710</v>
      </c>
      <c r="I29" s="319" t="e">
        <f>H29+'Chi NSH'!#REF!</f>
        <v>#REF!</v>
      </c>
    </row>
    <row r="30" spans="1:19">
      <c r="G30" s="319"/>
      <c r="H30" s="319"/>
      <c r="I30" s="319" t="e">
        <f>I29-H29</f>
        <v>#REF!</v>
      </c>
    </row>
    <row r="31" spans="1:19">
      <c r="F31" t="s">
        <v>533</v>
      </c>
      <c r="G31" s="319">
        <f>G12/80%</f>
        <v>93650</v>
      </c>
      <c r="H31" s="319">
        <f>'[21]Thành phố Cao Lãnh'!$G$9</f>
        <v>98480</v>
      </c>
      <c r="I31" s="319">
        <f>H31+'Chi NSH'!BB20</f>
        <v>270680</v>
      </c>
    </row>
    <row r="32" spans="1:19">
      <c r="G32" s="319"/>
      <c r="H32" s="319"/>
      <c r="I32" s="319">
        <f>I31-H31</f>
        <v>172200</v>
      </c>
    </row>
    <row r="33" spans="6:9">
      <c r="F33" t="s">
        <v>532</v>
      </c>
      <c r="G33" s="319">
        <f>G13/80%</f>
        <v>116262.5</v>
      </c>
      <c r="H33" s="319">
        <f>'[21]Huyện Cao Lãnh'!$G$9</f>
        <v>124200</v>
      </c>
      <c r="I33" s="319" t="e">
        <f>H33+'Chi NSH'!#REF!</f>
        <v>#REF!</v>
      </c>
    </row>
    <row r="34" spans="6:9">
      <c r="G34" s="319"/>
      <c r="H34" s="319"/>
      <c r="I34" s="319" t="e">
        <f>I33-H33</f>
        <v>#REF!</v>
      </c>
    </row>
    <row r="35" spans="6:9">
      <c r="F35" t="s">
        <v>531</v>
      </c>
      <c r="G35" s="319">
        <f>G14/80%</f>
        <v>101875</v>
      </c>
      <c r="H35" s="319">
        <f>'[21]Tháp Mười'!$G$9</f>
        <v>97960</v>
      </c>
      <c r="I35" s="319" t="e">
        <f>H35+'Chi NSH'!#REF!</f>
        <v>#REF!</v>
      </c>
    </row>
    <row r="36" spans="6:9">
      <c r="G36" s="319"/>
      <c r="H36" s="319"/>
      <c r="I36" s="319" t="e">
        <f>I35-H35</f>
        <v>#REF!</v>
      </c>
    </row>
    <row r="37" spans="6:9">
      <c r="F37" t="s">
        <v>530</v>
      </c>
      <c r="G37" s="319">
        <f>G15/80%</f>
        <v>110562.5</v>
      </c>
      <c r="H37" s="319">
        <f>'[21]Lấp Vò'!$G$9</f>
        <v>110320</v>
      </c>
      <c r="I37" s="319" t="e">
        <f>H37+'Chi NSH'!#REF!</f>
        <v>#REF!</v>
      </c>
    </row>
    <row r="38" spans="6:9">
      <c r="G38" s="319"/>
      <c r="H38" s="319"/>
      <c r="I38" s="319" t="e">
        <f>I37-H37</f>
        <v>#REF!</v>
      </c>
    </row>
    <row r="39" spans="6:9">
      <c r="F39" t="s">
        <v>527</v>
      </c>
      <c r="G39" s="319">
        <f>G16/80%</f>
        <v>95212.5</v>
      </c>
      <c r="H39" s="319">
        <f>'[21]Lai Vung'!$G$9</f>
        <v>95420</v>
      </c>
      <c r="I39" s="319">
        <f>H39+'Chi NSH'!CH20</f>
        <v>265420</v>
      </c>
    </row>
    <row r="40" spans="6:9">
      <c r="G40" s="319"/>
      <c r="H40" s="319"/>
      <c r="I40" s="319">
        <f>I39-H39</f>
        <v>170000</v>
      </c>
    </row>
    <row r="41" spans="6:9">
      <c r="F41" t="s">
        <v>528</v>
      </c>
      <c r="G41" s="319">
        <f>G17/80%</f>
        <v>54262.5</v>
      </c>
      <c r="H41" s="319">
        <f>'[21]Thị xã Sa Đéc'!$G$9</f>
        <v>58630</v>
      </c>
      <c r="I41" s="319">
        <f>H41+'Chi NSH'!CP20</f>
        <v>182730</v>
      </c>
    </row>
    <row r="42" spans="6:9">
      <c r="G42" s="319"/>
      <c r="H42" s="319"/>
      <c r="I42" s="319">
        <f>I41-H41</f>
        <v>124100</v>
      </c>
    </row>
    <row r="43" spans="6:9">
      <c r="F43" t="s">
        <v>529</v>
      </c>
      <c r="G43" s="319">
        <f>+G18/80%</f>
        <v>84112.5</v>
      </c>
      <c r="H43" s="319">
        <f>'[21]Châu Thành'!$G$9</f>
        <v>85900</v>
      </c>
      <c r="I43" s="319">
        <f>H43+'Chi NSH'!CX20</f>
        <v>231900</v>
      </c>
    </row>
    <row r="44" spans="6:9">
      <c r="G44" s="319"/>
      <c r="H44" s="319"/>
      <c r="I44" s="319">
        <f>I43-H43</f>
        <v>146000</v>
      </c>
    </row>
    <row r="45" spans="6:9">
      <c r="H45" s="320">
        <f>SUM(H21,H23,H25,H27,H29,H31,H33,H35,H37,H39,H41,H43)</f>
        <v>1063870</v>
      </c>
      <c r="I45" s="320" t="e">
        <f>SUM(I21,I23,I25,I27,I29,I31,I33,I35,I37,I39,I41,I43)</f>
        <v>#REF!</v>
      </c>
    </row>
  </sheetData>
  <mergeCells count="2">
    <mergeCell ref="A2:L2"/>
    <mergeCell ref="A19:B19"/>
  </mergeCells>
  <phoneticPr fontId="2" type="noConversion"/>
  <pageMargins left="0.75" right="0.75" top="1" bottom="1" header="0.5" footer="0.5"/>
  <pageSetup paperSize="9" orientation="landscape" r:id="rId1"/>
  <headerFooter alignWithMargins="0"/>
  <ignoredErrors>
    <ignoredError sqref="H16" formula="1"/>
  </ignoredErrors>
</worksheet>
</file>

<file path=xl/worksheets/sheet2.xml><?xml version="1.0" encoding="utf-8"?>
<worksheet xmlns="http://schemas.openxmlformats.org/spreadsheetml/2006/main" xmlns:r="http://schemas.openxmlformats.org/officeDocument/2006/relationships">
  <sheetPr codeName="Sheet2">
    <tabColor indexed="10"/>
  </sheetPr>
  <dimension ref="A1:W47"/>
  <sheetViews>
    <sheetView zoomScale="98" zoomScaleNormal="98" workbookViewId="0">
      <pane xSplit="2" ySplit="12" topLeftCell="C1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875" style="21" customWidth="1"/>
    <col min="2" max="2" width="26.25" style="5" customWidth="1"/>
    <col min="3" max="6" width="8.125" style="20" customWidth="1"/>
    <col min="7" max="7" width="6.625" style="91" customWidth="1"/>
    <col min="8" max="8" width="7.125" style="20" customWidth="1"/>
    <col min="9" max="11" width="8.125" style="20" customWidth="1"/>
    <col min="12" max="12" width="6.875" style="20" customWidth="1"/>
    <col min="13" max="13" width="6.375" style="20" customWidth="1"/>
    <col min="14" max="15" width="8.125" style="20" customWidth="1"/>
    <col min="16" max="16384" width="9" style="20"/>
  </cols>
  <sheetData>
    <row r="1" spans="1:23" hidden="1">
      <c r="A1" s="17"/>
      <c r="B1" s="18" t="s">
        <v>753</v>
      </c>
      <c r="C1" s="653" t="s">
        <v>714</v>
      </c>
      <c r="D1" s="653"/>
      <c r="E1" s="653"/>
      <c r="F1" s="653"/>
      <c r="G1" s="653"/>
      <c r="H1" s="653"/>
      <c r="I1" s="653"/>
      <c r="J1" s="653"/>
    </row>
    <row r="2" spans="1:23" hidden="1">
      <c r="A2" s="17"/>
      <c r="B2" s="18" t="s">
        <v>754</v>
      </c>
      <c r="C2" s="653" t="s">
        <v>700</v>
      </c>
      <c r="D2" s="653"/>
      <c r="E2" s="653"/>
      <c r="F2" s="653"/>
      <c r="G2" s="653"/>
      <c r="H2" s="653"/>
      <c r="I2" s="653"/>
      <c r="J2" s="653"/>
    </row>
    <row r="3" spans="1:23" hidden="1">
      <c r="A3" s="17"/>
      <c r="B3" s="18" t="s">
        <v>629</v>
      </c>
      <c r="C3" s="670" t="s">
        <v>715</v>
      </c>
      <c r="D3" s="670"/>
      <c r="E3" s="670"/>
      <c r="F3" s="670"/>
      <c r="G3" s="670"/>
      <c r="H3" s="670"/>
      <c r="I3" s="670"/>
      <c r="J3" s="670"/>
      <c r="O3" s="48" t="s">
        <v>739</v>
      </c>
    </row>
    <row r="4" spans="1:23" hidden="1">
      <c r="A4" s="17"/>
      <c r="B4" s="18"/>
      <c r="C4" s="15"/>
      <c r="D4" s="15"/>
      <c r="E4" s="15"/>
      <c r="F4" s="15"/>
      <c r="G4" s="378"/>
      <c r="H4" s="15"/>
      <c r="I4" s="15"/>
      <c r="J4" s="15"/>
    </row>
    <row r="5" spans="1:23" ht="31.5">
      <c r="A5" s="40" t="s">
        <v>863</v>
      </c>
      <c r="B5" s="40"/>
      <c r="C5" s="40"/>
      <c r="D5" s="40"/>
      <c r="E5" s="40"/>
      <c r="F5" s="40"/>
      <c r="G5" s="379"/>
      <c r="H5" s="40"/>
      <c r="I5" s="40"/>
      <c r="J5" s="40"/>
      <c r="K5" s="43"/>
      <c r="L5" s="43"/>
      <c r="M5" s="43"/>
      <c r="N5" s="43"/>
      <c r="O5" s="43"/>
    </row>
    <row r="6" spans="1:23" hidden="1">
      <c r="A6" s="1"/>
      <c r="B6" s="1"/>
      <c r="C6" s="1"/>
      <c r="D6" s="15"/>
      <c r="E6" s="15"/>
      <c r="F6" s="1"/>
      <c r="G6" s="670"/>
      <c r="H6" s="670"/>
      <c r="I6" s="670"/>
      <c r="J6" s="15"/>
    </row>
    <row r="7" spans="1:23" ht="15" customHeight="1">
      <c r="A7" s="19"/>
      <c r="B7" s="2"/>
      <c r="D7" s="670"/>
      <c r="E7" s="670"/>
      <c r="F7" s="49"/>
      <c r="H7" s="49"/>
      <c r="I7" s="22"/>
      <c r="J7" s="37"/>
      <c r="O7" s="37" t="s">
        <v>709</v>
      </c>
    </row>
    <row r="8" spans="1:23" s="53" customFormat="1" ht="20.25" customHeight="1">
      <c r="A8" s="677" t="s">
        <v>630</v>
      </c>
      <c r="B8" s="654" t="s">
        <v>662</v>
      </c>
      <c r="C8" s="667" t="s">
        <v>619</v>
      </c>
      <c r="D8" s="668"/>
      <c r="E8" s="669"/>
      <c r="F8" s="674" t="s">
        <v>861</v>
      </c>
      <c r="G8" s="675"/>
      <c r="H8" s="675"/>
      <c r="I8" s="675"/>
      <c r="J8" s="676"/>
      <c r="K8" s="671" t="s">
        <v>862</v>
      </c>
      <c r="L8" s="672"/>
      <c r="M8" s="672"/>
      <c r="N8" s="672"/>
      <c r="O8" s="673"/>
    </row>
    <row r="9" spans="1:23" s="53" customFormat="1" ht="87" customHeight="1">
      <c r="A9" s="666"/>
      <c r="B9" s="666"/>
      <c r="C9" s="11" t="s">
        <v>663</v>
      </c>
      <c r="D9" s="50" t="s">
        <v>665</v>
      </c>
      <c r="E9" s="50" t="s">
        <v>710</v>
      </c>
      <c r="F9" s="11" t="s">
        <v>663</v>
      </c>
      <c r="G9" s="380" t="s">
        <v>664</v>
      </c>
      <c r="H9" s="11" t="s">
        <v>864</v>
      </c>
      <c r="I9" s="50" t="s">
        <v>665</v>
      </c>
      <c r="J9" s="50" t="s">
        <v>710</v>
      </c>
      <c r="K9" s="11" t="s">
        <v>663</v>
      </c>
      <c r="L9" s="11" t="s">
        <v>664</v>
      </c>
      <c r="M9" s="11" t="s">
        <v>864</v>
      </c>
      <c r="N9" s="50" t="s">
        <v>665</v>
      </c>
      <c r="O9" s="50" t="s">
        <v>710</v>
      </c>
    </row>
    <row r="10" spans="1:23" s="16" customFormat="1" ht="19.5" customHeight="1">
      <c r="A10" s="41">
        <v>1</v>
      </c>
      <c r="B10" s="41">
        <v>2</v>
      </c>
      <c r="C10" s="41" t="s">
        <v>638</v>
      </c>
      <c r="D10" s="42">
        <v>4</v>
      </c>
      <c r="E10" s="41">
        <v>5</v>
      </c>
      <c r="F10" s="42" t="s">
        <v>716</v>
      </c>
      <c r="G10" s="381">
        <v>7</v>
      </c>
      <c r="H10" s="42" t="s">
        <v>717</v>
      </c>
      <c r="I10" s="41">
        <v>9</v>
      </c>
      <c r="J10" s="42">
        <v>10</v>
      </c>
      <c r="K10" s="42" t="s">
        <v>725</v>
      </c>
      <c r="L10" s="41">
        <v>12</v>
      </c>
      <c r="M10" s="41" t="s">
        <v>436</v>
      </c>
      <c r="N10" s="41">
        <v>14</v>
      </c>
      <c r="O10" s="42">
        <v>15</v>
      </c>
    </row>
    <row r="11" spans="1:23" s="23" customFormat="1" ht="20.100000000000001" customHeight="1">
      <c r="A11" s="28"/>
      <c r="B11" s="93" t="s">
        <v>439</v>
      </c>
      <c r="C11" s="394">
        <f>SUM(C12,C37,C42)</f>
        <v>7049292.2653913042</v>
      </c>
      <c r="D11" s="394">
        <f>SUM(D12,D37,D42)</f>
        <v>2789696.2653913042</v>
      </c>
      <c r="E11" s="394">
        <f>SUM(E12,E37,E42)</f>
        <v>4259596</v>
      </c>
      <c r="F11" s="394">
        <f>SUM(F12,F37,F42)</f>
        <v>7206472.1349565219</v>
      </c>
      <c r="G11" s="403">
        <f>F11/$F$11*100</f>
        <v>100</v>
      </c>
      <c r="H11" s="404">
        <f t="shared" ref="H11:H42" si="0">F11/C11*100</f>
        <v>102.22972553339712</v>
      </c>
      <c r="I11" s="394">
        <f>SUM(I12,I37,I42)</f>
        <v>3155736.1349565219</v>
      </c>
      <c r="J11" s="394">
        <f>SUM(J12,J37,J42)</f>
        <v>4050736</v>
      </c>
      <c r="K11" s="394">
        <f>SUM(K12,K37,K42)</f>
        <v>7506934</v>
      </c>
      <c r="L11" s="404">
        <f>K11/$K$11*100</f>
        <v>100</v>
      </c>
      <c r="M11" s="404">
        <f>K11/C11%</f>
        <v>106.49202384266999</v>
      </c>
      <c r="N11" s="394">
        <f>SUM(N12,N37,N42)</f>
        <v>3151723</v>
      </c>
      <c r="O11" s="394">
        <f>SUM(O12,O37,O42)</f>
        <v>4355211</v>
      </c>
      <c r="P11" s="586">
        <f>+N11/K11%</f>
        <v>41.98415758017854</v>
      </c>
      <c r="Q11" s="586">
        <f>100-P11</f>
        <v>58.01584241982146</v>
      </c>
      <c r="W11" s="20">
        <f t="shared" ref="W11:W23" si="1">N11-D11</f>
        <v>362026.73460869584</v>
      </c>
    </row>
    <row r="12" spans="1:23" s="23" customFormat="1" ht="20.100000000000001" customHeight="1">
      <c r="A12" s="31" t="s">
        <v>639</v>
      </c>
      <c r="B12" s="63" t="s">
        <v>756</v>
      </c>
      <c r="C12" s="395">
        <f>SUM(C13,C18,C32:C36)</f>
        <v>6117780.2653913042</v>
      </c>
      <c r="D12" s="395">
        <f>SUM(D13,D18,D32:D36)</f>
        <v>2012810.2653913044</v>
      </c>
      <c r="E12" s="395">
        <f>SUM(E13,E18,E32:E36)</f>
        <v>4104970</v>
      </c>
      <c r="F12" s="395">
        <f>SUM(F13,F18,F32:F36)</f>
        <v>5874960.1349565219</v>
      </c>
      <c r="G12" s="404">
        <f t="shared" ref="G12:G42" si="2">F12/$F$11*100</f>
        <v>81.523386546640225</v>
      </c>
      <c r="H12" s="404">
        <f t="shared" si="0"/>
        <v>96.030911214506474</v>
      </c>
      <c r="I12" s="395">
        <f>SUM(I13,I18,I32:I36)</f>
        <v>1978850.1349565217</v>
      </c>
      <c r="J12" s="395">
        <f>SUM(J13,J18,J32:J36)</f>
        <v>3896110</v>
      </c>
      <c r="K12" s="395">
        <f>SUM(K13,K18,K32:K36)</f>
        <v>6369055</v>
      </c>
      <c r="L12" s="404">
        <f>K12/$K$11*100</f>
        <v>84.84229380463448</v>
      </c>
      <c r="M12" s="404">
        <f>K12/C12%</f>
        <v>104.1072860369009</v>
      </c>
      <c r="N12" s="395">
        <f>SUM(N13,N18,N32:N36)</f>
        <v>2191534</v>
      </c>
      <c r="O12" s="395">
        <f>SUM(O13,O18,O32:O36)</f>
        <v>4177521</v>
      </c>
      <c r="W12" s="20">
        <f t="shared" si="1"/>
        <v>178723.73460869561</v>
      </c>
    </row>
    <row r="13" spans="1:23" s="16" customFormat="1" ht="20.100000000000001" customHeight="1">
      <c r="A13" s="29" t="s">
        <v>641</v>
      </c>
      <c r="B13" s="36" t="s">
        <v>666</v>
      </c>
      <c r="C13" s="396">
        <f>SUM(C14:C17)</f>
        <v>773000</v>
      </c>
      <c r="D13" s="396">
        <f>SUM(D14:D17)</f>
        <v>208000</v>
      </c>
      <c r="E13" s="396">
        <f>SUM(E14:E17)</f>
        <v>565000</v>
      </c>
      <c r="F13" s="396">
        <f>SUM(F14:F17)</f>
        <v>623000</v>
      </c>
      <c r="G13" s="405">
        <f t="shared" si="2"/>
        <v>8.6450067152553931</v>
      </c>
      <c r="H13" s="405">
        <f t="shared" si="0"/>
        <v>80.595084087968942</v>
      </c>
      <c r="I13" s="396">
        <f>SUM(I14:I17)</f>
        <v>208000</v>
      </c>
      <c r="J13" s="396">
        <f>SUM(J14:J17)</f>
        <v>415000</v>
      </c>
      <c r="K13" s="396">
        <f>SUM(K14:K17)</f>
        <v>673000</v>
      </c>
      <c r="L13" s="405">
        <f t="shared" ref="L13:L32" si="3">K13/$K$11*100</f>
        <v>8.965044850534186</v>
      </c>
      <c r="M13" s="405">
        <f>K13/C13%</f>
        <v>87.0633893919793</v>
      </c>
      <c r="N13" s="396">
        <f>SUM(N14:N17)</f>
        <v>210000</v>
      </c>
      <c r="O13" s="396">
        <f>SUM(O14:O17)</f>
        <v>463000</v>
      </c>
      <c r="P13" s="16">
        <v>661500</v>
      </c>
      <c r="Q13" s="16">
        <f>+K13-P13</f>
        <v>11500</v>
      </c>
      <c r="W13" s="20">
        <f t="shared" si="1"/>
        <v>2000</v>
      </c>
    </row>
    <row r="14" spans="1:23" ht="20.100000000000001" customHeight="1">
      <c r="A14" s="30">
        <v>1</v>
      </c>
      <c r="B14" s="38" t="s">
        <v>667</v>
      </c>
      <c r="C14" s="261">
        <f>D14+E14</f>
        <v>423000</v>
      </c>
      <c r="D14" s="444">
        <f>210000-2000</f>
        <v>208000</v>
      </c>
      <c r="E14" s="444">
        <f>213000+2000</f>
        <v>215000</v>
      </c>
      <c r="F14" s="261">
        <f>SUM(I14,J14)</f>
        <v>423000</v>
      </c>
      <c r="G14" s="406">
        <f>F14/$F$11*100</f>
        <v>5.8697236605987664</v>
      </c>
      <c r="H14" s="406">
        <f t="shared" si="0"/>
        <v>100</v>
      </c>
      <c r="I14" s="261">
        <f>D14</f>
        <v>208000</v>
      </c>
      <c r="J14" s="261">
        <f>E14</f>
        <v>215000</v>
      </c>
      <c r="K14" s="261">
        <f>N14+O14</f>
        <v>423000</v>
      </c>
      <c r="L14" s="406">
        <f t="shared" si="3"/>
        <v>5.634790448404102</v>
      </c>
      <c r="M14" s="406">
        <f t="shared" ref="M14:M32" si="4">K14/C14%</f>
        <v>100</v>
      </c>
      <c r="N14" s="261">
        <v>210000</v>
      </c>
      <c r="O14" s="523">
        <f>'Phụ lục số 6'!C7</f>
        <v>213000</v>
      </c>
      <c r="Q14" s="20">
        <v>4634969</v>
      </c>
      <c r="W14" s="20">
        <f t="shared" si="1"/>
        <v>2000</v>
      </c>
    </row>
    <row r="15" spans="1:23" ht="20.100000000000001" customHeight="1">
      <c r="A15" s="30">
        <v>2</v>
      </c>
      <c r="B15" s="38" t="s">
        <v>718</v>
      </c>
      <c r="C15" s="261">
        <f>D15+E15</f>
        <v>350000</v>
      </c>
      <c r="D15" s="261">
        <v>0</v>
      </c>
      <c r="E15" s="261">
        <v>350000</v>
      </c>
      <c r="F15" s="261">
        <f>SUM(I15,J15)</f>
        <v>200000</v>
      </c>
      <c r="G15" s="406">
        <f t="shared" si="2"/>
        <v>2.7752830546566272</v>
      </c>
      <c r="H15" s="406">
        <f t="shared" si="0"/>
        <v>57.142857142857139</v>
      </c>
      <c r="I15" s="261">
        <f>'Phụ lục số 1'!L48</f>
        <v>0</v>
      </c>
      <c r="J15" s="261">
        <f>'Phụ lục số 1'!M48</f>
        <v>200000</v>
      </c>
      <c r="K15" s="261">
        <f>SUM(N15,O15)</f>
        <v>250000</v>
      </c>
      <c r="L15" s="406">
        <f t="shared" si="3"/>
        <v>3.3302544021300839</v>
      </c>
      <c r="M15" s="406">
        <f t="shared" si="4"/>
        <v>71.428571428571431</v>
      </c>
      <c r="N15" s="261">
        <f>'Phụ lục số 1'!R48</f>
        <v>0</v>
      </c>
      <c r="O15" s="523">
        <f>'Phụ lục số 6'!C8</f>
        <v>250000</v>
      </c>
      <c r="P15" s="546">
        <f>100-H15</f>
        <v>42.857142857142861</v>
      </c>
      <c r="Q15" s="20">
        <f>+K18-Q14</f>
        <v>949886</v>
      </c>
      <c r="W15" s="20">
        <f t="shared" si="1"/>
        <v>0</v>
      </c>
    </row>
    <row r="16" spans="1:23" ht="20.100000000000001" hidden="1" customHeight="1">
      <c r="A16" s="30">
        <v>3</v>
      </c>
      <c r="B16" s="38" t="s">
        <v>806</v>
      </c>
      <c r="C16" s="261">
        <f>D16+E16</f>
        <v>0</v>
      </c>
      <c r="D16" s="261">
        <v>0</v>
      </c>
      <c r="E16" s="261">
        <v>0</v>
      </c>
      <c r="F16" s="261">
        <f>SUM(I16,J16)</f>
        <v>0</v>
      </c>
      <c r="G16" s="406"/>
      <c r="H16" s="406"/>
      <c r="I16" s="261"/>
      <c r="J16" s="261"/>
      <c r="K16" s="261">
        <f>SUM(N16,O16)</f>
        <v>0</v>
      </c>
      <c r="L16" s="406"/>
      <c r="M16" s="406"/>
      <c r="N16" s="261">
        <v>0</v>
      </c>
      <c r="O16" s="261">
        <v>0</v>
      </c>
      <c r="W16" s="20">
        <f t="shared" si="1"/>
        <v>0</v>
      </c>
    </row>
    <row r="17" spans="1:23" hidden="1">
      <c r="A17" s="30">
        <v>4</v>
      </c>
      <c r="B17" s="102" t="s">
        <v>441</v>
      </c>
      <c r="C17" s="261">
        <f>D17+E17</f>
        <v>0</v>
      </c>
      <c r="D17" s="261">
        <v>0</v>
      </c>
      <c r="E17" s="261">
        <v>0</v>
      </c>
      <c r="F17" s="261">
        <f>SUM(I17,J17)</f>
        <v>0</v>
      </c>
      <c r="G17" s="406">
        <f t="shared" si="2"/>
        <v>0</v>
      </c>
      <c r="H17" s="406"/>
      <c r="I17" s="261">
        <f>D17</f>
        <v>0</v>
      </c>
      <c r="J17" s="261">
        <v>0</v>
      </c>
      <c r="K17" s="261">
        <f>SUM(N17,O17)</f>
        <v>0</v>
      </c>
      <c r="L17" s="406">
        <f t="shared" si="3"/>
        <v>0</v>
      </c>
      <c r="M17" s="406"/>
      <c r="N17" s="261"/>
      <c r="O17" s="261">
        <v>0</v>
      </c>
      <c r="W17" s="20">
        <f t="shared" si="1"/>
        <v>0</v>
      </c>
    </row>
    <row r="18" spans="1:23">
      <c r="A18" s="100" t="s">
        <v>654</v>
      </c>
      <c r="B18" s="101" t="s">
        <v>669</v>
      </c>
      <c r="C18" s="398">
        <f>SUM(C19,C20,C21,C29,C30,C31)</f>
        <v>5227960.2653913042</v>
      </c>
      <c r="D18" s="398">
        <f>SUM(D19,D20,D21,D29,D30,D31)</f>
        <v>1746850.2653913044</v>
      </c>
      <c r="E18" s="398">
        <f>SUM(E19,E20,E21,E29,E30,E31)</f>
        <v>3481110</v>
      </c>
      <c r="F18" s="398">
        <f>SUM(F19,F20,F21,F29,F30,F31)</f>
        <v>5249960.1349565219</v>
      </c>
      <c r="G18" s="405">
        <f t="shared" si="2"/>
        <v>72.850627000838259</v>
      </c>
      <c r="H18" s="405">
        <f t="shared" si="0"/>
        <v>100.42081172098524</v>
      </c>
      <c r="I18" s="396">
        <f>SUM(I19,I20,I21,I29,I30,I31)</f>
        <v>1768850.1349565217</v>
      </c>
      <c r="J18" s="396">
        <f>SUM(J19,J20,J21,J29,J30,J31)</f>
        <v>3481110</v>
      </c>
      <c r="K18" s="396">
        <f>SUM(K19,K20,K21,K29,K30,K31)</f>
        <v>5584855</v>
      </c>
      <c r="L18" s="405">
        <f t="shared" si="3"/>
        <v>74.395951796032847</v>
      </c>
      <c r="M18" s="405">
        <f>K18/C18%</f>
        <v>106.8266535415602</v>
      </c>
      <c r="N18" s="396">
        <f>SUM(N19,N20,N21,N29,N30,N31)</f>
        <v>1926824</v>
      </c>
      <c r="O18" s="396">
        <f>SUM(O19,O20,O21,O29,O30,O31)</f>
        <v>3658031</v>
      </c>
      <c r="P18" s="20">
        <f>N18-D18</f>
        <v>179973.73460869561</v>
      </c>
      <c r="Q18" s="20">
        <f>+O18-E18</f>
        <v>176921</v>
      </c>
      <c r="R18" s="20">
        <f>+P18+Q18</f>
        <v>356894.73460869561</v>
      </c>
      <c r="S18" s="20">
        <f>181098+35000+24000+52570+5000</f>
        <v>297668</v>
      </c>
      <c r="T18" s="20">
        <f>+K18-S18</f>
        <v>5287187</v>
      </c>
      <c r="U18" s="546">
        <f>+T18/C18%</f>
        <v>101.13288417666011</v>
      </c>
      <c r="V18" s="546">
        <f>+N18/D18%</f>
        <v>110.30275680602655</v>
      </c>
      <c r="W18" s="20">
        <f t="shared" si="1"/>
        <v>179973.73460869561</v>
      </c>
    </row>
    <row r="19" spans="1:23" s="16" customFormat="1" ht="20.100000000000001" customHeight="1">
      <c r="A19" s="29">
        <v>1</v>
      </c>
      <c r="B19" s="36" t="s">
        <v>390</v>
      </c>
      <c r="C19" s="396">
        <f>D19+E19</f>
        <v>849114.95652173914</v>
      </c>
      <c r="D19" s="396">
        <v>147999.95652173914</v>
      </c>
      <c r="E19" s="396">
        <v>701115</v>
      </c>
      <c r="F19" s="396">
        <f>I19+J19</f>
        <v>871115</v>
      </c>
      <c r="G19" s="405">
        <f>F19/$F$11*100</f>
        <v>12.087953490786038</v>
      </c>
      <c r="H19" s="405">
        <f t="shared" si="0"/>
        <v>102.59093816559073</v>
      </c>
      <c r="I19" s="396">
        <f>170000</f>
        <v>170000</v>
      </c>
      <c r="J19" s="396">
        <f>701115</f>
        <v>701115</v>
      </c>
      <c r="K19" s="396">
        <f>N19+O19</f>
        <v>1124633</v>
      </c>
      <c r="L19" s="405">
        <f t="shared" si="3"/>
        <v>14.981255996123052</v>
      </c>
      <c r="M19" s="405">
        <f t="shared" si="4"/>
        <v>132.44767288128756</v>
      </c>
      <c r="N19" s="396">
        <f>'Phụ lục số 4'!K9</f>
        <v>266130</v>
      </c>
      <c r="O19" s="396">
        <f>E19+158458-1070</f>
        <v>858503</v>
      </c>
      <c r="V19" s="546">
        <f t="shared" ref="V19:V42" si="5">+N19/D19%</f>
        <v>179.81762039295546</v>
      </c>
      <c r="W19" s="20">
        <f t="shared" si="1"/>
        <v>118130.04347826086</v>
      </c>
    </row>
    <row r="20" spans="1:23" s="16" customFormat="1" ht="20.100000000000001" customHeight="1">
      <c r="A20" s="29">
        <v>2</v>
      </c>
      <c r="B20" s="36" t="s">
        <v>752</v>
      </c>
      <c r="C20" s="396">
        <f>D20+E20</f>
        <v>60200.17391304348</v>
      </c>
      <c r="D20" s="396">
        <v>28380.17391304348</v>
      </c>
      <c r="E20" s="396">
        <v>31820</v>
      </c>
      <c r="F20" s="396">
        <f>I20+J20</f>
        <v>60200</v>
      </c>
      <c r="G20" s="405">
        <f t="shared" si="2"/>
        <v>0.83536019945164475</v>
      </c>
      <c r="H20" s="405">
        <f t="shared" si="0"/>
        <v>99.999711108735781</v>
      </c>
      <c r="I20" s="396">
        <f>28380</f>
        <v>28380</v>
      </c>
      <c r="J20" s="396">
        <f>31820</f>
        <v>31820</v>
      </c>
      <c r="K20" s="396">
        <f>N20+O20</f>
        <v>60200</v>
      </c>
      <c r="L20" s="405">
        <f t="shared" si="3"/>
        <v>0.80192526003292419</v>
      </c>
      <c r="M20" s="405">
        <f>K20/C20%</f>
        <v>99.999711108735781</v>
      </c>
      <c r="N20" s="396">
        <f>'Phụ lục số 4'!L9</f>
        <v>27167</v>
      </c>
      <c r="O20" s="522">
        <f>'Phụ lục số 6'!C14</f>
        <v>33033</v>
      </c>
      <c r="V20" s="546">
        <f t="shared" si="5"/>
        <v>95.725276678146415</v>
      </c>
      <c r="W20" s="20">
        <f t="shared" si="1"/>
        <v>-1213.1739130434798</v>
      </c>
    </row>
    <row r="21" spans="1:23" ht="20.100000000000001" customHeight="1">
      <c r="A21" s="29">
        <v>3</v>
      </c>
      <c r="B21" s="36" t="s">
        <v>674</v>
      </c>
      <c r="C21" s="396">
        <f>SUM(C22:C28)</f>
        <v>3343985</v>
      </c>
      <c r="D21" s="396">
        <f>SUM(D22:D28)</f>
        <v>1143790</v>
      </c>
      <c r="E21" s="396">
        <f>SUM(E22:E28)</f>
        <v>2200195</v>
      </c>
      <c r="F21" s="396">
        <f>SUM(F22:F28)</f>
        <v>3343985</v>
      </c>
      <c r="G21" s="405">
        <f t="shared" si="2"/>
        <v>46.402524527629701</v>
      </c>
      <c r="H21" s="405">
        <f t="shared" si="0"/>
        <v>100</v>
      </c>
      <c r="I21" s="396">
        <f>SUM(I22:I28)</f>
        <v>1143790</v>
      </c>
      <c r="J21" s="396">
        <f>SUM(J22:J28)</f>
        <v>2200195</v>
      </c>
      <c r="K21" s="396">
        <f>SUM(K22:K28)</f>
        <v>3386472</v>
      </c>
      <c r="L21" s="405">
        <f t="shared" si="3"/>
        <v>45.111253142761079</v>
      </c>
      <c r="M21" s="405">
        <f t="shared" si="4"/>
        <v>101.27054995761046</v>
      </c>
      <c r="N21" s="396">
        <f>SUM(N22:N28)</f>
        <v>1167957</v>
      </c>
      <c r="O21" s="396">
        <f>SUM(O22:O28)</f>
        <v>2218515</v>
      </c>
      <c r="V21" s="546">
        <f t="shared" si="5"/>
        <v>102.11288785528812</v>
      </c>
      <c r="W21" s="20">
        <f t="shared" si="1"/>
        <v>24167</v>
      </c>
    </row>
    <row r="22" spans="1:23" ht="20.100000000000001" customHeight="1">
      <c r="A22" s="30" t="s">
        <v>670</v>
      </c>
      <c r="B22" s="38" t="s">
        <v>789</v>
      </c>
      <c r="C22" s="261">
        <f t="shared" ref="C22:C29" si="6">D22+E22</f>
        <v>26000</v>
      </c>
      <c r="D22" s="261">
        <v>24000</v>
      </c>
      <c r="E22" s="261">
        <v>2000</v>
      </c>
      <c r="F22" s="261">
        <f>SUM(I22,J22)</f>
        <v>26000</v>
      </c>
      <c r="G22" s="406">
        <f t="shared" si="2"/>
        <v>0.36078679710536149</v>
      </c>
      <c r="H22" s="406">
        <f t="shared" si="0"/>
        <v>100</v>
      </c>
      <c r="I22" s="261">
        <f>24000</f>
        <v>24000</v>
      </c>
      <c r="J22" s="261">
        <f>E22</f>
        <v>2000</v>
      </c>
      <c r="K22" s="261">
        <f>N22+O22</f>
        <v>26000</v>
      </c>
      <c r="L22" s="406">
        <f t="shared" si="3"/>
        <v>0.34634645782152873</v>
      </c>
      <c r="M22" s="406">
        <f t="shared" si="4"/>
        <v>100</v>
      </c>
      <c r="N22" s="261">
        <f>'Phụ lục số 4'!M9</f>
        <v>24000</v>
      </c>
      <c r="O22" s="523">
        <f>'Phụ lục số 6'!C13</f>
        <v>2000</v>
      </c>
      <c r="V22" s="546">
        <f t="shared" si="5"/>
        <v>100</v>
      </c>
      <c r="W22" s="20">
        <f t="shared" si="1"/>
        <v>0</v>
      </c>
    </row>
    <row r="23" spans="1:23" ht="20.100000000000001" customHeight="1">
      <c r="A23" s="30" t="s">
        <v>671</v>
      </c>
      <c r="B23" s="38" t="s">
        <v>740</v>
      </c>
      <c r="C23" s="261">
        <f t="shared" si="6"/>
        <v>2442615</v>
      </c>
      <c r="D23" s="261">
        <v>525000</v>
      </c>
      <c r="E23" s="261">
        <v>1917615</v>
      </c>
      <c r="F23" s="261">
        <f>SUM(I23,J23)</f>
        <v>2442615</v>
      </c>
      <c r="G23" s="406">
        <f t="shared" si="2"/>
        <v>33.894740092750489</v>
      </c>
      <c r="H23" s="406">
        <f t="shared" si="0"/>
        <v>100</v>
      </c>
      <c r="I23" s="261">
        <f>525000</f>
        <v>525000</v>
      </c>
      <c r="J23" s="261">
        <f>E23</f>
        <v>1917615</v>
      </c>
      <c r="K23" s="261">
        <f>N23+O23</f>
        <v>2458715</v>
      </c>
      <c r="L23" s="406">
        <f t="shared" si="3"/>
        <v>32.752585809333077</v>
      </c>
      <c r="M23" s="406">
        <f t="shared" si="4"/>
        <v>100.65912966226769</v>
      </c>
      <c r="N23" s="261">
        <f>'Phụ lục số 4'!N9</f>
        <v>522780</v>
      </c>
      <c r="O23" s="523">
        <f>'Phụ lục số 6'!C12</f>
        <v>1935935</v>
      </c>
      <c r="P23" s="20">
        <v>2413884</v>
      </c>
      <c r="R23" s="20">
        <f>+K23-P23</f>
        <v>44831</v>
      </c>
      <c r="V23" s="546">
        <f t="shared" si="5"/>
        <v>99.57714285714286</v>
      </c>
      <c r="W23" s="20">
        <f t="shared" si="1"/>
        <v>-2220</v>
      </c>
    </row>
    <row r="24" spans="1:23" ht="20.100000000000001" customHeight="1">
      <c r="A24" s="30" t="s">
        <v>672</v>
      </c>
      <c r="B24" s="38" t="s">
        <v>675</v>
      </c>
      <c r="C24" s="261">
        <f t="shared" si="6"/>
        <v>520000</v>
      </c>
      <c r="D24" s="261">
        <v>520000</v>
      </c>
      <c r="E24" s="261">
        <v>0</v>
      </c>
      <c r="F24" s="261">
        <f>SUM(I24,J24)</f>
        <v>520000</v>
      </c>
      <c r="G24" s="406">
        <f t="shared" si="2"/>
        <v>7.2157359421072309</v>
      </c>
      <c r="H24" s="406">
        <f t="shared" si="0"/>
        <v>100</v>
      </c>
      <c r="I24" s="261">
        <f t="shared" ref="I24:I32" si="7">D24</f>
        <v>520000</v>
      </c>
      <c r="J24" s="261">
        <f>E24</f>
        <v>0</v>
      </c>
      <c r="K24" s="261">
        <f t="shared" ref="K24:K31" si="8">N24+O24</f>
        <v>526072</v>
      </c>
      <c r="L24" s="406">
        <f t="shared" si="3"/>
        <v>7.0078143753495095</v>
      </c>
      <c r="M24" s="406">
        <f t="shared" si="4"/>
        <v>101.16769230769231</v>
      </c>
      <c r="N24" s="261">
        <f>'Phụ lục số 4'!O9</f>
        <v>526072</v>
      </c>
      <c r="O24" s="261">
        <f t="shared" ref="O24:O29" si="9">E24</f>
        <v>0</v>
      </c>
      <c r="V24" s="546">
        <f t="shared" si="5"/>
        <v>101.16769230769231</v>
      </c>
      <c r="W24" s="20">
        <f>N24-D24</f>
        <v>6072</v>
      </c>
    </row>
    <row r="25" spans="1:23" s="16" customFormat="1" ht="20.100000000000001" customHeight="1">
      <c r="A25" s="30" t="s">
        <v>673</v>
      </c>
      <c r="B25" s="38" t="s">
        <v>677</v>
      </c>
      <c r="C25" s="261">
        <f t="shared" si="6"/>
        <v>50150</v>
      </c>
      <c r="D25" s="261">
        <v>26000</v>
      </c>
      <c r="E25" s="261">
        <v>24150</v>
      </c>
      <c r="F25" s="261">
        <f>SUM(I25,J25)</f>
        <v>50150</v>
      </c>
      <c r="G25" s="406">
        <f t="shared" si="2"/>
        <v>0.69590222595514917</v>
      </c>
      <c r="H25" s="406">
        <f t="shared" si="0"/>
        <v>100</v>
      </c>
      <c r="I25" s="261">
        <f t="shared" si="7"/>
        <v>26000</v>
      </c>
      <c r="J25" s="261">
        <f t="shared" ref="J25:J31" si="10">E25</f>
        <v>24150</v>
      </c>
      <c r="K25" s="261">
        <f t="shared" si="8"/>
        <v>55455</v>
      </c>
      <c r="L25" s="406">
        <f t="shared" si="3"/>
        <v>0.73871703148049528</v>
      </c>
      <c r="M25" s="406">
        <f t="shared" si="4"/>
        <v>110.57826520438684</v>
      </c>
      <c r="N25" s="261">
        <f>'Phụ lục số 4'!P9</f>
        <v>31305</v>
      </c>
      <c r="O25" s="261">
        <f t="shared" si="9"/>
        <v>24150</v>
      </c>
      <c r="V25" s="546">
        <f t="shared" si="5"/>
        <v>120.40384615384616</v>
      </c>
      <c r="W25" s="20">
        <f t="shared" ref="W25:W43" si="11">N25-D25</f>
        <v>5305</v>
      </c>
    </row>
    <row r="26" spans="1:23" s="16" customFormat="1" ht="20.100000000000001" customHeight="1">
      <c r="A26" s="30" t="s">
        <v>676</v>
      </c>
      <c r="B26" s="38" t="s">
        <v>679</v>
      </c>
      <c r="C26" s="261">
        <f t="shared" si="6"/>
        <v>24930</v>
      </c>
      <c r="D26" s="261">
        <v>4400</v>
      </c>
      <c r="E26" s="261">
        <v>20530</v>
      </c>
      <c r="F26" s="261">
        <f t="shared" ref="F26:F32" si="12">SUM(I26,J26)</f>
        <v>24930</v>
      </c>
      <c r="G26" s="406">
        <f t="shared" si="2"/>
        <v>0.34593903276294852</v>
      </c>
      <c r="H26" s="406">
        <f t="shared" si="0"/>
        <v>100</v>
      </c>
      <c r="I26" s="261">
        <f t="shared" si="7"/>
        <v>4400</v>
      </c>
      <c r="J26" s="261">
        <f t="shared" si="10"/>
        <v>20530</v>
      </c>
      <c r="K26" s="261">
        <f t="shared" si="8"/>
        <v>24930</v>
      </c>
      <c r="L26" s="406">
        <f t="shared" si="3"/>
        <v>0.33209296898041196</v>
      </c>
      <c r="M26" s="406">
        <f t="shared" si="4"/>
        <v>100</v>
      </c>
      <c r="N26" s="261">
        <f>'Phụ lục số 4'!Q9</f>
        <v>4400</v>
      </c>
      <c r="O26" s="261">
        <f t="shared" si="9"/>
        <v>20530</v>
      </c>
      <c r="V26" s="546">
        <f t="shared" si="5"/>
        <v>100</v>
      </c>
      <c r="W26" s="20">
        <f t="shared" si="11"/>
        <v>0</v>
      </c>
    </row>
    <row r="27" spans="1:23">
      <c r="A27" s="30" t="s">
        <v>678</v>
      </c>
      <c r="B27" s="38" t="s">
        <v>681</v>
      </c>
      <c r="C27" s="261">
        <f t="shared" si="6"/>
        <v>25900</v>
      </c>
      <c r="D27" s="98">
        <v>15000</v>
      </c>
      <c r="E27" s="98">
        <v>10900</v>
      </c>
      <c r="F27" s="261">
        <f t="shared" si="12"/>
        <v>25900</v>
      </c>
      <c r="G27" s="406">
        <f t="shared" si="2"/>
        <v>0.3593991555780332</v>
      </c>
      <c r="H27" s="406">
        <f t="shared" si="0"/>
        <v>100</v>
      </c>
      <c r="I27" s="261">
        <f t="shared" si="7"/>
        <v>15000</v>
      </c>
      <c r="J27" s="261">
        <f t="shared" si="10"/>
        <v>10900</v>
      </c>
      <c r="K27" s="261">
        <f t="shared" si="8"/>
        <v>25900</v>
      </c>
      <c r="L27" s="406">
        <f t="shared" si="3"/>
        <v>0.34501435606067671</v>
      </c>
      <c r="M27" s="406">
        <f t="shared" si="4"/>
        <v>100</v>
      </c>
      <c r="N27" s="261">
        <f>'Phụ lục số 4'!R9</f>
        <v>15000</v>
      </c>
      <c r="O27" s="261">
        <f t="shared" si="9"/>
        <v>10900</v>
      </c>
      <c r="V27" s="546">
        <f t="shared" si="5"/>
        <v>100</v>
      </c>
      <c r="W27" s="20">
        <f t="shared" si="11"/>
        <v>0</v>
      </c>
    </row>
    <row r="28" spans="1:23">
      <c r="A28" s="30" t="s">
        <v>680</v>
      </c>
      <c r="B28" s="38" t="s">
        <v>682</v>
      </c>
      <c r="C28" s="261">
        <f t="shared" si="6"/>
        <v>254390</v>
      </c>
      <c r="D28" s="98">
        <v>29390</v>
      </c>
      <c r="E28" s="98">
        <v>225000</v>
      </c>
      <c r="F28" s="261">
        <f t="shared" si="12"/>
        <v>254390</v>
      </c>
      <c r="G28" s="406">
        <f t="shared" si="2"/>
        <v>3.5300212813704968</v>
      </c>
      <c r="H28" s="406">
        <f t="shared" si="0"/>
        <v>100</v>
      </c>
      <c r="I28" s="261">
        <f t="shared" si="7"/>
        <v>29390</v>
      </c>
      <c r="J28" s="261">
        <f t="shared" si="10"/>
        <v>225000</v>
      </c>
      <c r="K28" s="261">
        <f t="shared" si="8"/>
        <v>269400</v>
      </c>
      <c r="L28" s="406">
        <f t="shared" si="3"/>
        <v>3.5886821437353786</v>
      </c>
      <c r="M28" s="406">
        <f t="shared" si="4"/>
        <v>105.90038916624081</v>
      </c>
      <c r="N28" s="261">
        <f>'Phụ lục số 4'!S9</f>
        <v>44400</v>
      </c>
      <c r="O28" s="261">
        <f t="shared" si="9"/>
        <v>225000</v>
      </c>
      <c r="V28" s="546">
        <f t="shared" si="5"/>
        <v>151.07179312691392</v>
      </c>
      <c r="W28" s="20">
        <f t="shared" si="11"/>
        <v>15010</v>
      </c>
    </row>
    <row r="29" spans="1:23" s="16" customFormat="1">
      <c r="A29" s="29">
        <v>4</v>
      </c>
      <c r="B29" s="36" t="s">
        <v>683</v>
      </c>
      <c r="C29" s="396">
        <f t="shared" si="6"/>
        <v>760899.73495652177</v>
      </c>
      <c r="D29" s="445">
        <v>321999.73495652177</v>
      </c>
      <c r="E29" s="445">
        <v>438900</v>
      </c>
      <c r="F29" s="396">
        <f t="shared" si="12"/>
        <v>760899.73495652177</v>
      </c>
      <c r="G29" s="405">
        <f t="shared" si="2"/>
        <v>10.558560703587768</v>
      </c>
      <c r="H29" s="405">
        <f t="shared" si="0"/>
        <v>100</v>
      </c>
      <c r="I29" s="396">
        <f t="shared" si="7"/>
        <v>321999.73495652177</v>
      </c>
      <c r="J29" s="396">
        <f t="shared" si="10"/>
        <v>438900</v>
      </c>
      <c r="K29" s="396">
        <f t="shared" si="8"/>
        <v>800351</v>
      </c>
      <c r="L29" s="405">
        <f t="shared" si="3"/>
        <v>10.66148976399686</v>
      </c>
      <c r="M29" s="405">
        <f t="shared" si="4"/>
        <v>105.18481781909577</v>
      </c>
      <c r="N29" s="396">
        <f>'Phụ lục số 4'!T9</f>
        <v>361451</v>
      </c>
      <c r="O29" s="396">
        <f t="shared" si="9"/>
        <v>438900</v>
      </c>
      <c r="V29" s="546">
        <f t="shared" si="5"/>
        <v>112.25195575046209</v>
      </c>
      <c r="W29" s="20">
        <f t="shared" si="11"/>
        <v>39451.265043478226</v>
      </c>
    </row>
    <row r="30" spans="1:23" s="16" customFormat="1">
      <c r="A30" s="29">
        <v>5</v>
      </c>
      <c r="B30" s="36" t="s">
        <v>684</v>
      </c>
      <c r="C30" s="396">
        <f>D30+E30</f>
        <v>135430</v>
      </c>
      <c r="D30" s="445">
        <v>50430</v>
      </c>
      <c r="E30" s="445">
        <v>85000</v>
      </c>
      <c r="F30" s="396">
        <f>I30+J30</f>
        <v>135430</v>
      </c>
      <c r="G30" s="405">
        <f t="shared" si="2"/>
        <v>1.8792829204607349</v>
      </c>
      <c r="H30" s="405">
        <f t="shared" si="0"/>
        <v>100</v>
      </c>
      <c r="I30" s="396">
        <f t="shared" si="7"/>
        <v>50430</v>
      </c>
      <c r="J30" s="396">
        <f t="shared" si="10"/>
        <v>85000</v>
      </c>
      <c r="K30" s="396">
        <f t="shared" si="8"/>
        <v>134845</v>
      </c>
      <c r="L30" s="405">
        <f t="shared" si="3"/>
        <v>1.7962726194209249</v>
      </c>
      <c r="M30" s="405">
        <f t="shared" si="4"/>
        <v>99.568042531196937</v>
      </c>
      <c r="N30" s="396">
        <f>'Phụ lục số 4'!U9</f>
        <v>49845</v>
      </c>
      <c r="O30" s="396">
        <f>ROUND(E30*1,-3)</f>
        <v>85000</v>
      </c>
      <c r="V30" s="546">
        <f t="shared" si="5"/>
        <v>98.839976204640095</v>
      </c>
      <c r="W30" s="20">
        <f t="shared" si="11"/>
        <v>-585</v>
      </c>
    </row>
    <row r="31" spans="1:23" s="16" customFormat="1">
      <c r="A31" s="29">
        <v>6</v>
      </c>
      <c r="B31" s="36" t="s">
        <v>757</v>
      </c>
      <c r="C31" s="396">
        <f t="shared" ref="C31:C36" si="13">SUM(D31,E31)</f>
        <v>78330.399999999994</v>
      </c>
      <c r="D31" s="445">
        <v>54250.400000000001</v>
      </c>
      <c r="E31" s="445">
        <v>24080</v>
      </c>
      <c r="F31" s="396">
        <f t="shared" si="12"/>
        <v>78330.399999999994</v>
      </c>
      <c r="G31" s="405">
        <f t="shared" si="2"/>
        <v>1.0869451589223771</v>
      </c>
      <c r="H31" s="405">
        <f t="shared" si="0"/>
        <v>100</v>
      </c>
      <c r="I31" s="396">
        <f t="shared" si="7"/>
        <v>54250.400000000001</v>
      </c>
      <c r="J31" s="396">
        <f t="shared" si="10"/>
        <v>24080</v>
      </c>
      <c r="K31" s="396">
        <f t="shared" si="8"/>
        <v>78354</v>
      </c>
      <c r="L31" s="405">
        <f t="shared" si="3"/>
        <v>1.0437550136980025</v>
      </c>
      <c r="M31" s="405">
        <f t="shared" si="4"/>
        <v>100.03012878780142</v>
      </c>
      <c r="N31" s="396">
        <f>'Phụ lục số 4'!V9</f>
        <v>54274</v>
      </c>
      <c r="O31" s="396">
        <f>E31</f>
        <v>24080</v>
      </c>
      <c r="V31" s="546">
        <f t="shared" si="5"/>
        <v>100.04350198339552</v>
      </c>
      <c r="W31" s="20">
        <f t="shared" si="11"/>
        <v>23.599999999998545</v>
      </c>
    </row>
    <row r="32" spans="1:23" s="16" customFormat="1">
      <c r="A32" s="29" t="s">
        <v>685</v>
      </c>
      <c r="B32" s="36" t="s">
        <v>702</v>
      </c>
      <c r="C32" s="396">
        <f t="shared" si="13"/>
        <v>2000</v>
      </c>
      <c r="D32" s="445">
        <v>2000</v>
      </c>
      <c r="E32" s="445">
        <v>0</v>
      </c>
      <c r="F32" s="396">
        <f t="shared" si="12"/>
        <v>2000</v>
      </c>
      <c r="G32" s="405">
        <f t="shared" si="2"/>
        <v>2.7752830546566267E-2</v>
      </c>
      <c r="H32" s="405">
        <f t="shared" si="0"/>
        <v>100</v>
      </c>
      <c r="I32" s="396">
        <f t="shared" si="7"/>
        <v>2000</v>
      </c>
      <c r="J32" s="396">
        <v>0</v>
      </c>
      <c r="K32" s="396">
        <f>1400+600</f>
        <v>2000</v>
      </c>
      <c r="L32" s="405">
        <f t="shared" si="3"/>
        <v>2.6642035217040672E-2</v>
      </c>
      <c r="M32" s="405">
        <f t="shared" si="4"/>
        <v>100</v>
      </c>
      <c r="N32" s="396">
        <f>D32</f>
        <v>2000</v>
      </c>
      <c r="O32" s="396">
        <f>E32</f>
        <v>0</v>
      </c>
      <c r="S32" s="543"/>
      <c r="V32" s="546">
        <f t="shared" si="5"/>
        <v>100</v>
      </c>
      <c r="W32" s="20">
        <f t="shared" si="11"/>
        <v>0</v>
      </c>
    </row>
    <row r="33" spans="1:23" s="16" customFormat="1">
      <c r="A33" s="29" t="s">
        <v>686</v>
      </c>
      <c r="B33" s="36" t="s">
        <v>726</v>
      </c>
      <c r="C33" s="396">
        <f t="shared" si="13"/>
        <v>114820</v>
      </c>
      <c r="D33" s="445">
        <v>55960</v>
      </c>
      <c r="E33" s="445">
        <v>58860</v>
      </c>
      <c r="F33" s="396">
        <f>I33+J33</f>
        <v>0</v>
      </c>
      <c r="G33" s="405">
        <f t="shared" si="2"/>
        <v>0</v>
      </c>
      <c r="H33" s="405">
        <f t="shared" si="0"/>
        <v>0</v>
      </c>
      <c r="I33" s="396"/>
      <c r="J33" s="396"/>
      <c r="K33" s="396">
        <v>109200</v>
      </c>
      <c r="L33" s="405"/>
      <c r="M33" s="405"/>
      <c r="N33" s="396">
        <f>K33-O33</f>
        <v>52710</v>
      </c>
      <c r="O33" s="522">
        <f>'Phụ lục số 6'!C23</f>
        <v>56490</v>
      </c>
      <c r="V33" s="546">
        <f t="shared" si="5"/>
        <v>94.19228020014296</v>
      </c>
      <c r="W33" s="20">
        <f t="shared" si="11"/>
        <v>-3250</v>
      </c>
    </row>
    <row r="34" spans="1:23" s="16" customFormat="1" hidden="1">
      <c r="A34" s="29" t="s">
        <v>712</v>
      </c>
      <c r="B34" s="36" t="s">
        <v>787</v>
      </c>
      <c r="C34" s="396">
        <f>SUM(D34,E34)</f>
        <v>0</v>
      </c>
      <c r="D34" s="104">
        <v>0</v>
      </c>
      <c r="E34" s="104">
        <v>0</v>
      </c>
      <c r="F34" s="396">
        <f>I34+J34</f>
        <v>0</v>
      </c>
      <c r="G34" s="405"/>
      <c r="H34" s="405"/>
      <c r="I34" s="396"/>
      <c r="J34" s="396"/>
      <c r="K34" s="36">
        <f>N34+O34</f>
        <v>0</v>
      </c>
      <c r="L34" s="421"/>
      <c r="M34" s="421"/>
      <c r="N34" s="36">
        <v>0</v>
      </c>
      <c r="O34" s="36">
        <f>'Chi NSH'!H25</f>
        <v>0</v>
      </c>
      <c r="V34" s="546" t="e">
        <f t="shared" si="5"/>
        <v>#DIV/0!</v>
      </c>
      <c r="W34" s="20">
        <f t="shared" si="11"/>
        <v>0</v>
      </c>
    </row>
    <row r="35" spans="1:23" s="16" customFormat="1" hidden="1">
      <c r="A35" s="29" t="s">
        <v>711</v>
      </c>
      <c r="B35" s="36" t="s">
        <v>108</v>
      </c>
      <c r="C35" s="396">
        <f>SUM(D35,E35)</f>
        <v>0</v>
      </c>
      <c r="D35" s="104">
        <v>0</v>
      </c>
      <c r="E35" s="104"/>
      <c r="F35" s="396">
        <f>I35+J35</f>
        <v>0</v>
      </c>
      <c r="G35" s="405"/>
      <c r="H35" s="405"/>
      <c r="I35" s="396"/>
      <c r="J35" s="396"/>
      <c r="K35" s="396">
        <f>N35+O35</f>
        <v>0</v>
      </c>
      <c r="L35" s="405"/>
      <c r="M35" s="405"/>
      <c r="N35" s="396"/>
      <c r="O35" s="396"/>
      <c r="V35" s="546" t="e">
        <f t="shared" si="5"/>
        <v>#DIV/0!</v>
      </c>
      <c r="W35" s="20">
        <f t="shared" si="11"/>
        <v>0</v>
      </c>
    </row>
    <row r="36" spans="1:23" s="16" customFormat="1" hidden="1">
      <c r="A36" s="29" t="s">
        <v>762</v>
      </c>
      <c r="B36" s="36" t="s">
        <v>785</v>
      </c>
      <c r="C36" s="396">
        <f t="shared" si="13"/>
        <v>0</v>
      </c>
      <c r="D36" s="104">
        <v>0</v>
      </c>
      <c r="E36" s="104">
        <v>0</v>
      </c>
      <c r="F36" s="396">
        <f>I36+J36</f>
        <v>0</v>
      </c>
      <c r="G36" s="405"/>
      <c r="H36" s="405"/>
      <c r="I36" s="396"/>
      <c r="J36" s="396"/>
      <c r="K36" s="396">
        <f>N36+O36</f>
        <v>0</v>
      </c>
      <c r="L36" s="405"/>
      <c r="M36" s="405"/>
      <c r="N36" s="396">
        <v>0</v>
      </c>
      <c r="O36" s="396">
        <v>0</v>
      </c>
      <c r="V36" s="546" t="e">
        <f t="shared" si="5"/>
        <v>#DIV/0!</v>
      </c>
      <c r="W36" s="20">
        <f t="shared" si="11"/>
        <v>0</v>
      </c>
    </row>
    <row r="37" spans="1:23">
      <c r="A37" s="31" t="s">
        <v>657</v>
      </c>
      <c r="B37" s="63" t="s">
        <v>687</v>
      </c>
      <c r="C37" s="395">
        <f>SUM(C38,C39,C40,C41)</f>
        <v>531512</v>
      </c>
      <c r="D37" s="395">
        <f>SUM(D38,D39,D40,D41)</f>
        <v>495286</v>
      </c>
      <c r="E37" s="395">
        <f>SUM(E38,E39,E40,E41)</f>
        <v>36226</v>
      </c>
      <c r="F37" s="395">
        <f>SUM(F38,F39,F40,F41)</f>
        <v>531512</v>
      </c>
      <c r="G37" s="404">
        <f t="shared" si="2"/>
        <v>7.3754812347332654</v>
      </c>
      <c r="H37" s="404">
        <f t="shared" si="0"/>
        <v>100</v>
      </c>
      <c r="I37" s="395">
        <f>SUM(I38,I39,I40,I41)</f>
        <v>495286</v>
      </c>
      <c r="J37" s="395">
        <f>SUM(J38,J39,J40,J41)</f>
        <v>36226</v>
      </c>
      <c r="K37" s="395">
        <f>N37+O37</f>
        <v>537879</v>
      </c>
      <c r="L37" s="404">
        <f>K37/$K$11*100</f>
        <v>7.16509563025331</v>
      </c>
      <c r="M37" s="404">
        <f>K37/F37*100</f>
        <v>101.19790333990576</v>
      </c>
      <c r="N37" s="395">
        <f>SUM(N38:N41)</f>
        <v>537879</v>
      </c>
      <c r="O37" s="395">
        <f>SUM(O38:O41)</f>
        <v>0</v>
      </c>
      <c r="V37" s="546">
        <f t="shared" si="5"/>
        <v>108.59967776193957</v>
      </c>
      <c r="W37" s="20">
        <f t="shared" si="11"/>
        <v>42593</v>
      </c>
    </row>
    <row r="38" spans="1:23">
      <c r="A38" s="34" t="s">
        <v>641</v>
      </c>
      <c r="B38" s="35" t="s">
        <v>578</v>
      </c>
      <c r="C38" s="396">
        <f>D38+E38</f>
        <v>82256</v>
      </c>
      <c r="D38" s="104">
        <v>65206</v>
      </c>
      <c r="E38" s="104">
        <v>17050</v>
      </c>
      <c r="F38" s="396">
        <f>SUM(I38,J38)</f>
        <v>82256</v>
      </c>
      <c r="G38" s="405"/>
      <c r="H38" s="405"/>
      <c r="I38" s="396">
        <f t="shared" ref="I38:J40" si="14">D38</f>
        <v>65206</v>
      </c>
      <c r="J38" s="396">
        <f t="shared" si="14"/>
        <v>17050</v>
      </c>
      <c r="K38" s="396">
        <f>N38+O38</f>
        <v>76245</v>
      </c>
      <c r="L38" s="405"/>
      <c r="M38" s="405"/>
      <c r="N38" s="396">
        <f>'Phụ lục số 8'!C7</f>
        <v>76245</v>
      </c>
      <c r="O38" s="396">
        <f>'Phụ lục số 6'!C29</f>
        <v>0</v>
      </c>
      <c r="V38" s="546">
        <f t="shared" si="5"/>
        <v>116.92942367266816</v>
      </c>
      <c r="W38" s="20">
        <f t="shared" si="11"/>
        <v>11039</v>
      </c>
    </row>
    <row r="39" spans="1:23" ht="47.25">
      <c r="A39" s="34" t="s">
        <v>654</v>
      </c>
      <c r="B39" s="35" t="s">
        <v>758</v>
      </c>
      <c r="C39" s="396">
        <f>D39+E39</f>
        <v>336800</v>
      </c>
      <c r="D39" s="36">
        <v>329197</v>
      </c>
      <c r="E39" s="104">
        <v>7603</v>
      </c>
      <c r="F39" s="396">
        <f>SUM(I39,J39)</f>
        <v>336800</v>
      </c>
      <c r="G39" s="405"/>
      <c r="H39" s="405"/>
      <c r="I39" s="396">
        <f t="shared" si="14"/>
        <v>329197</v>
      </c>
      <c r="J39" s="396">
        <f t="shared" si="14"/>
        <v>7603</v>
      </c>
      <c r="K39" s="396">
        <f>'Phụ lục số 1'!N60</f>
        <v>372200</v>
      </c>
      <c r="L39" s="405">
        <f>K39/$K$11*100</f>
        <v>4.9580827538912695</v>
      </c>
      <c r="M39" s="405"/>
      <c r="N39" s="396">
        <f>K39-O39</f>
        <v>372200</v>
      </c>
      <c r="O39" s="396">
        <f>'Phụ lục số 6'!C30</f>
        <v>0</v>
      </c>
      <c r="V39" s="546">
        <f t="shared" si="5"/>
        <v>113.06299875150746</v>
      </c>
      <c r="W39" s="20">
        <f t="shared" si="11"/>
        <v>43003</v>
      </c>
    </row>
    <row r="40" spans="1:23" s="16" customFormat="1" ht="49.5" customHeight="1">
      <c r="A40" s="34" t="s">
        <v>685</v>
      </c>
      <c r="B40" s="35" t="s">
        <v>759</v>
      </c>
      <c r="C40" s="396">
        <f>D40+E40</f>
        <v>112456</v>
      </c>
      <c r="D40" s="104">
        <v>100883</v>
      </c>
      <c r="E40" s="104">
        <v>11573</v>
      </c>
      <c r="F40" s="396">
        <f>SUM(I40,J40)</f>
        <v>112456</v>
      </c>
      <c r="G40" s="405"/>
      <c r="H40" s="405"/>
      <c r="I40" s="396">
        <f t="shared" si="14"/>
        <v>100883</v>
      </c>
      <c r="J40" s="396">
        <f t="shared" si="14"/>
        <v>11573</v>
      </c>
      <c r="K40" s="396">
        <f>13230+5000+360+(10700+1000)+80+240+813+286+1500+1651+'Phụ lục số 8'!E60+50527</f>
        <v>89434</v>
      </c>
      <c r="L40" s="405">
        <f>K40/$K$11*100</f>
        <v>1.1913518888004078</v>
      </c>
      <c r="M40" s="405"/>
      <c r="N40" s="396">
        <f>K40</f>
        <v>89434</v>
      </c>
      <c r="O40" s="396"/>
      <c r="V40" s="546">
        <f t="shared" si="5"/>
        <v>88.651209817313116</v>
      </c>
      <c r="W40" s="20">
        <f t="shared" si="11"/>
        <v>-11449</v>
      </c>
    </row>
    <row r="41" spans="1:23" s="16" customFormat="1">
      <c r="A41" s="34" t="s">
        <v>686</v>
      </c>
      <c r="B41" s="35" t="s">
        <v>802</v>
      </c>
      <c r="C41" s="396">
        <f>D41+E41</f>
        <v>0</v>
      </c>
      <c r="D41" s="104">
        <v>0</v>
      </c>
      <c r="E41" s="104"/>
      <c r="F41" s="396">
        <f>SUM(I41,J41)</f>
        <v>0</v>
      </c>
      <c r="G41" s="405"/>
      <c r="H41" s="405"/>
      <c r="I41" s="396">
        <v>0</v>
      </c>
      <c r="J41" s="396"/>
      <c r="K41" s="396"/>
      <c r="L41" s="405"/>
      <c r="M41" s="405"/>
      <c r="N41" s="396">
        <f>K41</f>
        <v>0</v>
      </c>
      <c r="O41" s="396"/>
      <c r="V41" s="546" t="e">
        <f t="shared" si="5"/>
        <v>#DIV/0!</v>
      </c>
      <c r="W41" s="20">
        <f t="shared" si="11"/>
        <v>0</v>
      </c>
    </row>
    <row r="42" spans="1:23" ht="31.5">
      <c r="A42" s="73" t="s">
        <v>661</v>
      </c>
      <c r="B42" s="275" t="s">
        <v>760</v>
      </c>
      <c r="C42" s="399">
        <f>D42+E42</f>
        <v>400000</v>
      </c>
      <c r="D42" s="446">
        <v>281600</v>
      </c>
      <c r="E42" s="446">
        <v>118400</v>
      </c>
      <c r="F42" s="399">
        <f>I42+J42</f>
        <v>800000</v>
      </c>
      <c r="G42" s="407">
        <f t="shared" si="2"/>
        <v>11.101132218626509</v>
      </c>
      <c r="H42" s="407">
        <f t="shared" si="0"/>
        <v>200</v>
      </c>
      <c r="I42" s="399">
        <f>D42+400000</f>
        <v>681600</v>
      </c>
      <c r="J42" s="399">
        <f>E42</f>
        <v>118400</v>
      </c>
      <c r="K42" s="399">
        <f>'Phụ lục số 1'!N63</f>
        <v>600000</v>
      </c>
      <c r="L42" s="407">
        <f>K42/$K$11*100</f>
        <v>7.9926105651122015</v>
      </c>
      <c r="M42" s="407">
        <f>K42/C42%</f>
        <v>150</v>
      </c>
      <c r="N42" s="399">
        <f>K42-O42</f>
        <v>422310</v>
      </c>
      <c r="O42" s="399">
        <f>'Phụ lục số 6'!C27</f>
        <v>177690</v>
      </c>
      <c r="V42" s="546">
        <f t="shared" si="5"/>
        <v>149.96803977272728</v>
      </c>
      <c r="W42" s="20">
        <f t="shared" si="11"/>
        <v>140710</v>
      </c>
    </row>
    <row r="43" spans="1:23" s="23" customFormat="1">
      <c r="A43" s="271"/>
      <c r="B43" s="272"/>
      <c r="C43" s="273"/>
      <c r="D43" s="273"/>
      <c r="E43" s="273"/>
      <c r="F43" s="273"/>
      <c r="G43" s="382"/>
      <c r="H43" s="274"/>
      <c r="I43" s="273"/>
      <c r="J43" s="273"/>
      <c r="K43" s="273"/>
      <c r="L43" s="274"/>
      <c r="M43" s="327"/>
      <c r="N43" s="273"/>
      <c r="O43" s="273"/>
      <c r="W43" s="20">
        <f t="shared" si="11"/>
        <v>0</v>
      </c>
    </row>
    <row r="45" spans="1:23">
      <c r="K45" s="49">
        <f>+'Phụ lục số 1'!Q58-'Phụ lục số 2'!K37</f>
        <v>2283453</v>
      </c>
    </row>
    <row r="46" spans="1:23">
      <c r="M46" s="49">
        <f>+N46+O46</f>
        <v>625577.83333333326</v>
      </c>
      <c r="N46" s="49">
        <f>+N11/12</f>
        <v>262643.58333333331</v>
      </c>
      <c r="O46" s="49">
        <f>+O11/12</f>
        <v>362934.25</v>
      </c>
    </row>
    <row r="47" spans="1:23">
      <c r="M47" s="49">
        <f>+N47+O47</f>
        <v>1876733.5</v>
      </c>
      <c r="N47" s="49">
        <f>+N46*3</f>
        <v>787930.75</v>
      </c>
      <c r="O47" s="49">
        <f>+O46*3</f>
        <v>1088802.75</v>
      </c>
    </row>
  </sheetData>
  <mergeCells count="10">
    <mergeCell ref="K8:O8"/>
    <mergeCell ref="G6:I6"/>
    <mergeCell ref="F8:J8"/>
    <mergeCell ref="A8:A9"/>
    <mergeCell ref="C3:J3"/>
    <mergeCell ref="C1:J1"/>
    <mergeCell ref="C2:J2"/>
    <mergeCell ref="B8:B9"/>
    <mergeCell ref="C8:E8"/>
    <mergeCell ref="D7:E7"/>
  </mergeCells>
  <phoneticPr fontId="2" type="noConversion"/>
  <printOptions horizontalCentered="1"/>
  <pageMargins left="0" right="0" top="0.59055118110236227" bottom="0.39370078740157483" header="0.15748031496062992" footer="0"/>
  <pageSetup paperSize="9" orientation="landscape" r:id="rId1"/>
  <headerFooter alignWithMargins="0">
    <oddHeader>&amp;R&amp;10&amp;A</oddHeader>
    <oddFooter>&amp;R&amp;10&amp;P/&amp;N</oddFooter>
  </headerFooter>
  <ignoredErrors>
    <ignoredError sqref="D12:E12 D21:E21" formulaRange="1"/>
    <ignoredError sqref="C21 F30 N41 C18 J21:K21 K32 N21 K39 O30" formula="1"/>
    <ignoredError sqref="I21" formula="1" formulaRange="1"/>
  </ignoredErrors>
  <legacyDrawing r:id="rId2"/>
</worksheet>
</file>

<file path=xl/worksheets/sheet20.xml><?xml version="1.0" encoding="utf-8"?>
<worksheet xmlns="http://schemas.openxmlformats.org/spreadsheetml/2006/main" xmlns:r="http://schemas.openxmlformats.org/officeDocument/2006/relationships">
  <sheetPr>
    <tabColor rgb="FF0000FF"/>
  </sheetPr>
  <dimension ref="A1:AO35"/>
  <sheetViews>
    <sheetView zoomScale="82" zoomScaleNormal="82" workbookViewId="0">
      <pane xSplit="5" ySplit="6" topLeftCell="F10"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125" style="106" customWidth="1"/>
    <col min="2" max="2" width="25.125" style="5" customWidth="1"/>
    <col min="3" max="3" width="8.875" style="5" customWidth="1"/>
    <col min="4" max="4" width="7.625" style="5" customWidth="1"/>
    <col min="5" max="6" width="8.125" style="5" customWidth="1"/>
    <col min="7" max="7" width="6.625" style="5" customWidth="1"/>
    <col min="8" max="12" width="8.125" style="5" customWidth="1"/>
    <col min="13" max="13" width="6.625" style="5" customWidth="1"/>
    <col min="14" max="15" width="8.125" style="5" customWidth="1"/>
    <col min="16" max="16" width="6.625" style="5" customWidth="1"/>
    <col min="17" max="18" width="8.125" style="5" customWidth="1"/>
    <col min="19" max="19" width="6.625" style="5" customWidth="1"/>
    <col min="20" max="21" width="8.125" style="5" customWidth="1"/>
    <col min="22" max="22" width="6.625" style="5" customWidth="1"/>
    <col min="23" max="24" width="8.125" style="5" customWidth="1"/>
    <col min="25" max="25" width="6.625" style="5" customWidth="1"/>
    <col min="26" max="26" width="8.875" style="5" customWidth="1"/>
    <col min="27" max="27" width="8.125" style="5" customWidth="1"/>
    <col min="28" max="28" width="6.625" style="5" customWidth="1"/>
    <col min="29" max="30" width="8.125" style="5" customWidth="1"/>
    <col min="31" max="31" width="6.625" style="5" customWidth="1"/>
    <col min="32" max="33" width="8.125" style="5" customWidth="1"/>
    <col min="34" max="34" width="6.625" style="5" customWidth="1"/>
    <col min="35" max="36" width="8.125" style="5" customWidth="1"/>
    <col min="37" max="37" width="6.625" style="5" customWidth="1"/>
    <col min="38" max="39" width="8.125" style="5" customWidth="1"/>
    <col min="40" max="40" width="6.625" style="5" customWidth="1"/>
    <col min="41" max="41" width="7.125" style="5" customWidth="1"/>
    <col min="42" max="16384" width="9" style="5"/>
  </cols>
  <sheetData>
    <row r="1" spans="1:41">
      <c r="B1" s="107"/>
      <c r="C1" s="1"/>
      <c r="D1" s="1"/>
      <c r="E1" s="107" t="s">
        <v>876</v>
      </c>
      <c r="F1" s="1"/>
      <c r="G1" s="1"/>
      <c r="H1" s="1"/>
      <c r="I1" s="1"/>
      <c r="J1" s="1"/>
      <c r="K1" s="1"/>
      <c r="L1" s="1"/>
      <c r="M1" s="1"/>
      <c r="N1" s="1"/>
      <c r="O1" s="1"/>
      <c r="P1" s="1"/>
      <c r="Q1" s="1"/>
      <c r="R1" s="1"/>
      <c r="S1" s="1"/>
      <c r="T1" s="1"/>
      <c r="U1" s="15"/>
      <c r="V1" s="15"/>
      <c r="W1" s="15"/>
      <c r="X1" s="1"/>
      <c r="Y1" s="1"/>
      <c r="Z1" s="107" t="s">
        <v>876</v>
      </c>
      <c r="AA1" s="108"/>
      <c r="AB1" s="108"/>
      <c r="AC1" s="108"/>
      <c r="AD1" s="108"/>
      <c r="AE1" s="108"/>
      <c r="AF1" s="108"/>
      <c r="AG1" s="108"/>
      <c r="AH1" s="108"/>
      <c r="AI1" s="108"/>
      <c r="AJ1" s="108"/>
      <c r="AK1" s="108"/>
      <c r="AL1" s="108"/>
      <c r="AM1" s="15"/>
      <c r="AN1" s="15"/>
      <c r="AO1" s="15"/>
    </row>
    <row r="2" spans="1:41">
      <c r="D2" s="60"/>
      <c r="E2" s="60"/>
      <c r="F2" s="109"/>
      <c r="T2" s="22"/>
      <c r="U2" s="688" t="s">
        <v>828</v>
      </c>
      <c r="V2" s="688"/>
      <c r="W2" s="688"/>
      <c r="AL2" s="22"/>
      <c r="AM2" s="689" t="s">
        <v>828</v>
      </c>
      <c r="AN2" s="689"/>
      <c r="AO2" s="689"/>
    </row>
    <row r="3" spans="1:41" s="14" customFormat="1">
      <c r="A3" s="690" t="s">
        <v>689</v>
      </c>
      <c r="B3" s="690" t="s">
        <v>829</v>
      </c>
      <c r="C3" s="687" t="s">
        <v>830</v>
      </c>
      <c r="D3" s="687"/>
      <c r="E3" s="687"/>
      <c r="F3" s="687" t="s">
        <v>831</v>
      </c>
      <c r="G3" s="687"/>
      <c r="H3" s="687"/>
      <c r="I3" s="687" t="s">
        <v>832</v>
      </c>
      <c r="J3" s="687"/>
      <c r="K3" s="687"/>
      <c r="L3" s="687" t="s">
        <v>833</v>
      </c>
      <c r="M3" s="687"/>
      <c r="N3" s="687"/>
      <c r="O3" s="687" t="s">
        <v>834</v>
      </c>
      <c r="P3" s="687"/>
      <c r="Q3" s="687"/>
      <c r="R3" s="687" t="s">
        <v>835</v>
      </c>
      <c r="S3" s="687"/>
      <c r="T3" s="687"/>
      <c r="U3" s="687" t="s">
        <v>836</v>
      </c>
      <c r="V3" s="687"/>
      <c r="W3" s="687"/>
      <c r="X3" s="687" t="s">
        <v>837</v>
      </c>
      <c r="Y3" s="687"/>
      <c r="Z3" s="687"/>
      <c r="AA3" s="687" t="s">
        <v>838</v>
      </c>
      <c r="AB3" s="687"/>
      <c r="AC3" s="687"/>
      <c r="AD3" s="687" t="s">
        <v>839</v>
      </c>
      <c r="AE3" s="687"/>
      <c r="AF3" s="687"/>
      <c r="AG3" s="687" t="s">
        <v>840</v>
      </c>
      <c r="AH3" s="687"/>
      <c r="AI3" s="687"/>
      <c r="AJ3" s="687" t="s">
        <v>199</v>
      </c>
      <c r="AK3" s="687"/>
      <c r="AL3" s="687"/>
      <c r="AM3" s="687" t="s">
        <v>841</v>
      </c>
      <c r="AN3" s="687"/>
      <c r="AO3" s="687"/>
    </row>
    <row r="4" spans="1:41" s="49" customFormat="1" ht="27.75" customHeight="1">
      <c r="A4" s="690"/>
      <c r="B4" s="690"/>
      <c r="C4" s="110" t="s">
        <v>842</v>
      </c>
      <c r="D4" s="110" t="s">
        <v>843</v>
      </c>
      <c r="E4" s="110" t="s">
        <v>844</v>
      </c>
      <c r="F4" s="110" t="s">
        <v>842</v>
      </c>
      <c r="G4" s="110" t="s">
        <v>843</v>
      </c>
      <c r="H4" s="110" t="s">
        <v>844</v>
      </c>
      <c r="I4" s="110" t="s">
        <v>842</v>
      </c>
      <c r="J4" s="110" t="s">
        <v>843</v>
      </c>
      <c r="K4" s="110" t="s">
        <v>844</v>
      </c>
      <c r="L4" s="110" t="s">
        <v>842</v>
      </c>
      <c r="M4" s="110" t="s">
        <v>843</v>
      </c>
      <c r="N4" s="110" t="s">
        <v>844</v>
      </c>
      <c r="O4" s="110" t="s">
        <v>842</v>
      </c>
      <c r="P4" s="110" t="s">
        <v>843</v>
      </c>
      <c r="Q4" s="110" t="s">
        <v>844</v>
      </c>
      <c r="R4" s="110" t="s">
        <v>842</v>
      </c>
      <c r="S4" s="110" t="s">
        <v>843</v>
      </c>
      <c r="T4" s="110" t="s">
        <v>844</v>
      </c>
      <c r="U4" s="110" t="s">
        <v>842</v>
      </c>
      <c r="V4" s="110" t="s">
        <v>843</v>
      </c>
      <c r="W4" s="110" t="s">
        <v>844</v>
      </c>
      <c r="X4" s="110" t="s">
        <v>842</v>
      </c>
      <c r="Y4" s="110" t="s">
        <v>843</v>
      </c>
      <c r="Z4" s="110" t="s">
        <v>844</v>
      </c>
      <c r="AA4" s="110" t="s">
        <v>842</v>
      </c>
      <c r="AB4" s="110" t="s">
        <v>843</v>
      </c>
      <c r="AC4" s="110" t="s">
        <v>844</v>
      </c>
      <c r="AD4" s="110" t="s">
        <v>842</v>
      </c>
      <c r="AE4" s="110" t="s">
        <v>843</v>
      </c>
      <c r="AF4" s="110" t="s">
        <v>844</v>
      </c>
      <c r="AG4" s="110" t="s">
        <v>842</v>
      </c>
      <c r="AH4" s="110" t="s">
        <v>843</v>
      </c>
      <c r="AI4" s="110" t="s">
        <v>844</v>
      </c>
      <c r="AJ4" s="110" t="s">
        <v>842</v>
      </c>
      <c r="AK4" s="110" t="s">
        <v>843</v>
      </c>
      <c r="AL4" s="110" t="s">
        <v>844</v>
      </c>
      <c r="AM4" s="110" t="s">
        <v>842</v>
      </c>
      <c r="AN4" s="110" t="s">
        <v>843</v>
      </c>
      <c r="AO4" s="110" t="s">
        <v>844</v>
      </c>
    </row>
    <row r="5" spans="1:41" s="54" customFormat="1" ht="20.100000000000001" customHeight="1">
      <c r="A5" s="111" t="s">
        <v>641</v>
      </c>
      <c r="B5" s="25" t="s">
        <v>845</v>
      </c>
      <c r="C5" s="120">
        <f>SUM(F5,L5,O5,R5,U5,X5,AA5,AD5,AG5,AJ5,AM5,I5)</f>
        <v>1223800</v>
      </c>
      <c r="D5" s="121"/>
      <c r="E5" s="120">
        <f>SUM(H5,N5,Q5,T5,W5,Z5,AC5,AF5,AI5,AL5,AO5,K5)</f>
        <v>1023300</v>
      </c>
      <c r="F5" s="120">
        <f>SUM(F6,F14:F17,F18:F21,F13)</f>
        <v>33210</v>
      </c>
      <c r="G5" s="120"/>
      <c r="H5" s="120">
        <f>SUM(H6,H14:H17,H18:H21,H13)</f>
        <v>30890</v>
      </c>
      <c r="I5" s="120">
        <f>SUM(I6,I14:I17,I18:I21,I13)</f>
        <v>78750</v>
      </c>
      <c r="J5" s="120"/>
      <c r="K5" s="120">
        <f>SUM(K6,K14:K17,K18:K21,K13)</f>
        <v>74300</v>
      </c>
      <c r="L5" s="120">
        <f>SUM(L6,L14:L17,L18:L21,L13)</f>
        <v>25490</v>
      </c>
      <c r="M5" s="120"/>
      <c r="N5" s="120">
        <f>SUM(N6,N14:N17,N18:N21,N13)</f>
        <v>21850</v>
      </c>
      <c r="O5" s="120">
        <f>SUM(O6,O14:O17,O18:O21,O13)</f>
        <v>40720</v>
      </c>
      <c r="P5" s="120"/>
      <c r="Q5" s="120">
        <f>SUM(Q6,Q14:Q17,Q18:Q21,Q13)</f>
        <v>33590</v>
      </c>
      <c r="R5" s="120">
        <f>SUM(R6,R14:R17,R18:R21,R13)</f>
        <v>102980</v>
      </c>
      <c r="S5" s="120"/>
      <c r="T5" s="120">
        <f>SUM(T6,T14:T17,T18:T21,T13)</f>
        <v>97290</v>
      </c>
      <c r="U5" s="120">
        <f>SUM(U6,U14:U17,U18:U21,U13)</f>
        <v>298750</v>
      </c>
      <c r="V5" s="120"/>
      <c r="W5" s="120">
        <f>SUM(W6,W14:W17,W18:W21,W13)</f>
        <v>222880</v>
      </c>
      <c r="X5" s="120">
        <f>SUM(X6,X14:X17,X18:X21,X13)</f>
        <v>89100</v>
      </c>
      <c r="Y5" s="120"/>
      <c r="Z5" s="120">
        <f>SUM(Z6,Z14:Z17,Z18:Z21,Z13)</f>
        <v>81220</v>
      </c>
      <c r="AA5" s="120">
        <f>SUM(AA6,AA14:AA17,AA18:AA21,AA13)</f>
        <v>82290</v>
      </c>
      <c r="AB5" s="120"/>
      <c r="AC5" s="120">
        <f>SUM(AC6,AC14:AC17,AC18:AC21,AC13)</f>
        <v>74500</v>
      </c>
      <c r="AD5" s="120">
        <f>SUM(AD6,AD14:AD17,AD18:AD21,AD13)</f>
        <v>99850</v>
      </c>
      <c r="AE5" s="120"/>
      <c r="AF5" s="120">
        <f>SUM(AF6,AF14:AF17,AF18:AF21,AF13)</f>
        <v>92870</v>
      </c>
      <c r="AG5" s="120">
        <f>SUM(AG6,AG14:AG17,AG18:AG21,AG13)</f>
        <v>76240</v>
      </c>
      <c r="AH5" s="120"/>
      <c r="AI5" s="120">
        <f>SUM(AI6,AI14:AI17,AI18:AI21,AI13)</f>
        <v>71090</v>
      </c>
      <c r="AJ5" s="120">
        <f>SUM(AJ6,AJ14:AJ17,AJ18:AJ21,AJ13)</f>
        <v>226950</v>
      </c>
      <c r="AK5" s="120"/>
      <c r="AL5" s="120">
        <f>SUM(AL6,AL14:AL17,AL18:AL21,AL13)</f>
        <v>157440</v>
      </c>
      <c r="AM5" s="120">
        <f>SUM(AM6,AM14:AM17,AM18:AM21,AM13)</f>
        <v>69470</v>
      </c>
      <c r="AN5" s="120"/>
      <c r="AO5" s="120">
        <f>SUM(AO6,AO14:AO17,AO18:AO21,AO13)</f>
        <v>65380</v>
      </c>
    </row>
    <row r="6" spans="1:41" s="112" customFormat="1" ht="20.100000000000001" customHeight="1">
      <c r="A6" s="99">
        <v>1</v>
      </c>
      <c r="B6" s="97" t="s">
        <v>846</v>
      </c>
      <c r="C6" s="122">
        <f>SUM(F6,L6,O6,R6,U6,X6,AA6,AD6,AG6,AJ6,AM6,I6)</f>
        <v>650000</v>
      </c>
      <c r="D6" s="122"/>
      <c r="E6" s="122">
        <f>SUM(H6,N6,Q6,T6,W6,Z6,AC6,AF6,AI6,AL6,AO6,K6)</f>
        <v>524800</v>
      </c>
      <c r="F6" s="122">
        <f>SUM(F7:F12)</f>
        <v>6700</v>
      </c>
      <c r="G6" s="122"/>
      <c r="H6" s="122">
        <f t="shared" ref="H6:AL6" si="0">SUM(H7:H12)</f>
        <v>6680</v>
      </c>
      <c r="I6" s="122">
        <f>SUM(I7:I12)</f>
        <v>22500</v>
      </c>
      <c r="J6" s="122"/>
      <c r="K6" s="122">
        <f>SUM(K7:K12)</f>
        <v>22250</v>
      </c>
      <c r="L6" s="122">
        <f t="shared" si="0"/>
        <v>7500</v>
      </c>
      <c r="M6" s="122"/>
      <c r="N6" s="122">
        <f t="shared" si="0"/>
        <v>7360</v>
      </c>
      <c r="O6" s="122">
        <f t="shared" si="0"/>
        <v>12200</v>
      </c>
      <c r="P6" s="122"/>
      <c r="Q6" s="122">
        <f t="shared" si="0"/>
        <v>11970</v>
      </c>
      <c r="R6" s="122">
        <f t="shared" si="0"/>
        <v>55350</v>
      </c>
      <c r="S6" s="122"/>
      <c r="T6" s="122">
        <f t="shared" si="0"/>
        <v>55160</v>
      </c>
      <c r="U6" s="122">
        <f t="shared" si="0"/>
        <v>215300</v>
      </c>
      <c r="V6" s="122"/>
      <c r="W6" s="122">
        <f t="shared" si="0"/>
        <v>150430</v>
      </c>
      <c r="X6" s="122">
        <f t="shared" si="0"/>
        <v>27000</v>
      </c>
      <c r="Y6" s="122"/>
      <c r="Z6" s="122">
        <f t="shared" si="0"/>
        <v>26920</v>
      </c>
      <c r="AA6" s="122">
        <f t="shared" si="0"/>
        <v>22000</v>
      </c>
      <c r="AB6" s="122"/>
      <c r="AC6" s="122">
        <f t="shared" si="0"/>
        <v>21710</v>
      </c>
      <c r="AD6" s="122">
        <f>SUM(AD7:AD12)</f>
        <v>52000</v>
      </c>
      <c r="AE6" s="122"/>
      <c r="AF6" s="122">
        <f t="shared" si="0"/>
        <v>51720</v>
      </c>
      <c r="AG6" s="122">
        <f>SUM(AG7:AG12)</f>
        <v>46300</v>
      </c>
      <c r="AH6" s="122"/>
      <c r="AI6" s="122">
        <f t="shared" si="0"/>
        <v>46150</v>
      </c>
      <c r="AJ6" s="122">
        <f>SUM(AJ7:AJ12)</f>
        <v>150000</v>
      </c>
      <c r="AK6" s="122"/>
      <c r="AL6" s="122">
        <f t="shared" si="0"/>
        <v>91490</v>
      </c>
      <c r="AM6" s="122">
        <f>SUM(AM7:AM12)</f>
        <v>33150</v>
      </c>
      <c r="AN6" s="122"/>
      <c r="AO6" s="122">
        <f>SUM(AO7:AO12)</f>
        <v>32960</v>
      </c>
    </row>
    <row r="7" spans="1:41" ht="20.100000000000001" customHeight="1">
      <c r="A7" s="113" t="s">
        <v>847</v>
      </c>
      <c r="B7" s="98" t="s">
        <v>848</v>
      </c>
      <c r="C7" s="123">
        <f>SUM(F7,L7,O7,R7,U7,X7,AA7,AD7,AG7,AJ7,AM7,I7)</f>
        <v>403480</v>
      </c>
      <c r="D7" s="123"/>
      <c r="E7" s="123">
        <f t="shared" ref="E7:E33" si="1">SUM(H7,N7,Q7,T7,W7,Z7,AC7,AF7,AI7,AL7,AO7,K7)</f>
        <v>334580</v>
      </c>
      <c r="F7" s="123">
        <f>'Thu NSH'!U11</f>
        <v>5400</v>
      </c>
      <c r="G7" s="123">
        <v>100</v>
      </c>
      <c r="H7" s="123">
        <f t="shared" ref="H7:H16" si="2">F7*G7/100</f>
        <v>5400</v>
      </c>
      <c r="I7" s="123">
        <f>'Thu NSH'!AG11</f>
        <v>18300</v>
      </c>
      <c r="J7" s="123">
        <v>100</v>
      </c>
      <c r="K7" s="123">
        <f>I7*J7/100</f>
        <v>18300</v>
      </c>
      <c r="L7" s="123">
        <f>'Thu NSH'!AS11</f>
        <v>6100</v>
      </c>
      <c r="M7" s="123">
        <v>100</v>
      </c>
      <c r="N7" s="123">
        <f t="shared" ref="N7:N16" si="3">L7*M7/100</f>
        <v>6100</v>
      </c>
      <c r="O7" s="123">
        <f>'Thu NSH'!BE11</f>
        <v>7680</v>
      </c>
      <c r="P7" s="123">
        <v>100</v>
      </c>
      <c r="Q7" s="123">
        <f t="shared" ref="Q7:Q16" si="4">O7*P7/100</f>
        <v>7680</v>
      </c>
      <c r="R7" s="123">
        <f>'Thu NSH'!BQ11</f>
        <v>33100</v>
      </c>
      <c r="S7" s="123">
        <v>100</v>
      </c>
      <c r="T7" s="123">
        <f t="shared" ref="T7:T16" si="5">R7*S7/100</f>
        <v>33100</v>
      </c>
      <c r="U7" s="123">
        <f>'Thu NSH'!CC11</f>
        <v>99600</v>
      </c>
      <c r="V7" s="124">
        <v>70</v>
      </c>
      <c r="W7" s="123">
        <f>INT(ROUND(U7*V7/100,-1))</f>
        <v>69720</v>
      </c>
      <c r="X7" s="123">
        <f>'Thu NSH'!CO11</f>
        <v>19370</v>
      </c>
      <c r="Y7" s="123">
        <v>100</v>
      </c>
      <c r="Z7" s="123">
        <f t="shared" ref="Z7:Z16" si="6">X7*Y7/100</f>
        <v>19370</v>
      </c>
      <c r="AA7" s="123">
        <f>'Thu NSH'!DA11</f>
        <v>16590</v>
      </c>
      <c r="AB7" s="123">
        <v>100</v>
      </c>
      <c r="AC7" s="123">
        <f t="shared" ref="AC7:AC16" si="7">AA7*AB7/100</f>
        <v>16590</v>
      </c>
      <c r="AD7" s="123">
        <f>'Thu NSH'!DM11</f>
        <v>38100</v>
      </c>
      <c r="AE7" s="123">
        <v>100</v>
      </c>
      <c r="AF7" s="123">
        <f t="shared" ref="AF7:AF16" si="8">AD7*AE7/100</f>
        <v>38100</v>
      </c>
      <c r="AG7" s="123">
        <f>'Thu NSH'!DY11</f>
        <v>36100</v>
      </c>
      <c r="AH7" s="123">
        <v>100</v>
      </c>
      <c r="AI7" s="123">
        <f t="shared" ref="AI7:AI16" si="9">AG7*AH7/100</f>
        <v>36100</v>
      </c>
      <c r="AJ7" s="123">
        <f>'Thu NSH'!EK11</f>
        <v>97540</v>
      </c>
      <c r="AK7" s="124">
        <v>60</v>
      </c>
      <c r="AL7" s="123">
        <f>ROUND(INT(ROUND(AJ7*AK7/100,0)),-1)</f>
        <v>58520</v>
      </c>
      <c r="AM7" s="123">
        <f>'Thu NSH'!EW11</f>
        <v>25600</v>
      </c>
      <c r="AN7" s="123">
        <v>100</v>
      </c>
      <c r="AO7" s="123">
        <f t="shared" ref="AO7:AO16" si="10">AM7*AN7/100</f>
        <v>25600</v>
      </c>
    </row>
    <row r="8" spans="1:41" ht="20.100000000000001" customHeight="1">
      <c r="A8" s="113" t="s">
        <v>847</v>
      </c>
      <c r="B8" s="98" t="s">
        <v>849</v>
      </c>
      <c r="C8" s="123">
        <f t="shared" ref="C8:C16" si="11">SUM(F8,L8,O8,R8,U8,X8,AA8,AD8,AG8,AJ8,AM8,I8)</f>
        <v>208535</v>
      </c>
      <c r="D8" s="123"/>
      <c r="E8" s="123">
        <f t="shared" si="1"/>
        <v>157785</v>
      </c>
      <c r="F8" s="123">
        <f>'Thu NSH'!U12</f>
        <v>550</v>
      </c>
      <c r="G8" s="123">
        <v>100</v>
      </c>
      <c r="H8" s="123">
        <f t="shared" si="2"/>
        <v>550</v>
      </c>
      <c r="I8" s="123">
        <f>'Thu NSH'!AG12</f>
        <v>2200</v>
      </c>
      <c r="J8" s="123">
        <v>100</v>
      </c>
      <c r="K8" s="123">
        <f>I8*J8/100</f>
        <v>2200</v>
      </c>
      <c r="L8" s="123">
        <f>'Thu NSH'!AS12</f>
        <v>320</v>
      </c>
      <c r="M8" s="123">
        <v>100</v>
      </c>
      <c r="N8" s="123">
        <f t="shared" si="3"/>
        <v>320</v>
      </c>
      <c r="O8" s="123">
        <f>'Thu NSH'!BE12</f>
        <v>2435</v>
      </c>
      <c r="P8" s="123">
        <v>100</v>
      </c>
      <c r="Q8" s="123">
        <f t="shared" si="4"/>
        <v>2435</v>
      </c>
      <c r="R8" s="123">
        <f>'Thu NSH'!BQ12</f>
        <v>20150</v>
      </c>
      <c r="S8" s="123">
        <v>100</v>
      </c>
      <c r="T8" s="123">
        <f t="shared" si="5"/>
        <v>20150</v>
      </c>
      <c r="U8" s="123">
        <f>'Thu NSH'!CC12</f>
        <v>106650</v>
      </c>
      <c r="V8" s="124">
        <v>70</v>
      </c>
      <c r="W8" s="123">
        <f>INT(ROUND(U8*V8/100,-1))</f>
        <v>74660</v>
      </c>
      <c r="X8" s="123">
        <f>'Thu NSH'!CO12</f>
        <v>5260</v>
      </c>
      <c r="Y8" s="123">
        <v>100</v>
      </c>
      <c r="Z8" s="123">
        <f t="shared" si="6"/>
        <v>5260</v>
      </c>
      <c r="AA8" s="123">
        <f>'Thu NSH'!DA12</f>
        <v>2320</v>
      </c>
      <c r="AB8" s="123">
        <v>100</v>
      </c>
      <c r="AC8" s="123">
        <f t="shared" si="7"/>
        <v>2320</v>
      </c>
      <c r="AD8" s="123">
        <f>'Thu NSH'!DM12</f>
        <v>8900</v>
      </c>
      <c r="AE8" s="123">
        <v>100</v>
      </c>
      <c r="AF8" s="123">
        <f t="shared" si="8"/>
        <v>8900</v>
      </c>
      <c r="AG8" s="123">
        <f>'Thu NSH'!DY12</f>
        <v>8140</v>
      </c>
      <c r="AH8" s="123">
        <v>100</v>
      </c>
      <c r="AI8" s="123">
        <f t="shared" si="9"/>
        <v>8140</v>
      </c>
      <c r="AJ8" s="123">
        <f>'Thu NSH'!EK12</f>
        <v>46900</v>
      </c>
      <c r="AK8" s="124">
        <v>60</v>
      </c>
      <c r="AL8" s="123">
        <f>ROUND(INT(ROUND(AJ8*AK8/100,0)),-1)</f>
        <v>28140</v>
      </c>
      <c r="AM8" s="123">
        <f>'Thu NSH'!EW12</f>
        <v>4710</v>
      </c>
      <c r="AN8" s="123">
        <v>100</v>
      </c>
      <c r="AO8" s="123">
        <f t="shared" si="10"/>
        <v>4710</v>
      </c>
    </row>
    <row r="9" spans="1:41" ht="20.100000000000001" customHeight="1">
      <c r="A9" s="113" t="s">
        <v>847</v>
      </c>
      <c r="B9" s="98" t="s">
        <v>850</v>
      </c>
      <c r="C9" s="123">
        <f t="shared" si="11"/>
        <v>4720</v>
      </c>
      <c r="D9" s="123" t="str">
        <f t="shared" ref="D9:D16" si="12">IF(E9=0,"",E9/C9*100)</f>
        <v/>
      </c>
      <c r="E9" s="123">
        <f t="shared" si="1"/>
        <v>0</v>
      </c>
      <c r="F9" s="123">
        <f>'Thu NSH'!U13</f>
        <v>0</v>
      </c>
      <c r="G9" s="123">
        <v>0</v>
      </c>
      <c r="H9" s="123">
        <f>F9*G9/100</f>
        <v>0</v>
      </c>
      <c r="I9" s="123">
        <f>'Thu NSH'!AG13</f>
        <v>250</v>
      </c>
      <c r="J9" s="123">
        <v>0</v>
      </c>
      <c r="K9" s="123">
        <f>I9*J9/100</f>
        <v>0</v>
      </c>
      <c r="L9" s="123">
        <f>'Thu NSH'!AS13</f>
        <v>120</v>
      </c>
      <c r="M9" s="123">
        <v>0</v>
      </c>
      <c r="N9" s="123">
        <f>L9*M9/100</f>
        <v>0</v>
      </c>
      <c r="O9" s="123">
        <f>'Thu NSH'!BE13</f>
        <v>170</v>
      </c>
      <c r="P9" s="123">
        <v>0</v>
      </c>
      <c r="Q9" s="123">
        <f>O9*P9/100</f>
        <v>0</v>
      </c>
      <c r="R9" s="123">
        <f>'Thu NSH'!BQ13</f>
        <v>100</v>
      </c>
      <c r="S9" s="123">
        <v>0</v>
      </c>
      <c r="T9" s="123">
        <f>R9*S9/100</f>
        <v>0</v>
      </c>
      <c r="U9" s="123">
        <f>'Thu NSH'!CC13</f>
        <v>2800</v>
      </c>
      <c r="V9" s="123">
        <v>0</v>
      </c>
      <c r="W9" s="123">
        <f t="shared" ref="W9:W16" si="13">U9*V9/100</f>
        <v>0</v>
      </c>
      <c r="X9" s="123">
        <f>'Thu NSH'!CO13</f>
        <v>80</v>
      </c>
      <c r="Y9" s="123">
        <v>0</v>
      </c>
      <c r="Z9" s="123">
        <f>X9*Y9/100</f>
        <v>0</v>
      </c>
      <c r="AA9" s="123">
        <f>'Thu NSH'!DA13</f>
        <v>200</v>
      </c>
      <c r="AB9" s="123">
        <v>0</v>
      </c>
      <c r="AC9" s="123">
        <f>AA9*AB9/100</f>
        <v>0</v>
      </c>
      <c r="AD9" s="123">
        <f>'Thu NSH'!DM13</f>
        <v>130</v>
      </c>
      <c r="AE9" s="123">
        <v>0</v>
      </c>
      <c r="AF9" s="123">
        <f>AD9*AE9/100</f>
        <v>0</v>
      </c>
      <c r="AG9" s="123">
        <f>'Thu NSH'!DY13</f>
        <v>70</v>
      </c>
      <c r="AH9" s="123">
        <v>0</v>
      </c>
      <c r="AI9" s="123">
        <f>AG9*AH9/100</f>
        <v>0</v>
      </c>
      <c r="AJ9" s="123">
        <f>'Thu NSH'!EK13</f>
        <v>660</v>
      </c>
      <c r="AK9" s="123">
        <v>0</v>
      </c>
      <c r="AL9" s="123">
        <f t="shared" ref="AL9:AL16" si="14">AJ9*AK9/100</f>
        <v>0</v>
      </c>
      <c r="AM9" s="123">
        <f>'Thu NSH'!EW13</f>
        <v>140</v>
      </c>
      <c r="AN9" s="123">
        <v>0</v>
      </c>
      <c r="AO9" s="123">
        <f>AM9*AN9/100</f>
        <v>0</v>
      </c>
    </row>
    <row r="10" spans="1:41" ht="20.100000000000001" customHeight="1">
      <c r="A10" s="113" t="s">
        <v>847</v>
      </c>
      <c r="B10" s="98" t="s">
        <v>646</v>
      </c>
      <c r="C10" s="123">
        <f t="shared" si="11"/>
        <v>830</v>
      </c>
      <c r="D10" s="123" t="str">
        <f t="shared" si="12"/>
        <v/>
      </c>
      <c r="E10" s="123">
        <f t="shared" si="1"/>
        <v>0</v>
      </c>
      <c r="F10" s="123">
        <f>'Thu NSH'!U14</f>
        <v>20</v>
      </c>
      <c r="G10" s="123">
        <v>0</v>
      </c>
      <c r="H10" s="123">
        <v>0</v>
      </c>
      <c r="I10" s="123">
        <f>'Thu NSH'!AG14</f>
        <v>0</v>
      </c>
      <c r="J10" s="123">
        <v>0</v>
      </c>
      <c r="K10" s="123">
        <v>0</v>
      </c>
      <c r="L10" s="123">
        <f>'Thu NSH'!AS14</f>
        <v>20</v>
      </c>
      <c r="M10" s="123">
        <v>0</v>
      </c>
      <c r="N10" s="123">
        <v>0</v>
      </c>
      <c r="O10" s="123">
        <f>'Thu NSH'!BE14</f>
        <v>60</v>
      </c>
      <c r="P10" s="123">
        <v>0</v>
      </c>
      <c r="Q10" s="123">
        <v>0</v>
      </c>
      <c r="R10" s="123">
        <f>'Thu NSH'!BQ14</f>
        <v>90</v>
      </c>
      <c r="S10" s="123">
        <v>0</v>
      </c>
      <c r="T10" s="123">
        <v>0</v>
      </c>
      <c r="U10" s="123">
        <f>'Thu NSH'!CC14</f>
        <v>200</v>
      </c>
      <c r="V10" s="123">
        <v>0</v>
      </c>
      <c r="W10" s="123">
        <v>0</v>
      </c>
      <c r="X10" s="123">
        <f>'Thu NSH'!CO14</f>
        <v>0</v>
      </c>
      <c r="Y10" s="123">
        <v>0</v>
      </c>
      <c r="Z10" s="123">
        <v>0</v>
      </c>
      <c r="AA10" s="123">
        <f>'Thu NSH'!DA14</f>
        <v>90</v>
      </c>
      <c r="AB10" s="123">
        <v>0</v>
      </c>
      <c r="AC10" s="123">
        <v>0</v>
      </c>
      <c r="AD10" s="123">
        <f>'Thu NSH'!DM14</f>
        <v>150</v>
      </c>
      <c r="AE10" s="123">
        <v>0</v>
      </c>
      <c r="AF10" s="123">
        <v>0</v>
      </c>
      <c r="AG10" s="123">
        <f>'Thu NSH'!DY14</f>
        <v>80</v>
      </c>
      <c r="AH10" s="123">
        <v>0</v>
      </c>
      <c r="AI10" s="123">
        <v>0</v>
      </c>
      <c r="AJ10" s="123">
        <f>'Thu NSH'!EK14</f>
        <v>70</v>
      </c>
      <c r="AK10" s="123">
        <v>0</v>
      </c>
      <c r="AL10" s="123">
        <v>0</v>
      </c>
      <c r="AM10" s="123">
        <f>'Thu NSH'!EW14</f>
        <v>50</v>
      </c>
      <c r="AN10" s="123">
        <v>0</v>
      </c>
      <c r="AO10" s="123">
        <f>AM10*AN10/100</f>
        <v>0</v>
      </c>
    </row>
    <row r="11" spans="1:41" ht="20.100000000000001" customHeight="1">
      <c r="A11" s="113" t="s">
        <v>847</v>
      </c>
      <c r="B11" s="98" t="s">
        <v>647</v>
      </c>
      <c r="C11" s="123">
        <f t="shared" si="11"/>
        <v>20495</v>
      </c>
      <c r="D11" s="123">
        <f t="shared" si="12"/>
        <v>100</v>
      </c>
      <c r="E11" s="123">
        <f t="shared" si="1"/>
        <v>20495</v>
      </c>
      <c r="F11" s="123">
        <f>'Thu NSH'!U15</f>
        <v>620</v>
      </c>
      <c r="G11" s="123">
        <v>100</v>
      </c>
      <c r="H11" s="123">
        <f>F11*G11/100</f>
        <v>620</v>
      </c>
      <c r="I11" s="123">
        <f>'Thu NSH'!AG15</f>
        <v>1500</v>
      </c>
      <c r="J11" s="123">
        <v>100</v>
      </c>
      <c r="K11" s="123">
        <f t="shared" ref="K11:K16" si="15">I11*J11/100</f>
        <v>1500</v>
      </c>
      <c r="L11" s="123">
        <f>'Thu NSH'!AS15</f>
        <v>730</v>
      </c>
      <c r="M11" s="123">
        <v>100</v>
      </c>
      <c r="N11" s="123">
        <f>L11*M11/100</f>
        <v>730</v>
      </c>
      <c r="O11" s="123">
        <f>'Thu NSH'!BE15</f>
        <v>1325</v>
      </c>
      <c r="P11" s="123">
        <v>100</v>
      </c>
      <c r="Q11" s="123">
        <f>O11*P11/100</f>
        <v>1325</v>
      </c>
      <c r="R11" s="123">
        <f>'Thu NSH'!BQ15</f>
        <v>1040</v>
      </c>
      <c r="S11" s="123">
        <v>100</v>
      </c>
      <c r="T11" s="123">
        <f>R11*S11/100</f>
        <v>1040</v>
      </c>
      <c r="U11" s="123">
        <f>'Thu NSH'!CC15</f>
        <v>4050</v>
      </c>
      <c r="V11" s="123">
        <v>100</v>
      </c>
      <c r="W11" s="123">
        <f>U11*V11/100</f>
        <v>4050</v>
      </c>
      <c r="X11" s="123">
        <f>'Thu NSH'!CO15</f>
        <v>1660</v>
      </c>
      <c r="Y11" s="123">
        <v>100</v>
      </c>
      <c r="Z11" s="123">
        <f>X11*Y11/100</f>
        <v>1660</v>
      </c>
      <c r="AA11" s="123">
        <f>'Thu NSH'!DA15</f>
        <v>1600</v>
      </c>
      <c r="AB11" s="123">
        <v>100</v>
      </c>
      <c r="AC11" s="123">
        <f>AA11*AB11/100</f>
        <v>1600</v>
      </c>
      <c r="AD11" s="123">
        <f>'Thu NSH'!DM15</f>
        <v>1920</v>
      </c>
      <c r="AE11" s="123">
        <v>100</v>
      </c>
      <c r="AF11" s="123">
        <f>AD11*AE11/100</f>
        <v>1920</v>
      </c>
      <c r="AG11" s="123">
        <f>'Thu NSH'!DY15</f>
        <v>1500</v>
      </c>
      <c r="AH11" s="123">
        <v>100</v>
      </c>
      <c r="AI11" s="123">
        <f>AG11*AH11/100</f>
        <v>1500</v>
      </c>
      <c r="AJ11" s="123">
        <f>'Thu NSH'!EK15</f>
        <v>2530</v>
      </c>
      <c r="AK11" s="123">
        <v>100</v>
      </c>
      <c r="AL11" s="123">
        <f>AJ11*AK11/100</f>
        <v>2530</v>
      </c>
      <c r="AM11" s="123">
        <f>'Thu NSH'!EW15</f>
        <v>2020</v>
      </c>
      <c r="AN11" s="123">
        <v>100</v>
      </c>
      <c r="AO11" s="123">
        <f>AM11*AN11/100</f>
        <v>2020</v>
      </c>
    </row>
    <row r="12" spans="1:41" ht="20.100000000000001" customHeight="1">
      <c r="A12" s="113" t="s">
        <v>847</v>
      </c>
      <c r="B12" s="98" t="s">
        <v>851</v>
      </c>
      <c r="C12" s="123">
        <f t="shared" si="11"/>
        <v>11940</v>
      </c>
      <c r="D12" s="123">
        <f t="shared" si="12"/>
        <v>100</v>
      </c>
      <c r="E12" s="123">
        <f t="shared" si="1"/>
        <v>11940</v>
      </c>
      <c r="F12" s="123">
        <f>'Thu NSH'!U16</f>
        <v>110</v>
      </c>
      <c r="G12" s="123">
        <v>100</v>
      </c>
      <c r="H12" s="123">
        <f>F12*G12/100</f>
        <v>110</v>
      </c>
      <c r="I12" s="123">
        <f>'Thu NSH'!AG16</f>
        <v>250</v>
      </c>
      <c r="J12" s="123">
        <v>100</v>
      </c>
      <c r="K12" s="123">
        <f t="shared" si="15"/>
        <v>250</v>
      </c>
      <c r="L12" s="123">
        <f>'Thu NSH'!AS16</f>
        <v>210</v>
      </c>
      <c r="M12" s="123">
        <v>100</v>
      </c>
      <c r="N12" s="123">
        <f>L12*M12/100</f>
        <v>210</v>
      </c>
      <c r="O12" s="123">
        <f>'Thu NSH'!BE16</f>
        <v>530</v>
      </c>
      <c r="P12" s="123">
        <v>100</v>
      </c>
      <c r="Q12" s="123">
        <f>O12*P12/100</f>
        <v>530</v>
      </c>
      <c r="R12" s="123">
        <f>'Thu NSH'!BQ16</f>
        <v>870</v>
      </c>
      <c r="S12" s="123">
        <v>100</v>
      </c>
      <c r="T12" s="123">
        <f>R12*S12/100</f>
        <v>870</v>
      </c>
      <c r="U12" s="123">
        <f>'Thu NSH'!CC16</f>
        <v>2000</v>
      </c>
      <c r="V12" s="123">
        <v>100</v>
      </c>
      <c r="W12" s="123">
        <f>U12*V12/100</f>
        <v>2000</v>
      </c>
      <c r="X12" s="123">
        <f>'Thu NSH'!CO16</f>
        <v>630</v>
      </c>
      <c r="Y12" s="123">
        <v>100</v>
      </c>
      <c r="Z12" s="123">
        <f>X12*Y12/100</f>
        <v>630</v>
      </c>
      <c r="AA12" s="123">
        <f>'Thu NSH'!DA16</f>
        <v>1200</v>
      </c>
      <c r="AB12" s="123">
        <v>100</v>
      </c>
      <c r="AC12" s="123">
        <f>AA12*AB12/100</f>
        <v>1200</v>
      </c>
      <c r="AD12" s="123">
        <f>'Thu NSH'!DM16</f>
        <v>2800</v>
      </c>
      <c r="AE12" s="123">
        <v>100</v>
      </c>
      <c r="AF12" s="123">
        <f>AD12*AE12/100</f>
        <v>2800</v>
      </c>
      <c r="AG12" s="123">
        <f>'Thu NSH'!DY16</f>
        <v>410</v>
      </c>
      <c r="AH12" s="123">
        <v>100</v>
      </c>
      <c r="AI12" s="123">
        <f>AG12*AH12/100</f>
        <v>410</v>
      </c>
      <c r="AJ12" s="123">
        <f>'Thu NSH'!EK16</f>
        <v>2300</v>
      </c>
      <c r="AK12" s="123">
        <v>100</v>
      </c>
      <c r="AL12" s="123">
        <f>AJ12*AK12/100</f>
        <v>2300</v>
      </c>
      <c r="AM12" s="123">
        <f>'Thu NSH'!EW16</f>
        <v>630</v>
      </c>
      <c r="AN12" s="123">
        <v>100</v>
      </c>
      <c r="AO12" s="123">
        <f>AM12*AN12/100</f>
        <v>630</v>
      </c>
    </row>
    <row r="13" spans="1:41" s="114" customFormat="1" ht="20.100000000000001" customHeight="1">
      <c r="A13" s="99">
        <v>2</v>
      </c>
      <c r="B13" s="97" t="s">
        <v>788</v>
      </c>
      <c r="C13" s="122">
        <f t="shared" si="11"/>
        <v>75300</v>
      </c>
      <c r="D13" s="123" t="str">
        <f t="shared" si="12"/>
        <v/>
      </c>
      <c r="E13" s="122">
        <f t="shared" si="1"/>
        <v>0</v>
      </c>
      <c r="F13" s="122">
        <f>'Thu NSH'!U17</f>
        <v>2300</v>
      </c>
      <c r="G13" s="122">
        <v>0</v>
      </c>
      <c r="H13" s="122">
        <f t="shared" si="2"/>
        <v>0</v>
      </c>
      <c r="I13" s="122">
        <f>'Thu NSH'!AG17</f>
        <v>4200</v>
      </c>
      <c r="J13" s="122">
        <v>0</v>
      </c>
      <c r="K13" s="122">
        <f t="shared" si="15"/>
        <v>0</v>
      </c>
      <c r="L13" s="122">
        <f>'Thu NSH'!AS17</f>
        <v>3500</v>
      </c>
      <c r="M13" s="122">
        <v>0</v>
      </c>
      <c r="N13" s="122">
        <f t="shared" si="3"/>
        <v>0</v>
      </c>
      <c r="O13" s="122">
        <f>'Thu NSH'!BE17</f>
        <v>6900</v>
      </c>
      <c r="P13" s="122">
        <v>0</v>
      </c>
      <c r="Q13" s="122">
        <f t="shared" si="4"/>
        <v>0</v>
      </c>
      <c r="R13" s="122">
        <f>'Thu NSH'!BQ17</f>
        <v>5500</v>
      </c>
      <c r="S13" s="122">
        <v>0</v>
      </c>
      <c r="T13" s="122">
        <f t="shared" si="5"/>
        <v>0</v>
      </c>
      <c r="U13" s="122">
        <f>'Thu NSH'!CC17</f>
        <v>11000</v>
      </c>
      <c r="V13" s="122">
        <v>0</v>
      </c>
      <c r="W13" s="122">
        <f t="shared" si="13"/>
        <v>0</v>
      </c>
      <c r="X13" s="122">
        <f>'Thu NSH'!CO17</f>
        <v>7800</v>
      </c>
      <c r="Y13" s="122">
        <v>0</v>
      </c>
      <c r="Z13" s="122">
        <f t="shared" si="6"/>
        <v>0</v>
      </c>
      <c r="AA13" s="122">
        <f>'Thu NSH'!DA17</f>
        <v>7500</v>
      </c>
      <c r="AB13" s="122">
        <v>0</v>
      </c>
      <c r="AC13" s="122">
        <f t="shared" si="7"/>
        <v>0</v>
      </c>
      <c r="AD13" s="122">
        <f>'Thu NSH'!DM17</f>
        <v>6700</v>
      </c>
      <c r="AE13" s="122">
        <v>0</v>
      </c>
      <c r="AF13" s="122">
        <f>AD13*AE13/100</f>
        <v>0</v>
      </c>
      <c r="AG13" s="122">
        <f>'Thu NSH'!DY17</f>
        <v>5000</v>
      </c>
      <c r="AH13" s="122">
        <v>0</v>
      </c>
      <c r="AI13" s="122">
        <f t="shared" si="9"/>
        <v>0</v>
      </c>
      <c r="AJ13" s="122">
        <f>'Thu NSH'!EK17</f>
        <v>11000</v>
      </c>
      <c r="AK13" s="122">
        <v>0</v>
      </c>
      <c r="AL13" s="122">
        <f t="shared" si="14"/>
        <v>0</v>
      </c>
      <c r="AM13" s="122">
        <f>'Thu NSH'!EW17</f>
        <v>3900</v>
      </c>
      <c r="AN13" s="122">
        <v>0</v>
      </c>
      <c r="AO13" s="122">
        <f t="shared" si="10"/>
        <v>0</v>
      </c>
    </row>
    <row r="14" spans="1:41" s="112" customFormat="1" ht="20.100000000000001" customHeight="1">
      <c r="A14" s="99">
        <v>3</v>
      </c>
      <c r="B14" s="97" t="s">
        <v>649</v>
      </c>
      <c r="C14" s="122">
        <f t="shared" si="11"/>
        <v>97000</v>
      </c>
      <c r="D14" s="123">
        <f t="shared" si="12"/>
        <v>100</v>
      </c>
      <c r="E14" s="122">
        <f t="shared" si="1"/>
        <v>97000</v>
      </c>
      <c r="F14" s="122">
        <f>'Thu NSH'!U18</f>
        <v>2700</v>
      </c>
      <c r="G14" s="122">
        <v>100</v>
      </c>
      <c r="H14" s="122">
        <f t="shared" si="2"/>
        <v>2700</v>
      </c>
      <c r="I14" s="122">
        <f>'Thu NSH'!AG18</f>
        <v>8100</v>
      </c>
      <c r="J14" s="122">
        <v>100</v>
      </c>
      <c r="K14" s="122">
        <f t="shared" si="15"/>
        <v>8100</v>
      </c>
      <c r="L14" s="122">
        <f>'Thu NSH'!AS18</f>
        <v>3800</v>
      </c>
      <c r="M14" s="122">
        <v>100</v>
      </c>
      <c r="N14" s="122">
        <f t="shared" si="3"/>
        <v>3800</v>
      </c>
      <c r="O14" s="122">
        <f>'Thu NSH'!BE18</f>
        <v>5400</v>
      </c>
      <c r="P14" s="122">
        <v>100</v>
      </c>
      <c r="Q14" s="122">
        <f t="shared" si="4"/>
        <v>5400</v>
      </c>
      <c r="R14" s="122">
        <f>'Thu NSH'!BQ18</f>
        <v>6530</v>
      </c>
      <c r="S14" s="122">
        <v>100</v>
      </c>
      <c r="T14" s="122">
        <f t="shared" si="5"/>
        <v>6530</v>
      </c>
      <c r="U14" s="122">
        <f>'Thu NSH'!CC18</f>
        <v>19860</v>
      </c>
      <c r="V14" s="122">
        <v>100</v>
      </c>
      <c r="W14" s="122">
        <f t="shared" si="13"/>
        <v>19860</v>
      </c>
      <c r="X14" s="122">
        <f>'Thu NSH'!CO18</f>
        <v>8800</v>
      </c>
      <c r="Y14" s="122">
        <v>100</v>
      </c>
      <c r="Z14" s="122">
        <f t="shared" si="6"/>
        <v>8800</v>
      </c>
      <c r="AA14" s="122">
        <f>'Thu NSH'!DA18</f>
        <v>7740</v>
      </c>
      <c r="AB14" s="122">
        <v>100</v>
      </c>
      <c r="AC14" s="122">
        <f t="shared" si="7"/>
        <v>7740</v>
      </c>
      <c r="AD14" s="122">
        <f>'Thu NSH'!DM18</f>
        <v>8640</v>
      </c>
      <c r="AE14" s="122">
        <v>100</v>
      </c>
      <c r="AF14" s="122">
        <f t="shared" si="8"/>
        <v>8640</v>
      </c>
      <c r="AG14" s="122">
        <f>'Thu NSH'!DY18</f>
        <v>7500</v>
      </c>
      <c r="AH14" s="122">
        <v>100</v>
      </c>
      <c r="AI14" s="122">
        <f t="shared" si="9"/>
        <v>7500</v>
      </c>
      <c r="AJ14" s="122">
        <f>'Thu NSH'!EK18</f>
        <v>11500</v>
      </c>
      <c r="AK14" s="122">
        <v>100</v>
      </c>
      <c r="AL14" s="122">
        <f t="shared" si="14"/>
        <v>11500</v>
      </c>
      <c r="AM14" s="122">
        <f>'Thu NSH'!EW18</f>
        <v>6430</v>
      </c>
      <c r="AN14" s="122">
        <v>100</v>
      </c>
      <c r="AO14" s="122">
        <f t="shared" si="10"/>
        <v>6430</v>
      </c>
    </row>
    <row r="15" spans="1:41" s="112" customFormat="1" ht="20.100000000000001" customHeight="1">
      <c r="A15" s="99">
        <v>4</v>
      </c>
      <c r="B15" s="97" t="s">
        <v>852</v>
      </c>
      <c r="C15" s="122">
        <f t="shared" si="11"/>
        <v>500</v>
      </c>
      <c r="D15" s="123">
        <f t="shared" si="12"/>
        <v>100</v>
      </c>
      <c r="E15" s="122">
        <f t="shared" si="1"/>
        <v>500</v>
      </c>
      <c r="F15" s="122">
        <f>'Thu NSH'!U19</f>
        <v>0</v>
      </c>
      <c r="G15" s="122">
        <v>100</v>
      </c>
      <c r="H15" s="122">
        <f t="shared" si="2"/>
        <v>0</v>
      </c>
      <c r="I15" s="122">
        <f>'Thu NSH'!AG19</f>
        <v>50</v>
      </c>
      <c r="J15" s="122">
        <v>100</v>
      </c>
      <c r="K15" s="122">
        <f t="shared" si="15"/>
        <v>50</v>
      </c>
      <c r="L15" s="122">
        <f>'Thu NSH'!AS19</f>
        <v>100</v>
      </c>
      <c r="M15" s="122">
        <v>100</v>
      </c>
      <c r="N15" s="122">
        <f t="shared" si="3"/>
        <v>100</v>
      </c>
      <c r="O15" s="122">
        <f>'Thu NSH'!BE19</f>
        <v>100</v>
      </c>
      <c r="P15" s="122">
        <v>100</v>
      </c>
      <c r="Q15" s="122">
        <f t="shared" si="4"/>
        <v>100</v>
      </c>
      <c r="R15" s="122">
        <f>'Thu NSH'!BQ19</f>
        <v>0</v>
      </c>
      <c r="S15" s="122">
        <v>100</v>
      </c>
      <c r="T15" s="122">
        <f t="shared" si="5"/>
        <v>0</v>
      </c>
      <c r="U15" s="122">
        <f>'Thu NSH'!CC19</f>
        <v>0</v>
      </c>
      <c r="V15" s="122">
        <v>100</v>
      </c>
      <c r="W15" s="122">
        <f t="shared" si="13"/>
        <v>0</v>
      </c>
      <c r="X15" s="122">
        <f>'Thu NSH'!CO19</f>
        <v>150</v>
      </c>
      <c r="Y15" s="122">
        <v>100</v>
      </c>
      <c r="Z15" s="122">
        <f t="shared" si="6"/>
        <v>150</v>
      </c>
      <c r="AA15" s="122">
        <f>'Thu NSH'!DA19</f>
        <v>100</v>
      </c>
      <c r="AB15" s="122">
        <v>100</v>
      </c>
      <c r="AC15" s="122">
        <f t="shared" si="7"/>
        <v>100</v>
      </c>
      <c r="AD15" s="122">
        <f>'Thu NSH'!DM19</f>
        <v>0</v>
      </c>
      <c r="AE15" s="122">
        <v>100</v>
      </c>
      <c r="AF15" s="122">
        <f t="shared" si="8"/>
        <v>0</v>
      </c>
      <c r="AG15" s="122">
        <f>'Thu NSH'!DY19</f>
        <v>0</v>
      </c>
      <c r="AH15" s="122">
        <v>100</v>
      </c>
      <c r="AI15" s="122">
        <f t="shared" si="9"/>
        <v>0</v>
      </c>
      <c r="AJ15" s="122">
        <f>'Thu NSH'!EK19</f>
        <v>0</v>
      </c>
      <c r="AK15" s="122">
        <v>100</v>
      </c>
      <c r="AL15" s="122">
        <f t="shared" si="14"/>
        <v>0</v>
      </c>
      <c r="AM15" s="122">
        <f>'Thu NSH'!EW19</f>
        <v>0</v>
      </c>
      <c r="AN15" s="122">
        <v>100</v>
      </c>
      <c r="AO15" s="122">
        <f t="shared" si="10"/>
        <v>0</v>
      </c>
    </row>
    <row r="16" spans="1:41" s="112" customFormat="1" ht="20.100000000000001" customHeight="1">
      <c r="A16" s="99">
        <v>5</v>
      </c>
      <c r="B16" s="97" t="s">
        <v>559</v>
      </c>
      <c r="C16" s="122">
        <f t="shared" si="11"/>
        <v>8000</v>
      </c>
      <c r="D16" s="123">
        <f t="shared" si="12"/>
        <v>100</v>
      </c>
      <c r="E16" s="122">
        <f t="shared" si="1"/>
        <v>8000</v>
      </c>
      <c r="F16" s="122">
        <f>'Thu NSH'!U20</f>
        <v>10</v>
      </c>
      <c r="G16" s="122">
        <v>100</v>
      </c>
      <c r="H16" s="122">
        <f t="shared" si="2"/>
        <v>10</v>
      </c>
      <c r="I16" s="122">
        <f>'Thu NSH'!AG20</f>
        <v>200</v>
      </c>
      <c r="J16" s="122">
        <v>100</v>
      </c>
      <c r="K16" s="122">
        <f t="shared" si="15"/>
        <v>200</v>
      </c>
      <c r="L16" s="122">
        <f>'Thu NSH'!AS20</f>
        <v>150</v>
      </c>
      <c r="M16" s="122">
        <v>100</v>
      </c>
      <c r="N16" s="122">
        <f t="shared" si="3"/>
        <v>150</v>
      </c>
      <c r="O16" s="122">
        <f>'Thu NSH'!BE20</f>
        <v>200</v>
      </c>
      <c r="P16" s="122">
        <v>100</v>
      </c>
      <c r="Q16" s="122">
        <f t="shared" si="4"/>
        <v>200</v>
      </c>
      <c r="R16" s="122">
        <f>'Thu NSH'!BQ20</f>
        <v>600</v>
      </c>
      <c r="S16" s="122">
        <v>100</v>
      </c>
      <c r="T16" s="122">
        <f t="shared" si="5"/>
        <v>600</v>
      </c>
      <c r="U16" s="122">
        <f>'Thu NSH'!CC20</f>
        <v>1890</v>
      </c>
      <c r="V16" s="122">
        <v>100</v>
      </c>
      <c r="W16" s="122">
        <f t="shared" si="13"/>
        <v>1890</v>
      </c>
      <c r="X16" s="122">
        <f>'Thu NSH'!CO20</f>
        <v>850</v>
      </c>
      <c r="Y16" s="122">
        <v>100</v>
      </c>
      <c r="Z16" s="122">
        <f t="shared" si="6"/>
        <v>850</v>
      </c>
      <c r="AA16" s="122">
        <f>'Thu NSH'!DA20</f>
        <v>750</v>
      </c>
      <c r="AB16" s="122">
        <v>100</v>
      </c>
      <c r="AC16" s="122">
        <f t="shared" si="7"/>
        <v>750</v>
      </c>
      <c r="AD16" s="122">
        <f>'Thu NSH'!DM20</f>
        <v>510</v>
      </c>
      <c r="AE16" s="122">
        <v>100</v>
      </c>
      <c r="AF16" s="122">
        <f t="shared" si="8"/>
        <v>510</v>
      </c>
      <c r="AG16" s="122">
        <f>'Thu NSH'!DY20</f>
        <v>540</v>
      </c>
      <c r="AH16" s="122">
        <v>100</v>
      </c>
      <c r="AI16" s="122">
        <f t="shared" si="9"/>
        <v>540</v>
      </c>
      <c r="AJ16" s="122">
        <f>'Thu NSH'!EK20</f>
        <v>1700</v>
      </c>
      <c r="AK16" s="122">
        <v>100</v>
      </c>
      <c r="AL16" s="122">
        <f t="shared" si="14"/>
        <v>1700</v>
      </c>
      <c r="AM16" s="122">
        <f>'Thu NSH'!EW20</f>
        <v>600</v>
      </c>
      <c r="AN16" s="122">
        <v>100</v>
      </c>
      <c r="AO16" s="122">
        <f t="shared" si="10"/>
        <v>600</v>
      </c>
    </row>
    <row r="17" spans="1:41" s="112" customFormat="1" ht="20.100000000000001" customHeight="1">
      <c r="A17" s="99">
        <v>6</v>
      </c>
      <c r="B17" s="97" t="s">
        <v>853</v>
      </c>
      <c r="C17" s="122">
        <f>SUM(F17,L17,O17,R17,U17,X17,AA17,AD17,AG17,AJ17,AM17,I17)</f>
        <v>78000</v>
      </c>
      <c r="D17" s="123"/>
      <c r="E17" s="122">
        <f t="shared" si="1"/>
        <v>78000</v>
      </c>
      <c r="F17" s="122">
        <f>'Thu NSH'!U21</f>
        <v>10000</v>
      </c>
      <c r="G17" s="122">
        <v>100</v>
      </c>
      <c r="H17" s="122">
        <f>F17*G17/100</f>
        <v>10000</v>
      </c>
      <c r="I17" s="122">
        <f>'Thu NSH'!AG21</f>
        <v>1000</v>
      </c>
      <c r="J17" s="122">
        <v>100</v>
      </c>
      <c r="K17" s="122">
        <f>I17*J17/100</f>
        <v>1000</v>
      </c>
      <c r="L17" s="122">
        <f>'Thu NSH'!AS21</f>
        <v>2000</v>
      </c>
      <c r="M17" s="122">
        <v>100</v>
      </c>
      <c r="N17" s="122">
        <f>L17*M17/100</f>
        <v>2000</v>
      </c>
      <c r="O17" s="122">
        <v>5000</v>
      </c>
      <c r="P17" s="532">
        <v>100</v>
      </c>
      <c r="Q17" s="122">
        <f>O17*P17/100</f>
        <v>5000</v>
      </c>
      <c r="R17" s="122">
        <f>'Thu NSH'!BQ21</f>
        <v>12000</v>
      </c>
      <c r="S17" s="532">
        <v>100</v>
      </c>
      <c r="T17" s="122">
        <f>R17*S17/100</f>
        <v>12000</v>
      </c>
      <c r="U17" s="122">
        <v>9000</v>
      </c>
      <c r="V17" s="532">
        <v>100</v>
      </c>
      <c r="W17" s="122">
        <f>U17*V17/100</f>
        <v>9000</v>
      </c>
      <c r="X17" s="122">
        <f>'Thu NSH'!CO21</f>
        <v>9000</v>
      </c>
      <c r="Y17" s="122">
        <v>100</v>
      </c>
      <c r="Z17" s="122">
        <f>X17*Y17/100</f>
        <v>9000</v>
      </c>
      <c r="AA17" s="122">
        <f>'Thu NSH'!DA21</f>
        <v>6000</v>
      </c>
      <c r="AB17" s="122">
        <v>100</v>
      </c>
      <c r="AC17" s="122">
        <f>AA17*AB17/100</f>
        <v>6000</v>
      </c>
      <c r="AD17" s="122">
        <f>'Thu NSH'!DM21</f>
        <v>7000</v>
      </c>
      <c r="AE17" s="122">
        <v>100</v>
      </c>
      <c r="AF17" s="122">
        <f>AD17*AE17/100</f>
        <v>7000</v>
      </c>
      <c r="AG17" s="122">
        <f>'Thu NSH'!DY21</f>
        <v>6000</v>
      </c>
      <c r="AH17" s="122">
        <v>100</v>
      </c>
      <c r="AI17" s="122">
        <f>AG17*AH17/100</f>
        <v>6000</v>
      </c>
      <c r="AJ17" s="122">
        <f>'Thu NSH'!EK21</f>
        <v>5000</v>
      </c>
      <c r="AK17" s="122">
        <v>100</v>
      </c>
      <c r="AL17" s="122">
        <f>AJ17*AK17/100</f>
        <v>5000</v>
      </c>
      <c r="AM17" s="122">
        <f>'Thu NSH'!EW21</f>
        <v>6000</v>
      </c>
      <c r="AN17" s="122">
        <v>100</v>
      </c>
      <c r="AO17" s="122">
        <f>AM17*AN17/100</f>
        <v>6000</v>
      </c>
    </row>
    <row r="18" spans="1:41" s="112" customFormat="1" ht="20.100000000000001" customHeight="1">
      <c r="A18" s="99">
        <v>7</v>
      </c>
      <c r="B18" s="97" t="s">
        <v>790</v>
      </c>
      <c r="C18" s="122">
        <f>SUM(F18,L18,O18,R18,U18,X18,AA18,AD18,AG18,AJ18,AM18,I18)</f>
        <v>22000</v>
      </c>
      <c r="D18" s="123">
        <f>IF(E18=0,"",E18/C18*100)</f>
        <v>100</v>
      </c>
      <c r="E18" s="122">
        <f t="shared" si="1"/>
        <v>22000</v>
      </c>
      <c r="F18" s="122">
        <f>'Thu NSH'!U22</f>
        <v>2500</v>
      </c>
      <c r="G18" s="122">
        <v>100</v>
      </c>
      <c r="H18" s="122">
        <f>F18*G18/100</f>
        <v>2500</v>
      </c>
      <c r="I18" s="122">
        <f>'Thu NSH'!AG22</f>
        <v>200</v>
      </c>
      <c r="J18" s="122">
        <v>100</v>
      </c>
      <c r="K18" s="122">
        <f>I18*J18/100</f>
        <v>200</v>
      </c>
      <c r="L18" s="122">
        <f>'Thu NSH'!AS22</f>
        <v>440</v>
      </c>
      <c r="M18" s="122">
        <v>100</v>
      </c>
      <c r="N18" s="122">
        <f>L18*M18/100</f>
        <v>440</v>
      </c>
      <c r="O18" s="122">
        <f>'Thu NSH'!BE22</f>
        <v>320</v>
      </c>
      <c r="P18" s="122">
        <v>100</v>
      </c>
      <c r="Q18" s="122">
        <f>O18*P18/100</f>
        <v>320</v>
      </c>
      <c r="R18" s="122">
        <f>'Thu NSH'!BQ22</f>
        <v>4600</v>
      </c>
      <c r="S18" s="122">
        <v>100</v>
      </c>
      <c r="T18" s="122">
        <f>R18*S18/100</f>
        <v>4600</v>
      </c>
      <c r="U18" s="122">
        <f>'Thu NSH'!CC22</f>
        <v>6700</v>
      </c>
      <c r="V18" s="122">
        <v>100</v>
      </c>
      <c r="W18" s="122">
        <f>U18*V18/100</f>
        <v>6700</v>
      </c>
      <c r="X18" s="122">
        <f>'Thu NSH'!CO22</f>
        <v>1500</v>
      </c>
      <c r="Y18" s="122">
        <v>100</v>
      </c>
      <c r="Z18" s="122">
        <f>X18*Y18/100</f>
        <v>1500</v>
      </c>
      <c r="AA18" s="122">
        <f>'Thu NSH'!DA22</f>
        <v>200</v>
      </c>
      <c r="AB18" s="122">
        <v>100</v>
      </c>
      <c r="AC18" s="122">
        <f>AA18*AB18/100</f>
        <v>200</v>
      </c>
      <c r="AD18" s="122">
        <f>'Thu NSH'!DM22</f>
        <v>1000</v>
      </c>
      <c r="AE18" s="122">
        <v>100</v>
      </c>
      <c r="AF18" s="122">
        <f>AD18*AE18/100</f>
        <v>1000</v>
      </c>
      <c r="AG18" s="122">
        <f>'Thu NSH'!DY22</f>
        <v>900</v>
      </c>
      <c r="AH18" s="122">
        <v>100</v>
      </c>
      <c r="AI18" s="122">
        <f>AG18*AH18/100</f>
        <v>900</v>
      </c>
      <c r="AJ18" s="122">
        <f>'Thu NSH'!EK22</f>
        <v>2750</v>
      </c>
      <c r="AK18" s="122">
        <v>100</v>
      </c>
      <c r="AL18" s="122">
        <f>AJ18*AK18/100</f>
        <v>2750</v>
      </c>
      <c r="AM18" s="122">
        <f>'Thu NSH'!EW22</f>
        <v>890</v>
      </c>
      <c r="AN18" s="122">
        <v>100</v>
      </c>
      <c r="AO18" s="122">
        <f>AM18*AN18/100</f>
        <v>890</v>
      </c>
    </row>
    <row r="19" spans="1:41" s="112" customFormat="1" ht="20.100000000000001" customHeight="1">
      <c r="A19" s="99">
        <v>8</v>
      </c>
      <c r="B19" s="97" t="s">
        <v>854</v>
      </c>
      <c r="C19" s="122">
        <f>SUM(F19,L19,O19,R19,U19,X19,AA19,AD19,AG19,AJ19,AM19,I19)</f>
        <v>250000</v>
      </c>
      <c r="D19" s="123">
        <f>IF(E19=0,"",E19/C19*100)</f>
        <v>100</v>
      </c>
      <c r="E19" s="122">
        <f t="shared" si="1"/>
        <v>250000</v>
      </c>
      <c r="F19" s="122">
        <f>'Thu NSH'!U23</f>
        <v>5000</v>
      </c>
      <c r="G19" s="122">
        <v>100</v>
      </c>
      <c r="H19" s="122">
        <f>F19*G19/100</f>
        <v>5000</v>
      </c>
      <c r="I19" s="122">
        <f>'Thu NSH'!AG23</f>
        <v>40000</v>
      </c>
      <c r="J19" s="122">
        <v>100</v>
      </c>
      <c r="K19" s="122">
        <f>I19*J19/100</f>
        <v>40000</v>
      </c>
      <c r="L19" s="122">
        <f>'Thu NSH'!AS23</f>
        <v>5000</v>
      </c>
      <c r="M19" s="122">
        <v>100</v>
      </c>
      <c r="N19" s="122">
        <f>L19*M19/100</f>
        <v>5000</v>
      </c>
      <c r="O19" s="122">
        <f>'Thu NSH'!BE23</f>
        <v>9000</v>
      </c>
      <c r="P19" s="122">
        <v>100</v>
      </c>
      <c r="Q19" s="122">
        <f>O19*P19/100</f>
        <v>9000</v>
      </c>
      <c r="R19" s="122">
        <f>'Thu NSH'!BQ23</f>
        <v>14000</v>
      </c>
      <c r="S19" s="122">
        <v>100</v>
      </c>
      <c r="T19" s="122">
        <f>R19*S19/100</f>
        <v>14000</v>
      </c>
      <c r="U19" s="122">
        <f>'Thu NSH'!CC23</f>
        <v>30000</v>
      </c>
      <c r="V19" s="122">
        <v>100</v>
      </c>
      <c r="W19" s="122">
        <f>U19*V19/100</f>
        <v>30000</v>
      </c>
      <c r="X19" s="122">
        <f>'Thu NSH'!CO23</f>
        <v>30000</v>
      </c>
      <c r="Y19" s="122">
        <v>100</v>
      </c>
      <c r="Z19" s="122">
        <f>X19*Y19/100</f>
        <v>30000</v>
      </c>
      <c r="AA19" s="122">
        <f>'Thu NSH'!DA23</f>
        <v>35000</v>
      </c>
      <c r="AB19" s="122">
        <v>100</v>
      </c>
      <c r="AC19" s="122">
        <f>AA19*AB19/100</f>
        <v>35000</v>
      </c>
      <c r="AD19" s="122">
        <f>'Thu NSH'!DM23</f>
        <v>20000</v>
      </c>
      <c r="AE19" s="122">
        <v>100</v>
      </c>
      <c r="AF19" s="122">
        <f>AD19*AE19/100</f>
        <v>20000</v>
      </c>
      <c r="AG19" s="122">
        <f>'Thu NSH'!DY23</f>
        <v>7000</v>
      </c>
      <c r="AH19" s="122">
        <v>100</v>
      </c>
      <c r="AI19" s="122">
        <f>AG19*AH19/100</f>
        <v>7000</v>
      </c>
      <c r="AJ19" s="122">
        <f>'Thu NSH'!EK23</f>
        <v>40000</v>
      </c>
      <c r="AK19" s="122">
        <v>100</v>
      </c>
      <c r="AL19" s="122">
        <f>AJ19*AK19/100</f>
        <v>40000</v>
      </c>
      <c r="AM19" s="122">
        <f>'Thu NSH'!EW23</f>
        <v>15000</v>
      </c>
      <c r="AN19" s="122">
        <v>100</v>
      </c>
      <c r="AO19" s="122">
        <f>AM19*AN19/100</f>
        <v>15000</v>
      </c>
    </row>
    <row r="20" spans="1:41" s="112" customFormat="1" ht="20.100000000000001" customHeight="1">
      <c r="A20" s="99">
        <v>9</v>
      </c>
      <c r="B20" s="97" t="s">
        <v>652</v>
      </c>
      <c r="C20" s="122">
        <f>SUM(F20,L20,O20,R20,U20,X20,AA20,AD20,AG20,AJ20,AM20,I20)</f>
        <v>31000</v>
      </c>
      <c r="D20" s="123"/>
      <c r="E20" s="122">
        <f t="shared" si="1"/>
        <v>31000</v>
      </c>
      <c r="F20" s="122">
        <f>'Thu NSH'!U24</f>
        <v>2000</v>
      </c>
      <c r="G20" s="122">
        <v>100</v>
      </c>
      <c r="H20" s="122">
        <f>F20*G20/100</f>
        <v>2000</v>
      </c>
      <c r="I20" s="122">
        <f>'Thu NSH'!AG24</f>
        <v>2000</v>
      </c>
      <c r="J20" s="122">
        <v>100</v>
      </c>
      <c r="K20" s="122">
        <f>I20*J20/100</f>
        <v>2000</v>
      </c>
      <c r="L20" s="122">
        <f>'Thu NSH'!AS24</f>
        <v>2000</v>
      </c>
      <c r="M20" s="122">
        <v>100</v>
      </c>
      <c r="N20" s="122">
        <f>L20*M20/100</f>
        <v>2000</v>
      </c>
      <c r="O20" s="122">
        <f>'Thu NSH'!BE24</f>
        <v>1000</v>
      </c>
      <c r="P20" s="122">
        <v>100</v>
      </c>
      <c r="Q20" s="122">
        <f>O20*P20/100</f>
        <v>1000</v>
      </c>
      <c r="R20" s="122">
        <f>'Thu NSH'!BQ24</f>
        <v>3000</v>
      </c>
      <c r="S20" s="122">
        <v>100</v>
      </c>
      <c r="T20" s="122">
        <f>R20*S20/100</f>
        <v>3000</v>
      </c>
      <c r="U20" s="122">
        <f>'Thu NSH'!CC24</f>
        <v>4000</v>
      </c>
      <c r="V20" s="122">
        <v>100</v>
      </c>
      <c r="W20" s="122">
        <f>U20*V20/100</f>
        <v>4000</v>
      </c>
      <c r="X20" s="122">
        <f>'Thu NSH'!CO24</f>
        <v>3000</v>
      </c>
      <c r="Y20" s="122">
        <v>100</v>
      </c>
      <c r="Z20" s="122">
        <f>X20*Y20/100</f>
        <v>3000</v>
      </c>
      <c r="AA20" s="122">
        <f>'Thu NSH'!DA24</f>
        <v>2000</v>
      </c>
      <c r="AB20" s="122">
        <v>100</v>
      </c>
      <c r="AC20" s="122">
        <f>AA20*AB20/100</f>
        <v>2000</v>
      </c>
      <c r="AD20" s="122">
        <f>'Thu NSH'!DM24</f>
        <v>3000</v>
      </c>
      <c r="AE20" s="122">
        <v>100</v>
      </c>
      <c r="AF20" s="122">
        <f>AD20*AE20/100</f>
        <v>3000</v>
      </c>
      <c r="AG20" s="122">
        <f>'Thu NSH'!DY24</f>
        <v>2000</v>
      </c>
      <c r="AH20" s="122">
        <v>100</v>
      </c>
      <c r="AI20" s="122">
        <f>AG20*AH20/100</f>
        <v>2000</v>
      </c>
      <c r="AJ20" s="122">
        <f>'Thu NSH'!EK24</f>
        <v>4000</v>
      </c>
      <c r="AK20" s="122">
        <v>100</v>
      </c>
      <c r="AL20" s="122">
        <f>AJ20*AK20/100</f>
        <v>4000</v>
      </c>
      <c r="AM20" s="122">
        <f>'Thu NSH'!EW24</f>
        <v>3000</v>
      </c>
      <c r="AN20" s="122">
        <v>100</v>
      </c>
      <c r="AO20" s="122">
        <f>AM20*AN20/100</f>
        <v>3000</v>
      </c>
    </row>
    <row r="21" spans="1:41" s="114" customFormat="1" ht="20.100000000000001" customHeight="1">
      <c r="A21" s="99">
        <v>10</v>
      </c>
      <c r="B21" s="97" t="s">
        <v>653</v>
      </c>
      <c r="C21" s="122">
        <f>SUM(F21,L21,O21,R21,U21,X21,AA21,AD21,AG21,AJ21,AM21,I21)</f>
        <v>12000</v>
      </c>
      <c r="D21" s="123">
        <f>IF(E21=0,"",E21/C21*100)</f>
        <v>100</v>
      </c>
      <c r="E21" s="122">
        <f t="shared" si="1"/>
        <v>12000</v>
      </c>
      <c r="F21" s="122">
        <f>'Thu NSH'!U25</f>
        <v>2000</v>
      </c>
      <c r="G21" s="122">
        <v>100</v>
      </c>
      <c r="H21" s="122">
        <f>F21*G21/100</f>
        <v>2000</v>
      </c>
      <c r="I21" s="122">
        <f>'Thu NSH'!AG25</f>
        <v>500</v>
      </c>
      <c r="J21" s="122">
        <v>100</v>
      </c>
      <c r="K21" s="122">
        <f>I21*J21/100</f>
        <v>500</v>
      </c>
      <c r="L21" s="122">
        <f>'Thu NSH'!AS25</f>
        <v>1000</v>
      </c>
      <c r="M21" s="122">
        <v>100</v>
      </c>
      <c r="N21" s="122">
        <f>L21*M21/100</f>
        <v>1000</v>
      </c>
      <c r="O21" s="122">
        <f>'Thu NSH'!BE25</f>
        <v>600</v>
      </c>
      <c r="P21" s="122">
        <v>100</v>
      </c>
      <c r="Q21" s="122">
        <f>O21*P21/100</f>
        <v>600</v>
      </c>
      <c r="R21" s="122">
        <f>'Thu NSH'!BQ25</f>
        <v>1400</v>
      </c>
      <c r="S21" s="122">
        <v>100</v>
      </c>
      <c r="T21" s="122">
        <f>R21*S21/100</f>
        <v>1400</v>
      </c>
      <c r="U21" s="122">
        <f>'Thu NSH'!CC25</f>
        <v>1000</v>
      </c>
      <c r="V21" s="122">
        <v>100</v>
      </c>
      <c r="W21" s="122">
        <f>U21*V21/100</f>
        <v>1000</v>
      </c>
      <c r="X21" s="122">
        <f>'Thu NSH'!CO25</f>
        <v>1000</v>
      </c>
      <c r="Y21" s="122">
        <v>100</v>
      </c>
      <c r="Z21" s="122">
        <f>X21*Y21/100</f>
        <v>1000</v>
      </c>
      <c r="AA21" s="122">
        <f>'Thu NSH'!DA25</f>
        <v>1000</v>
      </c>
      <c r="AB21" s="122">
        <v>100</v>
      </c>
      <c r="AC21" s="122">
        <f>AA21*AB21/100</f>
        <v>1000</v>
      </c>
      <c r="AD21" s="122">
        <f>'Thu NSH'!DM25</f>
        <v>1000</v>
      </c>
      <c r="AE21" s="122">
        <v>100</v>
      </c>
      <c r="AF21" s="122">
        <f>AD21*AE21/100</f>
        <v>1000</v>
      </c>
      <c r="AG21" s="122">
        <f>'Thu NSH'!DY25</f>
        <v>1000</v>
      </c>
      <c r="AH21" s="122">
        <v>100</v>
      </c>
      <c r="AI21" s="122">
        <f>AG21*AH21/100</f>
        <v>1000</v>
      </c>
      <c r="AJ21" s="122">
        <f>'Thu NSH'!EK25</f>
        <v>1000</v>
      </c>
      <c r="AK21" s="122">
        <v>100</v>
      </c>
      <c r="AL21" s="122">
        <f>AJ21*AK21/100</f>
        <v>1000</v>
      </c>
      <c r="AM21" s="122">
        <f>'Thu NSH'!EW25</f>
        <v>500</v>
      </c>
      <c r="AN21" s="122">
        <v>100</v>
      </c>
      <c r="AO21" s="122">
        <f>AM21*AN21/100</f>
        <v>500</v>
      </c>
    </row>
    <row r="22" spans="1:41" s="112" customFormat="1" ht="20.100000000000001" customHeight="1">
      <c r="A22" s="99" t="s">
        <v>654</v>
      </c>
      <c r="B22" s="97" t="s">
        <v>855</v>
      </c>
      <c r="C22" s="122">
        <f t="shared" ref="C22:C32" si="16">SUM(F22,L22,O22,R22,U22,X22,AA22,AD22,AG22,AJ22,AM22,I22)</f>
        <v>3263161</v>
      </c>
      <c r="D22" s="123"/>
      <c r="E22" s="122">
        <f t="shared" si="1"/>
        <v>3263161</v>
      </c>
      <c r="F22" s="122">
        <f>F23+F24</f>
        <v>297855</v>
      </c>
      <c r="G22" s="122"/>
      <c r="H22" s="122">
        <f t="shared" ref="H22:H32" si="17">F22</f>
        <v>297855</v>
      </c>
      <c r="I22" s="122">
        <f>I23+I24</f>
        <v>182280</v>
      </c>
      <c r="J22" s="122"/>
      <c r="K22" s="122">
        <f t="shared" ref="K22:K32" si="18">I22</f>
        <v>182280</v>
      </c>
      <c r="L22" s="122">
        <f>L23+L24</f>
        <v>287675</v>
      </c>
      <c r="M22" s="122"/>
      <c r="N22" s="122">
        <f t="shared" ref="N22:N32" si="19">L22</f>
        <v>287675</v>
      </c>
      <c r="O22" s="122">
        <f>O23+O24</f>
        <v>270640</v>
      </c>
      <c r="P22" s="122"/>
      <c r="Q22" s="122">
        <f t="shared" ref="Q22:Q32" si="20">O22</f>
        <v>270640</v>
      </c>
      <c r="R22" s="122">
        <f>R23+R24</f>
        <v>252575</v>
      </c>
      <c r="S22" s="122"/>
      <c r="T22" s="122">
        <f t="shared" ref="T22:T32" si="21">R22</f>
        <v>252575</v>
      </c>
      <c r="U22" s="122">
        <f>U23+U24</f>
        <v>147110</v>
      </c>
      <c r="V22" s="122"/>
      <c r="W22" s="122">
        <f t="shared" ref="W22:W32" si="22">U22</f>
        <v>147110</v>
      </c>
      <c r="X22" s="122">
        <f>X23+X24</f>
        <v>398058</v>
      </c>
      <c r="Y22" s="122"/>
      <c r="Z22" s="122">
        <f t="shared" ref="Z22:Z31" si="23">X22</f>
        <v>398058</v>
      </c>
      <c r="AA22" s="122">
        <f>AA23+AA24</f>
        <v>312929</v>
      </c>
      <c r="AB22" s="122"/>
      <c r="AC22" s="122">
        <f t="shared" ref="AC22:AC31" si="24">AA22</f>
        <v>312929</v>
      </c>
      <c r="AD22" s="122">
        <f>AD23+AD24</f>
        <v>338310</v>
      </c>
      <c r="AE22" s="122"/>
      <c r="AF22" s="122">
        <f t="shared" ref="AF22:AF31" si="25">AD22</f>
        <v>338310</v>
      </c>
      <c r="AG22" s="122">
        <f>AG23+AG24</f>
        <v>275074</v>
      </c>
      <c r="AH22" s="122"/>
      <c r="AI22" s="122">
        <f t="shared" ref="AI22:AI31" si="26">AG22</f>
        <v>275074</v>
      </c>
      <c r="AJ22" s="122">
        <f>AJ23+AJ24</f>
        <v>214565</v>
      </c>
      <c r="AK22" s="122"/>
      <c r="AL22" s="122">
        <f t="shared" ref="AL22:AL31" si="27">AJ22</f>
        <v>214565</v>
      </c>
      <c r="AM22" s="122">
        <f>AM23+AM24</f>
        <v>286090</v>
      </c>
      <c r="AN22" s="122"/>
      <c r="AO22" s="122">
        <f t="shared" ref="AO22:AO31" si="28">AM22</f>
        <v>286090</v>
      </c>
    </row>
    <row r="23" spans="1:41" s="114" customFormat="1" ht="20.100000000000001" customHeight="1">
      <c r="A23" s="99">
        <v>1</v>
      </c>
      <c r="B23" s="97" t="s">
        <v>856</v>
      </c>
      <c r="C23" s="122">
        <f t="shared" si="16"/>
        <v>1153620</v>
      </c>
      <c r="D23" s="122"/>
      <c r="E23" s="122">
        <f t="shared" si="1"/>
        <v>1153620</v>
      </c>
      <c r="F23" s="122">
        <f>'Chi NSH'!P9</f>
        <v>138230</v>
      </c>
      <c r="G23" s="122"/>
      <c r="H23" s="122">
        <f t="shared" si="17"/>
        <v>138230</v>
      </c>
      <c r="I23" s="122">
        <f>'Chi NSH'!X9</f>
        <v>72140</v>
      </c>
      <c r="J23" s="122"/>
      <c r="K23" s="122">
        <f t="shared" si="18"/>
        <v>72140</v>
      </c>
      <c r="L23" s="122">
        <f>'Chi NSH'!AF9</f>
        <v>135930</v>
      </c>
      <c r="M23" s="122"/>
      <c r="N23" s="122">
        <f t="shared" si="19"/>
        <v>135930</v>
      </c>
      <c r="O23" s="122">
        <f>'Chi NSH'!AN9</f>
        <v>113580</v>
      </c>
      <c r="P23" s="122"/>
      <c r="Q23" s="122">
        <f t="shared" si="20"/>
        <v>113580</v>
      </c>
      <c r="R23" s="122">
        <f>'Chi NSH'!AV9</f>
        <v>140800</v>
      </c>
      <c r="S23" s="122"/>
      <c r="T23" s="122">
        <f t="shared" si="21"/>
        <v>140800</v>
      </c>
      <c r="U23" s="122">
        <f>'Chi NSH'!BD9</f>
        <v>0</v>
      </c>
      <c r="V23" s="122"/>
      <c r="W23" s="122">
        <f t="shared" si="22"/>
        <v>0</v>
      </c>
      <c r="X23" s="122">
        <f>'Chi NSH'!BL9</f>
        <v>181315</v>
      </c>
      <c r="Y23" s="122"/>
      <c r="Z23" s="122">
        <f t="shared" si="23"/>
        <v>181315</v>
      </c>
      <c r="AA23" s="122">
        <f>'Chi NSH'!BT9</f>
        <v>144865</v>
      </c>
      <c r="AB23" s="122"/>
      <c r="AC23" s="122">
        <f t="shared" si="24"/>
        <v>144865</v>
      </c>
      <c r="AD23" s="122">
        <f>'Chi NSH'!CB9</f>
        <v>15490</v>
      </c>
      <c r="AE23" s="122"/>
      <c r="AF23" s="122">
        <f t="shared" si="25"/>
        <v>15490</v>
      </c>
      <c r="AG23" s="122">
        <f>'Chi NSH'!CJ9</f>
        <v>137020</v>
      </c>
      <c r="AH23" s="122"/>
      <c r="AI23" s="122">
        <f t="shared" si="26"/>
        <v>137020</v>
      </c>
      <c r="AJ23" s="122">
        <f>'Chi NSH'!CR9</f>
        <v>0</v>
      </c>
      <c r="AK23" s="122"/>
      <c r="AL23" s="122">
        <f t="shared" si="27"/>
        <v>0</v>
      </c>
      <c r="AM23" s="122">
        <f>'Chi NSH'!CZ9</f>
        <v>74250</v>
      </c>
      <c r="AN23" s="122"/>
      <c r="AO23" s="122">
        <f t="shared" si="28"/>
        <v>74250</v>
      </c>
    </row>
    <row r="24" spans="1:41" s="114" customFormat="1" ht="20.100000000000001" customHeight="1">
      <c r="A24" s="99">
        <v>2</v>
      </c>
      <c r="B24" s="97" t="s">
        <v>857</v>
      </c>
      <c r="C24" s="122">
        <f t="shared" si="16"/>
        <v>2109541</v>
      </c>
      <c r="D24" s="122"/>
      <c r="E24" s="122">
        <f t="shared" si="1"/>
        <v>2109541</v>
      </c>
      <c r="F24" s="122">
        <f>SUM(F25:F31)</f>
        <v>159625</v>
      </c>
      <c r="G24" s="122"/>
      <c r="H24" s="122">
        <f t="shared" si="17"/>
        <v>159625</v>
      </c>
      <c r="I24" s="122">
        <f>SUM(I25:I31)</f>
        <v>110140</v>
      </c>
      <c r="J24" s="122"/>
      <c r="K24" s="122">
        <f t="shared" si="18"/>
        <v>110140</v>
      </c>
      <c r="L24" s="122">
        <f>SUM(L25:L31)</f>
        <v>151745</v>
      </c>
      <c r="M24" s="122"/>
      <c r="N24" s="122">
        <f t="shared" si="19"/>
        <v>151745</v>
      </c>
      <c r="O24" s="122">
        <f>SUM(O25:O31)</f>
        <v>157060</v>
      </c>
      <c r="P24" s="122"/>
      <c r="Q24" s="122">
        <f t="shared" si="20"/>
        <v>157060</v>
      </c>
      <c r="R24" s="122">
        <f>SUM(R25:R31)</f>
        <v>111775</v>
      </c>
      <c r="S24" s="122"/>
      <c r="T24" s="122">
        <f t="shared" si="21"/>
        <v>111775</v>
      </c>
      <c r="U24" s="122">
        <f>SUM(U25:U31)</f>
        <v>147110</v>
      </c>
      <c r="V24" s="122"/>
      <c r="W24" s="122">
        <f t="shared" si="22"/>
        <v>147110</v>
      </c>
      <c r="X24" s="122">
        <f>SUM(X25:X31)</f>
        <v>216743</v>
      </c>
      <c r="Y24" s="122"/>
      <c r="Z24" s="122">
        <f t="shared" si="23"/>
        <v>216743</v>
      </c>
      <c r="AA24" s="122">
        <f>SUM(AA25:AA31)</f>
        <v>168064</v>
      </c>
      <c r="AB24" s="122"/>
      <c r="AC24" s="122">
        <f t="shared" si="24"/>
        <v>168064</v>
      </c>
      <c r="AD24" s="122">
        <f>SUM(AD25:AD31)</f>
        <v>322820</v>
      </c>
      <c r="AE24" s="122"/>
      <c r="AF24" s="122">
        <f t="shared" si="25"/>
        <v>322820</v>
      </c>
      <c r="AG24" s="122">
        <f>SUM(AG25:AG31)</f>
        <v>138054</v>
      </c>
      <c r="AH24" s="122"/>
      <c r="AI24" s="122">
        <f t="shared" si="26"/>
        <v>138054</v>
      </c>
      <c r="AJ24" s="122">
        <f>SUM(AJ25:AJ31)</f>
        <v>214565</v>
      </c>
      <c r="AK24" s="122"/>
      <c r="AL24" s="122">
        <f t="shared" si="27"/>
        <v>214565</v>
      </c>
      <c r="AM24" s="122">
        <f>SUM(AM25:AM31)</f>
        <v>211840</v>
      </c>
      <c r="AN24" s="122"/>
      <c r="AO24" s="122">
        <f t="shared" si="28"/>
        <v>211840</v>
      </c>
    </row>
    <row r="25" spans="1:41" ht="38.25">
      <c r="A25" s="113" t="s">
        <v>847</v>
      </c>
      <c r="B25" s="602" t="s">
        <v>962</v>
      </c>
      <c r="C25" s="601">
        <f t="shared" si="16"/>
        <v>312228</v>
      </c>
      <c r="D25" s="601"/>
      <c r="E25" s="601">
        <f t="shared" si="1"/>
        <v>312228</v>
      </c>
      <c r="F25" s="601">
        <f>'Chi NSH'!P10</f>
        <v>21210</v>
      </c>
      <c r="G25" s="601"/>
      <c r="H25" s="601">
        <f t="shared" si="17"/>
        <v>21210</v>
      </c>
      <c r="I25" s="601">
        <f>'Chi NSH'!X10</f>
        <v>12580</v>
      </c>
      <c r="J25" s="601"/>
      <c r="K25" s="601">
        <f t="shared" si="18"/>
        <v>12580</v>
      </c>
      <c r="L25" s="601">
        <f>'Chi NSH'!AF10</f>
        <v>30675</v>
      </c>
      <c r="M25" s="601"/>
      <c r="N25" s="601">
        <f t="shared" si="19"/>
        <v>30675</v>
      </c>
      <c r="O25" s="601">
        <f>'Chi NSH'!AN10</f>
        <v>41660</v>
      </c>
      <c r="P25" s="601"/>
      <c r="Q25" s="601">
        <f t="shared" si="20"/>
        <v>41660</v>
      </c>
      <c r="R25" s="601">
        <f>'Chi NSH'!AV10</f>
        <v>29650</v>
      </c>
      <c r="S25" s="601"/>
      <c r="T25" s="601">
        <f t="shared" si="21"/>
        <v>29650</v>
      </c>
      <c r="U25" s="601">
        <f>'Chi NSH'!BD10</f>
        <v>9650</v>
      </c>
      <c r="V25" s="601"/>
      <c r="W25" s="601">
        <f t="shared" si="22"/>
        <v>9650</v>
      </c>
      <c r="X25" s="601">
        <f>'Chi NSH'!BL10</f>
        <v>43950</v>
      </c>
      <c r="Y25" s="601"/>
      <c r="Z25" s="601">
        <f t="shared" si="23"/>
        <v>43950</v>
      </c>
      <c r="AA25" s="601">
        <f>'Chi NSH'!BT10</f>
        <v>47824</v>
      </c>
      <c r="AB25" s="601"/>
      <c r="AC25" s="601">
        <f t="shared" si="24"/>
        <v>47824</v>
      </c>
      <c r="AD25" s="601">
        <f>'Chi NSH'!CB10</f>
        <v>23850</v>
      </c>
      <c r="AE25" s="601"/>
      <c r="AF25" s="601">
        <f t="shared" si="25"/>
        <v>23850</v>
      </c>
      <c r="AG25" s="601">
        <f>'Chi NSH'!CJ10</f>
        <v>23249</v>
      </c>
      <c r="AH25" s="601"/>
      <c r="AI25" s="601">
        <f t="shared" si="26"/>
        <v>23249</v>
      </c>
      <c r="AJ25" s="601">
        <f>'Chi NSH'!CR10</f>
        <v>5300</v>
      </c>
      <c r="AK25" s="601"/>
      <c r="AL25" s="601">
        <f t="shared" si="27"/>
        <v>5300</v>
      </c>
      <c r="AM25" s="601">
        <f>'Chi NSH'!CZ10</f>
        <v>22630</v>
      </c>
      <c r="AN25" s="601"/>
      <c r="AO25" s="601">
        <f t="shared" si="28"/>
        <v>22630</v>
      </c>
    </row>
    <row r="26" spans="1:41" ht="25.5">
      <c r="A26" s="113" t="s">
        <v>847</v>
      </c>
      <c r="B26" s="602" t="s">
        <v>539</v>
      </c>
      <c r="C26" s="601">
        <f t="shared" si="16"/>
        <v>244063</v>
      </c>
      <c r="D26" s="601"/>
      <c r="E26" s="601">
        <f t="shared" si="1"/>
        <v>244063</v>
      </c>
      <c r="F26" s="601">
        <f>'Chi NSH'!P11</f>
        <v>27955</v>
      </c>
      <c r="G26" s="601"/>
      <c r="H26" s="601">
        <f t="shared" si="17"/>
        <v>27955</v>
      </c>
      <c r="I26" s="601">
        <f>'Chi NSH'!X11</f>
        <v>15810</v>
      </c>
      <c r="J26" s="601"/>
      <c r="K26" s="601">
        <f t="shared" si="18"/>
        <v>15810</v>
      </c>
      <c r="L26" s="601">
        <f>'Chi NSH'!AF11</f>
        <v>21640</v>
      </c>
      <c r="M26" s="601"/>
      <c r="N26" s="601">
        <f t="shared" si="19"/>
        <v>21640</v>
      </c>
      <c r="O26" s="601">
        <f>'Chi NSH'!AN11</f>
        <v>15215</v>
      </c>
      <c r="P26" s="601"/>
      <c r="Q26" s="601">
        <f t="shared" si="20"/>
        <v>15215</v>
      </c>
      <c r="R26" s="601">
        <f>'Chi NSH'!AV11</f>
        <v>23275</v>
      </c>
      <c r="S26" s="601"/>
      <c r="T26" s="601">
        <f t="shared" si="21"/>
        <v>23275</v>
      </c>
      <c r="U26" s="601">
        <f>'Chi NSH'!BD11</f>
        <v>16640</v>
      </c>
      <c r="V26" s="601"/>
      <c r="W26" s="601">
        <f t="shared" si="22"/>
        <v>16640</v>
      </c>
      <c r="X26" s="601">
        <f>'Chi NSH'!BL11</f>
        <v>31153</v>
      </c>
      <c r="Y26" s="601"/>
      <c r="Z26" s="601">
        <f t="shared" si="23"/>
        <v>31153</v>
      </c>
      <c r="AA26" s="601">
        <f>'Chi NSH'!BT11</f>
        <v>13870</v>
      </c>
      <c r="AB26" s="601"/>
      <c r="AC26" s="601">
        <f t="shared" si="24"/>
        <v>13870</v>
      </c>
      <c r="AD26" s="601">
        <f>'Chi NSH'!CB11</f>
        <v>27740</v>
      </c>
      <c r="AE26" s="601"/>
      <c r="AF26" s="601">
        <f t="shared" si="25"/>
        <v>27740</v>
      </c>
      <c r="AG26" s="601">
        <f>'Chi NSH'!CJ11</f>
        <v>18660</v>
      </c>
      <c r="AH26" s="601"/>
      <c r="AI26" s="601">
        <f t="shared" si="26"/>
        <v>18660</v>
      </c>
      <c r="AJ26" s="601">
        <f>'Chi NSH'!CR11</f>
        <v>11865</v>
      </c>
      <c r="AK26" s="601"/>
      <c r="AL26" s="601">
        <f t="shared" si="27"/>
        <v>11865</v>
      </c>
      <c r="AM26" s="601">
        <f>'Chi NSH'!CZ11</f>
        <v>20240</v>
      </c>
      <c r="AN26" s="601"/>
      <c r="AO26" s="601">
        <f t="shared" si="28"/>
        <v>20240</v>
      </c>
    </row>
    <row r="27" spans="1:41" ht="25.5">
      <c r="A27" s="113" t="s">
        <v>847</v>
      </c>
      <c r="B27" s="602" t="s">
        <v>908</v>
      </c>
      <c r="C27" s="601">
        <f t="shared" si="16"/>
        <v>1085290</v>
      </c>
      <c r="D27" s="601"/>
      <c r="E27" s="601">
        <f t="shared" si="1"/>
        <v>1085290</v>
      </c>
      <c r="F27" s="601">
        <f>'Chi NSH'!P12</f>
        <v>96930</v>
      </c>
      <c r="G27" s="601"/>
      <c r="H27" s="601">
        <f t="shared" si="17"/>
        <v>96930</v>
      </c>
      <c r="I27" s="601">
        <f>'Chi NSH'!X12</f>
        <v>56840</v>
      </c>
      <c r="J27" s="601"/>
      <c r="K27" s="601">
        <f t="shared" si="18"/>
        <v>56840</v>
      </c>
      <c r="L27" s="601">
        <f>'Chi NSH'!AF12</f>
        <v>82130</v>
      </c>
      <c r="M27" s="601"/>
      <c r="N27" s="601">
        <f t="shared" si="19"/>
        <v>82130</v>
      </c>
      <c r="O27" s="601">
        <f>'Chi NSH'!AN12</f>
        <v>71055</v>
      </c>
      <c r="P27" s="601"/>
      <c r="Q27" s="601">
        <f t="shared" si="20"/>
        <v>71055</v>
      </c>
      <c r="R27" s="601">
        <f>'Chi NSH'!AV12</f>
        <v>52350</v>
      </c>
      <c r="S27" s="601"/>
      <c r="T27" s="601">
        <f t="shared" si="21"/>
        <v>52350</v>
      </c>
      <c r="U27" s="601">
        <f>'Chi NSH'!BD12</f>
        <v>96620</v>
      </c>
      <c r="V27" s="601"/>
      <c r="W27" s="601">
        <f t="shared" si="22"/>
        <v>96620</v>
      </c>
      <c r="X27" s="601">
        <f>'Chi NSH'!BL12</f>
        <v>103470</v>
      </c>
      <c r="Y27" s="601"/>
      <c r="Z27" s="601">
        <f t="shared" si="23"/>
        <v>103470</v>
      </c>
      <c r="AA27" s="601">
        <f>'Chi NSH'!BT12</f>
        <v>83570</v>
      </c>
      <c r="AB27" s="601"/>
      <c r="AC27" s="601">
        <f t="shared" si="24"/>
        <v>83570</v>
      </c>
      <c r="AD27" s="601">
        <f>'Chi NSH'!CB12</f>
        <v>165500</v>
      </c>
      <c r="AE27" s="601"/>
      <c r="AF27" s="601">
        <f t="shared" si="25"/>
        <v>165500</v>
      </c>
      <c r="AG27" s="601">
        <f>'Chi NSH'!CJ12</f>
        <v>65995</v>
      </c>
      <c r="AH27" s="601"/>
      <c r="AI27" s="601">
        <f t="shared" si="26"/>
        <v>65995</v>
      </c>
      <c r="AJ27" s="601">
        <f>'Chi NSH'!CR12</f>
        <v>113440</v>
      </c>
      <c r="AK27" s="601"/>
      <c r="AL27" s="601">
        <f t="shared" si="27"/>
        <v>113440</v>
      </c>
      <c r="AM27" s="601">
        <f>'Chi NSH'!CZ12</f>
        <v>97390</v>
      </c>
      <c r="AN27" s="601"/>
      <c r="AO27" s="601">
        <f t="shared" si="28"/>
        <v>97390</v>
      </c>
    </row>
    <row r="28" spans="1:41">
      <c r="A28" s="113" t="s">
        <v>847</v>
      </c>
      <c r="B28" s="602" t="s">
        <v>929</v>
      </c>
      <c r="C28" s="601">
        <f t="shared" si="16"/>
        <v>290270</v>
      </c>
      <c r="D28" s="601"/>
      <c r="E28" s="601">
        <f t="shared" si="1"/>
        <v>290270</v>
      </c>
      <c r="F28" s="601">
        <f>'Chi NSH'!P13</f>
        <v>9530</v>
      </c>
      <c r="G28" s="601"/>
      <c r="H28" s="601">
        <f t="shared" si="17"/>
        <v>9530</v>
      </c>
      <c r="I28" s="601">
        <f>'Chi NSH'!X13</f>
        <v>5010</v>
      </c>
      <c r="J28" s="601"/>
      <c r="K28" s="601">
        <f t="shared" si="18"/>
        <v>5010</v>
      </c>
      <c r="L28" s="601">
        <f>'Chi NSH'!AF13</f>
        <v>9500</v>
      </c>
      <c r="M28" s="601"/>
      <c r="N28" s="601">
        <f t="shared" si="19"/>
        <v>9500</v>
      </c>
      <c r="O28" s="601">
        <f>'Chi NSH'!AN13</f>
        <v>7240</v>
      </c>
      <c r="P28" s="601"/>
      <c r="Q28" s="601">
        <f t="shared" si="20"/>
        <v>7240</v>
      </c>
      <c r="R28" s="601">
        <f>'Chi NSH'!AV13</f>
        <v>0</v>
      </c>
      <c r="S28" s="601"/>
      <c r="T28" s="601">
        <f t="shared" si="21"/>
        <v>0</v>
      </c>
      <c r="U28" s="601">
        <f>'Chi NSH'!BD13</f>
        <v>17000</v>
      </c>
      <c r="V28" s="601"/>
      <c r="W28" s="601">
        <f t="shared" si="22"/>
        <v>17000</v>
      </c>
      <c r="X28" s="601">
        <f>'Chi NSH'!BL13</f>
        <v>13370</v>
      </c>
      <c r="Y28" s="601"/>
      <c r="Z28" s="601">
        <f t="shared" si="23"/>
        <v>13370</v>
      </c>
      <c r="AA28" s="601">
        <f>'Chi NSH'!BT13</f>
        <v>12000</v>
      </c>
      <c r="AB28" s="601"/>
      <c r="AC28" s="601">
        <f t="shared" si="24"/>
        <v>12000</v>
      </c>
      <c r="AD28" s="601">
        <f>'Chi NSH'!CB13</f>
        <v>86730</v>
      </c>
      <c r="AE28" s="601"/>
      <c r="AF28" s="601">
        <f t="shared" si="25"/>
        <v>86730</v>
      </c>
      <c r="AG28" s="601">
        <f>'Chi NSH'!CJ13</f>
        <v>3850</v>
      </c>
      <c r="AH28" s="601"/>
      <c r="AI28" s="601">
        <f t="shared" si="26"/>
        <v>3850</v>
      </c>
      <c r="AJ28" s="601">
        <f>'Chi NSH'!CR13</f>
        <v>81460</v>
      </c>
      <c r="AK28" s="601"/>
      <c r="AL28" s="601">
        <f t="shared" si="27"/>
        <v>81460</v>
      </c>
      <c r="AM28" s="601">
        <f>'Chi NSH'!CZ13</f>
        <v>44580</v>
      </c>
      <c r="AN28" s="601"/>
      <c r="AO28" s="601">
        <f t="shared" si="28"/>
        <v>44580</v>
      </c>
    </row>
    <row r="29" spans="1:41" ht="25.5">
      <c r="A29" s="113" t="s">
        <v>847</v>
      </c>
      <c r="B29" s="602" t="s">
        <v>601</v>
      </c>
      <c r="C29" s="601">
        <f t="shared" si="16"/>
        <v>0</v>
      </c>
      <c r="D29" s="601"/>
      <c r="E29" s="601">
        <f t="shared" si="1"/>
        <v>0</v>
      </c>
      <c r="F29" s="601">
        <f>'[1]HỒNG NGỰ '!$B$97</f>
        <v>0</v>
      </c>
      <c r="G29" s="601"/>
      <c r="H29" s="601">
        <f t="shared" si="17"/>
        <v>0</v>
      </c>
      <c r="I29" s="601">
        <f>'[1]TX.HỒNG NGỰ'!$B$97</f>
        <v>0</v>
      </c>
      <c r="J29" s="601"/>
      <c r="K29" s="601">
        <f t="shared" si="18"/>
        <v>0</v>
      </c>
      <c r="L29" s="601">
        <f>'[1]TÂN HỒNG'!$B$97</f>
        <v>0</v>
      </c>
      <c r="M29" s="601"/>
      <c r="N29" s="601">
        <f t="shared" si="19"/>
        <v>0</v>
      </c>
      <c r="O29" s="601">
        <f>'[1]TAM NÔNG'!$B$97</f>
        <v>0</v>
      </c>
      <c r="P29" s="601"/>
      <c r="Q29" s="601">
        <f t="shared" si="20"/>
        <v>0</v>
      </c>
      <c r="R29" s="601">
        <f>'[1]THANH BÌNH'!$B$97</f>
        <v>0</v>
      </c>
      <c r="S29" s="601"/>
      <c r="T29" s="601">
        <f t="shared" si="21"/>
        <v>0</v>
      </c>
      <c r="U29" s="601">
        <f>'[1]TP CAO LÃNH'!$B$97</f>
        <v>0</v>
      </c>
      <c r="V29" s="601"/>
      <c r="W29" s="601">
        <f t="shared" si="22"/>
        <v>0</v>
      </c>
      <c r="X29" s="601">
        <f>'[1]H. CAO LÃNH'!$B$97</f>
        <v>0</v>
      </c>
      <c r="Y29" s="601"/>
      <c r="Z29" s="601">
        <f t="shared" si="23"/>
        <v>0</v>
      </c>
      <c r="AA29" s="601">
        <f>'[1]THÁP MƯỜI'!$B$97</f>
        <v>0</v>
      </c>
      <c r="AB29" s="601"/>
      <c r="AC29" s="601">
        <f t="shared" si="24"/>
        <v>0</v>
      </c>
      <c r="AD29" s="601">
        <f>'[1]LẤP VÒ'!$B$97</f>
        <v>0</v>
      </c>
      <c r="AE29" s="601"/>
      <c r="AF29" s="601">
        <f t="shared" si="25"/>
        <v>0</v>
      </c>
      <c r="AG29" s="601">
        <f>'[1]LAI VUNG'!$B$97</f>
        <v>0</v>
      </c>
      <c r="AH29" s="601"/>
      <c r="AI29" s="601">
        <f t="shared" si="26"/>
        <v>0</v>
      </c>
      <c r="AJ29" s="601">
        <f>'[1]TP SA ĐÉC'!$B$97</f>
        <v>0</v>
      </c>
      <c r="AK29" s="601"/>
      <c r="AL29" s="601">
        <f t="shared" si="27"/>
        <v>0</v>
      </c>
      <c r="AM29" s="601">
        <f>'[1]CHÂU THÀNH'!$B$97</f>
        <v>0</v>
      </c>
      <c r="AN29" s="601"/>
      <c r="AO29" s="601">
        <f t="shared" si="28"/>
        <v>0</v>
      </c>
    </row>
    <row r="30" spans="1:41" ht="25.5">
      <c r="A30" s="113" t="s">
        <v>847</v>
      </c>
      <c r="B30" s="602" t="s">
        <v>600</v>
      </c>
      <c r="C30" s="601">
        <f t="shared" si="16"/>
        <v>177690</v>
      </c>
      <c r="D30" s="601"/>
      <c r="E30" s="601">
        <f t="shared" si="1"/>
        <v>177690</v>
      </c>
      <c r="F30" s="601">
        <f>'[1]HỒNG NGỰ '!$B$100</f>
        <v>4000</v>
      </c>
      <c r="G30" s="601"/>
      <c r="H30" s="601">
        <f t="shared" si="17"/>
        <v>4000</v>
      </c>
      <c r="I30" s="601">
        <f>'[1]TX.HỒNG NGỰ'!$B$100</f>
        <v>19900</v>
      </c>
      <c r="J30" s="601"/>
      <c r="K30" s="601">
        <f t="shared" si="18"/>
        <v>19900</v>
      </c>
      <c r="L30" s="601">
        <f>'[1]TÂN HỒNG'!$B$100</f>
        <v>7800</v>
      </c>
      <c r="M30" s="601"/>
      <c r="N30" s="601">
        <f t="shared" si="19"/>
        <v>7800</v>
      </c>
      <c r="O30" s="601">
        <f>'[1]TAM NÔNG'!$B$100</f>
        <v>21890</v>
      </c>
      <c r="P30" s="601"/>
      <c r="Q30" s="601">
        <f t="shared" si="20"/>
        <v>21890</v>
      </c>
      <c r="R30" s="601">
        <f>'[1]THANH BÌNH'!$B$100</f>
        <v>6500</v>
      </c>
      <c r="S30" s="601"/>
      <c r="T30" s="601">
        <f t="shared" si="21"/>
        <v>6500</v>
      </c>
      <c r="U30" s="601">
        <f>'[1]TP CAO LÃNH'!$B$100</f>
        <v>7200</v>
      </c>
      <c r="V30" s="601"/>
      <c r="W30" s="601">
        <f t="shared" si="22"/>
        <v>7200</v>
      </c>
      <c r="X30" s="601">
        <f>'[1]H. CAO LÃNH'!$B$100</f>
        <v>24800</v>
      </c>
      <c r="Y30" s="601"/>
      <c r="Z30" s="601">
        <f t="shared" si="23"/>
        <v>24800</v>
      </c>
      <c r="AA30" s="601">
        <f>'[1]THÁP MƯỜI'!$B$100</f>
        <v>10800</v>
      </c>
      <c r="AB30" s="601"/>
      <c r="AC30" s="601">
        <f t="shared" si="24"/>
        <v>10800</v>
      </c>
      <c r="AD30" s="601">
        <f>'[1]LẤP VÒ'!$B$100</f>
        <v>19000</v>
      </c>
      <c r="AE30" s="601"/>
      <c r="AF30" s="601">
        <f t="shared" si="25"/>
        <v>19000</v>
      </c>
      <c r="AG30" s="601">
        <f>'[1]LAI VUNG'!$B$100</f>
        <v>26300</v>
      </c>
      <c r="AH30" s="601"/>
      <c r="AI30" s="601">
        <f t="shared" si="26"/>
        <v>26300</v>
      </c>
      <c r="AJ30" s="601">
        <f>'[1]TP SA ĐÉC'!$B$100</f>
        <v>2500</v>
      </c>
      <c r="AK30" s="601"/>
      <c r="AL30" s="601">
        <f t="shared" si="27"/>
        <v>2500</v>
      </c>
      <c r="AM30" s="601">
        <f>'[1]CHÂU THÀNH'!$B$100</f>
        <v>27000</v>
      </c>
      <c r="AN30" s="601"/>
      <c r="AO30" s="601">
        <f t="shared" si="28"/>
        <v>27000</v>
      </c>
    </row>
    <row r="31" spans="1:41" s="112" customFormat="1" ht="35.25" hidden="1" customHeight="1">
      <c r="A31" s="113" t="s">
        <v>847</v>
      </c>
      <c r="B31" s="602" t="s">
        <v>574</v>
      </c>
      <c r="C31" s="601">
        <f t="shared" si="16"/>
        <v>0</v>
      </c>
      <c r="D31" s="601"/>
      <c r="E31" s="601">
        <f t="shared" si="1"/>
        <v>0</v>
      </c>
      <c r="F31" s="601"/>
      <c r="G31" s="601"/>
      <c r="H31" s="601">
        <f t="shared" si="17"/>
        <v>0</v>
      </c>
      <c r="I31" s="601"/>
      <c r="J31" s="601"/>
      <c r="K31" s="601">
        <f t="shared" si="18"/>
        <v>0</v>
      </c>
      <c r="L31" s="601"/>
      <c r="M31" s="601"/>
      <c r="N31" s="601">
        <f t="shared" si="19"/>
        <v>0</v>
      </c>
      <c r="O31" s="601"/>
      <c r="P31" s="601"/>
      <c r="Q31" s="601">
        <f t="shared" si="20"/>
        <v>0</v>
      </c>
      <c r="R31" s="601"/>
      <c r="S31" s="601"/>
      <c r="T31" s="601">
        <f t="shared" si="21"/>
        <v>0</v>
      </c>
      <c r="U31" s="601"/>
      <c r="V31" s="601"/>
      <c r="W31" s="601">
        <f t="shared" si="22"/>
        <v>0</v>
      </c>
      <c r="X31" s="601"/>
      <c r="Y31" s="601"/>
      <c r="Z31" s="601">
        <f t="shared" si="23"/>
        <v>0</v>
      </c>
      <c r="AA31" s="601"/>
      <c r="AB31" s="601"/>
      <c r="AC31" s="601">
        <f t="shared" si="24"/>
        <v>0</v>
      </c>
      <c r="AD31" s="601"/>
      <c r="AE31" s="601"/>
      <c r="AF31" s="601">
        <f t="shared" si="25"/>
        <v>0</v>
      </c>
      <c r="AG31" s="601"/>
      <c r="AH31" s="601"/>
      <c r="AI31" s="601">
        <f t="shared" si="26"/>
        <v>0</v>
      </c>
      <c r="AJ31" s="601"/>
      <c r="AK31" s="601"/>
      <c r="AL31" s="601">
        <f t="shared" si="27"/>
        <v>0</v>
      </c>
      <c r="AM31" s="601"/>
      <c r="AN31" s="601"/>
      <c r="AO31" s="601">
        <f t="shared" si="28"/>
        <v>0</v>
      </c>
    </row>
    <row r="32" spans="1:41" s="114" customFormat="1" ht="30.75" customHeight="1">
      <c r="A32" s="410" t="s">
        <v>685</v>
      </c>
      <c r="B32" s="603" t="s">
        <v>548</v>
      </c>
      <c r="C32" s="122">
        <f t="shared" si="16"/>
        <v>68750</v>
      </c>
      <c r="D32" s="411"/>
      <c r="E32" s="122">
        <f t="shared" si="1"/>
        <v>68750</v>
      </c>
      <c r="F32" s="411">
        <f>'Chi NSH'!P14</f>
        <v>4110</v>
      </c>
      <c r="G32" s="411"/>
      <c r="H32" s="122">
        <f t="shared" si="17"/>
        <v>4110</v>
      </c>
      <c r="I32" s="411"/>
      <c r="J32" s="411"/>
      <c r="K32" s="122">
        <f t="shared" si="18"/>
        <v>0</v>
      </c>
      <c r="L32" s="411">
        <f>'Chi NSH'!AF14</f>
        <v>430</v>
      </c>
      <c r="M32" s="411"/>
      <c r="N32" s="122">
        <f t="shared" si="19"/>
        <v>430</v>
      </c>
      <c r="O32" s="411">
        <f>'Chi NSH'!AN14</f>
        <v>1130</v>
      </c>
      <c r="P32" s="411"/>
      <c r="Q32" s="122">
        <f t="shared" si="20"/>
        <v>1130</v>
      </c>
      <c r="R32" s="411">
        <f>'Chi NSH'!AV14</f>
        <v>14870</v>
      </c>
      <c r="S32" s="411"/>
      <c r="T32" s="122">
        <f t="shared" si="21"/>
        <v>14870</v>
      </c>
      <c r="U32" s="411">
        <f>'Chi NSH'!BD14</f>
        <v>0</v>
      </c>
      <c r="V32" s="411"/>
      <c r="W32" s="122">
        <f t="shared" si="22"/>
        <v>0</v>
      </c>
      <c r="X32" s="411">
        <f>'Chi NSH'!BL14</f>
        <v>6250</v>
      </c>
      <c r="Y32" s="411"/>
      <c r="Z32" s="411">
        <f>X32</f>
        <v>6250</v>
      </c>
      <c r="AA32" s="411">
        <f>'Chi NSH'!BT14</f>
        <v>5540</v>
      </c>
      <c r="AB32" s="411"/>
      <c r="AC32" s="411">
        <f>AA32</f>
        <v>5540</v>
      </c>
      <c r="AD32" s="411">
        <f>'Chi NSH'!CB14</f>
        <v>0</v>
      </c>
      <c r="AE32" s="411"/>
      <c r="AF32" s="411">
        <f>AD32</f>
        <v>0</v>
      </c>
      <c r="AG32" s="411">
        <f>'Chi NSH'!CJ14</f>
        <v>9350</v>
      </c>
      <c r="AH32" s="411"/>
      <c r="AI32" s="411">
        <f>AG32</f>
        <v>9350</v>
      </c>
      <c r="AJ32" s="411">
        <f>'Chi NSH'!CR14</f>
        <v>21940</v>
      </c>
      <c r="AK32" s="411"/>
      <c r="AL32" s="411">
        <f>AJ32</f>
        <v>21940</v>
      </c>
      <c r="AM32" s="411">
        <f>'Chi NSH'!CZ14</f>
        <v>5130</v>
      </c>
      <c r="AN32" s="411"/>
      <c r="AO32" s="411">
        <f>AM32</f>
        <v>5130</v>
      </c>
    </row>
    <row r="33" spans="1:41">
      <c r="A33" s="115"/>
      <c r="B33" s="115" t="s">
        <v>830</v>
      </c>
      <c r="C33" s="125"/>
      <c r="D33" s="125"/>
      <c r="E33" s="125">
        <f t="shared" si="1"/>
        <v>4355211</v>
      </c>
      <c r="F33" s="125"/>
      <c r="G33" s="125"/>
      <c r="H33" s="125">
        <f>SUM(H5,H22,H32)</f>
        <v>332855</v>
      </c>
      <c r="I33" s="125"/>
      <c r="J33" s="125"/>
      <c r="K33" s="125">
        <f>SUM(K5,K22,K32)</f>
        <v>256580</v>
      </c>
      <c r="L33" s="125"/>
      <c r="M33" s="125"/>
      <c r="N33" s="125">
        <f>SUM(N5,N22,N32)</f>
        <v>309955</v>
      </c>
      <c r="O33" s="125"/>
      <c r="P33" s="125"/>
      <c r="Q33" s="125">
        <f>SUM(Q5,Q22,Q32)</f>
        <v>305360</v>
      </c>
      <c r="R33" s="125"/>
      <c r="S33" s="125"/>
      <c r="T33" s="125">
        <f>SUM(T5,T22,T32)</f>
        <v>364735</v>
      </c>
      <c r="U33" s="125"/>
      <c r="V33" s="125"/>
      <c r="W33" s="125">
        <f>SUM(W5,W22,W32)</f>
        <v>369990</v>
      </c>
      <c r="X33" s="125"/>
      <c r="Y33" s="125"/>
      <c r="Z33" s="125">
        <f>SUM(Z5,Z22,Z32)</f>
        <v>485528</v>
      </c>
      <c r="AA33" s="125"/>
      <c r="AB33" s="125"/>
      <c r="AC33" s="125">
        <f>SUM(AC5,AC22,AC32)</f>
        <v>392969</v>
      </c>
      <c r="AD33" s="125"/>
      <c r="AE33" s="125"/>
      <c r="AF33" s="125">
        <f>SUM(AF5,AF22,AF32)</f>
        <v>431180</v>
      </c>
      <c r="AG33" s="125"/>
      <c r="AH33" s="125"/>
      <c r="AI33" s="125">
        <f>SUM(AI5,AI22,AI32)</f>
        <v>355514</v>
      </c>
      <c r="AJ33" s="125"/>
      <c r="AK33" s="125"/>
      <c r="AL33" s="125">
        <f>SUM(AL5,AL22,AL32)</f>
        <v>393945</v>
      </c>
      <c r="AM33" s="125"/>
      <c r="AN33" s="125"/>
      <c r="AO33" s="125">
        <f>SUM(AO5,AO22,AO32)</f>
        <v>356600</v>
      </c>
    </row>
    <row r="35" spans="1:41">
      <c r="E35" s="60">
        <f>+E5/C5%</f>
        <v>83.616604020264745</v>
      </c>
    </row>
  </sheetData>
  <mergeCells count="17">
    <mergeCell ref="U2:W2"/>
    <mergeCell ref="AM2:AO2"/>
    <mergeCell ref="A3:A4"/>
    <mergeCell ref="B3:B4"/>
    <mergeCell ref="C3:E3"/>
    <mergeCell ref="F3:H3"/>
    <mergeCell ref="I3:K3"/>
    <mergeCell ref="L3:N3"/>
    <mergeCell ref="O3:Q3"/>
    <mergeCell ref="R3:T3"/>
    <mergeCell ref="AM3:AO3"/>
    <mergeCell ref="U3:W3"/>
    <mergeCell ref="X3:Z3"/>
    <mergeCell ref="AA3:AC3"/>
    <mergeCell ref="AD3:AF3"/>
    <mergeCell ref="AG3:AI3"/>
    <mergeCell ref="AJ3:AL3"/>
  </mergeCells>
  <printOptions horizontalCentered="1"/>
  <pageMargins left="0" right="0" top="0.39370078740157483" bottom="0.39370078740157483" header="0.19685039370078741" footer="0.19685039370078741"/>
  <pageSetup paperSize="9" scale="70" orientation="landscape" r:id="rId1"/>
  <headerFooter alignWithMargins="0">
    <oddHeader>&amp;R&amp;A</oddHeader>
  </headerFooter>
  <legacyDrawing r:id="rId2"/>
</worksheet>
</file>

<file path=xl/worksheets/sheet21.xml><?xml version="1.0" encoding="utf-8"?>
<worksheet xmlns="http://schemas.openxmlformats.org/spreadsheetml/2006/main" xmlns:r="http://schemas.openxmlformats.org/officeDocument/2006/relationships">
  <sheetPr>
    <tabColor rgb="FF0000FF"/>
  </sheetPr>
  <dimension ref="A1:O36"/>
  <sheetViews>
    <sheetView zoomScale="87" zoomScaleNormal="87" workbookViewId="0">
      <pane xSplit="3" ySplit="5" topLeftCell="G6"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8.75" customHeight="1"/>
  <cols>
    <col min="1" max="1" width="4.5" style="21" customWidth="1"/>
    <col min="2" max="2" width="24.25" style="5" customWidth="1"/>
    <col min="3" max="3" width="8.625" style="5" customWidth="1"/>
    <col min="4" max="7" width="8.125" style="5" customWidth="1"/>
    <col min="8" max="8" width="7.625" style="5" customWidth="1"/>
    <col min="9" max="15" width="8.125" style="5" customWidth="1"/>
    <col min="16" max="16384" width="9" style="5"/>
  </cols>
  <sheetData>
    <row r="1" spans="1:15" ht="18.75" customHeight="1">
      <c r="A1" s="670" t="s">
        <v>877</v>
      </c>
      <c r="B1" s="670"/>
      <c r="C1" s="670"/>
      <c r="D1" s="670"/>
      <c r="E1" s="670"/>
      <c r="F1" s="670"/>
      <c r="G1" s="670"/>
      <c r="H1" s="670"/>
      <c r="I1" s="670"/>
      <c r="J1" s="670"/>
      <c r="K1" s="670"/>
      <c r="L1" s="670"/>
      <c r="M1" s="670"/>
      <c r="N1" s="670"/>
      <c r="O1" s="670"/>
    </row>
    <row r="2" spans="1:15" ht="18.75" customHeight="1">
      <c r="A2" s="116"/>
      <c r="B2" s="14"/>
      <c r="C2" s="14"/>
      <c r="D2" s="14"/>
      <c r="E2" s="14"/>
      <c r="F2" s="14"/>
      <c r="G2" s="14"/>
      <c r="H2" s="14"/>
      <c r="I2" s="14"/>
      <c r="J2" s="14"/>
      <c r="K2" s="14"/>
      <c r="L2" s="14"/>
      <c r="M2" s="689" t="s">
        <v>0</v>
      </c>
      <c r="N2" s="689"/>
      <c r="O2" s="689"/>
    </row>
    <row r="3" spans="1:15" ht="47.25">
      <c r="A3" s="11" t="s">
        <v>1</v>
      </c>
      <c r="B3" s="110" t="s">
        <v>2</v>
      </c>
      <c r="C3" s="11" t="s">
        <v>691</v>
      </c>
      <c r="D3" s="11" t="s">
        <v>3</v>
      </c>
      <c r="E3" s="11" t="s">
        <v>4</v>
      </c>
      <c r="F3" s="11" t="s">
        <v>5</v>
      </c>
      <c r="G3" s="11" t="s">
        <v>8</v>
      </c>
      <c r="H3" s="11" t="s">
        <v>9</v>
      </c>
      <c r="I3" s="11" t="s">
        <v>10</v>
      </c>
      <c r="J3" s="11" t="s">
        <v>11</v>
      </c>
      <c r="K3" s="11" t="s">
        <v>12</v>
      </c>
      <c r="L3" s="11" t="s">
        <v>13</v>
      </c>
      <c r="M3" s="11" t="s">
        <v>14</v>
      </c>
      <c r="N3" s="11" t="s">
        <v>198</v>
      </c>
      <c r="O3" s="11" t="s">
        <v>15</v>
      </c>
    </row>
    <row r="4" spans="1:15" s="114" customFormat="1" ht="18.75" customHeight="1">
      <c r="A4" s="27"/>
      <c r="B4" s="111" t="s">
        <v>623</v>
      </c>
      <c r="C4" s="384">
        <f t="shared" ref="C4:O4" si="0">SUM(C5,C10,C23,C24,C25)</f>
        <v>4355211</v>
      </c>
      <c r="D4" s="384">
        <f>SUM(D5,D10,D23,D24,D25)</f>
        <v>332855</v>
      </c>
      <c r="E4" s="384">
        <f t="shared" si="0"/>
        <v>256580</v>
      </c>
      <c r="F4" s="384">
        <f>SUM(F5,F10,F23,F24,F25)</f>
        <v>309955</v>
      </c>
      <c r="G4" s="384">
        <f t="shared" si="0"/>
        <v>305360</v>
      </c>
      <c r="H4" s="384">
        <f t="shared" si="0"/>
        <v>364735</v>
      </c>
      <c r="I4" s="384">
        <f t="shared" si="0"/>
        <v>369990</v>
      </c>
      <c r="J4" s="384">
        <f t="shared" si="0"/>
        <v>485528</v>
      </c>
      <c r="K4" s="384">
        <f t="shared" si="0"/>
        <v>392969</v>
      </c>
      <c r="L4" s="384">
        <f t="shared" si="0"/>
        <v>431180</v>
      </c>
      <c r="M4" s="384">
        <f t="shared" si="0"/>
        <v>355514</v>
      </c>
      <c r="N4" s="384">
        <f t="shared" si="0"/>
        <v>393945</v>
      </c>
      <c r="O4" s="384">
        <f t="shared" si="0"/>
        <v>356600</v>
      </c>
    </row>
    <row r="5" spans="1:15" s="114" customFormat="1" ht="18.75" customHeight="1">
      <c r="A5" s="31" t="s">
        <v>641</v>
      </c>
      <c r="B5" s="97" t="s">
        <v>16</v>
      </c>
      <c r="C5" s="387">
        <f>SUM(C7:C9)</f>
        <v>463000</v>
      </c>
      <c r="D5" s="387">
        <f t="shared" ref="D5:O5" si="1">SUM(D7:D9)</f>
        <v>19000</v>
      </c>
      <c r="E5" s="387">
        <f t="shared" si="1"/>
        <v>54000</v>
      </c>
      <c r="F5" s="387">
        <f t="shared" si="1"/>
        <v>19500</v>
      </c>
      <c r="G5" s="387">
        <f t="shared" si="1"/>
        <v>23000</v>
      </c>
      <c r="H5" s="387">
        <f t="shared" si="1"/>
        <v>28500</v>
      </c>
      <c r="I5" s="387">
        <f t="shared" si="1"/>
        <v>45000</v>
      </c>
      <c r="J5" s="387">
        <f t="shared" si="1"/>
        <v>46000</v>
      </c>
      <c r="K5" s="387">
        <f t="shared" si="1"/>
        <v>48500</v>
      </c>
      <c r="L5" s="387">
        <f t="shared" si="1"/>
        <v>37000</v>
      </c>
      <c r="M5" s="387">
        <f t="shared" si="1"/>
        <v>23500</v>
      </c>
      <c r="N5" s="387">
        <f t="shared" si="1"/>
        <v>88000</v>
      </c>
      <c r="O5" s="387">
        <f t="shared" si="1"/>
        <v>31000</v>
      </c>
    </row>
    <row r="6" spans="1:15" s="118" customFormat="1" ht="18.75" customHeight="1">
      <c r="A6" s="357"/>
      <c r="B6" s="358" t="s">
        <v>577</v>
      </c>
      <c r="C6" s="401">
        <f t="shared" ref="C6:C14" si="2">SUM(D6:O6)</f>
        <v>88000</v>
      </c>
      <c r="D6" s="401">
        <v>3600</v>
      </c>
      <c r="E6" s="401">
        <v>10300</v>
      </c>
      <c r="F6" s="401">
        <v>3700</v>
      </c>
      <c r="G6" s="401">
        <v>4400</v>
      </c>
      <c r="H6" s="401">
        <v>5400</v>
      </c>
      <c r="I6" s="401">
        <v>8600</v>
      </c>
      <c r="J6" s="401">
        <v>8700</v>
      </c>
      <c r="K6" s="401">
        <v>9200</v>
      </c>
      <c r="L6" s="401">
        <v>7000</v>
      </c>
      <c r="M6" s="401">
        <v>4500</v>
      </c>
      <c r="N6" s="401">
        <v>16700</v>
      </c>
      <c r="O6" s="401">
        <v>5900</v>
      </c>
    </row>
    <row r="7" spans="1:15" ht="18.75" customHeight="1">
      <c r="A7" s="30">
        <v>1</v>
      </c>
      <c r="B7" s="98" t="s">
        <v>17</v>
      </c>
      <c r="C7" s="385">
        <f t="shared" si="2"/>
        <v>213000</v>
      </c>
      <c r="D7" s="385">
        <f>'Chi NSH'!P17</f>
        <v>14000</v>
      </c>
      <c r="E7" s="385">
        <f>'Chi NSH'!X17</f>
        <v>14000</v>
      </c>
      <c r="F7" s="385">
        <f>'Chi NSH'!AF17</f>
        <v>14500</v>
      </c>
      <c r="G7" s="385">
        <f>'Chi NSH'!AN17</f>
        <v>14000</v>
      </c>
      <c r="H7" s="385">
        <f>'Chi NSH'!AV17</f>
        <v>14500</v>
      </c>
      <c r="I7" s="385">
        <f>'Chi NSH'!BD17</f>
        <v>15000</v>
      </c>
      <c r="J7" s="385">
        <f>'Chi NSH'!BL17</f>
        <v>16000</v>
      </c>
      <c r="K7" s="385">
        <f>'Chi NSH'!BT17</f>
        <v>13500</v>
      </c>
      <c r="L7" s="385">
        <f>'Chi NSH'!CB17</f>
        <v>17000</v>
      </c>
      <c r="M7" s="385">
        <f>'Chi NSH'!CJ17</f>
        <v>16500</v>
      </c>
      <c r="N7" s="385">
        <f>'Chi NSH'!CR17</f>
        <v>48000</v>
      </c>
      <c r="O7" s="385">
        <f>'Chi NSH'!CZ17</f>
        <v>16000</v>
      </c>
    </row>
    <row r="8" spans="1:15" ht="18.75" customHeight="1">
      <c r="A8" s="30">
        <v>2</v>
      </c>
      <c r="B8" s="98" t="s">
        <v>18</v>
      </c>
      <c r="C8" s="385">
        <f t="shared" si="2"/>
        <v>250000</v>
      </c>
      <c r="D8" s="385">
        <f>'Chi NSH'!P18</f>
        <v>5000</v>
      </c>
      <c r="E8" s="385">
        <f>'Chi NSH'!X18</f>
        <v>40000</v>
      </c>
      <c r="F8" s="385">
        <f>'Chi NSH'!AF18</f>
        <v>5000</v>
      </c>
      <c r="G8" s="385">
        <f>'Chi NSH'!AN18</f>
        <v>9000</v>
      </c>
      <c r="H8" s="385">
        <f>'Chi NSH'!AV18</f>
        <v>14000</v>
      </c>
      <c r="I8" s="385">
        <f>'Chi NSH'!BD18</f>
        <v>30000</v>
      </c>
      <c r="J8" s="385">
        <f>'Chi NSH'!BL18</f>
        <v>30000</v>
      </c>
      <c r="K8" s="385">
        <f>'Chi NSH'!BT18</f>
        <v>35000</v>
      </c>
      <c r="L8" s="385">
        <f>'Chi NSH'!CB18</f>
        <v>20000</v>
      </c>
      <c r="M8" s="385">
        <f>'Chi NSH'!CJ18</f>
        <v>7000</v>
      </c>
      <c r="N8" s="385">
        <f>'Chi NSH'!CR18</f>
        <v>40000</v>
      </c>
      <c r="O8" s="385">
        <f>'Chi NSH'!CZ18</f>
        <v>15000</v>
      </c>
    </row>
    <row r="9" spans="1:15" ht="18.75" hidden="1" customHeight="1">
      <c r="A9" s="30"/>
      <c r="B9" s="98"/>
      <c r="C9" s="385">
        <f t="shared" si="2"/>
        <v>0</v>
      </c>
      <c r="D9" s="385"/>
      <c r="E9" s="385"/>
      <c r="F9" s="385"/>
      <c r="G9" s="385"/>
      <c r="H9" s="385"/>
      <c r="I9" s="385"/>
      <c r="J9" s="385"/>
      <c r="K9" s="385"/>
      <c r="L9" s="385"/>
      <c r="M9" s="385"/>
      <c r="N9" s="385"/>
      <c r="O9" s="385"/>
    </row>
    <row r="10" spans="1:15" s="114" customFormat="1" ht="18.75" customHeight="1">
      <c r="A10" s="31" t="s">
        <v>654</v>
      </c>
      <c r="B10" s="97" t="s">
        <v>19</v>
      </c>
      <c r="C10" s="387">
        <f>SUM(D10:O10)</f>
        <v>3658031</v>
      </c>
      <c r="D10" s="387">
        <f>'Chi NSH'!P19-D28</f>
        <v>304855</v>
      </c>
      <c r="E10" s="387">
        <f>'Chi NSH'!X19-E28</f>
        <v>179480</v>
      </c>
      <c r="F10" s="387">
        <f>'Chi NSH'!AF19-F28</f>
        <v>278255</v>
      </c>
      <c r="G10" s="387">
        <f>'Chi NSH'!AN19-G28</f>
        <v>256470</v>
      </c>
      <c r="H10" s="387">
        <f>'Chi NSH'!AV19-H28</f>
        <v>324405</v>
      </c>
      <c r="I10" s="387">
        <f>'Chi NSH'!BD19-I28</f>
        <v>314560</v>
      </c>
      <c r="J10" s="387">
        <f>'Chi NSH'!BL19-J28</f>
        <v>408428</v>
      </c>
      <c r="K10" s="387">
        <f>'Chi NSH'!BT19-K28</f>
        <v>328469</v>
      </c>
      <c r="L10" s="387">
        <f>'Chi NSH'!CB19-L28</f>
        <v>370350</v>
      </c>
      <c r="M10" s="387">
        <f>'Chi NSH'!CJ19-M28</f>
        <v>300714</v>
      </c>
      <c r="N10" s="387">
        <f>'Chi NSH'!CR19-N28</f>
        <v>298445</v>
      </c>
      <c r="O10" s="387">
        <f>'Chi NSH'!CZ19-O28</f>
        <v>293600</v>
      </c>
    </row>
    <row r="11" spans="1:15" s="118" customFormat="1" ht="18.75" customHeight="1">
      <c r="A11" s="357"/>
      <c r="B11" s="358" t="s">
        <v>428</v>
      </c>
      <c r="C11" s="401"/>
      <c r="D11" s="401"/>
      <c r="E11" s="401"/>
      <c r="F11" s="401"/>
      <c r="G11" s="401"/>
      <c r="H11" s="401"/>
      <c r="I11" s="401"/>
      <c r="J11" s="401"/>
      <c r="K11" s="401"/>
      <c r="L11" s="401"/>
      <c r="M11" s="401"/>
      <c r="N11" s="401"/>
      <c r="O11" s="401"/>
    </row>
    <row r="12" spans="1:15" s="114" customFormat="1" ht="18.75" customHeight="1">
      <c r="A12" s="30">
        <v>1</v>
      </c>
      <c r="B12" s="98" t="s">
        <v>20</v>
      </c>
      <c r="C12" s="385">
        <f t="shared" si="2"/>
        <v>1935935</v>
      </c>
      <c r="D12" s="385">
        <f>'Chi NSH'!P20</f>
        <v>177785</v>
      </c>
      <c r="E12" s="385">
        <f>'Chi NSH'!X20</f>
        <v>86590</v>
      </c>
      <c r="F12" s="385">
        <f>'Chi NSH'!AF20</f>
        <v>154950</v>
      </c>
      <c r="G12" s="385">
        <f>'Chi NSH'!AN20</f>
        <v>121585</v>
      </c>
      <c r="H12" s="385">
        <f>'Chi NSH'!AV20</f>
        <v>176880</v>
      </c>
      <c r="I12" s="385">
        <f>'Chi NSH'!BD20</f>
        <v>173090</v>
      </c>
      <c r="J12" s="385">
        <f>'Chi NSH'!BL20</f>
        <v>226930</v>
      </c>
      <c r="K12" s="385">
        <f>'Chi NSH'!BT20</f>
        <v>180920</v>
      </c>
      <c r="L12" s="385">
        <f>'Chi NSH'!CB20</f>
        <v>194090</v>
      </c>
      <c r="M12" s="385">
        <f>'Chi NSH'!CJ20</f>
        <v>171290</v>
      </c>
      <c r="N12" s="385">
        <f>'Chi NSH'!CR20</f>
        <v>124835</v>
      </c>
      <c r="O12" s="385">
        <f>'Chi NSH'!CZ20</f>
        <v>146990</v>
      </c>
    </row>
    <row r="13" spans="1:15" s="114" customFormat="1" ht="18.75" customHeight="1">
      <c r="A13" s="30">
        <v>2</v>
      </c>
      <c r="B13" s="98" t="s">
        <v>21</v>
      </c>
      <c r="C13" s="385">
        <f t="shared" si="2"/>
        <v>2000</v>
      </c>
      <c r="D13" s="385">
        <f>'Chi NSH'!P21</f>
        <v>150</v>
      </c>
      <c r="E13" s="385">
        <f>'Chi NSH'!X21</f>
        <v>130</v>
      </c>
      <c r="F13" s="385">
        <f>'Chi NSH'!AF21</f>
        <v>70</v>
      </c>
      <c r="G13" s="385">
        <f>'Chi NSH'!AN21</f>
        <v>100</v>
      </c>
      <c r="H13" s="385">
        <f>'Chi NSH'!AV21</f>
        <v>100</v>
      </c>
      <c r="I13" s="385">
        <f>'Chi NSH'!BD21</f>
        <v>190</v>
      </c>
      <c r="J13" s="385">
        <f>'Chi NSH'!BL21</f>
        <v>130</v>
      </c>
      <c r="K13" s="385">
        <f>'Chi NSH'!BT21</f>
        <v>70</v>
      </c>
      <c r="L13" s="385">
        <f>'Chi NSH'!CB21</f>
        <v>300</v>
      </c>
      <c r="M13" s="385">
        <f>'Chi NSH'!CJ21</f>
        <v>100</v>
      </c>
      <c r="N13" s="385">
        <f>'Chi NSH'!CR21</f>
        <v>480</v>
      </c>
      <c r="O13" s="385">
        <f>'Chi NSH'!CZ21</f>
        <v>180</v>
      </c>
    </row>
    <row r="14" spans="1:15" s="114" customFormat="1" ht="18.75" customHeight="1">
      <c r="A14" s="30">
        <v>3</v>
      </c>
      <c r="B14" s="98" t="s">
        <v>752</v>
      </c>
      <c r="C14" s="385">
        <f t="shared" si="2"/>
        <v>33033</v>
      </c>
      <c r="D14" s="385">
        <f>'Chi NSH'!P22</f>
        <v>1900</v>
      </c>
      <c r="E14" s="385">
        <f>'Chi NSH'!X22</f>
        <v>1530</v>
      </c>
      <c r="F14" s="385">
        <f>'Chi NSH'!AF22</f>
        <v>1550</v>
      </c>
      <c r="G14" s="385">
        <f>'Chi NSH'!AN22</f>
        <v>1530</v>
      </c>
      <c r="H14" s="385">
        <f>'Chi NSH'!AV22</f>
        <v>1820</v>
      </c>
      <c r="I14" s="385">
        <f>'Chi NSH'!BD22</f>
        <v>3000</v>
      </c>
      <c r="J14" s="385">
        <f>'Chi NSH'!BL22</f>
        <v>3083</v>
      </c>
      <c r="K14" s="385">
        <f>'Chi NSH'!BT22</f>
        <v>2090</v>
      </c>
      <c r="L14" s="385">
        <f>'Chi NSH'!CB22</f>
        <v>4000</v>
      </c>
      <c r="M14" s="385">
        <f>'Chi NSH'!CJ22</f>
        <v>1840</v>
      </c>
      <c r="N14" s="385">
        <f>'Chi NSH'!CR22</f>
        <v>8840</v>
      </c>
      <c r="O14" s="385">
        <f>'Chi NSH'!CZ22</f>
        <v>1850</v>
      </c>
    </row>
    <row r="15" spans="1:15" ht="18.75" hidden="1" customHeight="1">
      <c r="A15" s="321">
        <v>4</v>
      </c>
      <c r="B15" s="322" t="s">
        <v>817</v>
      </c>
      <c r="C15" s="402"/>
      <c r="D15" s="402"/>
      <c r="E15" s="402"/>
      <c r="F15" s="402"/>
      <c r="G15" s="402"/>
      <c r="H15" s="402"/>
      <c r="I15" s="402"/>
      <c r="J15" s="402"/>
      <c r="K15" s="402"/>
      <c r="L15" s="402"/>
      <c r="M15" s="402"/>
      <c r="N15" s="402"/>
      <c r="O15" s="402"/>
    </row>
    <row r="16" spans="1:15" ht="18.75" hidden="1" customHeight="1">
      <c r="A16" s="321">
        <v>5</v>
      </c>
      <c r="B16" s="322" t="s">
        <v>22</v>
      </c>
      <c r="C16" s="402"/>
      <c r="D16" s="402"/>
      <c r="E16" s="402"/>
      <c r="F16" s="402"/>
      <c r="G16" s="402"/>
      <c r="H16" s="402"/>
      <c r="I16" s="402"/>
      <c r="J16" s="402"/>
      <c r="K16" s="402"/>
      <c r="L16" s="402"/>
      <c r="M16" s="402"/>
      <c r="N16" s="402"/>
      <c r="O16" s="402"/>
    </row>
    <row r="17" spans="1:15" ht="18.75" hidden="1" customHeight="1">
      <c r="A17" s="321">
        <v>6</v>
      </c>
      <c r="B17" s="322" t="s">
        <v>23</v>
      </c>
      <c r="C17" s="402"/>
      <c r="D17" s="402"/>
      <c r="E17" s="402"/>
      <c r="F17" s="402"/>
      <c r="G17" s="402"/>
      <c r="H17" s="402"/>
      <c r="I17" s="402"/>
      <c r="J17" s="402"/>
      <c r="K17" s="402"/>
      <c r="L17" s="402"/>
      <c r="M17" s="402"/>
      <c r="N17" s="402"/>
      <c r="O17" s="402"/>
    </row>
    <row r="18" spans="1:15" ht="18.75" hidden="1" customHeight="1">
      <c r="A18" s="321">
        <v>7</v>
      </c>
      <c r="B18" s="322" t="s">
        <v>24</v>
      </c>
      <c r="C18" s="402"/>
      <c r="D18" s="402"/>
      <c r="E18" s="402"/>
      <c r="F18" s="402"/>
      <c r="G18" s="402"/>
      <c r="H18" s="402"/>
      <c r="I18" s="402"/>
      <c r="J18" s="402"/>
      <c r="K18" s="402"/>
      <c r="L18" s="402"/>
      <c r="M18" s="402"/>
      <c r="N18" s="402"/>
      <c r="O18" s="402"/>
    </row>
    <row r="19" spans="1:15" ht="18.75" hidden="1" customHeight="1">
      <c r="A19" s="321">
        <v>8</v>
      </c>
      <c r="B19" s="322" t="s">
        <v>25</v>
      </c>
      <c r="C19" s="402"/>
      <c r="D19" s="402"/>
      <c r="E19" s="402"/>
      <c r="F19" s="402"/>
      <c r="G19" s="402"/>
      <c r="H19" s="402"/>
      <c r="I19" s="402"/>
      <c r="J19" s="402"/>
      <c r="K19" s="402"/>
      <c r="L19" s="402"/>
      <c r="M19" s="402"/>
      <c r="N19" s="402"/>
      <c r="O19" s="402"/>
    </row>
    <row r="20" spans="1:15" ht="18.75" hidden="1" customHeight="1">
      <c r="A20" s="321">
        <v>9</v>
      </c>
      <c r="B20" s="322" t="s">
        <v>26</v>
      </c>
      <c r="C20" s="402"/>
      <c r="D20" s="402"/>
      <c r="E20" s="402"/>
      <c r="F20" s="402"/>
      <c r="G20" s="402"/>
      <c r="H20" s="402"/>
      <c r="I20" s="402"/>
      <c r="J20" s="402"/>
      <c r="K20" s="402"/>
      <c r="L20" s="402"/>
      <c r="M20" s="402"/>
      <c r="N20" s="402"/>
      <c r="O20" s="402"/>
    </row>
    <row r="21" spans="1:15" ht="18.75" hidden="1" customHeight="1">
      <c r="A21" s="321">
        <v>10</v>
      </c>
      <c r="B21" s="322" t="s">
        <v>27</v>
      </c>
      <c r="C21" s="402"/>
      <c r="D21" s="402"/>
      <c r="E21" s="402"/>
      <c r="F21" s="402"/>
      <c r="G21" s="402"/>
      <c r="H21" s="402"/>
      <c r="I21" s="402"/>
      <c r="J21" s="402"/>
      <c r="K21" s="402"/>
      <c r="L21" s="402"/>
      <c r="M21" s="402"/>
      <c r="N21" s="402"/>
      <c r="O21" s="402"/>
    </row>
    <row r="22" spans="1:15" ht="18.75" hidden="1" customHeight="1">
      <c r="A22" s="321">
        <v>11</v>
      </c>
      <c r="B22" s="322" t="s">
        <v>28</v>
      </c>
      <c r="C22" s="402"/>
      <c r="D22" s="402"/>
      <c r="E22" s="402"/>
      <c r="F22" s="402"/>
      <c r="G22" s="402"/>
      <c r="H22" s="402"/>
      <c r="I22" s="402"/>
      <c r="J22" s="402"/>
      <c r="K22" s="402"/>
      <c r="L22" s="402"/>
      <c r="M22" s="402"/>
      <c r="N22" s="402"/>
      <c r="O22" s="402"/>
    </row>
    <row r="23" spans="1:15" s="114" customFormat="1" ht="18.75" customHeight="1">
      <c r="A23" s="31" t="s">
        <v>685</v>
      </c>
      <c r="B23" s="97" t="s">
        <v>726</v>
      </c>
      <c r="C23" s="387">
        <f t="shared" ref="C23:C30" si="3">SUM(D23:O23)</f>
        <v>56490</v>
      </c>
      <c r="D23" s="387">
        <f>'Chi NSH'!P24</f>
        <v>5000</v>
      </c>
      <c r="E23" s="387">
        <f>'Chi NSH'!X24</f>
        <v>3200</v>
      </c>
      <c r="F23" s="387">
        <f>'Chi NSH'!AF24</f>
        <v>4400</v>
      </c>
      <c r="G23" s="387">
        <f>'Chi NSH'!AN24</f>
        <v>4000</v>
      </c>
      <c r="H23" s="387">
        <f>'Chi NSH'!AV24</f>
        <v>5330</v>
      </c>
      <c r="I23" s="387">
        <f>'Chi NSH'!BD24</f>
        <v>3230</v>
      </c>
      <c r="J23" s="387">
        <f>'Chi NSH'!BL24</f>
        <v>6300</v>
      </c>
      <c r="K23" s="387">
        <f>'Chi NSH'!BT24</f>
        <v>5200</v>
      </c>
      <c r="L23" s="387">
        <f>'Chi NSH'!CB24</f>
        <v>4830</v>
      </c>
      <c r="M23" s="387">
        <f>'Chi NSH'!CJ24</f>
        <v>5000</v>
      </c>
      <c r="N23" s="387">
        <f>'Chi NSH'!CR24</f>
        <v>5000</v>
      </c>
      <c r="O23" s="387">
        <f>'Chi NSH'!CZ24</f>
        <v>5000</v>
      </c>
    </row>
    <row r="24" spans="1:15" s="114" customFormat="1" ht="18.75" hidden="1" customHeight="1">
      <c r="A24" s="31" t="s">
        <v>686</v>
      </c>
      <c r="B24" s="97" t="s">
        <v>787</v>
      </c>
      <c r="C24" s="387">
        <f t="shared" si="3"/>
        <v>0</v>
      </c>
      <c r="D24" s="387">
        <f>'Chi NSH'!P25</f>
        <v>0</v>
      </c>
      <c r="E24" s="387">
        <f>'Chi NSH'!X25</f>
        <v>0</v>
      </c>
      <c r="F24" s="387">
        <f>'Chi NSH'!AF25</f>
        <v>0</v>
      </c>
      <c r="G24" s="387">
        <f>'Chi NSH'!AN25</f>
        <v>0</v>
      </c>
      <c r="H24" s="387">
        <f>'Chi NSH'!AV25</f>
        <v>0</v>
      </c>
      <c r="I24" s="387">
        <f>'Chi NSH'!BD25</f>
        <v>0</v>
      </c>
      <c r="J24" s="387">
        <f>'Chi NSH'!BL25</f>
        <v>0</v>
      </c>
      <c r="K24" s="387">
        <f>'Chi NSH'!BT25</f>
        <v>0</v>
      </c>
      <c r="L24" s="387">
        <f>'Chi NSH'!CB25</f>
        <v>0</v>
      </c>
      <c r="M24" s="387">
        <f>'Chi NSH'!CJ25</f>
        <v>0</v>
      </c>
      <c r="N24" s="387">
        <f>'Chi NSH'!CR25</f>
        <v>0</v>
      </c>
      <c r="O24" s="387">
        <f>'Chi NSH'!CZ25</f>
        <v>0</v>
      </c>
    </row>
    <row r="25" spans="1:15" s="114" customFormat="1" ht="18.75" customHeight="1">
      <c r="A25" s="413" t="s">
        <v>686</v>
      </c>
      <c r="B25" s="97" t="s">
        <v>29</v>
      </c>
      <c r="C25" s="387">
        <f t="shared" si="3"/>
        <v>177690</v>
      </c>
      <c r="D25" s="387">
        <f>ROUND(SUM(D26:D30),0)</f>
        <v>4000</v>
      </c>
      <c r="E25" s="387">
        <f t="shared" ref="E25:O25" si="4">ROUND(SUM(E26:E30),0)</f>
        <v>19900</v>
      </c>
      <c r="F25" s="387">
        <f t="shared" si="4"/>
        <v>7800</v>
      </c>
      <c r="G25" s="387">
        <f t="shared" si="4"/>
        <v>21890</v>
      </c>
      <c r="H25" s="387">
        <f t="shared" si="4"/>
        <v>6500</v>
      </c>
      <c r="I25" s="387">
        <f t="shared" si="4"/>
        <v>7200</v>
      </c>
      <c r="J25" s="387">
        <f t="shared" si="4"/>
        <v>24800</v>
      </c>
      <c r="K25" s="387">
        <f t="shared" si="4"/>
        <v>10800</v>
      </c>
      <c r="L25" s="387">
        <f t="shared" si="4"/>
        <v>19000</v>
      </c>
      <c r="M25" s="387">
        <f t="shared" si="4"/>
        <v>26300</v>
      </c>
      <c r="N25" s="387">
        <f t="shared" si="4"/>
        <v>2500</v>
      </c>
      <c r="O25" s="387">
        <f t="shared" si="4"/>
        <v>27000</v>
      </c>
    </row>
    <row r="26" spans="1:15" ht="18.75" hidden="1" customHeight="1">
      <c r="A26" s="119" t="s">
        <v>847</v>
      </c>
      <c r="B26" s="98" t="s">
        <v>43</v>
      </c>
      <c r="C26" s="385">
        <f t="shared" si="3"/>
        <v>0</v>
      </c>
      <c r="D26" s="385">
        <f>'Phụ lục số 5'!F29</f>
        <v>0</v>
      </c>
      <c r="E26" s="385">
        <f>'Phụ lục số 5'!I29</f>
        <v>0</v>
      </c>
      <c r="F26" s="385">
        <f>'Phụ lục số 5'!L29</f>
        <v>0</v>
      </c>
      <c r="G26" s="385">
        <f>'Phụ lục số 5'!O29</f>
        <v>0</v>
      </c>
      <c r="H26" s="385">
        <f>'Phụ lục số 5'!R29</f>
        <v>0</v>
      </c>
      <c r="I26" s="385">
        <f>'Phụ lục số 5'!U29</f>
        <v>0</v>
      </c>
      <c r="J26" s="385">
        <f>'Phụ lục số 5'!X29</f>
        <v>0</v>
      </c>
      <c r="K26" s="385">
        <f>'Phụ lục số 5'!AA29</f>
        <v>0</v>
      </c>
      <c r="L26" s="385">
        <f>'Phụ lục số 5'!AD29</f>
        <v>0</v>
      </c>
      <c r="M26" s="385">
        <f>'Phụ lục số 5'!AG29</f>
        <v>0</v>
      </c>
      <c r="N26" s="385">
        <f>'Phụ lục số 5'!AJ29</f>
        <v>0</v>
      </c>
      <c r="O26" s="385">
        <f>'Phụ lục số 5'!AM29</f>
        <v>0</v>
      </c>
    </row>
    <row r="27" spans="1:15" ht="18.75" customHeight="1">
      <c r="A27" s="514" t="s">
        <v>847</v>
      </c>
      <c r="B27" s="515" t="s">
        <v>44</v>
      </c>
      <c r="C27" s="516">
        <f t="shared" si="3"/>
        <v>177690</v>
      </c>
      <c r="D27" s="516">
        <f>'Phụ lục số 5'!F30</f>
        <v>4000</v>
      </c>
      <c r="E27" s="516">
        <f>'Phụ lục số 5'!I30</f>
        <v>19900</v>
      </c>
      <c r="F27" s="516">
        <f>'Phụ lục số 5'!L30</f>
        <v>7800</v>
      </c>
      <c r="G27" s="516">
        <f>'Phụ lục số 5'!O30</f>
        <v>21890</v>
      </c>
      <c r="H27" s="516">
        <f>'Phụ lục số 5'!R30</f>
        <v>6500</v>
      </c>
      <c r="I27" s="516">
        <f>'Phụ lục số 5'!U30</f>
        <v>7200</v>
      </c>
      <c r="J27" s="516">
        <f>'Phụ lục số 5'!X30</f>
        <v>24800</v>
      </c>
      <c r="K27" s="516">
        <f>'Phụ lục số 5'!AA30</f>
        <v>10800</v>
      </c>
      <c r="L27" s="516">
        <f>'Phụ lục số 5'!AD30</f>
        <v>19000</v>
      </c>
      <c r="M27" s="516">
        <f>'Phụ lục số 5'!AG30</f>
        <v>26300</v>
      </c>
      <c r="N27" s="516">
        <f>'Phụ lục số 5'!AJ30</f>
        <v>2500</v>
      </c>
      <c r="O27" s="516">
        <f>'Phụ lục số 5'!AM30</f>
        <v>27000</v>
      </c>
    </row>
    <row r="28" spans="1:15" ht="18.75" hidden="1" customHeight="1">
      <c r="A28" s="512" t="s">
        <v>847</v>
      </c>
      <c r="B28" s="513" t="s">
        <v>292</v>
      </c>
      <c r="C28" s="513">
        <f t="shared" si="3"/>
        <v>0</v>
      </c>
      <c r="D28" s="513"/>
      <c r="E28" s="513"/>
      <c r="F28" s="513"/>
      <c r="G28" s="513"/>
      <c r="H28" s="513"/>
      <c r="I28" s="513"/>
      <c r="J28" s="513"/>
      <c r="K28" s="513"/>
      <c r="L28" s="513"/>
      <c r="M28" s="513"/>
      <c r="N28" s="513"/>
      <c r="O28" s="513"/>
    </row>
    <row r="29" spans="1:15" s="439" customFormat="1" ht="18.75" hidden="1" customHeight="1">
      <c r="A29" s="440" t="s">
        <v>847</v>
      </c>
      <c r="B29" s="441" t="s">
        <v>595</v>
      </c>
      <c r="C29" s="322">
        <f t="shared" si="3"/>
        <v>0</v>
      </c>
      <c r="D29" s="441"/>
      <c r="E29" s="441"/>
      <c r="F29" s="441"/>
      <c r="G29" s="441"/>
      <c r="H29" s="441"/>
      <c r="I29" s="441"/>
      <c r="J29" s="441"/>
      <c r="K29" s="441"/>
      <c r="L29" s="441"/>
      <c r="M29" s="441"/>
      <c r="N29" s="441"/>
      <c r="O29" s="441"/>
    </row>
    <row r="30" spans="1:15" s="439" customFormat="1" ht="18.75" hidden="1" customHeight="1">
      <c r="A30" s="442"/>
      <c r="B30" s="443" t="s">
        <v>393</v>
      </c>
      <c r="C30" s="443">
        <f t="shared" si="3"/>
        <v>0</v>
      </c>
      <c r="D30" s="443">
        <f>'Phụ lục số 5'!F31</f>
        <v>0</v>
      </c>
      <c r="E30" s="443">
        <f>'Phụ lục số 5'!I31</f>
        <v>0</v>
      </c>
      <c r="F30" s="443">
        <f>'Phụ lục số 5'!L31</f>
        <v>0</v>
      </c>
      <c r="G30" s="443">
        <f>'Phụ lục số 5'!O31</f>
        <v>0</v>
      </c>
      <c r="H30" s="443">
        <f>'Phụ lục số 5'!R31</f>
        <v>0</v>
      </c>
      <c r="I30" s="443">
        <f>'Phụ lục số 5'!U31</f>
        <v>0</v>
      </c>
      <c r="J30" s="443">
        <f>'Phụ lục số 5'!X31</f>
        <v>0</v>
      </c>
      <c r="K30" s="443">
        <f>'Phụ lục số 5'!AA31</f>
        <v>0</v>
      </c>
      <c r="L30" s="443">
        <f>'Phụ lục số 5'!AD31</f>
        <v>0</v>
      </c>
      <c r="M30" s="443">
        <f>'Phụ lục số 5'!AG31</f>
        <v>0</v>
      </c>
      <c r="N30" s="443">
        <f>'Phụ lục số 5'!AJ31</f>
        <v>0</v>
      </c>
      <c r="O30" s="443">
        <f>'Phụ lục số 5'!AM31</f>
        <v>0</v>
      </c>
    </row>
    <row r="31" spans="1:15" ht="18.75" customHeight="1">
      <c r="C31" s="5">
        <f>SUM(D31:O31)</f>
        <v>88000</v>
      </c>
      <c r="D31" s="5">
        <f>ROUND(D5*$E$32/100,-2)</f>
        <v>3600</v>
      </c>
      <c r="E31" s="5">
        <f t="shared" ref="E31:O31" si="5">ROUND(E5*$E$32/100,-2)</f>
        <v>10300</v>
      </c>
      <c r="F31" s="5">
        <f t="shared" si="5"/>
        <v>3700</v>
      </c>
      <c r="G31" s="5">
        <f t="shared" si="5"/>
        <v>4400</v>
      </c>
      <c r="H31" s="5">
        <f t="shared" si="5"/>
        <v>5400</v>
      </c>
      <c r="I31" s="5">
        <f t="shared" si="5"/>
        <v>8600</v>
      </c>
      <c r="J31" s="5">
        <f t="shared" si="5"/>
        <v>8700</v>
      </c>
      <c r="K31" s="5">
        <f t="shared" si="5"/>
        <v>9200</v>
      </c>
      <c r="L31" s="5">
        <f t="shared" si="5"/>
        <v>7000</v>
      </c>
      <c r="M31" s="5">
        <f t="shared" si="5"/>
        <v>4500</v>
      </c>
      <c r="N31" s="5">
        <f t="shared" si="5"/>
        <v>16700</v>
      </c>
      <c r="O31" s="5">
        <f t="shared" si="5"/>
        <v>5900</v>
      </c>
    </row>
    <row r="32" spans="1:15" ht="18.75" customHeight="1">
      <c r="D32" s="5">
        <v>88000</v>
      </c>
      <c r="E32" s="5">
        <f>+D32/D34%</f>
        <v>19.00647948164147</v>
      </c>
    </row>
    <row r="33" spans="3:4" ht="18.75" customHeight="1">
      <c r="C33" s="5">
        <f>C4-'Phụ lục số 2'!O11</f>
        <v>0</v>
      </c>
      <c r="D33" s="5">
        <v>45000</v>
      </c>
    </row>
    <row r="34" spans="3:4" ht="18.75" customHeight="1">
      <c r="D34" s="5">
        <v>463000</v>
      </c>
    </row>
    <row r="36" spans="3:4" ht="18.75" customHeight="1">
      <c r="D36" s="60"/>
    </row>
  </sheetData>
  <mergeCells count="2">
    <mergeCell ref="A1:O1"/>
    <mergeCell ref="M2:O2"/>
  </mergeCells>
  <printOptions horizontalCentered="1"/>
  <pageMargins left="0" right="0" top="0.39370078740157483" bottom="0.39370078740157483" header="0.19685039370078741" footer="0.19685039370078741"/>
  <pageSetup paperSize="9" orientation="landscape" r:id="rId1"/>
  <headerFooter alignWithMargins="0">
    <oddHeader>&amp;R&amp;A</oddHeader>
  </headerFooter>
  <legacyDrawing r:id="rId2"/>
</worksheet>
</file>

<file path=xl/worksheets/sheet22.xml><?xml version="1.0" encoding="utf-8"?>
<worksheet xmlns="http://schemas.openxmlformats.org/spreadsheetml/2006/main" xmlns:r="http://schemas.openxmlformats.org/officeDocument/2006/relationships">
  <sheetPr>
    <tabColor rgb="FF0000FF"/>
    <pageSetUpPr fitToPage="1"/>
  </sheetPr>
  <dimension ref="A1:AF112"/>
  <sheetViews>
    <sheetView zoomScale="85" zoomScaleNormal="85" workbookViewId="0">
      <pane xSplit="10" ySplit="10" topLeftCell="K4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95" customHeight="1"/>
  <cols>
    <col min="1" max="1" width="4.875" style="592" customWidth="1"/>
    <col min="2" max="2" width="35" style="160" customWidth="1"/>
    <col min="3" max="3" width="10.625" style="160" customWidth="1"/>
    <col min="4" max="4" width="8.375" style="160" hidden="1" customWidth="1"/>
    <col min="5" max="6" width="7.75" style="160" hidden="1" customWidth="1"/>
    <col min="7" max="7" width="8.125" style="160" hidden="1" customWidth="1"/>
    <col min="8" max="8" width="8.75" style="160" hidden="1" customWidth="1"/>
    <col min="9" max="9" width="3.375" style="160" hidden="1" customWidth="1"/>
    <col min="10" max="10" width="9.5" style="159" customWidth="1"/>
    <col min="11" max="22" width="9.625" style="160" customWidth="1"/>
    <col min="23" max="23" width="8.125" style="160" customWidth="1"/>
    <col min="24" max="24" width="9.375" style="160" customWidth="1"/>
    <col min="25" max="25" width="9.625" style="159" customWidth="1"/>
    <col min="26" max="16384" width="9" style="160"/>
  </cols>
  <sheetData>
    <row r="1" spans="1:27" ht="12.75">
      <c r="A1" s="697" t="s">
        <v>874</v>
      </c>
      <c r="B1" s="697"/>
      <c r="C1" s="697"/>
      <c r="D1" s="697"/>
      <c r="E1" s="697"/>
      <c r="F1" s="697"/>
      <c r="G1" s="697"/>
      <c r="H1" s="697"/>
      <c r="I1" s="697"/>
      <c r="J1" s="697"/>
      <c r="K1" s="697"/>
      <c r="L1" s="697"/>
      <c r="M1" s="697"/>
      <c r="N1" s="697"/>
      <c r="O1" s="697"/>
      <c r="P1" s="697"/>
      <c r="Q1" s="697"/>
      <c r="R1" s="697"/>
      <c r="S1" s="697"/>
      <c r="T1" s="697"/>
      <c r="U1" s="697"/>
      <c r="V1" s="697"/>
      <c r="W1" s="697"/>
      <c r="X1" s="697"/>
      <c r="Y1" s="697"/>
    </row>
    <row r="3" spans="1:27" ht="12.75">
      <c r="A3" s="698" t="s">
        <v>769</v>
      </c>
      <c r="B3" s="699" t="s">
        <v>818</v>
      </c>
      <c r="C3" s="699" t="s">
        <v>859</v>
      </c>
      <c r="D3" s="699"/>
      <c r="E3" s="699"/>
      <c r="F3" s="699"/>
      <c r="G3" s="699"/>
      <c r="H3" s="699"/>
      <c r="I3" s="699"/>
      <c r="J3" s="699"/>
      <c r="K3" s="699"/>
      <c r="L3" s="699"/>
      <c r="M3" s="699"/>
      <c r="N3" s="699"/>
      <c r="O3" s="699"/>
      <c r="P3" s="699"/>
      <c r="Q3" s="699"/>
      <c r="R3" s="699"/>
      <c r="S3" s="699"/>
      <c r="T3" s="699"/>
      <c r="U3" s="699"/>
      <c r="V3" s="699"/>
      <c r="W3" s="699"/>
      <c r="X3" s="699"/>
      <c r="Y3" s="699"/>
    </row>
    <row r="4" spans="1:27" ht="12.75" customHeight="1">
      <c r="A4" s="698"/>
      <c r="B4" s="699"/>
      <c r="C4" s="699" t="s">
        <v>745</v>
      </c>
      <c r="D4" s="691" t="s">
        <v>541</v>
      </c>
      <c r="E4" s="692"/>
      <c r="F4" s="692"/>
      <c r="G4" s="692"/>
      <c r="H4" s="692"/>
      <c r="I4" s="693"/>
      <c r="J4" s="700" t="s">
        <v>819</v>
      </c>
      <c r="K4" s="700"/>
      <c r="L4" s="700"/>
      <c r="M4" s="700"/>
      <c r="N4" s="700"/>
      <c r="O4" s="700"/>
      <c r="P4" s="700"/>
      <c r="Q4" s="700"/>
      <c r="R4" s="700"/>
      <c r="S4" s="700"/>
      <c r="T4" s="700"/>
      <c r="U4" s="700"/>
      <c r="V4" s="700"/>
      <c r="W4" s="699" t="s">
        <v>820</v>
      </c>
      <c r="X4" s="699" t="s">
        <v>296</v>
      </c>
      <c r="Y4" s="699" t="s">
        <v>297</v>
      </c>
    </row>
    <row r="5" spans="1:27" ht="12.75" customHeight="1">
      <c r="A5" s="698"/>
      <c r="B5" s="699"/>
      <c r="C5" s="699"/>
      <c r="D5" s="694" t="s">
        <v>770</v>
      </c>
      <c r="E5" s="691" t="s">
        <v>542</v>
      </c>
      <c r="F5" s="692"/>
      <c r="G5" s="693"/>
      <c r="H5" s="691" t="s">
        <v>543</v>
      </c>
      <c r="I5" s="693"/>
      <c r="J5" s="699" t="s">
        <v>300</v>
      </c>
      <c r="K5" s="700"/>
      <c r="L5" s="700"/>
      <c r="M5" s="700"/>
      <c r="N5" s="700"/>
      <c r="O5" s="700"/>
      <c r="P5" s="700"/>
      <c r="Q5" s="700"/>
      <c r="R5" s="700"/>
      <c r="S5" s="700"/>
      <c r="T5" s="700"/>
      <c r="U5" s="700"/>
      <c r="V5" s="700"/>
      <c r="W5" s="699"/>
      <c r="X5" s="699"/>
      <c r="Y5" s="699"/>
    </row>
    <row r="6" spans="1:27" ht="21.75" customHeight="1">
      <c r="A6" s="698"/>
      <c r="B6" s="699"/>
      <c r="C6" s="699"/>
      <c r="D6" s="695"/>
      <c r="E6" s="694" t="s">
        <v>634</v>
      </c>
      <c r="F6" s="694" t="s">
        <v>544</v>
      </c>
      <c r="G6" s="694" t="s">
        <v>545</v>
      </c>
      <c r="H6" s="694" t="s">
        <v>546</v>
      </c>
      <c r="I6" s="694" t="s">
        <v>801</v>
      </c>
      <c r="J6" s="699"/>
      <c r="K6" s="699" t="s">
        <v>948</v>
      </c>
      <c r="L6" s="699" t="s">
        <v>949</v>
      </c>
      <c r="M6" s="699" t="s">
        <v>947</v>
      </c>
      <c r="N6" s="699" t="s">
        <v>946</v>
      </c>
      <c r="O6" s="699" t="s">
        <v>945</v>
      </c>
      <c r="P6" s="699" t="s">
        <v>944</v>
      </c>
      <c r="Q6" s="699" t="s">
        <v>943</v>
      </c>
      <c r="R6" s="699" t="s">
        <v>939</v>
      </c>
      <c r="S6" s="699" t="s">
        <v>940</v>
      </c>
      <c r="T6" s="699" t="s">
        <v>941</v>
      </c>
      <c r="U6" s="699" t="s">
        <v>942</v>
      </c>
      <c r="V6" s="699" t="s">
        <v>757</v>
      </c>
      <c r="W6" s="699"/>
      <c r="X6" s="699"/>
      <c r="Y6" s="699"/>
    </row>
    <row r="7" spans="1:27" ht="75" customHeight="1">
      <c r="A7" s="698"/>
      <c r="B7" s="699"/>
      <c r="C7" s="699"/>
      <c r="D7" s="696"/>
      <c r="E7" s="696"/>
      <c r="F7" s="696"/>
      <c r="G7" s="696"/>
      <c r="H7" s="696"/>
      <c r="I7" s="696"/>
      <c r="J7" s="701"/>
      <c r="K7" s="699"/>
      <c r="L7" s="699"/>
      <c r="M7" s="699"/>
      <c r="N7" s="699"/>
      <c r="O7" s="699"/>
      <c r="P7" s="699"/>
      <c r="Q7" s="699"/>
      <c r="R7" s="699"/>
      <c r="S7" s="699"/>
      <c r="T7" s="699"/>
      <c r="U7" s="699"/>
      <c r="V7" s="699"/>
      <c r="W7" s="699"/>
      <c r="X7" s="699"/>
      <c r="Y7" s="699"/>
    </row>
    <row r="8" spans="1:27" s="323" customFormat="1" ht="12.75">
      <c r="A8" s="415" t="s">
        <v>639</v>
      </c>
      <c r="B8" s="416" t="s">
        <v>657</v>
      </c>
      <c r="C8" s="416" t="s">
        <v>298</v>
      </c>
      <c r="D8" s="416">
        <v>54</v>
      </c>
      <c r="E8" s="416">
        <v>55</v>
      </c>
      <c r="F8" s="416">
        <v>56</v>
      </c>
      <c r="G8" s="416">
        <v>57</v>
      </c>
      <c r="H8" s="416">
        <v>58</v>
      </c>
      <c r="I8" s="416">
        <v>59</v>
      </c>
      <c r="J8" s="416" t="s">
        <v>299</v>
      </c>
      <c r="K8" s="416">
        <v>3</v>
      </c>
      <c r="L8" s="416">
        <v>4</v>
      </c>
      <c r="M8" s="416">
        <v>5</v>
      </c>
      <c r="N8" s="416">
        <v>6</v>
      </c>
      <c r="O8" s="416">
        <v>8</v>
      </c>
      <c r="P8" s="416">
        <v>9</v>
      </c>
      <c r="Q8" s="416">
        <v>10</v>
      </c>
      <c r="R8" s="416">
        <v>11</v>
      </c>
      <c r="S8" s="416">
        <v>7</v>
      </c>
      <c r="T8" s="416">
        <v>2</v>
      </c>
      <c r="U8" s="416">
        <v>12</v>
      </c>
      <c r="V8" s="416">
        <v>15</v>
      </c>
      <c r="W8" s="416">
        <v>16</v>
      </c>
      <c r="X8" s="416">
        <v>17</v>
      </c>
      <c r="Y8" s="416">
        <v>18</v>
      </c>
    </row>
    <row r="9" spans="1:27" ht="18.95" customHeight="1">
      <c r="A9" s="588"/>
      <c r="B9" s="359" t="s">
        <v>770</v>
      </c>
      <c r="C9" s="533">
        <f t="shared" ref="C9:Y9" si="0">SUM(C10,C45,C60,C64)</f>
        <v>2464703</v>
      </c>
      <c r="D9" s="533" t="e">
        <f t="shared" si="0"/>
        <v>#REF!</v>
      </c>
      <c r="E9" s="533" t="e">
        <f t="shared" si="0"/>
        <v>#REF!</v>
      </c>
      <c r="F9" s="533" t="e">
        <f t="shared" si="0"/>
        <v>#REF!</v>
      </c>
      <c r="G9" s="533" t="e">
        <f t="shared" si="0"/>
        <v>#REF!</v>
      </c>
      <c r="H9" s="533" t="e">
        <f t="shared" si="0"/>
        <v>#REF!</v>
      </c>
      <c r="I9" s="533" t="e">
        <f t="shared" si="0"/>
        <v>#REF!</v>
      </c>
      <c r="J9" s="533">
        <f t="shared" si="0"/>
        <v>1926824</v>
      </c>
      <c r="K9" s="533">
        <f t="shared" si="0"/>
        <v>266130</v>
      </c>
      <c r="L9" s="533">
        <f t="shared" si="0"/>
        <v>27167</v>
      </c>
      <c r="M9" s="533">
        <f t="shared" si="0"/>
        <v>24000</v>
      </c>
      <c r="N9" s="533">
        <f t="shared" si="0"/>
        <v>522780</v>
      </c>
      <c r="O9" s="533">
        <f t="shared" si="0"/>
        <v>526072</v>
      </c>
      <c r="P9" s="533">
        <f t="shared" si="0"/>
        <v>31305</v>
      </c>
      <c r="Q9" s="533">
        <f t="shared" si="0"/>
        <v>4400</v>
      </c>
      <c r="R9" s="533">
        <f t="shared" si="0"/>
        <v>15000</v>
      </c>
      <c r="S9" s="533">
        <f>SUM(S10,S45,S60,S64)</f>
        <v>44400</v>
      </c>
      <c r="T9" s="533">
        <f>SUM(T10,T45,T60,T64)</f>
        <v>361451</v>
      </c>
      <c r="U9" s="533">
        <f t="shared" si="0"/>
        <v>49845</v>
      </c>
      <c r="V9" s="533">
        <f t="shared" si="0"/>
        <v>54274</v>
      </c>
      <c r="W9" s="533">
        <f t="shared" si="0"/>
        <v>76245</v>
      </c>
      <c r="X9" s="533">
        <f t="shared" si="0"/>
        <v>372200</v>
      </c>
      <c r="Y9" s="533">
        <f t="shared" si="0"/>
        <v>89434</v>
      </c>
    </row>
    <row r="10" spans="1:27" s="159" customFormat="1" ht="18.95" customHeight="1">
      <c r="A10" s="360" t="s">
        <v>639</v>
      </c>
      <c r="B10" s="361" t="s">
        <v>821</v>
      </c>
      <c r="C10" s="534">
        <f>SUM(C11:C43)</f>
        <v>1820704</v>
      </c>
      <c r="D10" s="534" t="e">
        <f t="shared" ref="D10:I10" si="1">SUM(D11:D43)</f>
        <v>#REF!</v>
      </c>
      <c r="E10" s="534" t="e">
        <f t="shared" si="1"/>
        <v>#REF!</v>
      </c>
      <c r="F10" s="534" t="e">
        <f t="shared" si="1"/>
        <v>#REF!</v>
      </c>
      <c r="G10" s="534" t="e">
        <f t="shared" si="1"/>
        <v>#REF!</v>
      </c>
      <c r="H10" s="534" t="e">
        <f t="shared" si="1"/>
        <v>#REF!</v>
      </c>
      <c r="I10" s="534" t="e">
        <f t="shared" si="1"/>
        <v>#REF!</v>
      </c>
      <c r="J10" s="534">
        <f>SUM(J11:J43)</f>
        <v>1807013</v>
      </c>
      <c r="K10" s="534">
        <f t="shared" ref="K10:Y10" si="2">SUM(K11:K43)</f>
        <v>265740</v>
      </c>
      <c r="L10" s="534">
        <f t="shared" si="2"/>
        <v>26350</v>
      </c>
      <c r="M10" s="534">
        <f t="shared" si="2"/>
        <v>23100</v>
      </c>
      <c r="N10" s="534">
        <f t="shared" si="2"/>
        <v>511690</v>
      </c>
      <c r="O10" s="534">
        <f t="shared" si="2"/>
        <v>525972</v>
      </c>
      <c r="P10" s="534">
        <f t="shared" si="2"/>
        <v>31305</v>
      </c>
      <c r="Q10" s="534">
        <f t="shared" si="2"/>
        <v>4400</v>
      </c>
      <c r="R10" s="534">
        <f t="shared" si="2"/>
        <v>15000</v>
      </c>
      <c r="S10" s="534">
        <f>SUM(S11:S43)</f>
        <v>44400</v>
      </c>
      <c r="T10" s="534">
        <f>SUM(T11:T43)</f>
        <v>328737</v>
      </c>
      <c r="U10" s="534">
        <f t="shared" si="2"/>
        <v>4026</v>
      </c>
      <c r="V10" s="534">
        <f t="shared" si="2"/>
        <v>26293</v>
      </c>
      <c r="W10" s="534">
        <f t="shared" si="2"/>
        <v>0</v>
      </c>
      <c r="X10" s="534">
        <f t="shared" si="2"/>
        <v>0</v>
      </c>
      <c r="Y10" s="534">
        <f t="shared" si="2"/>
        <v>13691</v>
      </c>
    </row>
    <row r="11" spans="1:27" s="159" customFormat="1" ht="18.95" customHeight="1">
      <c r="A11" s="360">
        <v>1</v>
      </c>
      <c r="B11" s="362" t="s">
        <v>107</v>
      </c>
      <c r="C11" s="535">
        <f t="shared" ref="C11:C42" si="3">J11+Y11+W11+X11</f>
        <v>6691</v>
      </c>
      <c r="D11" s="535"/>
      <c r="E11" s="535"/>
      <c r="F11" s="535"/>
      <c r="G11" s="535"/>
      <c r="H11" s="535"/>
      <c r="I11" s="535"/>
      <c r="J11" s="535">
        <f t="shared" ref="J11:J44" si="4">SUM(K11:V11)</f>
        <v>6691</v>
      </c>
      <c r="K11" s="536">
        <v>0</v>
      </c>
      <c r="L11" s="536">
        <v>0</v>
      </c>
      <c r="M11" s="536">
        <v>0</v>
      </c>
      <c r="N11" s="536">
        <v>350</v>
      </c>
      <c r="O11" s="536">
        <v>0</v>
      </c>
      <c r="P11" s="536">
        <v>0</v>
      </c>
      <c r="Q11" s="536">
        <v>0</v>
      </c>
      <c r="R11" s="536">
        <v>0</v>
      </c>
      <c r="S11" s="536">
        <v>0</v>
      </c>
      <c r="T11" s="536">
        <f>7141-800</f>
        <v>6341</v>
      </c>
      <c r="U11" s="536">
        <v>0</v>
      </c>
      <c r="V11" s="536">
        <v>0</v>
      </c>
      <c r="W11" s="536">
        <v>0</v>
      </c>
      <c r="X11" s="536">
        <v>0</v>
      </c>
      <c r="Y11" s="535">
        <v>0</v>
      </c>
    </row>
    <row r="12" spans="1:27" s="159" customFormat="1" ht="18.95" customHeight="1">
      <c r="A12" s="360">
        <v>2</v>
      </c>
      <c r="B12" s="362" t="s">
        <v>310</v>
      </c>
      <c r="C12" s="535">
        <f t="shared" si="3"/>
        <v>20405</v>
      </c>
      <c r="D12" s="535" t="e">
        <f>SUM(#REF!)</f>
        <v>#REF!</v>
      </c>
      <c r="E12" s="535" t="e">
        <f>SUM(#REF!)</f>
        <v>#REF!</v>
      </c>
      <c r="F12" s="535" t="e">
        <f>SUM(#REF!)</f>
        <v>#REF!</v>
      </c>
      <c r="G12" s="535" t="e">
        <f>SUM(#REF!)</f>
        <v>#REF!</v>
      </c>
      <c r="H12" s="535" t="e">
        <f>SUM(#REF!)</f>
        <v>#REF!</v>
      </c>
      <c r="I12" s="535" t="e">
        <f>SUM(#REF!)</f>
        <v>#REF!</v>
      </c>
      <c r="J12" s="535">
        <f t="shared" si="4"/>
        <v>16358</v>
      </c>
      <c r="K12" s="536">
        <v>840</v>
      </c>
      <c r="L12" s="536">
        <v>0</v>
      </c>
      <c r="M12" s="536">
        <v>0</v>
      </c>
      <c r="N12" s="536">
        <v>600</v>
      </c>
      <c r="O12" s="536">
        <v>0</v>
      </c>
      <c r="P12" s="536">
        <v>0</v>
      </c>
      <c r="Q12" s="536">
        <v>0</v>
      </c>
      <c r="R12" s="536">
        <v>0</v>
      </c>
      <c r="S12" s="536">
        <v>0</v>
      </c>
      <c r="T12" s="536">
        <v>14918</v>
      </c>
      <c r="U12" s="536">
        <v>0</v>
      </c>
      <c r="V12" s="536">
        <v>0</v>
      </c>
      <c r="W12" s="536">
        <v>0</v>
      </c>
      <c r="X12" s="536">
        <v>0</v>
      </c>
      <c r="Y12" s="535">
        <f>'Phụ lục số 8'!E60</f>
        <v>4047</v>
      </c>
    </row>
    <row r="13" spans="1:27" s="159" customFormat="1" ht="18.95" customHeight="1">
      <c r="A13" s="360">
        <v>3</v>
      </c>
      <c r="B13" s="362" t="s">
        <v>355</v>
      </c>
      <c r="C13" s="535">
        <f t="shared" si="3"/>
        <v>186053</v>
      </c>
      <c r="D13" s="535" t="e">
        <f>SUM(#REF!)</f>
        <v>#REF!</v>
      </c>
      <c r="E13" s="535" t="e">
        <f>SUM(#REF!)</f>
        <v>#REF!</v>
      </c>
      <c r="F13" s="535" t="e">
        <f>SUM(#REF!)</f>
        <v>#REF!</v>
      </c>
      <c r="G13" s="535" t="e">
        <f>SUM(#REF!)</f>
        <v>#REF!</v>
      </c>
      <c r="H13" s="535" t="e">
        <f>SUM(#REF!)</f>
        <v>#REF!</v>
      </c>
      <c r="I13" s="535" t="e">
        <f>SUM(#REF!)</f>
        <v>#REF!</v>
      </c>
      <c r="J13" s="535">
        <f t="shared" si="4"/>
        <v>181053</v>
      </c>
      <c r="K13" s="536">
        <f>67635+71130+30000</f>
        <v>168765</v>
      </c>
      <c r="L13" s="536">
        <v>6035</v>
      </c>
      <c r="M13" s="536">
        <v>0</v>
      </c>
      <c r="N13" s="536">
        <v>250</v>
      </c>
      <c r="O13" s="536">
        <v>0</v>
      </c>
      <c r="P13" s="536">
        <v>0</v>
      </c>
      <c r="Q13" s="536">
        <v>0</v>
      </c>
      <c r="R13" s="536">
        <v>0</v>
      </c>
      <c r="S13" s="536">
        <v>0</v>
      </c>
      <c r="T13" s="536">
        <v>6003</v>
      </c>
      <c r="U13" s="536">
        <v>0</v>
      </c>
      <c r="V13" s="536">
        <v>0</v>
      </c>
      <c r="W13" s="535">
        <v>0</v>
      </c>
      <c r="X13" s="535">
        <v>0</v>
      </c>
      <c r="Y13" s="535">
        <v>5000</v>
      </c>
      <c r="AA13" s="541"/>
    </row>
    <row r="14" spans="1:27" s="159" customFormat="1" ht="18.95" customHeight="1">
      <c r="A14" s="360">
        <v>4</v>
      </c>
      <c r="B14" s="362" t="s">
        <v>354</v>
      </c>
      <c r="C14" s="535">
        <f t="shared" si="3"/>
        <v>5914</v>
      </c>
      <c r="D14" s="535"/>
      <c r="E14" s="535"/>
      <c r="F14" s="535"/>
      <c r="G14" s="535"/>
      <c r="H14" s="535"/>
      <c r="I14" s="535"/>
      <c r="J14" s="535">
        <f t="shared" si="4"/>
        <v>5914</v>
      </c>
      <c r="K14" s="536">
        <v>0</v>
      </c>
      <c r="L14" s="536">
        <v>0</v>
      </c>
      <c r="M14" s="536">
        <v>0</v>
      </c>
      <c r="N14" s="536">
        <v>360</v>
      </c>
      <c r="O14" s="536">
        <v>0</v>
      </c>
      <c r="P14" s="536">
        <v>0</v>
      </c>
      <c r="Q14" s="536">
        <v>0</v>
      </c>
      <c r="R14" s="536">
        <v>0</v>
      </c>
      <c r="S14" s="536">
        <v>0</v>
      </c>
      <c r="T14" s="536">
        <f>6354-800</f>
        <v>5554</v>
      </c>
      <c r="U14" s="536">
        <v>0</v>
      </c>
      <c r="V14" s="536">
        <v>0</v>
      </c>
      <c r="W14" s="536">
        <v>0</v>
      </c>
      <c r="X14" s="536">
        <v>0</v>
      </c>
      <c r="Y14" s="535">
        <v>0</v>
      </c>
    </row>
    <row r="15" spans="1:27" s="159" customFormat="1" ht="18.95" customHeight="1">
      <c r="A15" s="360">
        <v>5</v>
      </c>
      <c r="B15" s="362" t="s">
        <v>353</v>
      </c>
      <c r="C15" s="535">
        <f t="shared" si="3"/>
        <v>11153</v>
      </c>
      <c r="D15" s="535" t="e">
        <f>SUM(#REF!)</f>
        <v>#REF!</v>
      </c>
      <c r="E15" s="535" t="e">
        <f>SUM(#REF!)</f>
        <v>#REF!</v>
      </c>
      <c r="F15" s="535" t="e">
        <f>SUM(#REF!)</f>
        <v>#REF!</v>
      </c>
      <c r="G15" s="535" t="e">
        <f>SUM(#REF!)</f>
        <v>#REF!</v>
      </c>
      <c r="H15" s="535" t="e">
        <f>SUM(#REF!)</f>
        <v>#REF!</v>
      </c>
      <c r="I15" s="535" t="e">
        <f>SUM(#REF!)</f>
        <v>#REF!</v>
      </c>
      <c r="J15" s="535">
        <f t="shared" si="4"/>
        <v>11153</v>
      </c>
      <c r="K15" s="536">
        <v>4380</v>
      </c>
      <c r="L15" s="536">
        <v>0</v>
      </c>
      <c r="M15" s="536">
        <v>0</v>
      </c>
      <c r="N15" s="536">
        <v>2600</v>
      </c>
      <c r="O15" s="536">
        <v>0</v>
      </c>
      <c r="P15" s="536">
        <v>0</v>
      </c>
      <c r="Q15" s="536">
        <v>0</v>
      </c>
      <c r="R15" s="536">
        <v>0</v>
      </c>
      <c r="S15" s="536">
        <v>0</v>
      </c>
      <c r="T15" s="536">
        <v>4173</v>
      </c>
      <c r="U15" s="536">
        <v>0</v>
      </c>
      <c r="V15" s="536">
        <v>0</v>
      </c>
      <c r="W15" s="536">
        <v>0</v>
      </c>
      <c r="X15" s="536">
        <v>0</v>
      </c>
      <c r="Y15" s="535">
        <v>0</v>
      </c>
    </row>
    <row r="16" spans="1:27" s="159" customFormat="1" ht="18.95" customHeight="1">
      <c r="A16" s="360">
        <v>6</v>
      </c>
      <c r="B16" s="362" t="s">
        <v>352</v>
      </c>
      <c r="C16" s="535">
        <f t="shared" si="3"/>
        <v>19126</v>
      </c>
      <c r="D16" s="535" t="e">
        <f>SUM(#REF!)</f>
        <v>#REF!</v>
      </c>
      <c r="E16" s="535" t="e">
        <f>SUM(#REF!)</f>
        <v>#REF!</v>
      </c>
      <c r="F16" s="535" t="e">
        <f>SUM(#REF!)</f>
        <v>#REF!</v>
      </c>
      <c r="G16" s="535" t="e">
        <f>SUM(#REF!)</f>
        <v>#REF!</v>
      </c>
      <c r="H16" s="535" t="e">
        <f>SUM(#REF!)</f>
        <v>#REF!</v>
      </c>
      <c r="I16" s="535" t="e">
        <f>SUM(#REF!)</f>
        <v>#REF!</v>
      </c>
      <c r="J16" s="535">
        <f t="shared" si="4"/>
        <v>19126</v>
      </c>
      <c r="K16" s="536">
        <v>3373</v>
      </c>
      <c r="L16" s="536">
        <v>85</v>
      </c>
      <c r="M16" s="536">
        <v>0</v>
      </c>
      <c r="N16" s="536">
        <v>646</v>
      </c>
      <c r="O16" s="536">
        <v>0</v>
      </c>
      <c r="P16" s="536">
        <v>0</v>
      </c>
      <c r="Q16" s="536">
        <v>0</v>
      </c>
      <c r="R16" s="536">
        <v>0</v>
      </c>
      <c r="S16" s="536">
        <v>0</v>
      </c>
      <c r="T16" s="536">
        <v>15022</v>
      </c>
      <c r="U16" s="536">
        <v>0</v>
      </c>
      <c r="V16" s="536">
        <v>0</v>
      </c>
      <c r="W16" s="536">
        <v>0</v>
      </c>
      <c r="X16" s="536">
        <v>0</v>
      </c>
      <c r="Y16" s="535">
        <v>0</v>
      </c>
    </row>
    <row r="17" spans="1:27" s="159" customFormat="1" ht="18.95" customHeight="1">
      <c r="A17" s="360">
        <v>7</v>
      </c>
      <c r="B17" s="362" t="s">
        <v>351</v>
      </c>
      <c r="C17" s="535">
        <f t="shared" si="3"/>
        <v>22252</v>
      </c>
      <c r="D17" s="535" t="e">
        <f>SUM(#REF!)</f>
        <v>#REF!</v>
      </c>
      <c r="E17" s="535" t="e">
        <f>SUM(#REF!)</f>
        <v>#REF!</v>
      </c>
      <c r="F17" s="535" t="e">
        <f>SUM(#REF!)</f>
        <v>#REF!</v>
      </c>
      <c r="G17" s="535" t="e">
        <f>SUM(#REF!)</f>
        <v>#REF!</v>
      </c>
      <c r="H17" s="535" t="e">
        <f>SUM(#REF!)</f>
        <v>#REF!</v>
      </c>
      <c r="I17" s="535" t="e">
        <f>SUM(#REF!)</f>
        <v>#REF!</v>
      </c>
      <c r="J17" s="535">
        <f t="shared" si="4"/>
        <v>22252</v>
      </c>
      <c r="K17" s="536">
        <v>0</v>
      </c>
      <c r="L17" s="536">
        <v>0</v>
      </c>
      <c r="M17" s="536">
        <v>16992</v>
      </c>
      <c r="N17" s="536">
        <v>0</v>
      </c>
      <c r="O17" s="536">
        <v>0</v>
      </c>
      <c r="P17" s="536">
        <v>0</v>
      </c>
      <c r="Q17" s="536">
        <v>0</v>
      </c>
      <c r="R17" s="536">
        <v>0</v>
      </c>
      <c r="S17" s="536">
        <v>0</v>
      </c>
      <c r="T17" s="536">
        <v>5260</v>
      </c>
      <c r="U17" s="536">
        <v>0</v>
      </c>
      <c r="V17" s="536">
        <v>0</v>
      </c>
      <c r="W17" s="536">
        <v>0</v>
      </c>
      <c r="X17" s="536">
        <v>0</v>
      </c>
      <c r="Y17" s="535">
        <v>0</v>
      </c>
    </row>
    <row r="18" spans="1:27" s="159" customFormat="1" ht="18.95" customHeight="1">
      <c r="A18" s="360">
        <v>8</v>
      </c>
      <c r="B18" s="362" t="s">
        <v>349</v>
      </c>
      <c r="C18" s="535">
        <f t="shared" si="3"/>
        <v>17544</v>
      </c>
      <c r="D18" s="535" t="e">
        <f>SUM(#REF!)</f>
        <v>#REF!</v>
      </c>
      <c r="E18" s="535" t="e">
        <f>SUM(#REF!)</f>
        <v>#REF!</v>
      </c>
      <c r="F18" s="535" t="e">
        <f>SUM(#REF!)</f>
        <v>#REF!</v>
      </c>
      <c r="G18" s="535" t="e">
        <f>SUM(#REF!)</f>
        <v>#REF!</v>
      </c>
      <c r="H18" s="535" t="e">
        <f>SUM(#REF!)</f>
        <v>#REF!</v>
      </c>
      <c r="I18" s="535" t="e">
        <f>SUM(#REF!)</f>
        <v>#REF!</v>
      </c>
      <c r="J18" s="535">
        <f t="shared" si="4"/>
        <v>17544</v>
      </c>
      <c r="K18" s="536">
        <v>385</v>
      </c>
      <c r="L18" s="536">
        <v>0</v>
      </c>
      <c r="M18" s="536">
        <v>0</v>
      </c>
      <c r="N18" s="536">
        <v>7000</v>
      </c>
      <c r="O18" s="536">
        <v>0</v>
      </c>
      <c r="P18" s="536">
        <v>0</v>
      </c>
      <c r="Q18" s="536">
        <v>0</v>
      </c>
      <c r="R18" s="536">
        <v>0</v>
      </c>
      <c r="S18" s="536">
        <v>0</v>
      </c>
      <c r="T18" s="536">
        <f>10999-840</f>
        <v>10159</v>
      </c>
      <c r="U18" s="536">
        <v>0</v>
      </c>
      <c r="V18" s="536">
        <v>0</v>
      </c>
      <c r="W18" s="535">
        <v>0</v>
      </c>
      <c r="X18" s="536">
        <v>0</v>
      </c>
      <c r="Y18" s="535">
        <v>0</v>
      </c>
    </row>
    <row r="19" spans="1:27" s="159" customFormat="1" ht="18.95" customHeight="1">
      <c r="A19" s="360">
        <v>9</v>
      </c>
      <c r="B19" s="362" t="s">
        <v>348</v>
      </c>
      <c r="C19" s="535">
        <f t="shared" si="3"/>
        <v>6844</v>
      </c>
      <c r="D19" s="535" t="e">
        <f>SUM(#REF!)</f>
        <v>#REF!</v>
      </c>
      <c r="E19" s="535" t="e">
        <f>SUM(#REF!)</f>
        <v>#REF!</v>
      </c>
      <c r="F19" s="535" t="e">
        <f>SUM(#REF!)</f>
        <v>#REF!</v>
      </c>
      <c r="G19" s="535" t="e">
        <f>SUM(#REF!)</f>
        <v>#REF!</v>
      </c>
      <c r="H19" s="535" t="e">
        <f>SUM(#REF!)</f>
        <v>#REF!</v>
      </c>
      <c r="I19" s="535" t="e">
        <f>SUM(#REF!)</f>
        <v>#REF!</v>
      </c>
      <c r="J19" s="535">
        <f t="shared" si="4"/>
        <v>6844</v>
      </c>
      <c r="K19" s="536">
        <v>600</v>
      </c>
      <c r="L19" s="536">
        <v>0</v>
      </c>
      <c r="M19" s="536">
        <v>0</v>
      </c>
      <c r="N19" s="536">
        <v>130</v>
      </c>
      <c r="O19" s="536">
        <v>0</v>
      </c>
      <c r="P19" s="536">
        <v>0</v>
      </c>
      <c r="Q19" s="536">
        <v>0</v>
      </c>
      <c r="R19" s="536">
        <v>0</v>
      </c>
      <c r="S19" s="536">
        <v>0</v>
      </c>
      <c r="T19" s="536">
        <f>6914-800</f>
        <v>6114</v>
      </c>
      <c r="U19" s="536">
        <v>0</v>
      </c>
      <c r="V19" s="536">
        <v>0</v>
      </c>
      <c r="W19" s="536">
        <v>0</v>
      </c>
      <c r="X19" s="536">
        <v>0</v>
      </c>
      <c r="Y19" s="535">
        <v>0</v>
      </c>
    </row>
    <row r="20" spans="1:27" s="159" customFormat="1" ht="18.95" customHeight="1">
      <c r="A20" s="360">
        <v>10</v>
      </c>
      <c r="B20" s="362" t="s">
        <v>347</v>
      </c>
      <c r="C20" s="535">
        <f t="shared" si="3"/>
        <v>24082</v>
      </c>
      <c r="D20" s="535" t="e">
        <f>SUM(#REF!)</f>
        <v>#REF!</v>
      </c>
      <c r="E20" s="535" t="e">
        <f>SUM(#REF!)</f>
        <v>#REF!</v>
      </c>
      <c r="F20" s="535" t="e">
        <f>SUM(#REF!)</f>
        <v>#REF!</v>
      </c>
      <c r="G20" s="535" t="e">
        <f>SUM(#REF!)</f>
        <v>#REF!</v>
      </c>
      <c r="H20" s="535" t="e">
        <f>SUM(#REF!)</f>
        <v>#REF!</v>
      </c>
      <c r="I20" s="535" t="e">
        <f>SUM(#REF!)</f>
        <v>#REF!</v>
      </c>
      <c r="J20" s="535">
        <f t="shared" si="4"/>
        <v>24082</v>
      </c>
      <c r="K20" s="536">
        <v>15954</v>
      </c>
      <c r="L20" s="536">
        <v>0</v>
      </c>
      <c r="M20" s="536">
        <v>0</v>
      </c>
      <c r="N20" s="536">
        <v>950</v>
      </c>
      <c r="O20" s="536">
        <v>0</v>
      </c>
      <c r="P20" s="536">
        <v>0</v>
      </c>
      <c r="Q20" s="536">
        <v>0</v>
      </c>
      <c r="R20" s="536">
        <v>0</v>
      </c>
      <c r="S20" s="536">
        <v>0</v>
      </c>
      <c r="T20" s="536">
        <f>7978-800</f>
        <v>7178</v>
      </c>
      <c r="U20" s="536">
        <v>0</v>
      </c>
      <c r="V20" s="536">
        <v>0</v>
      </c>
      <c r="W20" s="536">
        <v>0</v>
      </c>
      <c r="X20" s="535">
        <v>0</v>
      </c>
      <c r="Y20" s="535">
        <v>0</v>
      </c>
    </row>
    <row r="21" spans="1:27" s="159" customFormat="1" ht="18.95" customHeight="1">
      <c r="A21" s="360">
        <v>11</v>
      </c>
      <c r="B21" s="362" t="s">
        <v>346</v>
      </c>
      <c r="C21" s="535">
        <f t="shared" si="3"/>
        <v>341332</v>
      </c>
      <c r="D21" s="535" t="e">
        <f>SUM(#REF!)</f>
        <v>#REF!</v>
      </c>
      <c r="E21" s="535" t="e">
        <f>SUM(#REF!)</f>
        <v>#REF!</v>
      </c>
      <c r="F21" s="535" t="e">
        <f>SUM(#REF!)</f>
        <v>#REF!</v>
      </c>
      <c r="G21" s="535" t="e">
        <f>SUM(#REF!)</f>
        <v>#REF!</v>
      </c>
      <c r="H21" s="535" t="e">
        <f>SUM(#REF!)</f>
        <v>#REF!</v>
      </c>
      <c r="I21" s="535" t="e">
        <f>SUM(#REF!)</f>
        <v>#REF!</v>
      </c>
      <c r="J21" s="535">
        <f t="shared" si="4"/>
        <v>339681</v>
      </c>
      <c r="K21" s="536">
        <v>0</v>
      </c>
      <c r="L21" s="536">
        <v>99</v>
      </c>
      <c r="M21" s="536">
        <v>0</v>
      </c>
      <c r="N21" s="536">
        <v>331872</v>
      </c>
      <c r="O21" s="536">
        <v>0</v>
      </c>
      <c r="P21" s="536">
        <v>0</v>
      </c>
      <c r="Q21" s="536">
        <v>0</v>
      </c>
      <c r="R21" s="536">
        <v>0</v>
      </c>
      <c r="S21" s="536">
        <v>0</v>
      </c>
      <c r="T21" s="536">
        <v>7710</v>
      </c>
      <c r="U21" s="536">
        <v>0</v>
      </c>
      <c r="V21" s="536">
        <v>0</v>
      </c>
      <c r="W21" s="535">
        <v>0</v>
      </c>
      <c r="X21" s="536">
        <v>0</v>
      </c>
      <c r="Y21" s="535">
        <v>1651</v>
      </c>
    </row>
    <row r="22" spans="1:27" s="159" customFormat="1" ht="18.95" customHeight="1">
      <c r="A22" s="360">
        <v>12</v>
      </c>
      <c r="B22" s="362" t="s">
        <v>345</v>
      </c>
      <c r="C22" s="535">
        <f t="shared" si="3"/>
        <v>546896</v>
      </c>
      <c r="D22" s="535" t="e">
        <f>SUM(#REF!)-#REF!-#REF!-#REF!-#REF!-#REF!</f>
        <v>#REF!</v>
      </c>
      <c r="E22" s="535" t="e">
        <f>SUM(#REF!)-#REF!-#REF!-#REF!-#REF!-#REF!</f>
        <v>#REF!</v>
      </c>
      <c r="F22" s="535" t="e">
        <f>SUM(#REF!)-#REF!-#REF!-#REF!-#REF!-#REF!</f>
        <v>#REF!</v>
      </c>
      <c r="G22" s="535" t="e">
        <f>SUM(#REF!)-#REF!-#REF!-#REF!-#REF!-#REF!</f>
        <v>#REF!</v>
      </c>
      <c r="H22" s="535" t="e">
        <f>SUM(#REF!)-#REF!-#REF!-#REF!-#REF!-#REF!</f>
        <v>#REF!</v>
      </c>
      <c r="I22" s="535" t="e">
        <f>SUM(#REF!)-#REF!-#REF!-#REF!-#REF!-#REF!</f>
        <v>#REF!</v>
      </c>
      <c r="J22" s="535">
        <f t="shared" si="4"/>
        <v>546896</v>
      </c>
      <c r="K22" s="536">
        <v>0</v>
      </c>
      <c r="L22" s="536">
        <v>0</v>
      </c>
      <c r="M22" s="536">
        <v>0</v>
      </c>
      <c r="N22" s="536">
        <v>12900</v>
      </c>
      <c r="O22" s="536">
        <v>525972</v>
      </c>
      <c r="P22" s="536">
        <v>0</v>
      </c>
      <c r="Q22" s="536">
        <v>0</v>
      </c>
      <c r="R22" s="536">
        <v>0</v>
      </c>
      <c r="S22" s="536">
        <v>0</v>
      </c>
      <c r="T22" s="536">
        <v>8024</v>
      </c>
      <c r="U22" s="536">
        <v>0</v>
      </c>
      <c r="V22" s="536">
        <v>0</v>
      </c>
      <c r="W22" s="535">
        <v>0</v>
      </c>
      <c r="X22" s="535">
        <v>0</v>
      </c>
      <c r="Y22" s="535">
        <v>0</v>
      </c>
    </row>
    <row r="23" spans="1:27" s="159" customFormat="1" ht="18.95" customHeight="1">
      <c r="A23" s="360">
        <v>13</v>
      </c>
      <c r="B23" s="362" t="s">
        <v>344</v>
      </c>
      <c r="C23" s="535">
        <f t="shared" si="3"/>
        <v>76587</v>
      </c>
      <c r="D23" s="535" t="e">
        <f>SUM(#REF!)</f>
        <v>#REF!</v>
      </c>
      <c r="E23" s="535" t="e">
        <f>SUM(#REF!)</f>
        <v>#REF!</v>
      </c>
      <c r="F23" s="535" t="e">
        <f>SUM(#REF!)</f>
        <v>#REF!</v>
      </c>
      <c r="G23" s="535" t="e">
        <f>SUM(#REF!)</f>
        <v>#REF!</v>
      </c>
      <c r="H23" s="535" t="e">
        <f>SUM(#REF!)</f>
        <v>#REF!</v>
      </c>
      <c r="I23" s="535" t="e">
        <f>SUM(#REF!)</f>
        <v>#REF!</v>
      </c>
      <c r="J23" s="535">
        <f t="shared" si="4"/>
        <v>75094</v>
      </c>
      <c r="K23" s="536">
        <v>0</v>
      </c>
      <c r="L23" s="536">
        <v>0</v>
      </c>
      <c r="M23" s="536">
        <v>0</v>
      </c>
      <c r="N23" s="536">
        <v>32807</v>
      </c>
      <c r="O23" s="536">
        <v>0</v>
      </c>
      <c r="P23" s="536">
        <v>0</v>
      </c>
      <c r="Q23" s="536">
        <v>0</v>
      </c>
      <c r="R23" s="536">
        <v>0</v>
      </c>
      <c r="S23" s="536">
        <v>35000</v>
      </c>
      <c r="T23" s="536">
        <v>7287</v>
      </c>
      <c r="U23" s="536">
        <v>0</v>
      </c>
      <c r="V23" s="536">
        <v>0</v>
      </c>
      <c r="W23" s="535">
        <v>0</v>
      </c>
      <c r="X23" s="535">
        <v>0</v>
      </c>
      <c r="Y23" s="535">
        <f>360+80+240+813</f>
        <v>1493</v>
      </c>
    </row>
    <row r="24" spans="1:27" s="159" customFormat="1" ht="18.95" customHeight="1">
      <c r="A24" s="360">
        <v>14</v>
      </c>
      <c r="B24" s="362" t="s">
        <v>343</v>
      </c>
      <c r="C24" s="535">
        <f t="shared" si="3"/>
        <v>75804</v>
      </c>
      <c r="D24" s="535" t="e">
        <f>SUM(#REF!)</f>
        <v>#REF!</v>
      </c>
      <c r="E24" s="535" t="e">
        <f>SUM(#REF!)</f>
        <v>#REF!</v>
      </c>
      <c r="F24" s="535" t="e">
        <f>SUM(#REF!)</f>
        <v>#REF!</v>
      </c>
      <c r="G24" s="535" t="e">
        <f>SUM(#REF!)</f>
        <v>#REF!</v>
      </c>
      <c r="H24" s="535" t="e">
        <f>SUM(#REF!)</f>
        <v>#REF!</v>
      </c>
      <c r="I24" s="535" t="e">
        <f>SUM(#REF!)</f>
        <v>#REF!</v>
      </c>
      <c r="J24" s="535">
        <f t="shared" si="4"/>
        <v>75804</v>
      </c>
      <c r="K24" s="536">
        <v>0</v>
      </c>
      <c r="L24" s="536">
        <v>0</v>
      </c>
      <c r="M24" s="536">
        <v>0</v>
      </c>
      <c r="N24" s="536">
        <v>31922</v>
      </c>
      <c r="O24" s="536">
        <v>0</v>
      </c>
      <c r="P24" s="536">
        <v>24100</v>
      </c>
      <c r="Q24" s="536">
        <v>0</v>
      </c>
      <c r="R24" s="536">
        <v>13000</v>
      </c>
      <c r="S24" s="536">
        <v>0</v>
      </c>
      <c r="T24" s="536">
        <v>6782</v>
      </c>
      <c r="U24" s="536">
        <v>0</v>
      </c>
      <c r="V24" s="536">
        <v>0</v>
      </c>
      <c r="W24" s="535">
        <v>0</v>
      </c>
      <c r="X24" s="535">
        <v>0</v>
      </c>
      <c r="Y24" s="535">
        <v>0</v>
      </c>
    </row>
    <row r="25" spans="1:27" s="159" customFormat="1" ht="18.95" customHeight="1">
      <c r="A25" s="360">
        <v>15</v>
      </c>
      <c r="B25" s="362" t="s">
        <v>342</v>
      </c>
      <c r="C25" s="535">
        <f t="shared" si="3"/>
        <v>22890</v>
      </c>
      <c r="D25" s="535" t="e">
        <f>SUM(#REF!)</f>
        <v>#REF!</v>
      </c>
      <c r="E25" s="535" t="e">
        <f>SUM(#REF!)</f>
        <v>#REF!</v>
      </c>
      <c r="F25" s="535" t="e">
        <f>SUM(#REF!)</f>
        <v>#REF!</v>
      </c>
      <c r="G25" s="535" t="e">
        <f>SUM(#REF!)</f>
        <v>#REF!</v>
      </c>
      <c r="H25" s="535" t="e">
        <f>SUM(#REF!)</f>
        <v>#REF!</v>
      </c>
      <c r="I25" s="535" t="e">
        <f>SUM(#REF!)</f>
        <v>#REF!</v>
      </c>
      <c r="J25" s="535">
        <f t="shared" si="4"/>
        <v>22890</v>
      </c>
      <c r="K25" s="536">
        <v>10231</v>
      </c>
      <c r="L25" s="536">
        <v>6000</v>
      </c>
      <c r="M25" s="536">
        <v>0</v>
      </c>
      <c r="N25" s="536">
        <v>0</v>
      </c>
      <c r="O25" s="536">
        <v>0</v>
      </c>
      <c r="P25" s="536">
        <v>0</v>
      </c>
      <c r="Q25" s="536">
        <v>0</v>
      </c>
      <c r="R25" s="536">
        <v>0</v>
      </c>
      <c r="S25" s="536">
        <v>0</v>
      </c>
      <c r="T25" s="536">
        <v>6659</v>
      </c>
      <c r="U25" s="536">
        <v>0</v>
      </c>
      <c r="V25" s="536">
        <v>0</v>
      </c>
      <c r="W25" s="536">
        <v>0</v>
      </c>
      <c r="X25" s="536">
        <v>0</v>
      </c>
      <c r="Y25" s="535">
        <v>0</v>
      </c>
    </row>
    <row r="26" spans="1:27" s="159" customFormat="1" ht="18.95" customHeight="1">
      <c r="A26" s="360">
        <v>16</v>
      </c>
      <c r="B26" s="362" t="s">
        <v>309</v>
      </c>
      <c r="C26" s="535">
        <f t="shared" si="3"/>
        <v>6756</v>
      </c>
      <c r="D26" s="535" t="e">
        <f>SUM(#REF!)</f>
        <v>#REF!</v>
      </c>
      <c r="E26" s="535" t="e">
        <f>SUM(#REF!)</f>
        <v>#REF!</v>
      </c>
      <c r="F26" s="535" t="e">
        <f>SUM(#REF!)</f>
        <v>#REF!</v>
      </c>
      <c r="G26" s="535" t="e">
        <f>SUM(#REF!)</f>
        <v>#REF!</v>
      </c>
      <c r="H26" s="535" t="e">
        <f>SUM(#REF!)</f>
        <v>#REF!</v>
      </c>
      <c r="I26" s="535" t="e">
        <f>SUM(#REF!)</f>
        <v>#REF!</v>
      </c>
      <c r="J26" s="535">
        <f t="shared" si="4"/>
        <v>6756</v>
      </c>
      <c r="K26" s="536">
        <v>0</v>
      </c>
      <c r="L26" s="536">
        <v>0</v>
      </c>
      <c r="M26" s="536">
        <v>1050</v>
      </c>
      <c r="N26" s="536">
        <v>1028</v>
      </c>
      <c r="O26" s="536">
        <v>0</v>
      </c>
      <c r="P26" s="536">
        <v>0</v>
      </c>
      <c r="Q26" s="536">
        <v>0</v>
      </c>
      <c r="R26" s="536">
        <v>0</v>
      </c>
      <c r="S26" s="536">
        <v>0</v>
      </c>
      <c r="T26" s="536">
        <v>4678</v>
      </c>
      <c r="U26" s="536">
        <v>0</v>
      </c>
      <c r="V26" s="536">
        <v>0</v>
      </c>
      <c r="W26" s="536">
        <v>0</v>
      </c>
      <c r="X26" s="536">
        <v>0</v>
      </c>
      <c r="Y26" s="535">
        <v>0</v>
      </c>
    </row>
    <row r="27" spans="1:27" s="159" customFormat="1" ht="18.95" customHeight="1">
      <c r="A27" s="360">
        <v>17</v>
      </c>
      <c r="B27" s="362" t="s">
        <v>483</v>
      </c>
      <c r="C27" s="535">
        <f t="shared" si="3"/>
        <v>31620</v>
      </c>
      <c r="D27" s="535" t="e">
        <f>SUM(#REF!)</f>
        <v>#REF!</v>
      </c>
      <c r="E27" s="535" t="e">
        <f>SUM(#REF!)</f>
        <v>#REF!</v>
      </c>
      <c r="F27" s="535" t="e">
        <f>SUM(#REF!)</f>
        <v>#REF!</v>
      </c>
      <c r="G27" s="535" t="e">
        <f>SUM(#REF!)</f>
        <v>#REF!</v>
      </c>
      <c r="H27" s="535" t="e">
        <f>SUM(#REF!)</f>
        <v>#REF!</v>
      </c>
      <c r="I27" s="535" t="e">
        <f>SUM(#REF!)</f>
        <v>#REF!</v>
      </c>
      <c r="J27" s="535">
        <f t="shared" si="4"/>
        <v>30120</v>
      </c>
      <c r="K27" s="536">
        <v>667</v>
      </c>
      <c r="L27" s="536">
        <v>0</v>
      </c>
      <c r="M27" s="536">
        <v>0</v>
      </c>
      <c r="N27" s="536">
        <v>4440</v>
      </c>
      <c r="O27" s="536">
        <v>0</v>
      </c>
      <c r="P27" s="536">
        <v>0</v>
      </c>
      <c r="Q27" s="536">
        <v>0</v>
      </c>
      <c r="R27" s="536">
        <v>0</v>
      </c>
      <c r="S27" s="536">
        <v>0</v>
      </c>
      <c r="T27" s="536">
        <v>25013</v>
      </c>
      <c r="U27" s="536">
        <v>0</v>
      </c>
      <c r="V27" s="536">
        <v>0</v>
      </c>
      <c r="W27" s="536">
        <v>0</v>
      </c>
      <c r="X27" s="536">
        <v>0</v>
      </c>
      <c r="Y27" s="535">
        <f>1500</f>
        <v>1500</v>
      </c>
    </row>
    <row r="28" spans="1:27" s="159" customFormat="1" ht="18.95" customHeight="1">
      <c r="A28" s="360">
        <v>18</v>
      </c>
      <c r="B28" s="362" t="s">
        <v>468</v>
      </c>
      <c r="C28" s="535">
        <f t="shared" si="3"/>
        <v>12407</v>
      </c>
      <c r="D28" s="535"/>
      <c r="E28" s="535"/>
      <c r="F28" s="535"/>
      <c r="G28" s="535"/>
      <c r="H28" s="535"/>
      <c r="I28" s="535"/>
      <c r="J28" s="535">
        <f t="shared" si="4"/>
        <v>12407</v>
      </c>
      <c r="K28" s="536">
        <v>0</v>
      </c>
      <c r="L28" s="536">
        <v>0</v>
      </c>
      <c r="M28" s="536">
        <v>0</v>
      </c>
      <c r="N28" s="536">
        <v>135</v>
      </c>
      <c r="O28" s="536">
        <v>0</v>
      </c>
      <c r="P28" s="536">
        <v>0</v>
      </c>
      <c r="Q28" s="536">
        <v>0</v>
      </c>
      <c r="R28" s="536">
        <v>0</v>
      </c>
      <c r="S28" s="536">
        <v>0</v>
      </c>
      <c r="T28" s="536">
        <f>13072-800</f>
        <v>12272</v>
      </c>
      <c r="U28" s="536">
        <v>0</v>
      </c>
      <c r="V28" s="536">
        <v>0</v>
      </c>
      <c r="W28" s="536">
        <v>0</v>
      </c>
      <c r="X28" s="536">
        <v>0</v>
      </c>
      <c r="Y28" s="535">
        <v>0</v>
      </c>
    </row>
    <row r="29" spans="1:27" s="159" customFormat="1" ht="18.95" customHeight="1">
      <c r="A29" s="360">
        <v>19</v>
      </c>
      <c r="B29" s="362" t="s">
        <v>341</v>
      </c>
      <c r="C29" s="535">
        <f t="shared" si="3"/>
        <v>6463</v>
      </c>
      <c r="D29" s="535"/>
      <c r="E29" s="535"/>
      <c r="F29" s="535"/>
      <c r="G29" s="535"/>
      <c r="H29" s="535"/>
      <c r="I29" s="535"/>
      <c r="J29" s="535">
        <f t="shared" si="4"/>
        <v>6463</v>
      </c>
      <c r="K29" s="536">
        <v>0</v>
      </c>
      <c r="L29" s="536">
        <v>0</v>
      </c>
      <c r="M29" s="536">
        <v>0</v>
      </c>
      <c r="N29" s="536">
        <v>0</v>
      </c>
      <c r="O29" s="536">
        <v>0</v>
      </c>
      <c r="P29" s="536">
        <v>0</v>
      </c>
      <c r="Q29" s="536">
        <v>0</v>
      </c>
      <c r="R29" s="536">
        <v>0</v>
      </c>
      <c r="S29" s="536">
        <v>0</v>
      </c>
      <c r="T29" s="536">
        <v>6463</v>
      </c>
      <c r="U29" s="536">
        <v>0</v>
      </c>
      <c r="V29" s="536">
        <v>0</v>
      </c>
      <c r="W29" s="536">
        <v>0</v>
      </c>
      <c r="X29" s="536">
        <v>0</v>
      </c>
      <c r="Y29" s="535">
        <v>0</v>
      </c>
    </row>
    <row r="30" spans="1:27" s="159" customFormat="1" ht="18.95" customHeight="1">
      <c r="A30" s="360">
        <v>20</v>
      </c>
      <c r="B30" s="362" t="s">
        <v>340</v>
      </c>
      <c r="C30" s="535">
        <f t="shared" si="3"/>
        <v>4400</v>
      </c>
      <c r="D30" s="535"/>
      <c r="E30" s="535"/>
      <c r="F30" s="535"/>
      <c r="G30" s="535"/>
      <c r="H30" s="535"/>
      <c r="I30" s="535"/>
      <c r="J30" s="535">
        <f t="shared" si="4"/>
        <v>4400</v>
      </c>
      <c r="K30" s="536">
        <v>0</v>
      </c>
      <c r="L30" s="536">
        <v>0</v>
      </c>
      <c r="M30" s="536">
        <v>0</v>
      </c>
      <c r="N30" s="536">
        <v>0</v>
      </c>
      <c r="O30" s="536">
        <v>0</v>
      </c>
      <c r="P30" s="536">
        <v>0</v>
      </c>
      <c r="Q30" s="536">
        <v>4400</v>
      </c>
      <c r="R30" s="536">
        <v>0</v>
      </c>
      <c r="S30" s="536">
        <v>0</v>
      </c>
      <c r="T30" s="536">
        <v>0</v>
      </c>
      <c r="U30" s="536">
        <v>0</v>
      </c>
      <c r="V30" s="536">
        <v>0</v>
      </c>
      <c r="W30" s="536">
        <v>0</v>
      </c>
      <c r="X30" s="536">
        <v>0</v>
      </c>
      <c r="Y30" s="535">
        <v>0</v>
      </c>
    </row>
    <row r="31" spans="1:27" s="159" customFormat="1" ht="18.95" customHeight="1">
      <c r="A31" s="360">
        <v>21</v>
      </c>
      <c r="B31" s="362" t="s">
        <v>339</v>
      </c>
      <c r="C31" s="535">
        <f t="shared" si="3"/>
        <v>3589</v>
      </c>
      <c r="D31" s="535"/>
      <c r="E31" s="535"/>
      <c r="F31" s="535"/>
      <c r="G31" s="535"/>
      <c r="H31" s="535"/>
      <c r="I31" s="535"/>
      <c r="J31" s="535">
        <f t="shared" si="4"/>
        <v>3589</v>
      </c>
      <c r="K31" s="536">
        <v>502</v>
      </c>
      <c r="L31" s="536">
        <v>31</v>
      </c>
      <c r="M31" s="536">
        <v>0</v>
      </c>
      <c r="N31" s="536">
        <v>0</v>
      </c>
      <c r="O31" s="536">
        <v>0</v>
      </c>
      <c r="P31" s="536">
        <v>0</v>
      </c>
      <c r="Q31" s="536">
        <v>0</v>
      </c>
      <c r="R31" s="536">
        <v>0</v>
      </c>
      <c r="S31" s="536">
        <v>0</v>
      </c>
      <c r="T31" s="536">
        <v>3056</v>
      </c>
      <c r="U31" s="536">
        <v>0</v>
      </c>
      <c r="V31" s="536">
        <v>0</v>
      </c>
      <c r="W31" s="535">
        <v>0</v>
      </c>
      <c r="X31" s="535">
        <v>0</v>
      </c>
      <c r="Y31" s="535">
        <v>0</v>
      </c>
    </row>
    <row r="32" spans="1:27" s="159" customFormat="1" ht="18.95" customHeight="1">
      <c r="A32" s="360">
        <v>22</v>
      </c>
      <c r="B32" s="362" t="s">
        <v>335</v>
      </c>
      <c r="C32" s="535">
        <f t="shared" si="3"/>
        <v>150195</v>
      </c>
      <c r="D32" s="535" t="e">
        <f>SUM(#REF!)</f>
        <v>#REF!</v>
      </c>
      <c r="E32" s="535" t="e">
        <f>SUM(#REF!)</f>
        <v>#REF!</v>
      </c>
      <c r="F32" s="535" t="e">
        <f>SUM(#REF!)</f>
        <v>#REF!</v>
      </c>
      <c r="G32" s="535" t="e">
        <f>SUM(#REF!)</f>
        <v>#REF!</v>
      </c>
      <c r="H32" s="535" t="e">
        <f>SUM(#REF!)</f>
        <v>#REF!</v>
      </c>
      <c r="I32" s="535" t="e">
        <f>SUM(#REF!)</f>
        <v>#REF!</v>
      </c>
      <c r="J32" s="535">
        <f t="shared" si="4"/>
        <v>150195</v>
      </c>
      <c r="K32" s="536">
        <v>0</v>
      </c>
      <c r="L32" s="536">
        <v>14</v>
      </c>
      <c r="M32" s="536">
        <v>0</v>
      </c>
      <c r="N32" s="536">
        <v>2211</v>
      </c>
      <c r="O32" s="536">
        <v>0</v>
      </c>
      <c r="P32" s="536">
        <v>0</v>
      </c>
      <c r="Q32" s="536">
        <v>0</v>
      </c>
      <c r="R32" s="536">
        <v>0</v>
      </c>
      <c r="S32" s="536">
        <v>0</v>
      </c>
      <c r="T32" s="536">
        <f>150260+800+110-4*800</f>
        <v>147970</v>
      </c>
      <c r="U32" s="536">
        <v>0</v>
      </c>
      <c r="V32" s="536">
        <v>0</v>
      </c>
      <c r="W32" s="535">
        <v>0</v>
      </c>
      <c r="X32" s="535">
        <v>0</v>
      </c>
      <c r="Y32" s="535">
        <v>0</v>
      </c>
      <c r="Z32" s="159">
        <v>25819</v>
      </c>
      <c r="AA32" s="541">
        <f>+Z32+V9</f>
        <v>80093</v>
      </c>
    </row>
    <row r="33" spans="1:32" s="159" customFormat="1" ht="18.95" customHeight="1">
      <c r="A33" s="360">
        <v>23</v>
      </c>
      <c r="B33" s="362" t="s">
        <v>336</v>
      </c>
      <c r="C33" s="535">
        <f t="shared" si="3"/>
        <v>21341</v>
      </c>
      <c r="D33" s="535"/>
      <c r="E33" s="535"/>
      <c r="F33" s="535"/>
      <c r="G33" s="535"/>
      <c r="H33" s="535"/>
      <c r="I33" s="535"/>
      <c r="J33" s="535">
        <f t="shared" si="4"/>
        <v>21341</v>
      </c>
      <c r="K33" s="536">
        <v>0</v>
      </c>
      <c r="L33" s="536">
        <v>0</v>
      </c>
      <c r="M33" s="536">
        <v>0</v>
      </c>
      <c r="N33" s="536">
        <v>21341</v>
      </c>
      <c r="O33" s="536">
        <v>0</v>
      </c>
      <c r="P33" s="536">
        <v>0</v>
      </c>
      <c r="Q33" s="536">
        <v>0</v>
      </c>
      <c r="R33" s="536">
        <v>0</v>
      </c>
      <c r="S33" s="536">
        <v>0</v>
      </c>
      <c r="T33" s="536">
        <v>0</v>
      </c>
      <c r="U33" s="536">
        <v>0</v>
      </c>
      <c r="V33" s="536">
        <v>0</v>
      </c>
      <c r="W33" s="535">
        <v>0</v>
      </c>
      <c r="X33" s="535">
        <v>0</v>
      </c>
      <c r="Y33" s="535">
        <v>0</v>
      </c>
    </row>
    <row r="34" spans="1:32" s="159" customFormat="1" ht="18.95" customHeight="1">
      <c r="A34" s="360">
        <v>24</v>
      </c>
      <c r="B34" s="362" t="s">
        <v>337</v>
      </c>
      <c r="C34" s="535">
        <f t="shared" si="3"/>
        <v>11057</v>
      </c>
      <c r="D34" s="535" t="e">
        <f>SUM(#REF!)</f>
        <v>#REF!</v>
      </c>
      <c r="E34" s="535" t="e">
        <f>SUM(#REF!)</f>
        <v>#REF!</v>
      </c>
      <c r="F34" s="535" t="e">
        <f>SUM(#REF!)</f>
        <v>#REF!</v>
      </c>
      <c r="G34" s="535" t="e">
        <f>SUM(#REF!)</f>
        <v>#REF!</v>
      </c>
      <c r="H34" s="535" t="e">
        <f>SUM(#REF!)</f>
        <v>#REF!</v>
      </c>
      <c r="I34" s="535" t="e">
        <f>SUM(#REF!)</f>
        <v>#REF!</v>
      </c>
      <c r="J34" s="535">
        <f t="shared" si="4"/>
        <v>11057</v>
      </c>
      <c r="K34" s="536">
        <v>0</v>
      </c>
      <c r="L34" s="536">
        <v>11057</v>
      </c>
      <c r="M34" s="536">
        <v>0</v>
      </c>
      <c r="N34" s="536">
        <v>0</v>
      </c>
      <c r="O34" s="536">
        <v>0</v>
      </c>
      <c r="P34" s="536">
        <v>0</v>
      </c>
      <c r="Q34" s="536">
        <v>0</v>
      </c>
      <c r="R34" s="536">
        <v>0</v>
      </c>
      <c r="S34" s="536">
        <v>0</v>
      </c>
      <c r="T34" s="536">
        <v>0</v>
      </c>
      <c r="U34" s="536">
        <v>0</v>
      </c>
      <c r="V34" s="536">
        <v>0</v>
      </c>
      <c r="W34" s="535">
        <v>0</v>
      </c>
      <c r="X34" s="535">
        <v>0</v>
      </c>
      <c r="Y34" s="535">
        <v>0</v>
      </c>
    </row>
    <row r="35" spans="1:32" s="159" customFormat="1" ht="18.95" customHeight="1">
      <c r="A35" s="360">
        <v>25</v>
      </c>
      <c r="B35" s="362" t="s">
        <v>338</v>
      </c>
      <c r="C35" s="535">
        <f t="shared" si="3"/>
        <v>17807</v>
      </c>
      <c r="D35" s="535"/>
      <c r="E35" s="535"/>
      <c r="F35" s="535"/>
      <c r="G35" s="535"/>
      <c r="H35" s="535"/>
      <c r="I35" s="535"/>
      <c r="J35" s="535">
        <f t="shared" si="4"/>
        <v>17807</v>
      </c>
      <c r="K35" s="536">
        <v>0</v>
      </c>
      <c r="L35" s="536">
        <v>0</v>
      </c>
      <c r="M35" s="536">
        <v>0</v>
      </c>
      <c r="N35" s="536">
        <v>17807</v>
      </c>
      <c r="O35" s="536">
        <v>0</v>
      </c>
      <c r="P35" s="536">
        <v>0</v>
      </c>
      <c r="Q35" s="536">
        <v>0</v>
      </c>
      <c r="R35" s="536">
        <v>0</v>
      </c>
      <c r="S35" s="536">
        <v>0</v>
      </c>
      <c r="T35" s="536">
        <v>0</v>
      </c>
      <c r="U35" s="536">
        <v>0</v>
      </c>
      <c r="V35" s="536">
        <v>0</v>
      </c>
      <c r="W35" s="535">
        <v>0</v>
      </c>
      <c r="X35" s="535">
        <v>0</v>
      </c>
      <c r="Y35" s="535">
        <v>0</v>
      </c>
    </row>
    <row r="36" spans="1:32" s="159" customFormat="1" ht="18.95" customHeight="1">
      <c r="A36" s="360">
        <v>26</v>
      </c>
      <c r="B36" s="362" t="s">
        <v>356</v>
      </c>
      <c r="C36" s="535">
        <f t="shared" si="3"/>
        <v>13345</v>
      </c>
      <c r="D36" s="535"/>
      <c r="E36" s="535"/>
      <c r="F36" s="535"/>
      <c r="G36" s="535"/>
      <c r="H36" s="535"/>
      <c r="I36" s="535"/>
      <c r="J36" s="535">
        <f t="shared" si="4"/>
        <v>13345</v>
      </c>
      <c r="K36" s="536">
        <v>0</v>
      </c>
      <c r="L36" s="536">
        <v>0</v>
      </c>
      <c r="M36" s="536">
        <v>0</v>
      </c>
      <c r="N36" s="536">
        <v>13345</v>
      </c>
      <c r="O36" s="536">
        <v>0</v>
      </c>
      <c r="P36" s="536">
        <v>0</v>
      </c>
      <c r="Q36" s="536">
        <v>0</v>
      </c>
      <c r="R36" s="536">
        <v>0</v>
      </c>
      <c r="S36" s="536">
        <v>0</v>
      </c>
      <c r="T36" s="536">
        <v>0</v>
      </c>
      <c r="U36" s="536">
        <v>0</v>
      </c>
      <c r="V36" s="536">
        <v>0</v>
      </c>
      <c r="W36" s="535">
        <v>0</v>
      </c>
      <c r="X36" s="535">
        <v>0</v>
      </c>
      <c r="Y36" s="535">
        <v>0</v>
      </c>
    </row>
    <row r="37" spans="1:32" s="159" customFormat="1" ht="18.95" customHeight="1">
      <c r="A37" s="360">
        <v>27</v>
      </c>
      <c r="B37" s="362" t="s">
        <v>357</v>
      </c>
      <c r="C37" s="535">
        <f t="shared" si="3"/>
        <v>9142</v>
      </c>
      <c r="D37" s="535"/>
      <c r="E37" s="535"/>
      <c r="F37" s="535"/>
      <c r="G37" s="535"/>
      <c r="H37" s="535"/>
      <c r="I37" s="535"/>
      <c r="J37" s="535">
        <f t="shared" si="4"/>
        <v>9142</v>
      </c>
      <c r="K37" s="536">
        <v>0</v>
      </c>
      <c r="L37" s="536">
        <v>0</v>
      </c>
      <c r="M37" s="536">
        <v>0</v>
      </c>
      <c r="N37" s="536">
        <v>9142</v>
      </c>
      <c r="O37" s="536">
        <v>0</v>
      </c>
      <c r="P37" s="536">
        <v>0</v>
      </c>
      <c r="Q37" s="536">
        <v>0</v>
      </c>
      <c r="R37" s="536">
        <v>0</v>
      </c>
      <c r="S37" s="536">
        <v>0</v>
      </c>
      <c r="T37" s="536">
        <v>0</v>
      </c>
      <c r="U37" s="536">
        <v>0</v>
      </c>
      <c r="V37" s="536">
        <v>0</v>
      </c>
      <c r="W37" s="535">
        <v>0</v>
      </c>
      <c r="X37" s="535">
        <v>0</v>
      </c>
      <c r="Y37" s="535">
        <v>0</v>
      </c>
    </row>
    <row r="38" spans="1:32" s="159" customFormat="1" ht="18.95" customHeight="1">
      <c r="A38" s="360">
        <v>28</v>
      </c>
      <c r="B38" s="362" t="s">
        <v>358</v>
      </c>
      <c r="C38" s="535">
        <f t="shared" si="3"/>
        <v>3305</v>
      </c>
      <c r="D38" s="535"/>
      <c r="E38" s="535"/>
      <c r="F38" s="535"/>
      <c r="G38" s="535"/>
      <c r="H38" s="535"/>
      <c r="I38" s="535"/>
      <c r="J38" s="535">
        <f t="shared" si="4"/>
        <v>3305</v>
      </c>
      <c r="K38" s="536">
        <v>0</v>
      </c>
      <c r="L38" s="536">
        <v>1100</v>
      </c>
      <c r="M38" s="536">
        <v>0</v>
      </c>
      <c r="N38" s="536">
        <v>0</v>
      </c>
      <c r="O38" s="536">
        <v>0</v>
      </c>
      <c r="P38" s="536">
        <v>2205</v>
      </c>
      <c r="Q38" s="536">
        <v>0</v>
      </c>
      <c r="R38" s="536">
        <v>0</v>
      </c>
      <c r="S38" s="536">
        <v>0</v>
      </c>
      <c r="T38" s="536">
        <v>0</v>
      </c>
      <c r="U38" s="536">
        <v>0</v>
      </c>
      <c r="V38" s="536">
        <v>0</v>
      </c>
      <c r="W38" s="535">
        <v>0</v>
      </c>
      <c r="X38" s="536">
        <v>0</v>
      </c>
      <c r="Y38" s="535">
        <v>0</v>
      </c>
    </row>
    <row r="39" spans="1:32" s="159" customFormat="1" ht="18.95" customHeight="1">
      <c r="A39" s="360">
        <v>29</v>
      </c>
      <c r="B39" s="362" t="s">
        <v>291</v>
      </c>
      <c r="C39" s="535">
        <f t="shared" si="3"/>
        <v>3891</v>
      </c>
      <c r="D39" s="535"/>
      <c r="E39" s="535"/>
      <c r="F39" s="535"/>
      <c r="G39" s="535"/>
      <c r="H39" s="535"/>
      <c r="I39" s="535"/>
      <c r="J39" s="535">
        <f t="shared" si="4"/>
        <v>3891</v>
      </c>
      <c r="K39" s="536">
        <f>4208-800</f>
        <v>3408</v>
      </c>
      <c r="L39" s="536">
        <v>0</v>
      </c>
      <c r="M39" s="536">
        <v>0</v>
      </c>
      <c r="N39" s="536">
        <v>483</v>
      </c>
      <c r="O39" s="536">
        <v>0</v>
      </c>
      <c r="P39" s="536">
        <v>0</v>
      </c>
      <c r="Q39" s="536">
        <v>0</v>
      </c>
      <c r="R39" s="536">
        <v>0</v>
      </c>
      <c r="S39" s="536">
        <v>0</v>
      </c>
      <c r="T39" s="536">
        <v>0</v>
      </c>
      <c r="U39" s="536">
        <v>0</v>
      </c>
      <c r="V39" s="536">
        <v>0</v>
      </c>
      <c r="W39" s="536">
        <v>0</v>
      </c>
      <c r="X39" s="536">
        <v>0</v>
      </c>
      <c r="Y39" s="535">
        <v>0</v>
      </c>
    </row>
    <row r="40" spans="1:32" s="159" customFormat="1" ht="18.95" customHeight="1">
      <c r="A40" s="360">
        <v>30</v>
      </c>
      <c r="B40" s="362" t="s">
        <v>359</v>
      </c>
      <c r="C40" s="535">
        <f t="shared" si="3"/>
        <v>10011</v>
      </c>
      <c r="D40" s="535"/>
      <c r="E40" s="535"/>
      <c r="F40" s="535"/>
      <c r="G40" s="535"/>
      <c r="H40" s="535"/>
      <c r="I40" s="535"/>
      <c r="J40" s="535">
        <f t="shared" si="4"/>
        <v>10011</v>
      </c>
      <c r="K40" s="536">
        <v>10011</v>
      </c>
      <c r="L40" s="536">
        <v>0</v>
      </c>
      <c r="M40" s="536">
        <v>0</v>
      </c>
      <c r="N40" s="536">
        <v>0</v>
      </c>
      <c r="O40" s="536">
        <v>0</v>
      </c>
      <c r="P40" s="536">
        <v>0</v>
      </c>
      <c r="Q40" s="536">
        <v>0</v>
      </c>
      <c r="R40" s="536">
        <v>0</v>
      </c>
      <c r="S40" s="536">
        <v>0</v>
      </c>
      <c r="T40" s="536">
        <v>0</v>
      </c>
      <c r="U40" s="536">
        <v>0</v>
      </c>
      <c r="V40" s="536">
        <v>0</v>
      </c>
      <c r="W40" s="536">
        <v>0</v>
      </c>
      <c r="X40" s="536">
        <v>0</v>
      </c>
      <c r="Y40" s="535">
        <v>0</v>
      </c>
    </row>
    <row r="41" spans="1:32" s="159" customFormat="1" ht="18.95" customHeight="1">
      <c r="A41" s="360">
        <v>31</v>
      </c>
      <c r="B41" s="362" t="s">
        <v>933</v>
      </c>
      <c r="C41" s="535">
        <f t="shared" si="3"/>
        <v>3000</v>
      </c>
      <c r="D41" s="535"/>
      <c r="E41" s="535"/>
      <c r="F41" s="535"/>
      <c r="G41" s="535"/>
      <c r="H41" s="535"/>
      <c r="I41" s="535"/>
      <c r="J41" s="535">
        <f t="shared" si="4"/>
        <v>3000</v>
      </c>
      <c r="K41" s="536">
        <v>0</v>
      </c>
      <c r="L41" s="536">
        <v>0</v>
      </c>
      <c r="M41" s="536">
        <v>0</v>
      </c>
      <c r="N41" s="536">
        <v>0</v>
      </c>
      <c r="O41" s="536">
        <v>0</v>
      </c>
      <c r="P41" s="536">
        <v>0</v>
      </c>
      <c r="Q41" s="536">
        <v>0</v>
      </c>
      <c r="R41" s="536">
        <v>0</v>
      </c>
      <c r="S41" s="536">
        <v>3000</v>
      </c>
      <c r="T41" s="536">
        <v>0</v>
      </c>
      <c r="U41" s="536">
        <v>0</v>
      </c>
      <c r="V41" s="536">
        <v>0</v>
      </c>
      <c r="W41" s="536">
        <v>0</v>
      </c>
      <c r="X41" s="536">
        <v>0</v>
      </c>
      <c r="Y41" s="535">
        <v>0</v>
      </c>
    </row>
    <row r="42" spans="1:32" s="159" customFormat="1" ht="18.95" customHeight="1">
      <c r="A42" s="360">
        <v>32</v>
      </c>
      <c r="B42" s="362" t="s">
        <v>934</v>
      </c>
      <c r="C42" s="535">
        <f t="shared" si="3"/>
        <v>100</v>
      </c>
      <c r="D42" s="535"/>
      <c r="E42" s="535"/>
      <c r="F42" s="535"/>
      <c r="G42" s="535"/>
      <c r="H42" s="535"/>
      <c r="I42" s="535"/>
      <c r="J42" s="535">
        <f t="shared" si="4"/>
        <v>100</v>
      </c>
      <c r="K42" s="536">
        <v>100</v>
      </c>
      <c r="L42" s="536">
        <v>0</v>
      </c>
      <c r="M42" s="536">
        <v>0</v>
      </c>
      <c r="N42" s="536">
        <v>0</v>
      </c>
      <c r="O42" s="536">
        <v>0</v>
      </c>
      <c r="P42" s="536">
        <v>0</v>
      </c>
      <c r="Q42" s="536">
        <v>0</v>
      </c>
      <c r="R42" s="536">
        <v>0</v>
      </c>
      <c r="S42" s="536">
        <v>0</v>
      </c>
      <c r="T42" s="536">
        <v>0</v>
      </c>
      <c r="U42" s="536">
        <v>0</v>
      </c>
      <c r="V42" s="536">
        <v>0</v>
      </c>
      <c r="W42" s="536">
        <v>0</v>
      </c>
      <c r="X42" s="536">
        <v>0</v>
      </c>
      <c r="Y42" s="535">
        <v>0</v>
      </c>
    </row>
    <row r="43" spans="1:32" s="159" customFormat="1" ht="18.95" customHeight="1">
      <c r="A43" s="360">
        <v>33</v>
      </c>
      <c r="B43" s="362" t="s">
        <v>301</v>
      </c>
      <c r="C43" s="535">
        <f>J43+Y43</f>
        <v>128702</v>
      </c>
      <c r="D43" s="535">
        <f t="shared" ref="D43:I43" si="5">SUM(D44:D44)</f>
        <v>0</v>
      </c>
      <c r="E43" s="535">
        <f t="shared" si="5"/>
        <v>0</v>
      </c>
      <c r="F43" s="535">
        <f t="shared" si="5"/>
        <v>0</v>
      </c>
      <c r="G43" s="535">
        <f t="shared" si="5"/>
        <v>0</v>
      </c>
      <c r="H43" s="535">
        <f t="shared" si="5"/>
        <v>0</v>
      </c>
      <c r="I43" s="535">
        <f t="shared" si="5"/>
        <v>0</v>
      </c>
      <c r="J43" s="535">
        <f t="shared" si="4"/>
        <v>128702</v>
      </c>
      <c r="K43" s="535">
        <f t="shared" ref="K43:Y43" si="6">SUM(K44:K44)</f>
        <v>46524</v>
      </c>
      <c r="L43" s="535">
        <f t="shared" si="6"/>
        <v>1929</v>
      </c>
      <c r="M43" s="535">
        <f t="shared" si="6"/>
        <v>5058</v>
      </c>
      <c r="N43" s="535">
        <f t="shared" si="6"/>
        <v>19371</v>
      </c>
      <c r="O43" s="535">
        <f t="shared" si="6"/>
        <v>0</v>
      </c>
      <c r="P43" s="535">
        <f t="shared" si="6"/>
        <v>5000</v>
      </c>
      <c r="Q43" s="535">
        <f t="shared" si="6"/>
        <v>0</v>
      </c>
      <c r="R43" s="535">
        <f t="shared" si="6"/>
        <v>2000</v>
      </c>
      <c r="S43" s="535">
        <f t="shared" si="6"/>
        <v>6400</v>
      </c>
      <c r="T43" s="535">
        <f t="shared" si="6"/>
        <v>12101</v>
      </c>
      <c r="U43" s="535">
        <f t="shared" si="6"/>
        <v>4026</v>
      </c>
      <c r="V43" s="535">
        <f t="shared" si="6"/>
        <v>26293</v>
      </c>
      <c r="W43" s="535">
        <f t="shared" si="6"/>
        <v>0</v>
      </c>
      <c r="X43" s="535">
        <f t="shared" si="6"/>
        <v>0</v>
      </c>
      <c r="Y43" s="535">
        <f t="shared" si="6"/>
        <v>0</v>
      </c>
    </row>
    <row r="44" spans="1:32" s="518" customFormat="1" ht="18.95" hidden="1" customHeight="1">
      <c r="A44" s="589"/>
      <c r="B44" s="517" t="s">
        <v>822</v>
      </c>
      <c r="C44" s="536">
        <f>J44+Y44+W44+X44</f>
        <v>128702</v>
      </c>
      <c r="D44" s="536"/>
      <c r="E44" s="536"/>
      <c r="F44" s="536"/>
      <c r="G44" s="536"/>
      <c r="H44" s="536"/>
      <c r="I44" s="536"/>
      <c r="J44" s="536">
        <f t="shared" si="4"/>
        <v>128702</v>
      </c>
      <c r="K44" s="536">
        <f>165000-SUM(K11:K42)-K45-K60-K64+71130+30000</f>
        <v>46524</v>
      </c>
      <c r="L44" s="536">
        <f>28380-SUM(L11:L42)-L45-L60-L64-713-500</f>
        <v>1929</v>
      </c>
      <c r="M44" s="536">
        <f>24000-SUM(M11:M42)-M45-M60-M64</f>
        <v>5058</v>
      </c>
      <c r="N44" s="536">
        <f>525000-SUM(N11:N42)-N45-N60-N64-2220</f>
        <v>19371</v>
      </c>
      <c r="O44" s="536">
        <f>526072-SUM(O11:O42)-O45-O60-O64</f>
        <v>0</v>
      </c>
      <c r="P44" s="536">
        <f>31305-SUM(P11:P42)-P45-P60-P64</f>
        <v>5000</v>
      </c>
      <c r="Q44" s="536">
        <f>4400-SUM(Q11:Q42)-Q45-Q60-Q64</f>
        <v>0</v>
      </c>
      <c r="R44" s="536">
        <f>15000-SUM(R11:R42)-R45-R60-R64</f>
        <v>2000</v>
      </c>
      <c r="S44" s="536">
        <f>44400-SUM(S11:S42)-S45-S60-S64</f>
        <v>6400</v>
      </c>
      <c r="T44" s="536">
        <f>357276-SUM(T11:T42)-T45-T60-T64+4175</f>
        <v>12101</v>
      </c>
      <c r="U44" s="536">
        <f>49845-SUM(U11:U42)-U45-U60-U64</f>
        <v>4026</v>
      </c>
      <c r="V44" s="536">
        <f>53204-SUM(V11:V42)-V45-V60-V64+1070</f>
        <v>26293</v>
      </c>
      <c r="W44" s="536">
        <v>0</v>
      </c>
      <c r="X44" s="536">
        <v>0</v>
      </c>
      <c r="Y44" s="536">
        <v>0</v>
      </c>
      <c r="Z44" s="518">
        <v>2370</v>
      </c>
      <c r="AA44" s="518">
        <v>56314</v>
      </c>
      <c r="AB44" s="518">
        <f>+AA44-Z44</f>
        <v>53944</v>
      </c>
      <c r="AC44" s="518">
        <v>740</v>
      </c>
      <c r="AD44" s="518">
        <f>+AB44-AC44</f>
        <v>53204</v>
      </c>
      <c r="AF44" s="518">
        <v>525000</v>
      </c>
    </row>
    <row r="45" spans="1:32" s="254" customFormat="1" ht="18.95" customHeight="1">
      <c r="A45" s="364" t="s">
        <v>657</v>
      </c>
      <c r="B45" s="361" t="s">
        <v>382</v>
      </c>
      <c r="C45" s="534">
        <f>SUM(C46,C52)</f>
        <v>37171</v>
      </c>
      <c r="D45" s="534" t="e">
        <f t="shared" ref="D45:Y45" si="7">SUM(D46,D52)</f>
        <v>#REF!</v>
      </c>
      <c r="E45" s="534" t="e">
        <f t="shared" si="7"/>
        <v>#REF!</v>
      </c>
      <c r="F45" s="534" t="e">
        <f t="shared" si="7"/>
        <v>#REF!</v>
      </c>
      <c r="G45" s="534" t="e">
        <f t="shared" si="7"/>
        <v>#REF!</v>
      </c>
      <c r="H45" s="534" t="e">
        <f t="shared" si="7"/>
        <v>#REF!</v>
      </c>
      <c r="I45" s="534" t="e">
        <f t="shared" si="7"/>
        <v>#REF!</v>
      </c>
      <c r="J45" s="534">
        <f t="shared" si="7"/>
        <v>36885</v>
      </c>
      <c r="K45" s="534">
        <f t="shared" si="7"/>
        <v>390</v>
      </c>
      <c r="L45" s="534">
        <f t="shared" si="7"/>
        <v>691</v>
      </c>
      <c r="M45" s="534">
        <f t="shared" si="7"/>
        <v>900</v>
      </c>
      <c r="N45" s="534">
        <f t="shared" si="7"/>
        <v>2090</v>
      </c>
      <c r="O45" s="534">
        <f t="shared" si="7"/>
        <v>100</v>
      </c>
      <c r="P45" s="534">
        <f t="shared" si="7"/>
        <v>0</v>
      </c>
      <c r="Q45" s="534">
        <f t="shared" si="7"/>
        <v>0</v>
      </c>
      <c r="R45" s="534">
        <f t="shared" si="7"/>
        <v>0</v>
      </c>
      <c r="S45" s="534">
        <f>SUM(S46,S52)</f>
        <v>0</v>
      </c>
      <c r="T45" s="534">
        <f>SUM(T46,T52)</f>
        <v>32714</v>
      </c>
      <c r="U45" s="534">
        <f t="shared" si="7"/>
        <v>0</v>
      </c>
      <c r="V45" s="534">
        <f t="shared" si="7"/>
        <v>0</v>
      </c>
      <c r="W45" s="534">
        <f t="shared" si="7"/>
        <v>0</v>
      </c>
      <c r="X45" s="534">
        <f t="shared" si="7"/>
        <v>0</v>
      </c>
      <c r="Y45" s="534">
        <f t="shared" si="7"/>
        <v>286</v>
      </c>
      <c r="AD45" s="254">
        <v>15819</v>
      </c>
      <c r="AF45" s="254">
        <v>8160</v>
      </c>
    </row>
    <row r="46" spans="1:32" s="159" customFormat="1" ht="18.95" customHeight="1">
      <c r="A46" s="414" t="s">
        <v>641</v>
      </c>
      <c r="B46" s="362" t="s">
        <v>823</v>
      </c>
      <c r="C46" s="535">
        <f>SUM(C47:C51)</f>
        <v>21100</v>
      </c>
      <c r="D46" s="535" t="e">
        <f t="shared" ref="D46:J46" si="8">SUM(D47:D51)</f>
        <v>#REF!</v>
      </c>
      <c r="E46" s="535" t="e">
        <f t="shared" si="8"/>
        <v>#REF!</v>
      </c>
      <c r="F46" s="535" t="e">
        <f t="shared" si="8"/>
        <v>#REF!</v>
      </c>
      <c r="G46" s="535" t="e">
        <f t="shared" si="8"/>
        <v>#REF!</v>
      </c>
      <c r="H46" s="535" t="e">
        <f t="shared" si="8"/>
        <v>#REF!</v>
      </c>
      <c r="I46" s="535" t="e">
        <f t="shared" si="8"/>
        <v>#REF!</v>
      </c>
      <c r="J46" s="535">
        <f t="shared" si="8"/>
        <v>21100</v>
      </c>
      <c r="K46" s="535">
        <f t="shared" ref="K46:Y46" si="9">SUM(K47:K51)</f>
        <v>390</v>
      </c>
      <c r="L46" s="535">
        <f t="shared" si="9"/>
        <v>649</v>
      </c>
      <c r="M46" s="535">
        <f t="shared" si="9"/>
        <v>0</v>
      </c>
      <c r="N46" s="535">
        <f t="shared" si="9"/>
        <v>680</v>
      </c>
      <c r="O46" s="535">
        <f t="shared" si="9"/>
        <v>0</v>
      </c>
      <c r="P46" s="535">
        <f t="shared" si="9"/>
        <v>0</v>
      </c>
      <c r="Q46" s="535">
        <f t="shared" si="9"/>
        <v>0</v>
      </c>
      <c r="R46" s="535">
        <f t="shared" si="9"/>
        <v>0</v>
      </c>
      <c r="S46" s="535">
        <f>SUM(S47:S51)</f>
        <v>0</v>
      </c>
      <c r="T46" s="535">
        <f>SUM(T47:T51)</f>
        <v>19381</v>
      </c>
      <c r="U46" s="535">
        <f t="shared" si="9"/>
        <v>0</v>
      </c>
      <c r="V46" s="535">
        <f t="shared" si="9"/>
        <v>0</v>
      </c>
      <c r="W46" s="535">
        <f t="shared" si="9"/>
        <v>0</v>
      </c>
      <c r="X46" s="535">
        <f t="shared" si="9"/>
        <v>0</v>
      </c>
      <c r="Y46" s="535">
        <f t="shared" si="9"/>
        <v>0</v>
      </c>
      <c r="AD46" s="159">
        <f>+AD44-AD45</f>
        <v>37385</v>
      </c>
      <c r="AF46" s="159">
        <f>+AF44-AF45</f>
        <v>516840</v>
      </c>
    </row>
    <row r="47" spans="1:32" ht="18.95" customHeight="1">
      <c r="A47" s="360">
        <v>34</v>
      </c>
      <c r="B47" s="363" t="s">
        <v>360</v>
      </c>
      <c r="C47" s="535">
        <f>J47+Y47+W47+X47</f>
        <v>4506</v>
      </c>
      <c r="D47" s="536"/>
      <c r="E47" s="536"/>
      <c r="F47" s="536"/>
      <c r="G47" s="536"/>
      <c r="H47" s="536"/>
      <c r="I47" s="536"/>
      <c r="J47" s="535">
        <f>SUM(K47:V47)</f>
        <v>4506</v>
      </c>
      <c r="K47" s="536">
        <v>0</v>
      </c>
      <c r="L47" s="536">
        <v>173</v>
      </c>
      <c r="M47" s="536">
        <v>0</v>
      </c>
      <c r="N47" s="536">
        <v>160</v>
      </c>
      <c r="O47" s="536">
        <v>0</v>
      </c>
      <c r="P47" s="536">
        <v>0</v>
      </c>
      <c r="Q47" s="536">
        <v>0</v>
      </c>
      <c r="R47" s="536">
        <v>0</v>
      </c>
      <c r="S47" s="536">
        <v>0</v>
      </c>
      <c r="T47" s="536">
        <v>4173</v>
      </c>
      <c r="U47" s="536">
        <v>0</v>
      </c>
      <c r="V47" s="536">
        <v>0</v>
      </c>
      <c r="W47" s="536">
        <v>0</v>
      </c>
      <c r="X47" s="536">
        <v>0</v>
      </c>
      <c r="Y47" s="535">
        <v>0</v>
      </c>
    </row>
    <row r="48" spans="1:32" ht="18.95" customHeight="1">
      <c r="A48" s="360">
        <v>35</v>
      </c>
      <c r="B48" s="363" t="s">
        <v>361</v>
      </c>
      <c r="C48" s="535">
        <f>J48+Y48+W48+X48</f>
        <v>5774</v>
      </c>
      <c r="D48" s="536" t="e">
        <f>SUM(#REF!)</f>
        <v>#REF!</v>
      </c>
      <c r="E48" s="536" t="e">
        <f>SUM(#REF!)</f>
        <v>#REF!</v>
      </c>
      <c r="F48" s="536" t="e">
        <f>SUM(#REF!)</f>
        <v>#REF!</v>
      </c>
      <c r="G48" s="536" t="e">
        <f>SUM(#REF!)</f>
        <v>#REF!</v>
      </c>
      <c r="H48" s="536" t="e">
        <f>SUM(#REF!)</f>
        <v>#REF!</v>
      </c>
      <c r="I48" s="536" t="e">
        <f>SUM(#REF!)</f>
        <v>#REF!</v>
      </c>
      <c r="J48" s="535">
        <f>SUM(K48:V48)</f>
        <v>5774</v>
      </c>
      <c r="K48" s="536">
        <v>390</v>
      </c>
      <c r="L48" s="536">
        <v>138</v>
      </c>
      <c r="M48" s="536">
        <v>0</v>
      </c>
      <c r="N48" s="536">
        <v>365</v>
      </c>
      <c r="O48" s="536">
        <v>0</v>
      </c>
      <c r="P48" s="536">
        <v>0</v>
      </c>
      <c r="Q48" s="536">
        <v>0</v>
      </c>
      <c r="R48" s="536">
        <v>0</v>
      </c>
      <c r="S48" s="536">
        <v>0</v>
      </c>
      <c r="T48" s="536">
        <v>4881</v>
      </c>
      <c r="U48" s="536">
        <v>0</v>
      </c>
      <c r="V48" s="536">
        <v>0</v>
      </c>
      <c r="W48" s="536">
        <v>0</v>
      </c>
      <c r="X48" s="536">
        <v>0</v>
      </c>
      <c r="Y48" s="535">
        <v>0</v>
      </c>
    </row>
    <row r="49" spans="1:25" ht="18.95" customHeight="1">
      <c r="A49" s="360">
        <v>36</v>
      </c>
      <c r="B49" s="363" t="s">
        <v>362</v>
      </c>
      <c r="C49" s="535">
        <f>J49+Y49+W49+X49</f>
        <v>3589</v>
      </c>
      <c r="D49" s="536"/>
      <c r="E49" s="536"/>
      <c r="F49" s="536"/>
      <c r="G49" s="536"/>
      <c r="H49" s="536"/>
      <c r="I49" s="536"/>
      <c r="J49" s="535">
        <f>SUM(K49:V49)</f>
        <v>3589</v>
      </c>
      <c r="K49" s="536">
        <v>0</v>
      </c>
      <c r="L49" s="536">
        <v>142</v>
      </c>
      <c r="M49" s="536">
        <v>0</v>
      </c>
      <c r="N49" s="536">
        <v>0</v>
      </c>
      <c r="O49" s="536">
        <v>0</v>
      </c>
      <c r="P49" s="536">
        <v>0</v>
      </c>
      <c r="Q49" s="536">
        <v>0</v>
      </c>
      <c r="R49" s="536">
        <v>0</v>
      </c>
      <c r="S49" s="536">
        <v>0</v>
      </c>
      <c r="T49" s="536">
        <v>3447</v>
      </c>
      <c r="U49" s="536">
        <v>0</v>
      </c>
      <c r="V49" s="536">
        <v>0</v>
      </c>
      <c r="W49" s="536">
        <v>0</v>
      </c>
      <c r="X49" s="536">
        <v>0</v>
      </c>
      <c r="Y49" s="535">
        <v>0</v>
      </c>
    </row>
    <row r="50" spans="1:25" ht="18.95" customHeight="1">
      <c r="A50" s="360">
        <v>37</v>
      </c>
      <c r="B50" s="363" t="s">
        <v>363</v>
      </c>
      <c r="C50" s="535">
        <f>J50+Y50+W50+X50</f>
        <v>3950</v>
      </c>
      <c r="D50" s="536"/>
      <c r="E50" s="536"/>
      <c r="F50" s="536"/>
      <c r="G50" s="536"/>
      <c r="H50" s="536"/>
      <c r="I50" s="536"/>
      <c r="J50" s="535">
        <f>SUM(K50:V50)</f>
        <v>3950</v>
      </c>
      <c r="K50" s="536">
        <v>0</v>
      </c>
      <c r="L50" s="536">
        <v>149</v>
      </c>
      <c r="M50" s="536">
        <v>0</v>
      </c>
      <c r="N50" s="536">
        <v>110</v>
      </c>
      <c r="O50" s="536">
        <v>0</v>
      </c>
      <c r="P50" s="536">
        <v>0</v>
      </c>
      <c r="Q50" s="536">
        <v>0</v>
      </c>
      <c r="R50" s="536">
        <v>0</v>
      </c>
      <c r="S50" s="536">
        <v>0</v>
      </c>
      <c r="T50" s="536">
        <v>3691</v>
      </c>
      <c r="U50" s="536">
        <v>0</v>
      </c>
      <c r="V50" s="536">
        <v>0</v>
      </c>
      <c r="W50" s="536">
        <v>0</v>
      </c>
      <c r="X50" s="536">
        <v>0</v>
      </c>
      <c r="Y50" s="535">
        <v>0</v>
      </c>
    </row>
    <row r="51" spans="1:25" ht="18.95" customHeight="1">
      <c r="A51" s="360">
        <v>38</v>
      </c>
      <c r="B51" s="363" t="s">
        <v>364</v>
      </c>
      <c r="C51" s="535">
        <f>J51+Y51+W51+X51</f>
        <v>3281</v>
      </c>
      <c r="D51" s="536"/>
      <c r="E51" s="536"/>
      <c r="F51" s="536"/>
      <c r="G51" s="536"/>
      <c r="H51" s="536"/>
      <c r="I51" s="536"/>
      <c r="J51" s="535">
        <f>SUM(K51:V51)</f>
        <v>3281</v>
      </c>
      <c r="K51" s="536">
        <v>0</v>
      </c>
      <c r="L51" s="536">
        <v>47</v>
      </c>
      <c r="M51" s="536">
        <v>0</v>
      </c>
      <c r="N51" s="536">
        <v>45</v>
      </c>
      <c r="O51" s="536">
        <v>0</v>
      </c>
      <c r="P51" s="536">
        <v>0</v>
      </c>
      <c r="Q51" s="536">
        <v>0</v>
      </c>
      <c r="R51" s="536">
        <v>0</v>
      </c>
      <c r="S51" s="536">
        <v>0</v>
      </c>
      <c r="T51" s="536">
        <v>3189</v>
      </c>
      <c r="U51" s="536">
        <v>0</v>
      </c>
      <c r="V51" s="536">
        <v>0</v>
      </c>
      <c r="W51" s="536">
        <v>0</v>
      </c>
      <c r="X51" s="536">
        <v>0</v>
      </c>
      <c r="Y51" s="535">
        <v>0</v>
      </c>
    </row>
    <row r="52" spans="1:25" s="159" customFormat="1" ht="18.95" customHeight="1">
      <c r="A52" s="414" t="s">
        <v>654</v>
      </c>
      <c r="B52" s="362" t="s">
        <v>295</v>
      </c>
      <c r="C52" s="535">
        <f>SUM(C53:C59)</f>
        <v>16071</v>
      </c>
      <c r="D52" s="535">
        <f t="shared" ref="D52:J52" si="10">SUM(D53:D59)</f>
        <v>0</v>
      </c>
      <c r="E52" s="535">
        <f t="shared" si="10"/>
        <v>0</v>
      </c>
      <c r="F52" s="535">
        <f t="shared" si="10"/>
        <v>0</v>
      </c>
      <c r="G52" s="535">
        <f t="shared" si="10"/>
        <v>0</v>
      </c>
      <c r="H52" s="535">
        <f t="shared" si="10"/>
        <v>0</v>
      </c>
      <c r="I52" s="535">
        <f t="shared" si="10"/>
        <v>0</v>
      </c>
      <c r="J52" s="535">
        <f t="shared" si="10"/>
        <v>15785</v>
      </c>
      <c r="K52" s="535">
        <f t="shared" ref="K52:Y52" si="11">SUM(K53:K59)</f>
        <v>0</v>
      </c>
      <c r="L52" s="535">
        <f t="shared" si="11"/>
        <v>42</v>
      </c>
      <c r="M52" s="535">
        <f t="shared" si="11"/>
        <v>900</v>
      </c>
      <c r="N52" s="535">
        <f t="shared" si="11"/>
        <v>1410</v>
      </c>
      <c r="O52" s="535">
        <f t="shared" si="11"/>
        <v>100</v>
      </c>
      <c r="P52" s="535">
        <f t="shared" si="11"/>
        <v>0</v>
      </c>
      <c r="Q52" s="535">
        <f t="shared" si="11"/>
        <v>0</v>
      </c>
      <c r="R52" s="535">
        <f t="shared" si="11"/>
        <v>0</v>
      </c>
      <c r="S52" s="535">
        <f>SUM(S53:S59)</f>
        <v>0</v>
      </c>
      <c r="T52" s="535">
        <f>SUM(T53:T59)</f>
        <v>13333</v>
      </c>
      <c r="U52" s="535">
        <f t="shared" si="11"/>
        <v>0</v>
      </c>
      <c r="V52" s="535">
        <f t="shared" si="11"/>
        <v>0</v>
      </c>
      <c r="W52" s="535">
        <f t="shared" si="11"/>
        <v>0</v>
      </c>
      <c r="X52" s="535">
        <f t="shared" si="11"/>
        <v>0</v>
      </c>
      <c r="Y52" s="535">
        <f t="shared" si="11"/>
        <v>286</v>
      </c>
    </row>
    <row r="53" spans="1:25" ht="18.95" customHeight="1">
      <c r="A53" s="360">
        <v>39</v>
      </c>
      <c r="B53" s="363" t="s">
        <v>365</v>
      </c>
      <c r="C53" s="535">
        <f t="shared" ref="C53:C59" si="12">J53+Y53+W53+X53</f>
        <v>2985</v>
      </c>
      <c r="D53" s="536"/>
      <c r="E53" s="536"/>
      <c r="F53" s="536"/>
      <c r="G53" s="536"/>
      <c r="H53" s="536"/>
      <c r="I53" s="536"/>
      <c r="J53" s="535">
        <f t="shared" ref="J53:J59" si="13">SUM(K53:V53)</f>
        <v>2985</v>
      </c>
      <c r="K53" s="536">
        <v>0</v>
      </c>
      <c r="L53" s="536">
        <v>18</v>
      </c>
      <c r="M53" s="536">
        <v>900</v>
      </c>
      <c r="N53" s="536">
        <v>150</v>
      </c>
      <c r="O53" s="536">
        <v>0</v>
      </c>
      <c r="P53" s="536">
        <v>0</v>
      </c>
      <c r="Q53" s="536">
        <v>0</v>
      </c>
      <c r="R53" s="536">
        <v>0</v>
      </c>
      <c r="S53" s="536">
        <v>0</v>
      </c>
      <c r="T53" s="536">
        <v>1917</v>
      </c>
      <c r="U53" s="536">
        <v>0</v>
      </c>
      <c r="V53" s="536">
        <v>0</v>
      </c>
      <c r="W53" s="536">
        <v>0</v>
      </c>
      <c r="X53" s="536">
        <v>0</v>
      </c>
      <c r="Y53" s="535">
        <v>0</v>
      </c>
    </row>
    <row r="54" spans="1:25" ht="18.95" customHeight="1">
      <c r="A54" s="360">
        <v>40</v>
      </c>
      <c r="B54" s="363" t="s">
        <v>366</v>
      </c>
      <c r="C54" s="535">
        <f t="shared" si="12"/>
        <v>3322</v>
      </c>
      <c r="D54" s="536"/>
      <c r="E54" s="536"/>
      <c r="F54" s="536"/>
      <c r="G54" s="536"/>
      <c r="H54" s="536"/>
      <c r="I54" s="536"/>
      <c r="J54" s="535">
        <f t="shared" si="13"/>
        <v>3036</v>
      </c>
      <c r="K54" s="536">
        <v>0</v>
      </c>
      <c r="L54" s="536">
        <v>24</v>
      </c>
      <c r="M54" s="536">
        <v>0</v>
      </c>
      <c r="N54" s="536">
        <v>1100</v>
      </c>
      <c r="O54" s="536">
        <v>0</v>
      </c>
      <c r="P54" s="536">
        <v>0</v>
      </c>
      <c r="Q54" s="536">
        <v>0</v>
      </c>
      <c r="R54" s="536">
        <v>0</v>
      </c>
      <c r="S54" s="536">
        <v>0</v>
      </c>
      <c r="T54" s="536">
        <v>1912</v>
      </c>
      <c r="U54" s="536">
        <v>0</v>
      </c>
      <c r="V54" s="536"/>
      <c r="W54" s="536">
        <v>0</v>
      </c>
      <c r="X54" s="536">
        <v>0</v>
      </c>
      <c r="Y54" s="535">
        <f>286</f>
        <v>286</v>
      </c>
    </row>
    <row r="55" spans="1:25" ht="18.95" customHeight="1">
      <c r="A55" s="360">
        <v>41</v>
      </c>
      <c r="B55" s="363" t="s">
        <v>367</v>
      </c>
      <c r="C55" s="535">
        <f t="shared" si="12"/>
        <v>1820</v>
      </c>
      <c r="D55" s="536"/>
      <c r="E55" s="536"/>
      <c r="F55" s="536"/>
      <c r="G55" s="536"/>
      <c r="H55" s="536"/>
      <c r="I55" s="536"/>
      <c r="J55" s="535">
        <f t="shared" si="13"/>
        <v>1820</v>
      </c>
      <c r="K55" s="536">
        <v>0</v>
      </c>
      <c r="L55" s="536">
        <v>0</v>
      </c>
      <c r="M55" s="536">
        <v>0</v>
      </c>
      <c r="N55" s="536">
        <v>0</v>
      </c>
      <c r="O55" s="536">
        <v>0</v>
      </c>
      <c r="P55" s="536">
        <v>0</v>
      </c>
      <c r="Q55" s="536">
        <v>0</v>
      </c>
      <c r="R55" s="536">
        <v>0</v>
      </c>
      <c r="S55" s="536">
        <v>0</v>
      </c>
      <c r="T55" s="536">
        <f>2620-800</f>
        <v>1820</v>
      </c>
      <c r="U55" s="536">
        <v>0</v>
      </c>
      <c r="V55" s="536"/>
      <c r="W55" s="536">
        <v>0</v>
      </c>
      <c r="X55" s="536">
        <v>0</v>
      </c>
      <c r="Y55" s="535">
        <v>0</v>
      </c>
    </row>
    <row r="56" spans="1:25" ht="18.95" customHeight="1">
      <c r="A56" s="360">
        <v>42</v>
      </c>
      <c r="B56" s="363" t="s">
        <v>368</v>
      </c>
      <c r="C56" s="535">
        <f t="shared" si="12"/>
        <v>2618</v>
      </c>
      <c r="D56" s="536"/>
      <c r="E56" s="536"/>
      <c r="F56" s="536"/>
      <c r="G56" s="536"/>
      <c r="H56" s="536"/>
      <c r="I56" s="536"/>
      <c r="J56" s="535">
        <f t="shared" si="13"/>
        <v>2618</v>
      </c>
      <c r="K56" s="536">
        <v>0</v>
      </c>
      <c r="L56" s="536">
        <v>0</v>
      </c>
      <c r="M56" s="536">
        <v>0</v>
      </c>
      <c r="N56" s="536">
        <v>160</v>
      </c>
      <c r="O56" s="536">
        <v>0</v>
      </c>
      <c r="P56" s="536">
        <v>0</v>
      </c>
      <c r="Q56" s="536">
        <v>0</v>
      </c>
      <c r="R56" s="536">
        <v>0</v>
      </c>
      <c r="S56" s="536">
        <v>0</v>
      </c>
      <c r="T56" s="536">
        <v>2458</v>
      </c>
      <c r="U56" s="536">
        <v>0</v>
      </c>
      <c r="V56" s="536"/>
      <c r="W56" s="536">
        <v>0</v>
      </c>
      <c r="X56" s="536">
        <v>0</v>
      </c>
      <c r="Y56" s="535">
        <v>0</v>
      </c>
    </row>
    <row r="57" spans="1:25" ht="18.95" customHeight="1">
      <c r="A57" s="360">
        <v>43</v>
      </c>
      <c r="B57" s="363" t="s">
        <v>369</v>
      </c>
      <c r="C57" s="535">
        <f t="shared" si="12"/>
        <v>3832</v>
      </c>
      <c r="D57" s="536"/>
      <c r="E57" s="536"/>
      <c r="F57" s="536"/>
      <c r="G57" s="536"/>
      <c r="H57" s="536"/>
      <c r="I57" s="536"/>
      <c r="J57" s="535">
        <f t="shared" si="13"/>
        <v>3832</v>
      </c>
      <c r="K57" s="536">
        <v>0</v>
      </c>
      <c r="L57" s="536">
        <v>0</v>
      </c>
      <c r="M57" s="536">
        <v>0</v>
      </c>
      <c r="N57" s="536">
        <v>0</v>
      </c>
      <c r="O57" s="536">
        <v>0</v>
      </c>
      <c r="P57" s="536">
        <v>0</v>
      </c>
      <c r="Q57" s="536">
        <v>0</v>
      </c>
      <c r="R57" s="536">
        <v>0</v>
      </c>
      <c r="S57" s="536">
        <v>0</v>
      </c>
      <c r="T57" s="536">
        <v>3832</v>
      </c>
      <c r="U57" s="536">
        <v>0</v>
      </c>
      <c r="V57" s="536"/>
      <c r="W57" s="536">
        <v>0</v>
      </c>
      <c r="X57" s="536">
        <v>0</v>
      </c>
      <c r="Y57" s="535">
        <v>0</v>
      </c>
    </row>
    <row r="58" spans="1:25" ht="18.95" customHeight="1">
      <c r="A58" s="360">
        <v>44</v>
      </c>
      <c r="B58" s="363" t="s">
        <v>370</v>
      </c>
      <c r="C58" s="535">
        <f t="shared" si="12"/>
        <v>724</v>
      </c>
      <c r="D58" s="536"/>
      <c r="E58" s="536"/>
      <c r="F58" s="536"/>
      <c r="G58" s="536"/>
      <c r="H58" s="536"/>
      <c r="I58" s="536"/>
      <c r="J58" s="535">
        <f t="shared" si="13"/>
        <v>724</v>
      </c>
      <c r="K58" s="536">
        <v>0</v>
      </c>
      <c r="L58" s="536">
        <v>0</v>
      </c>
      <c r="M58" s="536">
        <v>0</v>
      </c>
      <c r="N58" s="536">
        <v>0</v>
      </c>
      <c r="O58" s="536">
        <v>100</v>
      </c>
      <c r="P58" s="536">
        <v>0</v>
      </c>
      <c r="Q58" s="536">
        <v>0</v>
      </c>
      <c r="R58" s="536">
        <v>0</v>
      </c>
      <c r="S58" s="536">
        <v>0</v>
      </c>
      <c r="T58" s="536">
        <v>624</v>
      </c>
      <c r="U58" s="536">
        <v>0</v>
      </c>
      <c r="V58" s="536"/>
      <c r="W58" s="536">
        <v>0</v>
      </c>
      <c r="X58" s="536">
        <v>0</v>
      </c>
      <c r="Y58" s="535">
        <v>0</v>
      </c>
    </row>
    <row r="59" spans="1:25" ht="18.95" customHeight="1">
      <c r="A59" s="360">
        <v>45</v>
      </c>
      <c r="B59" s="363" t="s">
        <v>371</v>
      </c>
      <c r="C59" s="535">
        <f t="shared" si="12"/>
        <v>770</v>
      </c>
      <c r="D59" s="536"/>
      <c r="E59" s="536"/>
      <c r="F59" s="536"/>
      <c r="G59" s="536"/>
      <c r="H59" s="536"/>
      <c r="I59" s="536"/>
      <c r="J59" s="535">
        <f t="shared" si="13"/>
        <v>770</v>
      </c>
      <c r="K59" s="536">
        <v>0</v>
      </c>
      <c r="L59" s="536">
        <v>0</v>
      </c>
      <c r="M59" s="536">
        <v>0</v>
      </c>
      <c r="N59" s="536">
        <v>0</v>
      </c>
      <c r="O59" s="536">
        <v>0</v>
      </c>
      <c r="P59" s="536">
        <v>0</v>
      </c>
      <c r="Q59" s="536">
        <v>0</v>
      </c>
      <c r="R59" s="536">
        <v>0</v>
      </c>
      <c r="S59" s="536">
        <v>0</v>
      </c>
      <c r="T59" s="536">
        <v>770</v>
      </c>
      <c r="U59" s="536">
        <v>0</v>
      </c>
      <c r="V59" s="536"/>
      <c r="W59" s="536">
        <v>0</v>
      </c>
      <c r="X59" s="536">
        <v>0</v>
      </c>
      <c r="Y59" s="535">
        <v>0</v>
      </c>
    </row>
    <row r="60" spans="1:25" s="254" customFormat="1" ht="18.95" customHeight="1">
      <c r="A60" s="364" t="s">
        <v>661</v>
      </c>
      <c r="B60" s="361" t="s">
        <v>824</v>
      </c>
      <c r="C60" s="534">
        <f>SUM(C61:C63)</f>
        <v>67876</v>
      </c>
      <c r="D60" s="534">
        <f t="shared" ref="D60:I60" si="14">SUM(D61:D63)</f>
        <v>0</v>
      </c>
      <c r="E60" s="534">
        <f t="shared" si="14"/>
        <v>0</v>
      </c>
      <c r="F60" s="534">
        <f t="shared" si="14"/>
        <v>0</v>
      </c>
      <c r="G60" s="534">
        <f t="shared" si="14"/>
        <v>0</v>
      </c>
      <c r="H60" s="534">
        <f t="shared" si="14"/>
        <v>0</v>
      </c>
      <c r="I60" s="534">
        <f t="shared" si="14"/>
        <v>0</v>
      </c>
      <c r="J60" s="534">
        <f>SUM(J61:J63)</f>
        <v>54926</v>
      </c>
      <c r="K60" s="534">
        <f t="shared" ref="K60:Y60" si="15">SUM(K61:K63)</f>
        <v>0</v>
      </c>
      <c r="L60" s="534">
        <f t="shared" si="15"/>
        <v>107</v>
      </c>
      <c r="M60" s="534">
        <f t="shared" si="15"/>
        <v>0</v>
      </c>
      <c r="N60" s="534">
        <f t="shared" si="15"/>
        <v>9000</v>
      </c>
      <c r="O60" s="534">
        <f t="shared" si="15"/>
        <v>0</v>
      </c>
      <c r="P60" s="534">
        <f t="shared" si="15"/>
        <v>0</v>
      </c>
      <c r="Q60" s="534">
        <f t="shared" si="15"/>
        <v>0</v>
      </c>
      <c r="R60" s="534">
        <f t="shared" si="15"/>
        <v>0</v>
      </c>
      <c r="S60" s="534">
        <f>SUM(S61:S63)</f>
        <v>0</v>
      </c>
      <c r="T60" s="534">
        <f>SUM(T61:T63)</f>
        <v>0</v>
      </c>
      <c r="U60" s="534">
        <f t="shared" si="15"/>
        <v>45819</v>
      </c>
      <c r="V60" s="534">
        <f t="shared" si="15"/>
        <v>0</v>
      </c>
      <c r="W60" s="534">
        <f t="shared" si="15"/>
        <v>1250</v>
      </c>
      <c r="X60" s="534">
        <f t="shared" si="15"/>
        <v>0</v>
      </c>
      <c r="Y60" s="534">
        <f t="shared" si="15"/>
        <v>11700</v>
      </c>
    </row>
    <row r="61" spans="1:25" ht="18.95" customHeight="1">
      <c r="A61" s="360">
        <v>46</v>
      </c>
      <c r="B61" s="363" t="s">
        <v>825</v>
      </c>
      <c r="C61" s="536">
        <f>J61+Y61+W61+X61</f>
        <v>24341</v>
      </c>
      <c r="D61" s="536"/>
      <c r="E61" s="536"/>
      <c r="F61" s="536"/>
      <c r="G61" s="536"/>
      <c r="H61" s="536"/>
      <c r="I61" s="536"/>
      <c r="J61" s="536">
        <f>SUM(K61:V61)</f>
        <v>22091</v>
      </c>
      <c r="K61" s="536">
        <v>0</v>
      </c>
      <c r="L61" s="536">
        <v>107</v>
      </c>
      <c r="M61" s="536">
        <v>0</v>
      </c>
      <c r="N61" s="536">
        <v>3000</v>
      </c>
      <c r="O61" s="536">
        <v>0</v>
      </c>
      <c r="P61" s="536">
        <v>0</v>
      </c>
      <c r="Q61" s="536">
        <v>0</v>
      </c>
      <c r="R61" s="536">
        <v>0</v>
      </c>
      <c r="S61" s="536">
        <v>0</v>
      </c>
      <c r="T61" s="536">
        <v>0</v>
      </c>
      <c r="U61" s="536">
        <f>19984-1000</f>
        <v>18984</v>
      </c>
      <c r="V61" s="536">
        <v>0</v>
      </c>
      <c r="W61" s="536">
        <f>1020+230</f>
        <v>1250</v>
      </c>
      <c r="X61" s="536">
        <v>0</v>
      </c>
      <c r="Y61" s="536">
        <v>1000</v>
      </c>
    </row>
    <row r="62" spans="1:25" ht="18.95" customHeight="1">
      <c r="A62" s="360">
        <v>47</v>
      </c>
      <c r="B62" s="363" t="s">
        <v>826</v>
      </c>
      <c r="C62" s="536">
        <f>J62+Y62+W62+X62</f>
        <v>40025</v>
      </c>
      <c r="D62" s="536"/>
      <c r="E62" s="536"/>
      <c r="F62" s="536"/>
      <c r="G62" s="536"/>
      <c r="H62" s="536"/>
      <c r="I62" s="536"/>
      <c r="J62" s="536">
        <f>SUM(K62:V62)</f>
        <v>29325</v>
      </c>
      <c r="K62" s="536">
        <v>0</v>
      </c>
      <c r="L62" s="536">
        <v>0</v>
      </c>
      <c r="M62" s="536">
        <v>0</v>
      </c>
      <c r="N62" s="536">
        <v>6000</v>
      </c>
      <c r="O62" s="536">
        <v>0</v>
      </c>
      <c r="P62" s="536">
        <v>0</v>
      </c>
      <c r="Q62" s="536">
        <v>0</v>
      </c>
      <c r="R62" s="536">
        <v>0</v>
      </c>
      <c r="S62" s="536">
        <v>0</v>
      </c>
      <c r="T62" s="536">
        <v>0</v>
      </c>
      <c r="U62" s="536">
        <f>38051-10700-4026</f>
        <v>23325</v>
      </c>
      <c r="V62" s="536">
        <v>0</v>
      </c>
      <c r="W62" s="536">
        <v>0</v>
      </c>
      <c r="X62" s="536">
        <v>0</v>
      </c>
      <c r="Y62" s="536">
        <v>10700</v>
      </c>
    </row>
    <row r="63" spans="1:25" ht="18.95" customHeight="1">
      <c r="A63" s="360">
        <v>48</v>
      </c>
      <c r="B63" s="363" t="s">
        <v>827</v>
      </c>
      <c r="C63" s="536">
        <f>J63+Y63+W63+X63</f>
        <v>3510</v>
      </c>
      <c r="D63" s="536"/>
      <c r="E63" s="536"/>
      <c r="F63" s="536"/>
      <c r="G63" s="536"/>
      <c r="H63" s="536"/>
      <c r="I63" s="536"/>
      <c r="J63" s="536">
        <f>SUM(K63:V63)</f>
        <v>3510</v>
      </c>
      <c r="K63" s="536">
        <v>0</v>
      </c>
      <c r="L63" s="536">
        <v>0</v>
      </c>
      <c r="M63" s="536">
        <v>0</v>
      </c>
      <c r="N63" s="536">
        <v>0</v>
      </c>
      <c r="O63" s="536">
        <v>0</v>
      </c>
      <c r="P63" s="536">
        <v>0</v>
      </c>
      <c r="Q63" s="536">
        <v>0</v>
      </c>
      <c r="R63" s="536">
        <v>0</v>
      </c>
      <c r="S63" s="536">
        <v>0</v>
      </c>
      <c r="T63" s="536">
        <v>0</v>
      </c>
      <c r="U63" s="536">
        <f>3000+150+360</f>
        <v>3510</v>
      </c>
      <c r="V63" s="536">
        <v>0</v>
      </c>
      <c r="W63" s="536">
        <v>0</v>
      </c>
      <c r="X63" s="536">
        <v>0</v>
      </c>
      <c r="Y63" s="536">
        <v>0</v>
      </c>
    </row>
    <row r="64" spans="1:25" s="254" customFormat="1" ht="18.95" customHeight="1">
      <c r="A64" s="597" t="s">
        <v>701</v>
      </c>
      <c r="B64" s="598" t="s">
        <v>550</v>
      </c>
      <c r="C64" s="599">
        <f>SUM(C65:C95)</f>
        <v>538952</v>
      </c>
      <c r="D64" s="599">
        <f t="shared" ref="D64:Y64" si="16">SUM(D65:D95)</f>
        <v>0</v>
      </c>
      <c r="E64" s="599">
        <f t="shared" si="16"/>
        <v>0</v>
      </c>
      <c r="F64" s="599">
        <f t="shared" si="16"/>
        <v>0</v>
      </c>
      <c r="G64" s="599">
        <f t="shared" si="16"/>
        <v>0</v>
      </c>
      <c r="H64" s="599">
        <f t="shared" si="16"/>
        <v>0</v>
      </c>
      <c r="I64" s="599">
        <f t="shared" si="16"/>
        <v>0</v>
      </c>
      <c r="J64" s="599">
        <f t="shared" si="16"/>
        <v>28000</v>
      </c>
      <c r="K64" s="599">
        <f t="shared" si="16"/>
        <v>0</v>
      </c>
      <c r="L64" s="599">
        <f t="shared" si="16"/>
        <v>19</v>
      </c>
      <c r="M64" s="599">
        <f t="shared" si="16"/>
        <v>0</v>
      </c>
      <c r="N64" s="599">
        <f t="shared" si="16"/>
        <v>0</v>
      </c>
      <c r="O64" s="599">
        <f t="shared" si="16"/>
        <v>0</v>
      </c>
      <c r="P64" s="599">
        <f t="shared" si="16"/>
        <v>0</v>
      </c>
      <c r="Q64" s="599">
        <f t="shared" si="16"/>
        <v>0</v>
      </c>
      <c r="R64" s="599">
        <f t="shared" si="16"/>
        <v>0</v>
      </c>
      <c r="S64" s="599">
        <f>SUM(S65:S95)</f>
        <v>0</v>
      </c>
      <c r="T64" s="599">
        <f>SUM(T65:T95)</f>
        <v>0</v>
      </c>
      <c r="U64" s="599">
        <f t="shared" si="16"/>
        <v>0</v>
      </c>
      <c r="V64" s="599">
        <f>SUM(V65:V95)</f>
        <v>27981</v>
      </c>
      <c r="W64" s="599">
        <f t="shared" si="16"/>
        <v>74995</v>
      </c>
      <c r="X64" s="599">
        <f t="shared" si="16"/>
        <v>372200</v>
      </c>
      <c r="Y64" s="599">
        <f t="shared" si="16"/>
        <v>63757</v>
      </c>
    </row>
    <row r="65" spans="1:26" ht="18.95" hidden="1" customHeight="1">
      <c r="A65" s="593"/>
      <c r="B65" s="594" t="s">
        <v>481</v>
      </c>
      <c r="C65" s="595">
        <f t="shared" ref="C65:C95" si="17">J65+Y65+W65+X65</f>
        <v>370</v>
      </c>
      <c r="D65" s="596"/>
      <c r="E65" s="596"/>
      <c r="F65" s="596"/>
      <c r="G65" s="596"/>
      <c r="H65" s="596"/>
      <c r="I65" s="596"/>
      <c r="J65" s="595">
        <f t="shared" ref="J65:J95" si="18">SUM(K65:V65)</f>
        <v>370</v>
      </c>
      <c r="K65" s="596">
        <v>0</v>
      </c>
      <c r="L65" s="596">
        <v>0</v>
      </c>
      <c r="M65" s="596">
        <v>0</v>
      </c>
      <c r="N65" s="596">
        <v>0</v>
      </c>
      <c r="O65" s="596">
        <v>0</v>
      </c>
      <c r="P65" s="596">
        <v>0</v>
      </c>
      <c r="Q65" s="596">
        <v>0</v>
      </c>
      <c r="R65" s="596">
        <v>0</v>
      </c>
      <c r="S65" s="596">
        <v>0</v>
      </c>
      <c r="T65" s="596">
        <v>0</v>
      </c>
      <c r="U65" s="596">
        <v>0</v>
      </c>
      <c r="V65" s="596">
        <v>370</v>
      </c>
      <c r="W65" s="596">
        <v>0</v>
      </c>
      <c r="X65" s="596">
        <v>0</v>
      </c>
      <c r="Y65" s="596">
        <v>0</v>
      </c>
      <c r="Z65" s="540"/>
    </row>
    <row r="66" spans="1:26" ht="18.95" hidden="1" customHeight="1">
      <c r="A66" s="360"/>
      <c r="B66" s="418" t="s">
        <v>482</v>
      </c>
      <c r="C66" s="535">
        <f t="shared" si="17"/>
        <v>314</v>
      </c>
      <c r="D66" s="536"/>
      <c r="E66" s="536"/>
      <c r="F66" s="536"/>
      <c r="G66" s="536"/>
      <c r="H66" s="536"/>
      <c r="I66" s="536"/>
      <c r="J66" s="535">
        <f t="shared" si="18"/>
        <v>314</v>
      </c>
      <c r="K66" s="536">
        <v>0</v>
      </c>
      <c r="L66" s="536">
        <v>0</v>
      </c>
      <c r="M66" s="536">
        <v>0</v>
      </c>
      <c r="N66" s="536">
        <v>0</v>
      </c>
      <c r="O66" s="536">
        <v>0</v>
      </c>
      <c r="P66" s="536">
        <v>0</v>
      </c>
      <c r="Q66" s="536">
        <v>0</v>
      </c>
      <c r="R66" s="536">
        <v>0</v>
      </c>
      <c r="S66" s="536">
        <v>0</v>
      </c>
      <c r="T66" s="536">
        <v>0</v>
      </c>
      <c r="U66" s="536">
        <v>0</v>
      </c>
      <c r="V66" s="536">
        <v>314</v>
      </c>
      <c r="W66" s="536">
        <v>0</v>
      </c>
      <c r="X66" s="536">
        <v>0</v>
      </c>
      <c r="Y66" s="536">
        <v>0</v>
      </c>
    </row>
    <row r="67" spans="1:26" ht="18.95" hidden="1" customHeight="1">
      <c r="A67" s="360"/>
      <c r="B67" s="418" t="s">
        <v>471</v>
      </c>
      <c r="C67" s="535">
        <f t="shared" si="17"/>
        <v>293</v>
      </c>
      <c r="D67" s="536"/>
      <c r="E67" s="536"/>
      <c r="F67" s="536"/>
      <c r="G67" s="536"/>
      <c r="H67" s="536"/>
      <c r="I67" s="536"/>
      <c r="J67" s="535">
        <f t="shared" si="18"/>
        <v>293</v>
      </c>
      <c r="K67" s="536">
        <v>0</v>
      </c>
      <c r="L67" s="536">
        <v>0</v>
      </c>
      <c r="M67" s="536">
        <v>0</v>
      </c>
      <c r="N67" s="536">
        <v>0</v>
      </c>
      <c r="O67" s="536">
        <v>0</v>
      </c>
      <c r="P67" s="536">
        <v>0</v>
      </c>
      <c r="Q67" s="536">
        <v>0</v>
      </c>
      <c r="R67" s="536">
        <v>0</v>
      </c>
      <c r="S67" s="536">
        <v>0</v>
      </c>
      <c r="T67" s="536">
        <v>0</v>
      </c>
      <c r="U67" s="536">
        <v>0</v>
      </c>
      <c r="V67" s="536">
        <v>293</v>
      </c>
      <c r="W67" s="536">
        <v>0</v>
      </c>
      <c r="X67" s="536">
        <v>0</v>
      </c>
      <c r="Y67" s="536">
        <v>0</v>
      </c>
    </row>
    <row r="68" spans="1:26" ht="18.95" hidden="1" customHeight="1">
      <c r="A68" s="360"/>
      <c r="B68" s="418" t="s">
        <v>472</v>
      </c>
      <c r="C68" s="535">
        <f t="shared" si="17"/>
        <v>314</v>
      </c>
      <c r="D68" s="536"/>
      <c r="E68" s="536"/>
      <c r="F68" s="536"/>
      <c r="G68" s="536"/>
      <c r="H68" s="536"/>
      <c r="I68" s="536"/>
      <c r="J68" s="535">
        <f t="shared" si="18"/>
        <v>314</v>
      </c>
      <c r="K68" s="536">
        <v>0</v>
      </c>
      <c r="L68" s="536">
        <v>0</v>
      </c>
      <c r="M68" s="536">
        <v>0</v>
      </c>
      <c r="N68" s="536">
        <v>0</v>
      </c>
      <c r="O68" s="536">
        <v>0</v>
      </c>
      <c r="P68" s="536">
        <v>0</v>
      </c>
      <c r="Q68" s="536">
        <v>0</v>
      </c>
      <c r="R68" s="536">
        <v>0</v>
      </c>
      <c r="S68" s="536">
        <v>0</v>
      </c>
      <c r="T68" s="536">
        <v>0</v>
      </c>
      <c r="U68" s="536">
        <v>0</v>
      </c>
      <c r="V68" s="536">
        <v>314</v>
      </c>
      <c r="W68" s="536">
        <v>0</v>
      </c>
      <c r="X68" s="536">
        <v>0</v>
      </c>
      <c r="Y68" s="536">
        <v>0</v>
      </c>
    </row>
    <row r="69" spans="1:26" ht="18.95" hidden="1" customHeight="1">
      <c r="A69" s="360"/>
      <c r="B69" s="418" t="s">
        <v>470</v>
      </c>
      <c r="C69" s="535">
        <f t="shared" si="17"/>
        <v>309</v>
      </c>
      <c r="D69" s="536"/>
      <c r="E69" s="536"/>
      <c r="F69" s="536"/>
      <c r="G69" s="536"/>
      <c r="H69" s="536"/>
      <c r="I69" s="536"/>
      <c r="J69" s="535">
        <f t="shared" si="18"/>
        <v>309</v>
      </c>
      <c r="K69" s="536">
        <v>0</v>
      </c>
      <c r="L69" s="536">
        <v>0</v>
      </c>
      <c r="M69" s="536">
        <v>0</v>
      </c>
      <c r="N69" s="536">
        <v>0</v>
      </c>
      <c r="O69" s="536">
        <v>0</v>
      </c>
      <c r="P69" s="536">
        <v>0</v>
      </c>
      <c r="Q69" s="536">
        <v>0</v>
      </c>
      <c r="R69" s="536">
        <v>0</v>
      </c>
      <c r="S69" s="536">
        <v>0</v>
      </c>
      <c r="T69" s="536">
        <v>0</v>
      </c>
      <c r="U69" s="536">
        <v>0</v>
      </c>
      <c r="V69" s="536">
        <v>309</v>
      </c>
      <c r="W69" s="536">
        <v>0</v>
      </c>
      <c r="X69" s="536">
        <v>0</v>
      </c>
      <c r="Y69" s="536">
        <v>0</v>
      </c>
    </row>
    <row r="70" spans="1:26" ht="18.95" hidden="1" customHeight="1">
      <c r="A70" s="360"/>
      <c r="B70" s="418" t="s">
        <v>473</v>
      </c>
      <c r="C70" s="535">
        <f t="shared" si="17"/>
        <v>293</v>
      </c>
      <c r="D70" s="536"/>
      <c r="E70" s="536"/>
      <c r="F70" s="536"/>
      <c r="G70" s="536"/>
      <c r="H70" s="536"/>
      <c r="I70" s="536"/>
      <c r="J70" s="535">
        <f t="shared" si="18"/>
        <v>293</v>
      </c>
      <c r="K70" s="536">
        <v>0</v>
      </c>
      <c r="L70" s="536">
        <v>0</v>
      </c>
      <c r="M70" s="536">
        <v>0</v>
      </c>
      <c r="N70" s="536">
        <v>0</v>
      </c>
      <c r="O70" s="536">
        <v>0</v>
      </c>
      <c r="P70" s="536">
        <v>0</v>
      </c>
      <c r="Q70" s="536">
        <v>0</v>
      </c>
      <c r="R70" s="536">
        <v>0</v>
      </c>
      <c r="S70" s="536">
        <v>0</v>
      </c>
      <c r="T70" s="536">
        <v>0</v>
      </c>
      <c r="U70" s="536">
        <v>0</v>
      </c>
      <c r="V70" s="536">
        <v>293</v>
      </c>
      <c r="W70" s="536">
        <v>0</v>
      </c>
      <c r="X70" s="536">
        <v>0</v>
      </c>
      <c r="Y70" s="536">
        <v>0</v>
      </c>
    </row>
    <row r="71" spans="1:26" ht="18.95" hidden="1" customHeight="1">
      <c r="A71" s="360"/>
      <c r="B71" s="418" t="s">
        <v>746</v>
      </c>
      <c r="C71" s="535">
        <f t="shared" si="17"/>
        <v>319</v>
      </c>
      <c r="D71" s="536"/>
      <c r="E71" s="536"/>
      <c r="F71" s="536"/>
      <c r="G71" s="536"/>
      <c r="H71" s="536"/>
      <c r="I71" s="536"/>
      <c r="J71" s="535">
        <f t="shared" si="18"/>
        <v>319</v>
      </c>
      <c r="K71" s="536">
        <v>0</v>
      </c>
      <c r="L71" s="536">
        <v>0</v>
      </c>
      <c r="M71" s="536">
        <v>0</v>
      </c>
      <c r="N71" s="536">
        <v>0</v>
      </c>
      <c r="O71" s="536">
        <v>0</v>
      </c>
      <c r="P71" s="536">
        <v>0</v>
      </c>
      <c r="Q71" s="536">
        <v>0</v>
      </c>
      <c r="R71" s="536">
        <v>0</v>
      </c>
      <c r="S71" s="536">
        <v>0</v>
      </c>
      <c r="T71" s="536">
        <v>0</v>
      </c>
      <c r="U71" s="536">
        <v>0</v>
      </c>
      <c r="V71" s="536">
        <v>319</v>
      </c>
      <c r="W71" s="536">
        <v>0</v>
      </c>
      <c r="X71" s="536">
        <v>0</v>
      </c>
      <c r="Y71" s="536">
        <v>0</v>
      </c>
    </row>
    <row r="72" spans="1:26" ht="18.95" hidden="1" customHeight="1">
      <c r="A72" s="360"/>
      <c r="B72" s="418" t="s">
        <v>474</v>
      </c>
      <c r="C72" s="535">
        <f t="shared" si="17"/>
        <v>293</v>
      </c>
      <c r="D72" s="536"/>
      <c r="E72" s="536"/>
      <c r="F72" s="536"/>
      <c r="G72" s="536"/>
      <c r="H72" s="536"/>
      <c r="I72" s="536"/>
      <c r="J72" s="535">
        <f t="shared" si="18"/>
        <v>293</v>
      </c>
      <c r="K72" s="536">
        <v>0</v>
      </c>
      <c r="L72" s="536">
        <v>0</v>
      </c>
      <c r="M72" s="536">
        <v>0</v>
      </c>
      <c r="N72" s="536">
        <v>0</v>
      </c>
      <c r="O72" s="536">
        <v>0</v>
      </c>
      <c r="P72" s="536">
        <v>0</v>
      </c>
      <c r="Q72" s="536">
        <v>0</v>
      </c>
      <c r="R72" s="536">
        <v>0</v>
      </c>
      <c r="S72" s="536">
        <v>0</v>
      </c>
      <c r="T72" s="536">
        <v>0</v>
      </c>
      <c r="U72" s="536">
        <v>0</v>
      </c>
      <c r="V72" s="536">
        <v>293</v>
      </c>
      <c r="W72" s="536">
        <v>0</v>
      </c>
      <c r="X72" s="536">
        <v>0</v>
      </c>
      <c r="Y72" s="536">
        <v>0</v>
      </c>
    </row>
    <row r="73" spans="1:26" ht="18.95" hidden="1" customHeight="1">
      <c r="A73" s="360"/>
      <c r="B73" s="502" t="s">
        <v>748</v>
      </c>
      <c r="C73" s="535">
        <f t="shared" si="17"/>
        <v>70</v>
      </c>
      <c r="D73" s="536"/>
      <c r="E73" s="536"/>
      <c r="F73" s="536"/>
      <c r="G73" s="536"/>
      <c r="H73" s="536"/>
      <c r="I73" s="536"/>
      <c r="J73" s="535">
        <f t="shared" si="18"/>
        <v>70</v>
      </c>
      <c r="K73" s="536">
        <v>0</v>
      </c>
      <c r="L73" s="536">
        <v>0</v>
      </c>
      <c r="M73" s="536">
        <v>0</v>
      </c>
      <c r="N73" s="536">
        <v>0</v>
      </c>
      <c r="O73" s="536">
        <v>0</v>
      </c>
      <c r="P73" s="536">
        <v>0</v>
      </c>
      <c r="Q73" s="536">
        <v>0</v>
      </c>
      <c r="R73" s="536">
        <v>0</v>
      </c>
      <c r="S73" s="536">
        <v>0</v>
      </c>
      <c r="T73" s="536">
        <v>0</v>
      </c>
      <c r="U73" s="536">
        <v>0</v>
      </c>
      <c r="V73" s="536">
        <v>70</v>
      </c>
      <c r="W73" s="536">
        <v>0</v>
      </c>
      <c r="X73" s="536">
        <v>0</v>
      </c>
      <c r="Y73" s="536">
        <v>0</v>
      </c>
    </row>
    <row r="74" spans="1:26" ht="18.95" hidden="1" customHeight="1">
      <c r="A74" s="360"/>
      <c r="B74" s="418" t="s">
        <v>476</v>
      </c>
      <c r="C74" s="535">
        <f t="shared" si="17"/>
        <v>308</v>
      </c>
      <c r="D74" s="536"/>
      <c r="E74" s="536"/>
      <c r="F74" s="536"/>
      <c r="G74" s="536"/>
      <c r="H74" s="536"/>
      <c r="I74" s="536"/>
      <c r="J74" s="535">
        <f t="shared" si="18"/>
        <v>308</v>
      </c>
      <c r="K74" s="536">
        <v>0</v>
      </c>
      <c r="L74" s="536">
        <v>0</v>
      </c>
      <c r="M74" s="536">
        <v>0</v>
      </c>
      <c r="N74" s="536">
        <v>0</v>
      </c>
      <c r="O74" s="536">
        <v>0</v>
      </c>
      <c r="P74" s="536">
        <v>0</v>
      </c>
      <c r="Q74" s="536">
        <v>0</v>
      </c>
      <c r="R74" s="536">
        <v>0</v>
      </c>
      <c r="S74" s="536">
        <v>0</v>
      </c>
      <c r="T74" s="536">
        <v>0</v>
      </c>
      <c r="U74" s="536">
        <v>0</v>
      </c>
      <c r="V74" s="536">
        <v>308</v>
      </c>
      <c r="W74" s="536">
        <v>0</v>
      </c>
      <c r="X74" s="536">
        <v>0</v>
      </c>
      <c r="Y74" s="536">
        <v>0</v>
      </c>
    </row>
    <row r="75" spans="1:26" ht="18.95" hidden="1" customHeight="1">
      <c r="A75" s="360"/>
      <c r="B75" s="418" t="s">
        <v>477</v>
      </c>
      <c r="C75" s="535">
        <f t="shared" si="17"/>
        <v>293</v>
      </c>
      <c r="D75" s="536"/>
      <c r="E75" s="536"/>
      <c r="F75" s="536"/>
      <c r="G75" s="536"/>
      <c r="H75" s="536"/>
      <c r="I75" s="536"/>
      <c r="J75" s="535">
        <f t="shared" si="18"/>
        <v>293</v>
      </c>
      <c r="K75" s="536">
        <v>0</v>
      </c>
      <c r="L75" s="536">
        <v>0</v>
      </c>
      <c r="M75" s="536">
        <v>0</v>
      </c>
      <c r="N75" s="536">
        <v>0</v>
      </c>
      <c r="O75" s="536">
        <v>0</v>
      </c>
      <c r="P75" s="536">
        <v>0</v>
      </c>
      <c r="Q75" s="536">
        <v>0</v>
      </c>
      <c r="R75" s="536">
        <v>0</v>
      </c>
      <c r="S75" s="536">
        <v>0</v>
      </c>
      <c r="T75" s="536">
        <v>0</v>
      </c>
      <c r="U75" s="536">
        <v>0</v>
      </c>
      <c r="V75" s="536">
        <v>293</v>
      </c>
      <c r="W75" s="536">
        <v>0</v>
      </c>
      <c r="X75" s="536">
        <v>0</v>
      </c>
      <c r="Y75" s="536">
        <v>0</v>
      </c>
    </row>
    <row r="76" spans="1:26" ht="18.95" hidden="1" customHeight="1">
      <c r="A76" s="360"/>
      <c r="B76" s="418" t="s">
        <v>478</v>
      </c>
      <c r="C76" s="535">
        <f t="shared" si="17"/>
        <v>332</v>
      </c>
      <c r="D76" s="536"/>
      <c r="E76" s="536"/>
      <c r="F76" s="536"/>
      <c r="G76" s="536"/>
      <c r="H76" s="536"/>
      <c r="I76" s="536"/>
      <c r="J76" s="535">
        <f t="shared" si="18"/>
        <v>332</v>
      </c>
      <c r="K76" s="536">
        <v>0</v>
      </c>
      <c r="L76" s="536">
        <v>0</v>
      </c>
      <c r="M76" s="536">
        <v>0</v>
      </c>
      <c r="N76" s="536">
        <v>0</v>
      </c>
      <c r="O76" s="536">
        <v>0</v>
      </c>
      <c r="P76" s="536">
        <v>0</v>
      </c>
      <c r="Q76" s="536">
        <v>0</v>
      </c>
      <c r="R76" s="536">
        <v>0</v>
      </c>
      <c r="S76" s="536">
        <v>0</v>
      </c>
      <c r="T76" s="536">
        <v>0</v>
      </c>
      <c r="U76" s="536">
        <v>0</v>
      </c>
      <c r="V76" s="536">
        <v>332</v>
      </c>
      <c r="W76" s="536">
        <v>0</v>
      </c>
      <c r="X76" s="536">
        <v>0</v>
      </c>
      <c r="Y76" s="536">
        <v>0</v>
      </c>
    </row>
    <row r="77" spans="1:26" ht="18.95" hidden="1" customHeight="1">
      <c r="A77" s="360"/>
      <c r="B77" s="418" t="s">
        <v>747</v>
      </c>
      <c r="C77" s="535">
        <f t="shared" si="17"/>
        <v>293</v>
      </c>
      <c r="D77" s="536"/>
      <c r="E77" s="536"/>
      <c r="F77" s="536"/>
      <c r="G77" s="536"/>
      <c r="H77" s="536"/>
      <c r="I77" s="536"/>
      <c r="J77" s="535">
        <f t="shared" si="18"/>
        <v>293</v>
      </c>
      <c r="K77" s="536">
        <v>0</v>
      </c>
      <c r="L77" s="536">
        <v>0</v>
      </c>
      <c r="M77" s="536">
        <v>0</v>
      </c>
      <c r="N77" s="536">
        <v>0</v>
      </c>
      <c r="O77" s="536">
        <v>0</v>
      </c>
      <c r="P77" s="536">
        <v>0</v>
      </c>
      <c r="Q77" s="536">
        <v>0</v>
      </c>
      <c r="R77" s="536">
        <v>0</v>
      </c>
      <c r="S77" s="536">
        <v>0</v>
      </c>
      <c r="T77" s="536">
        <v>0</v>
      </c>
      <c r="U77" s="536">
        <v>0</v>
      </c>
      <c r="V77" s="536">
        <v>293</v>
      </c>
      <c r="W77" s="536">
        <v>0</v>
      </c>
      <c r="X77" s="536">
        <v>0</v>
      </c>
      <c r="Y77" s="536">
        <v>0</v>
      </c>
    </row>
    <row r="78" spans="1:26" ht="18.95" hidden="1" customHeight="1">
      <c r="A78" s="360"/>
      <c r="B78" s="418" t="s">
        <v>330</v>
      </c>
      <c r="C78" s="535">
        <f t="shared" si="17"/>
        <v>316</v>
      </c>
      <c r="D78" s="536"/>
      <c r="E78" s="536"/>
      <c r="F78" s="536"/>
      <c r="G78" s="536"/>
      <c r="H78" s="536"/>
      <c r="I78" s="536"/>
      <c r="J78" s="535">
        <f t="shared" si="18"/>
        <v>316</v>
      </c>
      <c r="K78" s="536">
        <v>0</v>
      </c>
      <c r="L78" s="536">
        <v>0</v>
      </c>
      <c r="M78" s="536">
        <v>0</v>
      </c>
      <c r="N78" s="536">
        <v>0</v>
      </c>
      <c r="O78" s="536">
        <v>0</v>
      </c>
      <c r="P78" s="536">
        <v>0</v>
      </c>
      <c r="Q78" s="536">
        <v>0</v>
      </c>
      <c r="R78" s="536">
        <v>0</v>
      </c>
      <c r="S78" s="536">
        <v>0</v>
      </c>
      <c r="T78" s="536">
        <v>0</v>
      </c>
      <c r="U78" s="536">
        <v>0</v>
      </c>
      <c r="V78" s="536">
        <v>316</v>
      </c>
      <c r="W78" s="536">
        <v>0</v>
      </c>
      <c r="X78" s="536">
        <v>0</v>
      </c>
      <c r="Y78" s="536">
        <v>0</v>
      </c>
    </row>
    <row r="79" spans="1:26" ht="18.95" hidden="1" customHeight="1">
      <c r="A79" s="360"/>
      <c r="B79" s="418" t="s">
        <v>45</v>
      </c>
      <c r="C79" s="535">
        <f t="shared" si="17"/>
        <v>343</v>
      </c>
      <c r="D79" s="536"/>
      <c r="E79" s="536"/>
      <c r="F79" s="536"/>
      <c r="G79" s="536"/>
      <c r="H79" s="536"/>
      <c r="I79" s="536"/>
      <c r="J79" s="535">
        <f t="shared" si="18"/>
        <v>343</v>
      </c>
      <c r="K79" s="536">
        <v>0</v>
      </c>
      <c r="L79" s="536">
        <v>0</v>
      </c>
      <c r="M79" s="536">
        <v>0</v>
      </c>
      <c r="N79" s="536">
        <v>0</v>
      </c>
      <c r="O79" s="536">
        <v>0</v>
      </c>
      <c r="P79" s="536">
        <v>0</v>
      </c>
      <c r="Q79" s="536">
        <v>0</v>
      </c>
      <c r="R79" s="536">
        <v>0</v>
      </c>
      <c r="S79" s="536">
        <v>0</v>
      </c>
      <c r="T79" s="536">
        <v>0</v>
      </c>
      <c r="U79" s="536">
        <v>0</v>
      </c>
      <c r="V79" s="536">
        <v>343</v>
      </c>
      <c r="W79" s="536">
        <v>0</v>
      </c>
      <c r="X79" s="536">
        <v>0</v>
      </c>
      <c r="Y79" s="536">
        <v>0</v>
      </c>
    </row>
    <row r="80" spans="1:26" ht="18.95" hidden="1" customHeight="1">
      <c r="A80" s="360"/>
      <c r="B80" s="418" t="s">
        <v>479</v>
      </c>
      <c r="C80" s="535">
        <f t="shared" si="17"/>
        <v>180</v>
      </c>
      <c r="D80" s="536"/>
      <c r="E80" s="536"/>
      <c r="F80" s="536"/>
      <c r="G80" s="536"/>
      <c r="H80" s="536"/>
      <c r="I80" s="536"/>
      <c r="J80" s="535">
        <f t="shared" si="18"/>
        <v>180</v>
      </c>
      <c r="K80" s="536">
        <v>0</v>
      </c>
      <c r="L80" s="536">
        <v>0</v>
      </c>
      <c r="M80" s="536">
        <v>0</v>
      </c>
      <c r="N80" s="536">
        <v>0</v>
      </c>
      <c r="O80" s="536">
        <v>0</v>
      </c>
      <c r="P80" s="536">
        <v>0</v>
      </c>
      <c r="Q80" s="536">
        <v>0</v>
      </c>
      <c r="R80" s="536">
        <v>0</v>
      </c>
      <c r="S80" s="536">
        <v>0</v>
      </c>
      <c r="T80" s="536">
        <v>0</v>
      </c>
      <c r="U80" s="536">
        <v>0</v>
      </c>
      <c r="V80" s="536">
        <v>180</v>
      </c>
      <c r="W80" s="536">
        <v>0</v>
      </c>
      <c r="X80" s="536">
        <v>0</v>
      </c>
      <c r="Y80" s="536">
        <v>0</v>
      </c>
    </row>
    <row r="81" spans="1:25" ht="18.95" hidden="1" customHeight="1">
      <c r="A81" s="360"/>
      <c r="B81" s="418" t="s">
        <v>480</v>
      </c>
      <c r="C81" s="535">
        <f t="shared" si="17"/>
        <v>70</v>
      </c>
      <c r="D81" s="536"/>
      <c r="E81" s="536"/>
      <c r="F81" s="536"/>
      <c r="G81" s="536"/>
      <c r="H81" s="536"/>
      <c r="I81" s="536"/>
      <c r="J81" s="535">
        <f t="shared" si="18"/>
        <v>70</v>
      </c>
      <c r="K81" s="536">
        <v>0</v>
      </c>
      <c r="L81" s="536">
        <v>0</v>
      </c>
      <c r="M81" s="536">
        <v>0</v>
      </c>
      <c r="N81" s="536">
        <v>0</v>
      </c>
      <c r="O81" s="536">
        <v>0</v>
      </c>
      <c r="P81" s="536">
        <v>0</v>
      </c>
      <c r="Q81" s="536">
        <v>0</v>
      </c>
      <c r="R81" s="536">
        <v>0</v>
      </c>
      <c r="S81" s="536">
        <v>0</v>
      </c>
      <c r="T81" s="536">
        <v>0</v>
      </c>
      <c r="U81" s="536">
        <v>0</v>
      </c>
      <c r="V81" s="536">
        <v>70</v>
      </c>
      <c r="W81" s="536">
        <v>0</v>
      </c>
      <c r="X81" s="536">
        <v>0</v>
      </c>
      <c r="Y81" s="536">
        <v>0</v>
      </c>
    </row>
    <row r="82" spans="1:25" ht="18.95" hidden="1" customHeight="1">
      <c r="A82" s="360"/>
      <c r="B82" s="418" t="s">
        <v>293</v>
      </c>
      <c r="C82" s="535">
        <f t="shared" si="17"/>
        <v>70</v>
      </c>
      <c r="D82" s="536"/>
      <c r="E82" s="536"/>
      <c r="F82" s="536"/>
      <c r="G82" s="536"/>
      <c r="H82" s="536"/>
      <c r="I82" s="536"/>
      <c r="J82" s="535">
        <f t="shared" si="18"/>
        <v>70</v>
      </c>
      <c r="K82" s="536">
        <v>0</v>
      </c>
      <c r="L82" s="536">
        <v>0</v>
      </c>
      <c r="M82" s="536">
        <v>0</v>
      </c>
      <c r="N82" s="536">
        <v>0</v>
      </c>
      <c r="O82" s="536">
        <v>0</v>
      </c>
      <c r="P82" s="536">
        <v>0</v>
      </c>
      <c r="Q82" s="536">
        <v>0</v>
      </c>
      <c r="R82" s="536">
        <v>0</v>
      </c>
      <c r="S82" s="536">
        <v>0</v>
      </c>
      <c r="T82" s="536">
        <v>0</v>
      </c>
      <c r="U82" s="536">
        <v>0</v>
      </c>
      <c r="V82" s="536">
        <v>70</v>
      </c>
      <c r="W82" s="536">
        <v>0</v>
      </c>
      <c r="X82" s="536">
        <v>0</v>
      </c>
      <c r="Y82" s="536">
        <v>0</v>
      </c>
    </row>
    <row r="83" spans="1:25" ht="18.95" hidden="1" customHeight="1">
      <c r="A83" s="360"/>
      <c r="B83" s="418" t="s">
        <v>547</v>
      </c>
      <c r="C83" s="535">
        <f t="shared" si="17"/>
        <v>300</v>
      </c>
      <c r="D83" s="536"/>
      <c r="E83" s="536"/>
      <c r="F83" s="536"/>
      <c r="G83" s="536"/>
      <c r="H83" s="536"/>
      <c r="I83" s="536"/>
      <c r="J83" s="535">
        <f t="shared" si="18"/>
        <v>300</v>
      </c>
      <c r="K83" s="536">
        <v>0</v>
      </c>
      <c r="L83" s="536">
        <v>0</v>
      </c>
      <c r="M83" s="536">
        <v>0</v>
      </c>
      <c r="N83" s="536">
        <v>0</v>
      </c>
      <c r="O83" s="536">
        <v>0</v>
      </c>
      <c r="P83" s="536">
        <v>0</v>
      </c>
      <c r="Q83" s="536">
        <v>0</v>
      </c>
      <c r="R83" s="536">
        <v>0</v>
      </c>
      <c r="S83" s="536">
        <v>0</v>
      </c>
      <c r="T83" s="536">
        <v>0</v>
      </c>
      <c r="U83" s="536">
        <v>0</v>
      </c>
      <c r="V83" s="536">
        <v>300</v>
      </c>
      <c r="W83" s="536">
        <v>0</v>
      </c>
      <c r="X83" s="536">
        <v>0</v>
      </c>
      <c r="Y83" s="536">
        <v>0</v>
      </c>
    </row>
    <row r="84" spans="1:25" ht="18.95" hidden="1" customHeight="1">
      <c r="A84" s="360"/>
      <c r="B84" s="418" t="s">
        <v>475</v>
      </c>
      <c r="C84" s="535">
        <f t="shared" si="17"/>
        <v>339</v>
      </c>
      <c r="D84" s="536"/>
      <c r="E84" s="536"/>
      <c r="F84" s="536"/>
      <c r="G84" s="536"/>
      <c r="H84" s="536"/>
      <c r="I84" s="536"/>
      <c r="J84" s="535">
        <f t="shared" si="18"/>
        <v>339</v>
      </c>
      <c r="K84" s="536">
        <v>0</v>
      </c>
      <c r="L84" s="536">
        <v>0</v>
      </c>
      <c r="M84" s="536">
        <v>0</v>
      </c>
      <c r="N84" s="536">
        <v>0</v>
      </c>
      <c r="O84" s="536">
        <v>0</v>
      </c>
      <c r="P84" s="536">
        <v>0</v>
      </c>
      <c r="Q84" s="536">
        <v>0</v>
      </c>
      <c r="R84" s="536">
        <v>0</v>
      </c>
      <c r="S84" s="536">
        <v>0</v>
      </c>
      <c r="T84" s="536">
        <v>0</v>
      </c>
      <c r="U84" s="536">
        <v>0</v>
      </c>
      <c r="V84" s="536">
        <v>339</v>
      </c>
      <c r="W84" s="536">
        <v>0</v>
      </c>
      <c r="X84" s="536">
        <v>0</v>
      </c>
      <c r="Y84" s="536">
        <v>0</v>
      </c>
    </row>
    <row r="85" spans="1:25" ht="18.95" hidden="1" customHeight="1">
      <c r="A85" s="360"/>
      <c r="B85" s="418" t="s">
        <v>469</v>
      </c>
      <c r="C85" s="535">
        <f t="shared" si="17"/>
        <v>400</v>
      </c>
      <c r="D85" s="536"/>
      <c r="E85" s="536"/>
      <c r="F85" s="536"/>
      <c r="G85" s="536"/>
      <c r="H85" s="536"/>
      <c r="I85" s="536"/>
      <c r="J85" s="535">
        <f t="shared" si="18"/>
        <v>400</v>
      </c>
      <c r="K85" s="536">
        <v>0</v>
      </c>
      <c r="L85" s="536">
        <v>0</v>
      </c>
      <c r="M85" s="536">
        <v>0</v>
      </c>
      <c r="N85" s="536">
        <v>0</v>
      </c>
      <c r="O85" s="536">
        <v>0</v>
      </c>
      <c r="P85" s="536">
        <v>0</v>
      </c>
      <c r="Q85" s="536">
        <v>0</v>
      </c>
      <c r="R85" s="536">
        <v>0</v>
      </c>
      <c r="S85" s="536">
        <v>0</v>
      </c>
      <c r="T85" s="536">
        <v>0</v>
      </c>
      <c r="U85" s="536">
        <v>0</v>
      </c>
      <c r="V85" s="536">
        <v>400</v>
      </c>
      <c r="W85" s="536">
        <v>0</v>
      </c>
      <c r="X85" s="536">
        <v>0</v>
      </c>
      <c r="Y85" s="536">
        <v>0</v>
      </c>
    </row>
    <row r="86" spans="1:25" ht="18.95" hidden="1" customHeight="1">
      <c r="A86" s="360"/>
      <c r="B86" s="418" t="s">
        <v>294</v>
      </c>
      <c r="C86" s="535">
        <f t="shared" si="17"/>
        <v>300</v>
      </c>
      <c r="D86" s="536"/>
      <c r="E86" s="536"/>
      <c r="F86" s="536"/>
      <c r="G86" s="536"/>
      <c r="H86" s="536"/>
      <c r="I86" s="536"/>
      <c r="J86" s="535">
        <f t="shared" si="18"/>
        <v>300</v>
      </c>
      <c r="K86" s="536">
        <v>0</v>
      </c>
      <c r="L86" s="536">
        <v>0</v>
      </c>
      <c r="M86" s="536">
        <v>0</v>
      </c>
      <c r="N86" s="536">
        <v>0</v>
      </c>
      <c r="O86" s="536">
        <v>0</v>
      </c>
      <c r="P86" s="536">
        <v>0</v>
      </c>
      <c r="Q86" s="536">
        <v>0</v>
      </c>
      <c r="R86" s="536">
        <v>0</v>
      </c>
      <c r="S86" s="536">
        <v>0</v>
      </c>
      <c r="T86" s="536">
        <v>0</v>
      </c>
      <c r="U86" s="536">
        <v>0</v>
      </c>
      <c r="V86" s="536">
        <v>300</v>
      </c>
      <c r="W86" s="536">
        <v>0</v>
      </c>
      <c r="X86" s="536">
        <v>0</v>
      </c>
      <c r="Y86" s="536">
        <v>0</v>
      </c>
    </row>
    <row r="87" spans="1:25" ht="18.95" hidden="1" customHeight="1">
      <c r="A87" s="360"/>
      <c r="B87" s="418" t="s">
        <v>308</v>
      </c>
      <c r="C87" s="535">
        <f t="shared" si="17"/>
        <v>200</v>
      </c>
      <c r="D87" s="536"/>
      <c r="E87" s="536"/>
      <c r="F87" s="536"/>
      <c r="G87" s="536"/>
      <c r="H87" s="536"/>
      <c r="I87" s="536"/>
      <c r="J87" s="535">
        <f t="shared" si="18"/>
        <v>200</v>
      </c>
      <c r="K87" s="536">
        <v>0</v>
      </c>
      <c r="L87" s="536">
        <v>0</v>
      </c>
      <c r="M87" s="536">
        <v>0</v>
      </c>
      <c r="N87" s="536">
        <v>0</v>
      </c>
      <c r="O87" s="536">
        <v>0</v>
      </c>
      <c r="P87" s="536">
        <v>0</v>
      </c>
      <c r="Q87" s="536">
        <v>0</v>
      </c>
      <c r="R87" s="536">
        <v>0</v>
      </c>
      <c r="S87" s="536">
        <v>0</v>
      </c>
      <c r="T87" s="536">
        <v>0</v>
      </c>
      <c r="U87" s="536">
        <v>0</v>
      </c>
      <c r="V87" s="536">
        <v>200</v>
      </c>
      <c r="W87" s="536">
        <v>0</v>
      </c>
      <c r="X87" s="536">
        <v>0</v>
      </c>
      <c r="Y87" s="536">
        <v>0</v>
      </c>
    </row>
    <row r="88" spans="1:25" ht="18.95" hidden="1" customHeight="1">
      <c r="A88" s="360"/>
      <c r="B88" s="418" t="s">
        <v>46</v>
      </c>
      <c r="C88" s="535">
        <f t="shared" si="17"/>
        <v>300</v>
      </c>
      <c r="D88" s="536"/>
      <c r="E88" s="536"/>
      <c r="F88" s="536"/>
      <c r="G88" s="536"/>
      <c r="H88" s="536"/>
      <c r="I88" s="536"/>
      <c r="J88" s="535">
        <f t="shared" si="18"/>
        <v>300</v>
      </c>
      <c r="K88" s="536">
        <v>0</v>
      </c>
      <c r="L88" s="536">
        <v>0</v>
      </c>
      <c r="M88" s="536">
        <v>0</v>
      </c>
      <c r="N88" s="536">
        <v>0</v>
      </c>
      <c r="O88" s="536">
        <v>0</v>
      </c>
      <c r="P88" s="536">
        <v>0</v>
      </c>
      <c r="Q88" s="536">
        <v>0</v>
      </c>
      <c r="R88" s="536">
        <v>0</v>
      </c>
      <c r="S88" s="536">
        <v>0</v>
      </c>
      <c r="T88" s="536">
        <v>0</v>
      </c>
      <c r="U88" s="536">
        <v>0</v>
      </c>
      <c r="V88" s="536">
        <v>300</v>
      </c>
      <c r="W88" s="536">
        <v>0</v>
      </c>
      <c r="X88" s="536">
        <v>0</v>
      </c>
      <c r="Y88" s="536">
        <v>0</v>
      </c>
    </row>
    <row r="89" spans="1:25" ht="18.95" hidden="1" customHeight="1">
      <c r="A89" s="590"/>
      <c r="B89" s="466" t="s">
        <v>568</v>
      </c>
      <c r="C89" s="535">
        <f t="shared" si="17"/>
        <v>19</v>
      </c>
      <c r="D89" s="537"/>
      <c r="E89" s="537"/>
      <c r="F89" s="537"/>
      <c r="G89" s="537"/>
      <c r="H89" s="537"/>
      <c r="I89" s="537"/>
      <c r="J89" s="535">
        <f t="shared" si="18"/>
        <v>19</v>
      </c>
      <c r="K89" s="536">
        <v>0</v>
      </c>
      <c r="L89" s="536">
        <v>19</v>
      </c>
      <c r="M89" s="536">
        <v>0</v>
      </c>
      <c r="N89" s="536">
        <v>0</v>
      </c>
      <c r="O89" s="536">
        <v>0</v>
      </c>
      <c r="P89" s="536">
        <v>0</v>
      </c>
      <c r="Q89" s="536">
        <v>0</v>
      </c>
      <c r="R89" s="536">
        <v>0</v>
      </c>
      <c r="S89" s="536">
        <v>0</v>
      </c>
      <c r="T89" s="536">
        <v>0</v>
      </c>
      <c r="U89" s="536">
        <v>0</v>
      </c>
      <c r="V89" s="536">
        <v>0</v>
      </c>
      <c r="W89" s="536">
        <v>0</v>
      </c>
      <c r="X89" s="536">
        <v>0</v>
      </c>
      <c r="Y89" s="536">
        <v>0</v>
      </c>
    </row>
    <row r="90" spans="1:25" ht="18.95" hidden="1" customHeight="1">
      <c r="A90" s="590"/>
      <c r="B90" s="503" t="s">
        <v>569</v>
      </c>
      <c r="C90" s="535">
        <f t="shared" si="17"/>
        <v>120</v>
      </c>
      <c r="D90" s="537"/>
      <c r="E90" s="537"/>
      <c r="F90" s="537"/>
      <c r="G90" s="537"/>
      <c r="H90" s="537"/>
      <c r="I90" s="537"/>
      <c r="J90" s="535">
        <f t="shared" si="18"/>
        <v>120</v>
      </c>
      <c r="K90" s="536">
        <v>0</v>
      </c>
      <c r="L90" s="536">
        <v>0</v>
      </c>
      <c r="M90" s="536">
        <v>0</v>
      </c>
      <c r="N90" s="536">
        <v>0</v>
      </c>
      <c r="O90" s="536">
        <v>0</v>
      </c>
      <c r="P90" s="536">
        <v>0</v>
      </c>
      <c r="Q90" s="536">
        <v>0</v>
      </c>
      <c r="R90" s="536">
        <v>0</v>
      </c>
      <c r="S90" s="536">
        <v>0</v>
      </c>
      <c r="T90" s="536">
        <v>0</v>
      </c>
      <c r="U90" s="536">
        <v>0</v>
      </c>
      <c r="V90" s="536">
        <v>120</v>
      </c>
      <c r="W90" s="536">
        <v>0</v>
      </c>
      <c r="X90" s="536">
        <v>0</v>
      </c>
      <c r="Y90" s="536">
        <v>0</v>
      </c>
    </row>
    <row r="91" spans="1:25" ht="18.95" hidden="1" customHeight="1">
      <c r="A91" s="590"/>
      <c r="B91" s="503" t="s">
        <v>935</v>
      </c>
      <c r="C91" s="535">
        <f t="shared" si="17"/>
        <v>20860</v>
      </c>
      <c r="D91" s="537"/>
      <c r="E91" s="537"/>
      <c r="F91" s="537"/>
      <c r="G91" s="537"/>
      <c r="H91" s="537"/>
      <c r="I91" s="537"/>
      <c r="J91" s="535">
        <f t="shared" si="18"/>
        <v>20860</v>
      </c>
      <c r="K91" s="536">
        <v>0</v>
      </c>
      <c r="L91" s="536">
        <v>0</v>
      </c>
      <c r="M91" s="536">
        <v>0</v>
      </c>
      <c r="N91" s="536">
        <v>0</v>
      </c>
      <c r="O91" s="536">
        <v>0</v>
      </c>
      <c r="P91" s="536">
        <v>0</v>
      </c>
      <c r="Q91" s="536">
        <v>0</v>
      </c>
      <c r="R91" s="536">
        <v>0</v>
      </c>
      <c r="S91" s="536">
        <v>0</v>
      </c>
      <c r="T91" s="536">
        <v>0</v>
      </c>
      <c r="U91" s="536">
        <v>0</v>
      </c>
      <c r="V91" s="536">
        <f>20860</f>
        <v>20860</v>
      </c>
      <c r="W91" s="536">
        <v>0</v>
      </c>
      <c r="X91" s="536">
        <v>0</v>
      </c>
      <c r="Y91" s="536">
        <v>0</v>
      </c>
    </row>
    <row r="92" spans="1:25" ht="18.95" hidden="1" customHeight="1">
      <c r="A92" s="590"/>
      <c r="B92" s="503" t="s">
        <v>954</v>
      </c>
      <c r="C92" s="535">
        <f t="shared" si="17"/>
        <v>200</v>
      </c>
      <c r="D92" s="537"/>
      <c r="E92" s="537"/>
      <c r="F92" s="537"/>
      <c r="G92" s="537"/>
      <c r="H92" s="537"/>
      <c r="I92" s="537"/>
      <c r="J92" s="535">
        <f t="shared" si="18"/>
        <v>200</v>
      </c>
      <c r="K92" s="536"/>
      <c r="L92" s="536"/>
      <c r="M92" s="536"/>
      <c r="N92" s="536"/>
      <c r="O92" s="536"/>
      <c r="P92" s="536"/>
      <c r="Q92" s="536"/>
      <c r="R92" s="536"/>
      <c r="S92" s="536"/>
      <c r="T92" s="536"/>
      <c r="U92" s="536"/>
      <c r="V92" s="537">
        <v>200</v>
      </c>
      <c r="W92" s="537"/>
      <c r="X92" s="537"/>
      <c r="Y92" s="537"/>
    </row>
    <row r="93" spans="1:25" ht="18.95" hidden="1" customHeight="1">
      <c r="A93" s="590"/>
      <c r="B93" s="503" t="s">
        <v>960</v>
      </c>
      <c r="C93" s="535">
        <f>J93+Y93+W93+X93</f>
        <v>182</v>
      </c>
      <c r="D93" s="537"/>
      <c r="E93" s="537"/>
      <c r="F93" s="537"/>
      <c r="G93" s="537"/>
      <c r="H93" s="537"/>
      <c r="I93" s="537"/>
      <c r="J93" s="535">
        <f>SUM(K93:V93)</f>
        <v>182</v>
      </c>
      <c r="K93" s="536"/>
      <c r="L93" s="536"/>
      <c r="M93" s="536"/>
      <c r="N93" s="536"/>
      <c r="O93" s="536"/>
      <c r="P93" s="536"/>
      <c r="Q93" s="536"/>
      <c r="R93" s="536"/>
      <c r="S93" s="536"/>
      <c r="T93" s="536"/>
      <c r="U93" s="536"/>
      <c r="V93" s="537">
        <v>182</v>
      </c>
      <c r="W93" s="537"/>
      <c r="X93" s="537"/>
      <c r="Y93" s="537"/>
    </row>
    <row r="94" spans="1:25" ht="18.95" hidden="1" customHeight="1">
      <c r="A94" s="590"/>
      <c r="B94" s="466" t="s">
        <v>744</v>
      </c>
      <c r="C94" s="535">
        <f t="shared" si="17"/>
        <v>0</v>
      </c>
      <c r="D94" s="537"/>
      <c r="E94" s="537"/>
      <c r="F94" s="537"/>
      <c r="G94" s="537"/>
      <c r="H94" s="537"/>
      <c r="I94" s="537"/>
      <c r="J94" s="535">
        <f t="shared" si="18"/>
        <v>0</v>
      </c>
      <c r="K94" s="536"/>
      <c r="L94" s="536"/>
      <c r="M94" s="536"/>
      <c r="N94" s="536"/>
      <c r="O94" s="536"/>
      <c r="P94" s="536"/>
      <c r="Q94" s="536"/>
      <c r="R94" s="536"/>
      <c r="S94" s="536"/>
      <c r="T94" s="536"/>
      <c r="U94" s="536"/>
      <c r="V94" s="537">
        <v>0</v>
      </c>
      <c r="W94" s="537">
        <v>0</v>
      </c>
      <c r="X94" s="537">
        <v>0</v>
      </c>
      <c r="Y94" s="537">
        <v>0</v>
      </c>
    </row>
    <row r="95" spans="1:25" ht="18.95" hidden="1" customHeight="1">
      <c r="A95" s="591"/>
      <c r="B95" s="419" t="s">
        <v>774</v>
      </c>
      <c r="C95" s="538">
        <f t="shared" si="17"/>
        <v>510952</v>
      </c>
      <c r="D95" s="539"/>
      <c r="E95" s="539"/>
      <c r="F95" s="539"/>
      <c r="G95" s="539"/>
      <c r="H95" s="539"/>
      <c r="I95" s="539"/>
      <c r="J95" s="538">
        <f t="shared" si="18"/>
        <v>0</v>
      </c>
      <c r="K95" s="539">
        <v>0</v>
      </c>
      <c r="L95" s="539">
        <v>0</v>
      </c>
      <c r="M95" s="539">
        <v>0</v>
      </c>
      <c r="N95" s="539">
        <v>0</v>
      </c>
      <c r="O95" s="539">
        <v>0</v>
      </c>
      <c r="P95" s="539">
        <v>0</v>
      </c>
      <c r="Q95" s="539">
        <v>0</v>
      </c>
      <c r="R95" s="539">
        <v>0</v>
      </c>
      <c r="S95" s="539">
        <v>0</v>
      </c>
      <c r="T95" s="539">
        <v>0</v>
      </c>
      <c r="U95" s="539">
        <v>0</v>
      </c>
      <c r="V95" s="539"/>
      <c r="W95" s="539">
        <f>'Phụ lục số 2'!K38-SUM(W10,W45,W60,W65:W88)</f>
        <v>74995</v>
      </c>
      <c r="X95" s="539">
        <f>'Phụ lục số 2'!K39-SUM(X10,X45,X60,X65:X88)</f>
        <v>372200</v>
      </c>
      <c r="Y95" s="539">
        <f>'Phụ lục số 2'!K40-SUM(Y10,Y45,Y60,Y65:Y88)</f>
        <v>63757</v>
      </c>
    </row>
    <row r="97" spans="11:25" ht="15.95" customHeight="1">
      <c r="K97" s="160">
        <f t="shared" ref="K97:U97" si="19">IF(K43&lt;0,-K43,0)</f>
        <v>0</v>
      </c>
      <c r="L97" s="160">
        <f t="shared" si="19"/>
        <v>0</v>
      </c>
      <c r="M97" s="160">
        <f t="shared" si="19"/>
        <v>0</v>
      </c>
      <c r="N97" s="160">
        <f t="shared" si="19"/>
        <v>0</v>
      </c>
      <c r="O97" s="160">
        <f t="shared" si="19"/>
        <v>0</v>
      </c>
      <c r="P97" s="160">
        <f t="shared" si="19"/>
        <v>0</v>
      </c>
      <c r="Q97" s="160">
        <f t="shared" si="19"/>
        <v>0</v>
      </c>
      <c r="R97" s="160">
        <f t="shared" si="19"/>
        <v>0</v>
      </c>
      <c r="U97" s="160">
        <f t="shared" si="19"/>
        <v>0</v>
      </c>
      <c r="V97" s="160">
        <f>IF(V43&lt;0,-V43,0)</f>
        <v>0</v>
      </c>
      <c r="Y97" s="160"/>
    </row>
    <row r="98" spans="11:25" ht="15.95" customHeight="1">
      <c r="K98" s="255">
        <f t="shared" ref="K98:V98" si="20">+K97+K9</f>
        <v>266130</v>
      </c>
      <c r="L98" s="255">
        <f t="shared" si="20"/>
        <v>27167</v>
      </c>
      <c r="M98" s="255">
        <f t="shared" si="20"/>
        <v>24000</v>
      </c>
      <c r="N98" s="255">
        <f t="shared" si="20"/>
        <v>522780</v>
      </c>
      <c r="O98" s="255">
        <f t="shared" si="20"/>
        <v>526072</v>
      </c>
      <c r="P98" s="255">
        <f t="shared" si="20"/>
        <v>31305</v>
      </c>
      <c r="Q98" s="255">
        <f t="shared" si="20"/>
        <v>4400</v>
      </c>
      <c r="R98" s="255">
        <f t="shared" si="20"/>
        <v>15000</v>
      </c>
      <c r="S98" s="255"/>
      <c r="T98" s="255"/>
      <c r="U98" s="255">
        <f t="shared" si="20"/>
        <v>49845</v>
      </c>
      <c r="V98" s="255">
        <f t="shared" si="20"/>
        <v>54274</v>
      </c>
    </row>
    <row r="100" spans="11:25" ht="15.95" customHeight="1">
      <c r="K100" s="255">
        <f>+K99-K98</f>
        <v>-266130</v>
      </c>
      <c r="L100" s="255">
        <f>+L99-L98</f>
        <v>-27167</v>
      </c>
      <c r="M100" s="255">
        <f>+M99-M98</f>
        <v>-24000</v>
      </c>
      <c r="N100" s="255">
        <f>+N99-N98</f>
        <v>-522780</v>
      </c>
      <c r="O100" s="255">
        <f t="shared" ref="O100:V100" si="21">+O99-O98</f>
        <v>-526072</v>
      </c>
      <c r="P100" s="255">
        <f t="shared" si="21"/>
        <v>-31305</v>
      </c>
      <c r="Q100" s="255">
        <f t="shared" si="21"/>
        <v>-4400</v>
      </c>
      <c r="R100" s="255">
        <f t="shared" si="21"/>
        <v>-15000</v>
      </c>
      <c r="S100" s="255"/>
      <c r="T100" s="255"/>
      <c r="U100" s="255">
        <f t="shared" si="21"/>
        <v>-49845</v>
      </c>
      <c r="V100" s="255">
        <f t="shared" si="21"/>
        <v>-54274</v>
      </c>
    </row>
    <row r="106" spans="11:25" ht="15.95" customHeight="1">
      <c r="O106" s="540">
        <f>-O44</f>
        <v>0</v>
      </c>
      <c r="P106" s="540">
        <f t="shared" ref="P106:V106" si="22">-P44</f>
        <v>-5000</v>
      </c>
      <c r="Q106" s="540">
        <f t="shared" si="22"/>
        <v>0</v>
      </c>
      <c r="R106" s="540">
        <f t="shared" si="22"/>
        <v>-2000</v>
      </c>
      <c r="S106" s="540"/>
      <c r="T106" s="540"/>
      <c r="U106" s="540">
        <f t="shared" si="22"/>
        <v>-4026</v>
      </c>
      <c r="V106" s="540">
        <f t="shared" si="22"/>
        <v>-26293</v>
      </c>
    </row>
    <row r="107" spans="11:25" ht="15.95" customHeight="1">
      <c r="O107" s="540">
        <f t="shared" ref="O107:V107" si="23">+O106+O9</f>
        <v>526072</v>
      </c>
      <c r="P107" s="540">
        <f t="shared" si="23"/>
        <v>26305</v>
      </c>
      <c r="Q107" s="540">
        <f t="shared" si="23"/>
        <v>4400</v>
      </c>
      <c r="R107" s="540">
        <f t="shared" si="23"/>
        <v>13000</v>
      </c>
      <c r="S107" s="540"/>
      <c r="T107" s="540"/>
      <c r="U107" s="540">
        <f t="shared" si="23"/>
        <v>45819</v>
      </c>
      <c r="V107" s="540">
        <f t="shared" si="23"/>
        <v>27981</v>
      </c>
    </row>
    <row r="109" spans="11:25" ht="15.95" customHeight="1">
      <c r="V109" s="160">
        <v>11621</v>
      </c>
    </row>
    <row r="110" spans="11:25" ht="15.95" customHeight="1">
      <c r="V110" s="540">
        <f>+V109-V44</f>
        <v>-14672</v>
      </c>
    </row>
    <row r="112" spans="11:25" ht="15.95" customHeight="1">
      <c r="V112" s="540">
        <f>+V9-V109</f>
        <v>42653</v>
      </c>
    </row>
  </sheetData>
  <mergeCells count="32">
    <mergeCell ref="F6:F7"/>
    <mergeCell ref="G6:G7"/>
    <mergeCell ref="H6:H7"/>
    <mergeCell ref="I6:I7"/>
    <mergeCell ref="V6:V7"/>
    <mergeCell ref="K6:K7"/>
    <mergeCell ref="L6:L7"/>
    <mergeCell ref="M6:M7"/>
    <mergeCell ref="N6:N7"/>
    <mergeCell ref="O6:O7"/>
    <mergeCell ref="P6:P7"/>
    <mergeCell ref="Q6:Q7"/>
    <mergeCell ref="R6:R7"/>
    <mergeCell ref="S6:S7"/>
    <mergeCell ref="T6:T7"/>
    <mergeCell ref="U6:U7"/>
    <mergeCell ref="A1:Y1"/>
    <mergeCell ref="A3:A7"/>
    <mergeCell ref="B3:B7"/>
    <mergeCell ref="C3:Y3"/>
    <mergeCell ref="C4:C7"/>
    <mergeCell ref="D4:I4"/>
    <mergeCell ref="J4:V4"/>
    <mergeCell ref="W4:W7"/>
    <mergeCell ref="X4:X7"/>
    <mergeCell ref="Y4:Y7"/>
    <mergeCell ref="D5:D7"/>
    <mergeCell ref="E5:G5"/>
    <mergeCell ref="H5:I5"/>
    <mergeCell ref="J5:J7"/>
    <mergeCell ref="K5:V5"/>
    <mergeCell ref="E6:E7"/>
  </mergeCells>
  <printOptions horizontalCentered="1"/>
  <pageMargins left="0" right="0" top="0.39370078740157483" bottom="0.19685039370078741" header="0" footer="0"/>
  <pageSetup paperSize="9" scale="55" fitToHeight="2" orientation="landscape" r:id="rId1"/>
  <headerFooter alignWithMargins="0">
    <oddHeader>&amp;R&amp;A</oddHeader>
  </headerFooter>
  <drawing r:id="rId2"/>
  <legacyDrawing r:id="rId3"/>
</worksheet>
</file>

<file path=xl/worksheets/sheet23.xml><?xml version="1.0" encoding="utf-8"?>
<worksheet xmlns="http://schemas.openxmlformats.org/spreadsheetml/2006/main" xmlns:r="http://schemas.openxmlformats.org/officeDocument/2006/relationships">
  <sheetPr codeName="Sheet19">
    <tabColor indexed="11"/>
  </sheetPr>
  <dimension ref="A1:C33"/>
  <sheetViews>
    <sheetView topLeftCell="A4" workbookViewId="0">
      <selection activeCell="O69" sqref="O69"/>
    </sheetView>
  </sheetViews>
  <sheetFormatPr defaultRowHeight="15.75"/>
  <cols>
    <col min="1" max="1" width="4.875" customWidth="1"/>
    <col min="2" max="2" width="60.25" customWidth="1"/>
    <col min="3" max="3" width="18" customWidth="1"/>
  </cols>
  <sheetData>
    <row r="1" spans="1:3" s="19" customFormat="1" hidden="1">
      <c r="B1" s="173" t="s">
        <v>273</v>
      </c>
      <c r="C1" s="17"/>
    </row>
    <row r="2" spans="1:3" s="19" customFormat="1" hidden="1">
      <c r="B2" s="173" t="s">
        <v>274</v>
      </c>
      <c r="C2" s="17"/>
    </row>
    <row r="3" spans="1:3" s="19" customFormat="1" hidden="1">
      <c r="C3" s="18"/>
    </row>
    <row r="4" spans="1:3" ht="56.25" customHeight="1">
      <c r="A4" s="745" t="s">
        <v>916</v>
      </c>
      <c r="B4" s="738"/>
      <c r="C4" s="738"/>
    </row>
    <row r="5" spans="1:3">
      <c r="A5" s="152"/>
      <c r="B5" s="152"/>
      <c r="C5" s="152"/>
    </row>
    <row r="6" spans="1:3">
      <c r="A6" s="152"/>
      <c r="C6" s="105" t="s">
        <v>766</v>
      </c>
    </row>
    <row r="7" spans="1:3" s="153" customFormat="1" ht="45.75" customHeight="1">
      <c r="A7" s="50" t="s">
        <v>72</v>
      </c>
      <c r="B7" s="50" t="s">
        <v>767</v>
      </c>
      <c r="C7" s="50" t="s">
        <v>867</v>
      </c>
    </row>
    <row r="8" spans="1:3" s="177" customFormat="1" ht="20.100000000000001" customHeight="1">
      <c r="A8" s="174" t="s">
        <v>639</v>
      </c>
      <c r="B8" s="175" t="s">
        <v>275</v>
      </c>
      <c r="C8" s="176">
        <f>SUM(C9:C10)</f>
        <v>3173000</v>
      </c>
    </row>
    <row r="9" spans="1:3" s="19" customFormat="1" ht="20.100000000000001" customHeight="1">
      <c r="A9" s="178" t="s">
        <v>641</v>
      </c>
      <c r="B9" s="179" t="s">
        <v>642</v>
      </c>
      <c r="C9" s="180">
        <f>'Phụ lục số 1'!N13</f>
        <v>2873000</v>
      </c>
    </row>
    <row r="10" spans="1:3" s="19" customFormat="1" ht="20.100000000000001" customHeight="1">
      <c r="A10" s="178" t="s">
        <v>654</v>
      </c>
      <c r="B10" s="179" t="s">
        <v>276</v>
      </c>
      <c r="C10" s="180">
        <f>'Phụ lục số 1'!N53</f>
        <v>300000</v>
      </c>
    </row>
    <row r="11" spans="1:3" s="177" customFormat="1" ht="20.100000000000001" customHeight="1">
      <c r="A11" s="181" t="s">
        <v>657</v>
      </c>
      <c r="B11" s="182" t="s">
        <v>48</v>
      </c>
      <c r="C11" s="183">
        <f>SUM(C12,C18,C21,C22)-C19</f>
        <v>7506934</v>
      </c>
    </row>
    <row r="12" spans="1:3" s="19" customFormat="1" ht="20.100000000000001" customHeight="1">
      <c r="A12" s="178" t="s">
        <v>641</v>
      </c>
      <c r="B12" s="179" t="s">
        <v>549</v>
      </c>
      <c r="C12" s="180">
        <f>SUM(C13,C17,C20)+C19</f>
        <v>6369055</v>
      </c>
    </row>
    <row r="13" spans="1:3" s="61" customFormat="1" ht="20.100000000000001" customHeight="1">
      <c r="A13" s="184">
        <v>1</v>
      </c>
      <c r="B13" s="185" t="s">
        <v>277</v>
      </c>
      <c r="C13" s="186">
        <f>'Phụ lục số 1'!Q12</f>
        <v>2754600</v>
      </c>
    </row>
    <row r="14" spans="1:3" s="190" customFormat="1" ht="20.100000000000001" customHeight="1">
      <c r="A14" s="187" t="s">
        <v>670</v>
      </c>
      <c r="B14" s="188" t="s">
        <v>278</v>
      </c>
      <c r="C14" s="189">
        <f>C13-C15</f>
        <v>630315</v>
      </c>
    </row>
    <row r="15" spans="1:3" s="190" customFormat="1" ht="20.100000000000001" customHeight="1">
      <c r="A15" s="191" t="s">
        <v>671</v>
      </c>
      <c r="B15" s="192" t="s">
        <v>279</v>
      </c>
      <c r="C15" s="189">
        <f>'Phụ lục số 1'!Q15+'Phụ lục số 1'!Q16+'Phụ lục số 1'!Q17+'Phụ lục số 1'!Q22+'Phụ lục số 1'!Q23+'Phụ lục số 1'!Q24+'Phụ lục số 1'!Q29+'Phụ lục số 1'!Q30+'Phụ lục số 1'!Q35+'Phụ lục số 1'!Q36+'Phụ lục số 1'!Q37+'Phụ lục số 1'!Q44+'Phụ lục số 1'!Q45</f>
        <v>2124285</v>
      </c>
    </row>
    <row r="16" spans="1:3" s="61" customFormat="1" ht="20.100000000000001" customHeight="1">
      <c r="A16" s="184">
        <v>2</v>
      </c>
      <c r="B16" s="185" t="s">
        <v>280</v>
      </c>
      <c r="C16" s="186">
        <f>SUM(C17:C18)</f>
        <v>3995484</v>
      </c>
    </row>
    <row r="17" spans="1:3" s="190" customFormat="1" ht="20.100000000000001" customHeight="1">
      <c r="A17" s="187" t="s">
        <v>670</v>
      </c>
      <c r="B17" s="188" t="s">
        <v>808</v>
      </c>
      <c r="C17" s="189">
        <f>'Phụ lục số 1'!Q57</f>
        <v>1174152</v>
      </c>
    </row>
    <row r="18" spans="1:3" s="190" customFormat="1" ht="20.100000000000001" customHeight="1">
      <c r="A18" s="187" t="s">
        <v>671</v>
      </c>
      <c r="B18" s="188" t="s">
        <v>809</v>
      </c>
      <c r="C18" s="189">
        <f>'Phụ lục số 1'!Q58</f>
        <v>2821332</v>
      </c>
    </row>
    <row r="19" spans="1:3" s="190" customFormat="1" ht="20.100000000000001" customHeight="1">
      <c r="A19" s="187" t="s">
        <v>281</v>
      </c>
      <c r="B19" s="188" t="s">
        <v>282</v>
      </c>
      <c r="C19" s="189">
        <f>'Phụ lục số 1'!Q58-'Phụ lục số 2'!K37</f>
        <v>2283453</v>
      </c>
    </row>
    <row r="20" spans="1:3" s="190" customFormat="1" ht="20.100000000000001" customHeight="1">
      <c r="A20" s="184">
        <v>3</v>
      </c>
      <c r="B20" s="185" t="s">
        <v>283</v>
      </c>
      <c r="C20" s="186">
        <f>'Phụ lục số 1'!Q64</f>
        <v>156850</v>
      </c>
    </row>
    <row r="21" spans="1:3" s="19" customFormat="1" ht="20.100000000000001" customHeight="1">
      <c r="A21" s="178" t="s">
        <v>654</v>
      </c>
      <c r="B21" s="179" t="s">
        <v>284</v>
      </c>
      <c r="C21" s="180">
        <f>'Phụ lục số 1'!Q63</f>
        <v>600000</v>
      </c>
    </row>
    <row r="22" spans="1:3" s="19" customFormat="1" ht="20.100000000000001" hidden="1" customHeight="1">
      <c r="A22" s="178" t="s">
        <v>685</v>
      </c>
      <c r="B22" s="179" t="s">
        <v>583</v>
      </c>
      <c r="C22" s="180">
        <f>'Phụ lục số 1'!Q65</f>
        <v>0</v>
      </c>
    </row>
    <row r="23" spans="1:3" s="177" customFormat="1" ht="20.100000000000001" customHeight="1">
      <c r="A23" s="181" t="s">
        <v>661</v>
      </c>
      <c r="B23" s="182" t="s">
        <v>552</v>
      </c>
      <c r="C23" s="183">
        <f>SUM(C24,C30:C31,C32)</f>
        <v>7506934</v>
      </c>
    </row>
    <row r="24" spans="1:3" s="19" customFormat="1" ht="20.100000000000001" customHeight="1">
      <c r="A24" s="178" t="s">
        <v>641</v>
      </c>
      <c r="B24" s="179" t="s">
        <v>756</v>
      </c>
      <c r="C24" s="180">
        <f>SUM(C25:C29)</f>
        <v>6369055</v>
      </c>
    </row>
    <row r="25" spans="1:3" ht="20.100000000000001" customHeight="1">
      <c r="A25" s="163">
        <v>1</v>
      </c>
      <c r="B25" s="193" t="s">
        <v>285</v>
      </c>
      <c r="C25" s="95">
        <f>'Phụ lục số 2'!K13</f>
        <v>673000</v>
      </c>
    </row>
    <row r="26" spans="1:3" ht="20.100000000000001" customHeight="1">
      <c r="A26" s="163">
        <v>2</v>
      </c>
      <c r="B26" s="193" t="s">
        <v>697</v>
      </c>
      <c r="C26" s="95">
        <f>'Phụ lục số 2'!K18</f>
        <v>5584855</v>
      </c>
    </row>
    <row r="27" spans="1:3" ht="20.100000000000001" customHeight="1">
      <c r="A27" s="163">
        <v>3</v>
      </c>
      <c r="B27" s="193" t="s">
        <v>415</v>
      </c>
      <c r="C27" s="95">
        <f>'Phụ lục số 2'!K32</f>
        <v>2000</v>
      </c>
    </row>
    <row r="28" spans="1:3" ht="20.100000000000001" customHeight="1">
      <c r="A28" s="163">
        <v>4</v>
      </c>
      <c r="B28" s="193" t="s">
        <v>726</v>
      </c>
      <c r="C28" s="95">
        <f>'Phụ lục số 2'!K33</f>
        <v>109200</v>
      </c>
    </row>
    <row r="29" spans="1:3" s="61" customFormat="1" ht="20.100000000000001" hidden="1" customHeight="1">
      <c r="A29" s="184">
        <v>5</v>
      </c>
      <c r="B29" s="185" t="s">
        <v>787</v>
      </c>
      <c r="C29" s="186">
        <f>'Phụ lục số 2'!K34</f>
        <v>0</v>
      </c>
    </row>
    <row r="30" spans="1:3" s="19" customFormat="1" ht="20.100000000000001" customHeight="1">
      <c r="A30" s="178" t="s">
        <v>654</v>
      </c>
      <c r="B30" s="194" t="s">
        <v>287</v>
      </c>
      <c r="C30" s="180">
        <f>'Phụ lục số 2'!K37</f>
        <v>537879</v>
      </c>
    </row>
    <row r="31" spans="1:3" s="19" customFormat="1" ht="20.100000000000001" customHeight="1">
      <c r="A31" s="195" t="s">
        <v>685</v>
      </c>
      <c r="B31" s="196" t="s">
        <v>760</v>
      </c>
      <c r="C31" s="197">
        <f>'Phụ lục số 2'!K42</f>
        <v>600000</v>
      </c>
    </row>
    <row r="32" spans="1:3" hidden="1">
      <c r="A32" s="62" t="s">
        <v>686</v>
      </c>
      <c r="B32" s="328" t="s">
        <v>628</v>
      </c>
      <c r="C32" s="329">
        <f>'Phụ lục số 2'!K43</f>
        <v>0</v>
      </c>
    </row>
    <row r="33" spans="3:3">
      <c r="C33" s="18"/>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24.xml><?xml version="1.0" encoding="utf-8"?>
<worksheet xmlns="http://schemas.openxmlformats.org/spreadsheetml/2006/main" xmlns:r="http://schemas.openxmlformats.org/officeDocument/2006/relationships">
  <sheetPr codeName="Sheet20">
    <tabColor indexed="11"/>
  </sheetPr>
  <dimension ref="A1:C38"/>
  <sheetViews>
    <sheetView topLeftCell="A13" workbookViewId="0">
      <selection activeCell="O69" sqref="O69"/>
    </sheetView>
  </sheetViews>
  <sheetFormatPr defaultColWidth="9" defaultRowHeight="15.75"/>
  <cols>
    <col min="1" max="1" width="4.625" style="220" customWidth="1"/>
    <col min="2" max="2" width="62.75" style="220" customWidth="1"/>
    <col min="3" max="3" width="22.5" style="220" customWidth="1"/>
    <col min="4" max="16384" width="9" style="220"/>
  </cols>
  <sheetData>
    <row r="1" spans="1:3" s="219" customFormat="1" ht="21" hidden="1" customHeight="1">
      <c r="B1" s="173" t="s">
        <v>273</v>
      </c>
      <c r="C1" s="17"/>
    </row>
    <row r="2" spans="1:3" s="219" customFormat="1" ht="21" hidden="1" customHeight="1">
      <c r="B2" s="173" t="s">
        <v>274</v>
      </c>
      <c r="C2" s="17"/>
    </row>
    <row r="3" spans="1:3" hidden="1">
      <c r="B3" s="221"/>
      <c r="C3" s="222"/>
    </row>
    <row r="4" spans="1:3" s="219" customFormat="1" ht="47.25">
      <c r="A4" s="427" t="s">
        <v>917</v>
      </c>
      <c r="B4" s="223"/>
      <c r="C4" s="223"/>
    </row>
    <row r="5" spans="1:3" s="219" customFormat="1">
      <c r="A5" s="223"/>
      <c r="B5" s="223"/>
      <c r="C5" s="224"/>
    </row>
    <row r="6" spans="1:3" s="219" customFormat="1">
      <c r="A6" s="223"/>
      <c r="B6" s="223"/>
      <c r="C6" s="225" t="s">
        <v>766</v>
      </c>
    </row>
    <row r="7" spans="1:3" s="226" customFormat="1" ht="15.75" customHeight="1">
      <c r="A7" s="740" t="s">
        <v>72</v>
      </c>
      <c r="B7" s="740" t="s">
        <v>690</v>
      </c>
      <c r="C7" s="741" t="s">
        <v>910</v>
      </c>
    </row>
    <row r="8" spans="1:3" s="226" customFormat="1" ht="42" customHeight="1">
      <c r="A8" s="740"/>
      <c r="B8" s="740"/>
      <c r="C8" s="742"/>
    </row>
    <row r="9" spans="1:3" s="230" customFormat="1">
      <c r="A9" s="227" t="s">
        <v>639</v>
      </c>
      <c r="B9" s="228" t="s">
        <v>275</v>
      </c>
      <c r="C9" s="229">
        <f>SUM(C10,C25)</f>
        <v>3173000</v>
      </c>
    </row>
    <row r="10" spans="1:3" s="230" customFormat="1">
      <c r="A10" s="231" t="s">
        <v>641</v>
      </c>
      <c r="B10" s="232" t="s">
        <v>642</v>
      </c>
      <c r="C10" s="233">
        <f>SUM(C11,C12,C13,C14,C15:C20,C21:C24)</f>
        <v>2873000</v>
      </c>
    </row>
    <row r="11" spans="1:3" s="237" customFormat="1">
      <c r="A11" s="234">
        <v>1</v>
      </c>
      <c r="B11" s="235" t="s">
        <v>416</v>
      </c>
      <c r="C11" s="236">
        <f>'Phụ lục số 1'!N14</f>
        <v>260000</v>
      </c>
    </row>
    <row r="12" spans="1:3" s="237" customFormat="1">
      <c r="A12" s="234">
        <v>2</v>
      </c>
      <c r="B12" s="235" t="s">
        <v>417</v>
      </c>
      <c r="C12" s="236">
        <f>'Phụ lục số 1'!N21</f>
        <v>330000</v>
      </c>
    </row>
    <row r="13" spans="1:3" s="237" customFormat="1">
      <c r="A13" s="234">
        <v>3</v>
      </c>
      <c r="B13" s="235" t="s">
        <v>418</v>
      </c>
      <c r="C13" s="236">
        <f>'Phụ lục số 1'!N28</f>
        <v>20500</v>
      </c>
    </row>
    <row r="14" spans="1:3" s="238" customFormat="1">
      <c r="A14" s="234">
        <v>4</v>
      </c>
      <c r="B14" s="235" t="s">
        <v>75</v>
      </c>
      <c r="C14" s="236">
        <f>'Phụ lục số 1'!N34</f>
        <v>650000</v>
      </c>
    </row>
    <row r="15" spans="1:3" s="237" customFormat="1">
      <c r="A15" s="234">
        <v>5</v>
      </c>
      <c r="B15" s="235" t="s">
        <v>649</v>
      </c>
      <c r="C15" s="236">
        <f>'Phụ lục số 1'!N41</f>
        <v>97000</v>
      </c>
    </row>
    <row r="16" spans="1:3" s="237" customFormat="1">
      <c r="A16" s="234">
        <v>6</v>
      </c>
      <c r="B16" s="235" t="s">
        <v>77</v>
      </c>
      <c r="C16" s="236">
        <f>'Phụ lục số 1'!N42</f>
        <v>500</v>
      </c>
    </row>
    <row r="17" spans="1:3" s="237" customFormat="1">
      <c r="A17" s="234">
        <v>7</v>
      </c>
      <c r="B17" s="235" t="s">
        <v>559</v>
      </c>
      <c r="C17" s="236">
        <f>'Phụ lục số 1'!N43</f>
        <v>8000</v>
      </c>
    </row>
    <row r="18" spans="1:3" s="237" customFormat="1">
      <c r="A18" s="234">
        <v>8</v>
      </c>
      <c r="B18" s="235" t="s">
        <v>788</v>
      </c>
      <c r="C18" s="236">
        <f>'Phụ lục số 1'!N44</f>
        <v>263000</v>
      </c>
    </row>
    <row r="19" spans="1:3" s="237" customFormat="1">
      <c r="A19" s="234">
        <v>9</v>
      </c>
      <c r="B19" s="235" t="s">
        <v>593</v>
      </c>
      <c r="C19" s="236">
        <f>'Phụ lục số 1'!N45</f>
        <v>650000</v>
      </c>
    </row>
    <row r="20" spans="1:3" s="237" customFormat="1">
      <c r="A20" s="234">
        <v>10</v>
      </c>
      <c r="B20" s="235" t="s">
        <v>650</v>
      </c>
      <c r="C20" s="235">
        <f>'Phụ lục số 1'!N46</f>
        <v>133000</v>
      </c>
    </row>
    <row r="21" spans="1:3" s="237" customFormat="1">
      <c r="A21" s="234">
        <v>11</v>
      </c>
      <c r="B21" s="235" t="s">
        <v>651</v>
      </c>
      <c r="C21" s="236">
        <f>'Phụ lục số 1'!N48</f>
        <v>250000</v>
      </c>
    </row>
    <row r="22" spans="1:3" s="237" customFormat="1">
      <c r="A22" s="234">
        <v>12</v>
      </c>
      <c r="B22" s="235" t="s">
        <v>790</v>
      </c>
      <c r="C22" s="236">
        <f>'Phụ lục số 1'!N49</f>
        <v>22000</v>
      </c>
    </row>
    <row r="23" spans="1:3" s="237" customFormat="1">
      <c r="A23" s="234">
        <v>13</v>
      </c>
      <c r="B23" s="235" t="s">
        <v>652</v>
      </c>
      <c r="C23" s="236">
        <f>'Phụ lục số 1'!N51</f>
        <v>177000</v>
      </c>
    </row>
    <row r="24" spans="1:3" s="237" customFormat="1">
      <c r="A24" s="234">
        <v>14</v>
      </c>
      <c r="B24" s="235" t="s">
        <v>81</v>
      </c>
      <c r="C24" s="236">
        <f>'Phụ lục số 1'!N52</f>
        <v>12000</v>
      </c>
    </row>
    <row r="25" spans="1:3" s="239" customFormat="1">
      <c r="A25" s="231" t="s">
        <v>654</v>
      </c>
      <c r="B25" s="232" t="s">
        <v>815</v>
      </c>
      <c r="C25" s="232">
        <f>'Phụ lục số 1'!N53</f>
        <v>300000</v>
      </c>
    </row>
    <row r="26" spans="1:3" s="230" customFormat="1">
      <c r="A26" s="231" t="s">
        <v>657</v>
      </c>
      <c r="B26" s="182" t="s">
        <v>283</v>
      </c>
      <c r="C26" s="233">
        <f>'Phụ lục số 1'!N64</f>
        <v>156850</v>
      </c>
    </row>
    <row r="27" spans="1:3" s="239" customFormat="1">
      <c r="A27" s="231" t="s">
        <v>661</v>
      </c>
      <c r="B27" s="232" t="s">
        <v>284</v>
      </c>
      <c r="C27" s="233">
        <f>'Phụ lục số 1'!N63</f>
        <v>600000</v>
      </c>
    </row>
    <row r="28" spans="1:3" s="239" customFormat="1" hidden="1">
      <c r="A28" s="231" t="s">
        <v>701</v>
      </c>
      <c r="B28" s="232" t="s">
        <v>583</v>
      </c>
      <c r="C28" s="233">
        <f>'Phụ lục số 1- HĐND'!C22</f>
        <v>0</v>
      </c>
    </row>
    <row r="29" spans="1:3" s="239" customFormat="1">
      <c r="A29" s="231"/>
      <c r="B29" s="240" t="s">
        <v>47</v>
      </c>
      <c r="C29" s="232">
        <f>SUM(C30,C33,C37,C36,C38)</f>
        <v>7506934</v>
      </c>
    </row>
    <row r="30" spans="1:3" s="238" customFormat="1">
      <c r="A30" s="241" t="s">
        <v>641</v>
      </c>
      <c r="B30" s="242" t="s">
        <v>419</v>
      </c>
      <c r="C30" s="242">
        <f>SUM(C31:C32)</f>
        <v>2754600</v>
      </c>
    </row>
    <row r="31" spans="1:3" s="237" customFormat="1">
      <c r="A31" s="234">
        <v>1</v>
      </c>
      <c r="B31" s="235" t="s">
        <v>420</v>
      </c>
      <c r="C31" s="236">
        <f>'Phụ lục số 1- HĐND'!C14</f>
        <v>630315</v>
      </c>
    </row>
    <row r="32" spans="1:3" s="237" customFormat="1">
      <c r="A32" s="234">
        <v>2</v>
      </c>
      <c r="B32" s="235" t="s">
        <v>421</v>
      </c>
      <c r="C32" s="236">
        <f>'Phụ lục số 1- HĐND'!C15</f>
        <v>2124285</v>
      </c>
    </row>
    <row r="33" spans="1:3" s="238" customFormat="1">
      <c r="A33" s="241" t="s">
        <v>654</v>
      </c>
      <c r="B33" s="242" t="s">
        <v>658</v>
      </c>
      <c r="C33" s="243">
        <f>SUM(C34:C35)</f>
        <v>3995484</v>
      </c>
    </row>
    <row r="34" spans="1:3" s="237" customFormat="1">
      <c r="A34" s="234">
        <v>1</v>
      </c>
      <c r="B34" s="235" t="s">
        <v>808</v>
      </c>
      <c r="C34" s="236">
        <f>'Phụ lục số 1- HĐND'!C17</f>
        <v>1174152</v>
      </c>
    </row>
    <row r="35" spans="1:3" s="237" customFormat="1">
      <c r="A35" s="234">
        <v>2</v>
      </c>
      <c r="B35" s="235" t="s">
        <v>809</v>
      </c>
      <c r="C35" s="236">
        <f>'Phụ lục số 1- HĐND'!C18</f>
        <v>2821332</v>
      </c>
    </row>
    <row r="36" spans="1:3" s="238" customFormat="1">
      <c r="A36" s="244" t="s">
        <v>685</v>
      </c>
      <c r="B36" s="179" t="s">
        <v>413</v>
      </c>
      <c r="C36" s="245">
        <f>C26</f>
        <v>156850</v>
      </c>
    </row>
    <row r="37" spans="1:3" s="239" customFormat="1">
      <c r="A37" s="246" t="s">
        <v>686</v>
      </c>
      <c r="B37" s="336" t="s">
        <v>284</v>
      </c>
      <c r="C37" s="247">
        <f>C27</f>
        <v>600000</v>
      </c>
    </row>
    <row r="38" spans="1:3" s="248" customFormat="1" hidden="1">
      <c r="A38" s="333" t="s">
        <v>711</v>
      </c>
      <c r="B38" s="334" t="s">
        <v>583</v>
      </c>
      <c r="C38" s="335">
        <f>C28</f>
        <v>0</v>
      </c>
    </row>
  </sheetData>
  <mergeCells count="3">
    <mergeCell ref="A7:A8"/>
    <mergeCell ref="B7:B8"/>
    <mergeCell ref="C7:C8"/>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25.xml><?xml version="1.0" encoding="utf-8"?>
<worksheet xmlns="http://schemas.openxmlformats.org/spreadsheetml/2006/main" xmlns:r="http://schemas.openxmlformats.org/officeDocument/2006/relationships">
  <sheetPr codeName="Sheet21">
    <tabColor indexed="11"/>
  </sheetPr>
  <dimension ref="A1:DW41"/>
  <sheetViews>
    <sheetView topLeftCell="A16" workbookViewId="0">
      <selection activeCell="O69" sqref="O69"/>
    </sheetView>
  </sheetViews>
  <sheetFormatPr defaultColWidth="9" defaultRowHeight="15.75"/>
  <cols>
    <col min="1" max="1" width="4.25" style="61" customWidth="1"/>
    <col min="2" max="2" width="50.25" style="61" customWidth="1"/>
    <col min="3" max="3" width="12.5" style="61" customWidth="1"/>
    <col min="4" max="4" width="11.375" style="61" customWidth="1"/>
    <col min="5" max="5" width="10.75" style="61" customWidth="1"/>
    <col min="6" max="16384" width="9" style="61"/>
  </cols>
  <sheetData>
    <row r="1" spans="1:5" s="19" customFormat="1" hidden="1">
      <c r="B1" s="743" t="s">
        <v>273</v>
      </c>
      <c r="C1" s="743"/>
      <c r="D1" s="743"/>
      <c r="E1" s="17"/>
    </row>
    <row r="2" spans="1:5" s="19" customFormat="1" hidden="1">
      <c r="B2" s="743" t="s">
        <v>274</v>
      </c>
      <c r="C2" s="743"/>
      <c r="D2" s="743"/>
      <c r="E2" s="17"/>
    </row>
    <row r="3" spans="1:5" s="19" customFormat="1" hidden="1">
      <c r="B3" s="18"/>
      <c r="C3" s="738"/>
      <c r="D3" s="738"/>
      <c r="E3" s="738"/>
    </row>
    <row r="4" spans="1:5" s="19" customFormat="1" ht="56.25" customHeight="1">
      <c r="A4" s="745" t="s">
        <v>918</v>
      </c>
      <c r="B4" s="738"/>
      <c r="C4" s="738"/>
      <c r="D4" s="738"/>
      <c r="E4" s="738"/>
    </row>
    <row r="5" spans="1:5">
      <c r="E5" s="249" t="s">
        <v>766</v>
      </c>
    </row>
    <row r="6" spans="1:5" s="19" customFormat="1">
      <c r="A6" s="705" t="s">
        <v>72</v>
      </c>
      <c r="B6" s="739" t="s">
        <v>767</v>
      </c>
      <c r="C6" s="686" t="s">
        <v>914</v>
      </c>
      <c r="D6" s="686"/>
      <c r="E6" s="686"/>
    </row>
    <row r="7" spans="1:5" s="19" customFormat="1">
      <c r="A7" s="739"/>
      <c r="B7" s="739"/>
      <c r="C7" s="739" t="s">
        <v>634</v>
      </c>
      <c r="D7" s="686" t="s">
        <v>423</v>
      </c>
      <c r="E7" s="686"/>
    </row>
    <row r="8" spans="1:5" s="153" customFormat="1" ht="78.75" customHeight="1">
      <c r="A8" s="739"/>
      <c r="B8" s="739"/>
      <c r="C8" s="739"/>
      <c r="D8" s="50" t="s">
        <v>424</v>
      </c>
      <c r="E8" s="50" t="s">
        <v>425</v>
      </c>
    </row>
    <row r="9" spans="1:5" s="177" customFormat="1" ht="20.100000000000001" customHeight="1">
      <c r="A9" s="199"/>
      <c r="B9" s="55" t="s">
        <v>426</v>
      </c>
      <c r="C9" s="74">
        <f>SUM(C10,C16,C21,C22,C23,C24,C25,C26)</f>
        <v>7506934</v>
      </c>
      <c r="D9" s="74">
        <f>SUM(D10,D16,D21,D22,D23,D24,D25,D26)</f>
        <v>3151723</v>
      </c>
      <c r="E9" s="74">
        <f>SUM(E10,E16,E21,E22,E23,E24,E25,E26)</f>
        <v>4355211</v>
      </c>
    </row>
    <row r="10" spans="1:5" s="177" customFormat="1" ht="20.100000000000001" customHeight="1">
      <c r="A10" s="181" t="s">
        <v>641</v>
      </c>
      <c r="B10" s="182" t="s">
        <v>666</v>
      </c>
      <c r="C10" s="63">
        <f>SUM(D10:E10)</f>
        <v>673000</v>
      </c>
      <c r="D10" s="63">
        <f>SUM(D14:D15)</f>
        <v>210000</v>
      </c>
      <c r="E10" s="63">
        <f>SUM(E14:E15)</f>
        <v>463000</v>
      </c>
    </row>
    <row r="11" spans="1:5" s="190" customFormat="1" ht="20.100000000000001" customHeight="1">
      <c r="A11" s="187"/>
      <c r="B11" s="188" t="s">
        <v>428</v>
      </c>
      <c r="C11" s="117"/>
      <c r="D11" s="117"/>
      <c r="E11" s="117"/>
    </row>
    <row r="12" spans="1:5" s="190" customFormat="1" ht="20.100000000000001" customHeight="1">
      <c r="A12" s="187" t="s">
        <v>847</v>
      </c>
      <c r="B12" s="188" t="s">
        <v>566</v>
      </c>
      <c r="C12" s="117">
        <f>'Phụ lục số 4- HĐND'!C12</f>
        <v>133000</v>
      </c>
      <c r="D12" s="117">
        <f>C12-E12</f>
        <v>45000</v>
      </c>
      <c r="E12" s="117">
        <f>'Phụ lục số 6'!C6</f>
        <v>88000</v>
      </c>
    </row>
    <row r="13" spans="1:5" s="190" customFormat="1" ht="20.100000000000001" customHeight="1">
      <c r="A13" s="187" t="s">
        <v>847</v>
      </c>
      <c r="B13" s="188" t="s">
        <v>567</v>
      </c>
      <c r="C13" s="117">
        <f>'Phụ lục số 4- HĐND'!C13</f>
        <v>29000</v>
      </c>
      <c r="D13" s="117">
        <f>C13-E13</f>
        <v>29000</v>
      </c>
      <c r="E13" s="117">
        <v>0</v>
      </c>
    </row>
    <row r="14" spans="1:5" ht="20.100000000000001" customHeight="1">
      <c r="A14" s="184" t="s">
        <v>670</v>
      </c>
      <c r="B14" s="185" t="s">
        <v>560</v>
      </c>
      <c r="C14" s="38">
        <f>SUM(D14:E14)</f>
        <v>423000</v>
      </c>
      <c r="D14" s="38">
        <f>'Phụ lục số 2'!N14</f>
        <v>210000</v>
      </c>
      <c r="E14" s="38">
        <f>'Phụ lục số 2'!O14</f>
        <v>213000</v>
      </c>
    </row>
    <row r="15" spans="1:5" ht="20.100000000000001" customHeight="1">
      <c r="A15" s="184" t="s">
        <v>671</v>
      </c>
      <c r="B15" s="185" t="s">
        <v>561</v>
      </c>
      <c r="C15" s="38">
        <f>SUM(D15:E15)</f>
        <v>250000</v>
      </c>
      <c r="D15" s="38">
        <f>'Phụ lục số 2'!N15</f>
        <v>0</v>
      </c>
      <c r="E15" s="38">
        <f>'Phụ lục số 2'!O15</f>
        <v>250000</v>
      </c>
    </row>
    <row r="16" spans="1:5" s="177" customFormat="1" ht="20.100000000000001" customHeight="1">
      <c r="A16" s="181" t="s">
        <v>654</v>
      </c>
      <c r="B16" s="182" t="s">
        <v>427</v>
      </c>
      <c r="C16" s="63">
        <f>SUM(D16:E16)</f>
        <v>5584855</v>
      </c>
      <c r="D16" s="63">
        <f>'Phụ lục số 2'!N18</f>
        <v>1926824</v>
      </c>
      <c r="E16" s="63">
        <f>'Phụ lục số 2'!O18</f>
        <v>3658031</v>
      </c>
    </row>
    <row r="17" spans="1:5" s="19" customFormat="1" ht="20.100000000000001" customHeight="1">
      <c r="A17" s="178"/>
      <c r="B17" s="185" t="s">
        <v>428</v>
      </c>
      <c r="C17" s="36"/>
      <c r="D17" s="36"/>
      <c r="E17" s="36"/>
    </row>
    <row r="18" spans="1:5" ht="20.100000000000001" customHeight="1">
      <c r="A18" s="184" t="s">
        <v>670</v>
      </c>
      <c r="B18" s="185" t="s">
        <v>562</v>
      </c>
      <c r="C18" s="38">
        <f t="shared" ref="C18:C26" si="0">SUM(D18:E18)</f>
        <v>2458715</v>
      </c>
      <c r="D18" s="38">
        <f>'Phụ lục số 2'!N23</f>
        <v>522780</v>
      </c>
      <c r="E18" s="38">
        <f>'Phụ lục số 2'!O23</f>
        <v>1935935</v>
      </c>
    </row>
    <row r="19" spans="1:5" ht="20.100000000000001" customHeight="1">
      <c r="A19" s="184" t="s">
        <v>671</v>
      </c>
      <c r="B19" s="185" t="s">
        <v>563</v>
      </c>
      <c r="C19" s="38">
        <f t="shared" si="0"/>
        <v>26000</v>
      </c>
      <c r="D19" s="38">
        <f>'Phụ lục số 2'!N22</f>
        <v>24000</v>
      </c>
      <c r="E19" s="38">
        <f>'Phụ lục số 2'!O22</f>
        <v>2000</v>
      </c>
    </row>
    <row r="20" spans="1:5" ht="20.100000000000001" customHeight="1">
      <c r="A20" s="184" t="s">
        <v>672</v>
      </c>
      <c r="B20" s="185" t="s">
        <v>564</v>
      </c>
      <c r="C20" s="38">
        <f t="shared" si="0"/>
        <v>60200</v>
      </c>
      <c r="D20" s="38">
        <f>'Phụ lục số 2'!N20</f>
        <v>27167</v>
      </c>
      <c r="E20" s="38">
        <f>'Phụ lục số 2'!O20</f>
        <v>33033</v>
      </c>
    </row>
    <row r="21" spans="1:5" s="177" customFormat="1" ht="20.100000000000001" customHeight="1">
      <c r="A21" s="181" t="s">
        <v>685</v>
      </c>
      <c r="B21" s="250" t="s">
        <v>286</v>
      </c>
      <c r="C21" s="63">
        <f t="shared" si="0"/>
        <v>2000</v>
      </c>
      <c r="D21" s="63">
        <f>'Phụ lục số 2'!N32</f>
        <v>2000</v>
      </c>
      <c r="E21" s="63">
        <f>'Phụ lục số 2'!O32</f>
        <v>0</v>
      </c>
    </row>
    <row r="22" spans="1:5" s="177" customFormat="1" ht="20.100000000000001" customHeight="1">
      <c r="A22" s="181" t="s">
        <v>686</v>
      </c>
      <c r="B22" s="182" t="s">
        <v>726</v>
      </c>
      <c r="C22" s="63">
        <f t="shared" si="0"/>
        <v>109200</v>
      </c>
      <c r="D22" s="63">
        <f>'Phụ lục số 2'!N33</f>
        <v>52710</v>
      </c>
      <c r="E22" s="63">
        <f>'Phụ lục số 2'!O33</f>
        <v>56490</v>
      </c>
    </row>
    <row r="23" spans="1:5" s="177" customFormat="1" ht="20.100000000000001" hidden="1" customHeight="1">
      <c r="A23" s="181" t="s">
        <v>711</v>
      </c>
      <c r="B23" s="182" t="s">
        <v>787</v>
      </c>
      <c r="C23" s="63">
        <f t="shared" si="0"/>
        <v>0</v>
      </c>
      <c r="D23" s="63">
        <f>'Phụ lục số 2'!N34</f>
        <v>0</v>
      </c>
      <c r="E23" s="63">
        <f>'Phụ lục số 2'!O34</f>
        <v>0</v>
      </c>
    </row>
    <row r="24" spans="1:5" s="177" customFormat="1" ht="20.100000000000001" customHeight="1">
      <c r="A24" s="201" t="s">
        <v>711</v>
      </c>
      <c r="B24" s="202" t="s">
        <v>429</v>
      </c>
      <c r="C24" s="63">
        <f t="shared" si="0"/>
        <v>537879</v>
      </c>
      <c r="D24" s="63">
        <f>'Phụ lục số 2'!N37</f>
        <v>537879</v>
      </c>
      <c r="E24" s="63">
        <f>'Phụ lục số 2'!O37</f>
        <v>0</v>
      </c>
    </row>
    <row r="25" spans="1:5" s="177" customFormat="1" ht="20.100000000000001" customHeight="1">
      <c r="A25" s="251" t="s">
        <v>712</v>
      </c>
      <c r="B25" s="252" t="s">
        <v>760</v>
      </c>
      <c r="C25" s="52">
        <f t="shared" si="0"/>
        <v>600000</v>
      </c>
      <c r="D25" s="52">
        <f>'Phụ lục số 2'!N42</f>
        <v>422310</v>
      </c>
      <c r="E25" s="52">
        <f>'Phụ lục số 2'!O42</f>
        <v>177690</v>
      </c>
    </row>
    <row r="26" spans="1:5" s="177" customFormat="1" ht="20.100000000000001" hidden="1" customHeight="1">
      <c r="A26" s="325" t="s">
        <v>763</v>
      </c>
      <c r="B26" s="326" t="s">
        <v>628</v>
      </c>
      <c r="C26" s="327">
        <f t="shared" si="0"/>
        <v>0</v>
      </c>
      <c r="D26" s="327">
        <f>'Phụ lục số 2'!N43</f>
        <v>0</v>
      </c>
      <c r="E26" s="327">
        <f>'Phụ lục số 2'!O43</f>
        <v>0</v>
      </c>
    </row>
    <row r="27" spans="1:5">
      <c r="B27" s="254" t="s">
        <v>688</v>
      </c>
      <c r="C27" s="160"/>
      <c r="D27" s="160"/>
      <c r="E27" s="160"/>
    </row>
    <row r="28" spans="1:5">
      <c r="B28" s="255" t="s">
        <v>432</v>
      </c>
      <c r="C28" s="160"/>
      <c r="D28" s="256">
        <f>'Phụ lục số 5'!E22</f>
        <v>3263161</v>
      </c>
      <c r="E28" s="159" t="s">
        <v>430</v>
      </c>
    </row>
    <row r="29" spans="1:5">
      <c r="B29" s="255" t="s">
        <v>791</v>
      </c>
      <c r="C29" s="160"/>
      <c r="D29" s="255">
        <f>'Phụ lục số 5'!E23</f>
        <v>1153620</v>
      </c>
      <c r="E29" s="160" t="s">
        <v>430</v>
      </c>
    </row>
    <row r="30" spans="1:5">
      <c r="B30" s="255" t="s">
        <v>963</v>
      </c>
      <c r="C30" s="160"/>
      <c r="D30" s="255">
        <f>'Phụ lục số 5'!E25</f>
        <v>312228</v>
      </c>
      <c r="E30" s="160" t="s">
        <v>430</v>
      </c>
    </row>
    <row r="31" spans="1:5">
      <c r="B31" s="255" t="s">
        <v>551</v>
      </c>
      <c r="C31" s="160"/>
      <c r="D31" s="255">
        <f>'Phụ lục số 5'!E26</f>
        <v>244063</v>
      </c>
      <c r="E31" s="160" t="s">
        <v>430</v>
      </c>
    </row>
    <row r="32" spans="1:5">
      <c r="B32" s="255" t="s">
        <v>915</v>
      </c>
      <c r="C32" s="160"/>
      <c r="D32" s="255">
        <f>'Phụ lục số 5'!E27</f>
        <v>1085290</v>
      </c>
      <c r="E32" s="160" t="s">
        <v>430</v>
      </c>
    </row>
    <row r="33" spans="2:127">
      <c r="B33" s="255" t="s">
        <v>932</v>
      </c>
      <c r="C33" s="160"/>
      <c r="D33" s="255">
        <f>'Phụ lục số 5'!E28</f>
        <v>290270</v>
      </c>
      <c r="E33" s="160" t="s">
        <v>430</v>
      </c>
    </row>
    <row r="34" spans="2:127" hidden="1">
      <c r="B34" s="255" t="s">
        <v>431</v>
      </c>
      <c r="C34" s="160"/>
      <c r="D34" s="255">
        <f>'Phụ lục số 5'!E29</f>
        <v>0</v>
      </c>
      <c r="E34" s="160" t="s">
        <v>430</v>
      </c>
    </row>
    <row r="35" spans="2:127">
      <c r="B35" s="255" t="s">
        <v>800</v>
      </c>
      <c r="C35" s="160"/>
      <c r="D35" s="255">
        <f>'Phụ lục số 5'!E30</f>
        <v>177690</v>
      </c>
      <c r="E35" s="160" t="s">
        <v>430</v>
      </c>
    </row>
    <row r="36" spans="2:127" hidden="1">
      <c r="B36" s="255" t="s">
        <v>816</v>
      </c>
      <c r="C36" s="160"/>
      <c r="D36" s="255">
        <f>'Phụ lục số 5'!E31</f>
        <v>0</v>
      </c>
      <c r="E36" s="160" t="s">
        <v>430</v>
      </c>
      <c r="G36" s="5"/>
      <c r="J36" s="5"/>
      <c r="L36" s="5"/>
      <c r="O36" s="5"/>
      <c r="Q36" s="5"/>
      <c r="T36" s="5"/>
      <c r="V36" s="5"/>
      <c r="Y36" s="5"/>
      <c r="AA36" s="5"/>
      <c r="AD36" s="5"/>
      <c r="AF36" s="5"/>
      <c r="AI36" s="5"/>
      <c r="AK36" s="5"/>
      <c r="AN36" s="5"/>
      <c r="AP36" s="5"/>
      <c r="AS36" s="5"/>
      <c r="AU36" s="5"/>
      <c r="AX36" s="5"/>
      <c r="AZ36" s="5"/>
      <c r="BC36" s="5"/>
      <c r="BE36" s="5"/>
      <c r="BH36" s="5"/>
      <c r="BJ36" s="5"/>
      <c r="BM36" s="5"/>
      <c r="BO36" s="5"/>
      <c r="BR36" s="5"/>
      <c r="BT36" s="5"/>
      <c r="BW36" s="5"/>
      <c r="BY36" s="5"/>
      <c r="CB36" s="5"/>
      <c r="CD36" s="5"/>
      <c r="CG36" s="5"/>
      <c r="CI36" s="5"/>
      <c r="CL36" s="5"/>
      <c r="CN36" s="5"/>
      <c r="CQ36" s="5"/>
      <c r="CS36" s="5"/>
      <c r="CV36" s="5"/>
      <c r="CX36" s="5"/>
      <c r="DA36" s="5"/>
      <c r="DC36" s="5"/>
      <c r="DF36" s="5"/>
      <c r="DH36" s="5"/>
      <c r="DK36" s="5"/>
      <c r="DM36" s="5"/>
      <c r="DP36" s="5"/>
      <c r="DR36" s="5"/>
      <c r="DU36" s="5"/>
      <c r="DW36" s="5"/>
    </row>
    <row r="37" spans="2:127">
      <c r="B37" s="744" t="s">
        <v>624</v>
      </c>
      <c r="C37" s="744"/>
      <c r="D37" s="744"/>
      <c r="E37" s="744"/>
    </row>
    <row r="38" spans="2:127">
      <c r="B38" s="160"/>
      <c r="C38" s="160"/>
      <c r="D38" s="160"/>
      <c r="E38" s="160"/>
    </row>
    <row r="41" spans="2:127">
      <c r="B41" s="253"/>
      <c r="C41" s="253"/>
      <c r="D41" s="253"/>
      <c r="E41" s="253"/>
    </row>
  </sheetData>
  <mergeCells count="10">
    <mergeCell ref="B1:D1"/>
    <mergeCell ref="B2:D2"/>
    <mergeCell ref="C3:E3"/>
    <mergeCell ref="A4:E4"/>
    <mergeCell ref="B37:E37"/>
    <mergeCell ref="A6:A8"/>
    <mergeCell ref="B6:B8"/>
    <mergeCell ref="C6:E6"/>
    <mergeCell ref="C7:C8"/>
    <mergeCell ref="D7:E7"/>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26.xml><?xml version="1.0" encoding="utf-8"?>
<worksheet xmlns="http://schemas.openxmlformats.org/spreadsheetml/2006/main" xmlns:r="http://schemas.openxmlformats.org/officeDocument/2006/relationships">
  <sheetPr codeName="Sheet22">
    <tabColor indexed="11"/>
    <pageSetUpPr fitToPage="1"/>
  </sheetPr>
  <dimension ref="A1:I70"/>
  <sheetViews>
    <sheetView topLeftCell="A15" workbookViewId="0">
      <selection activeCell="O69" sqref="O69"/>
    </sheetView>
  </sheetViews>
  <sheetFormatPr defaultColWidth="9" defaultRowHeight="13.5"/>
  <cols>
    <col min="1" max="1" width="6" style="127" customWidth="1"/>
    <col min="2" max="2" width="41.75" style="127" customWidth="1"/>
    <col min="3" max="3" width="14.25" style="127" customWidth="1"/>
    <col min="4" max="4" width="14.5" style="127" customWidth="1"/>
    <col min="5" max="5" width="13.875" style="127" customWidth="1"/>
    <col min="6" max="16384" width="9" style="127"/>
  </cols>
  <sheetData>
    <row r="1" spans="1:9" ht="69.75" hidden="1" customHeight="1">
      <c r="A1" s="715" t="s">
        <v>53</v>
      </c>
      <c r="B1" s="715"/>
      <c r="C1" s="715"/>
      <c r="D1" s="715"/>
      <c r="E1" s="715"/>
      <c r="F1" s="126"/>
      <c r="G1" s="126"/>
      <c r="H1" s="126"/>
      <c r="I1" s="126"/>
    </row>
    <row r="2" spans="1:9" hidden="1"/>
    <row r="3" spans="1:9" ht="56.25" customHeight="1">
      <c r="A3" s="716" t="s">
        <v>919</v>
      </c>
      <c r="B3" s="717"/>
      <c r="C3" s="717"/>
      <c r="D3" s="717"/>
      <c r="E3" s="717"/>
    </row>
    <row r="4" spans="1:9">
      <c r="E4" s="129" t="s">
        <v>766</v>
      </c>
    </row>
    <row r="5" spans="1:9" s="128" customFormat="1" ht="31.5" customHeight="1">
      <c r="A5" s="718" t="s">
        <v>769</v>
      </c>
      <c r="B5" s="718" t="s">
        <v>54</v>
      </c>
      <c r="C5" s="718" t="s">
        <v>867</v>
      </c>
      <c r="D5" s="718" t="s">
        <v>55</v>
      </c>
      <c r="E5" s="718"/>
    </row>
    <row r="6" spans="1:9" s="128" customFormat="1" ht="39" customHeight="1">
      <c r="A6" s="718"/>
      <c r="B6" s="718"/>
      <c r="C6" s="718"/>
      <c r="D6" s="130" t="s">
        <v>721</v>
      </c>
      <c r="E6" s="130" t="s">
        <v>56</v>
      </c>
    </row>
    <row r="7" spans="1:9">
      <c r="A7" s="131" t="s">
        <v>639</v>
      </c>
      <c r="B7" s="132" t="s">
        <v>57</v>
      </c>
      <c r="C7" s="133">
        <f>SUM(D7:E7)</f>
        <v>76245</v>
      </c>
      <c r="D7" s="133">
        <f>SUM(D8:D23)</f>
        <v>23800</v>
      </c>
      <c r="E7" s="133">
        <f>SUM(E8:E23)</f>
        <v>52445</v>
      </c>
    </row>
    <row r="8" spans="1:9">
      <c r="A8" s="134">
        <v>1</v>
      </c>
      <c r="B8" s="135" t="s">
        <v>570</v>
      </c>
      <c r="C8" s="136">
        <f t="shared" ref="C8:C65" si="0">SUM(D8:E8)</f>
        <v>11690</v>
      </c>
      <c r="D8" s="136">
        <v>0</v>
      </c>
      <c r="E8" s="136">
        <v>11690</v>
      </c>
      <c r="F8" s="139"/>
    </row>
    <row r="9" spans="1:9">
      <c r="A9" s="134">
        <v>2</v>
      </c>
      <c r="B9" s="135" t="s">
        <v>571</v>
      </c>
      <c r="C9" s="136">
        <f t="shared" si="0"/>
        <v>11764</v>
      </c>
      <c r="D9" s="136">
        <v>8000</v>
      </c>
      <c r="E9" s="136">
        <v>3764</v>
      </c>
    </row>
    <row r="10" spans="1:9">
      <c r="A10" s="134">
        <v>3</v>
      </c>
      <c r="B10" s="138" t="s">
        <v>58</v>
      </c>
      <c r="C10" s="137">
        <f t="shared" si="0"/>
        <v>11370</v>
      </c>
      <c r="D10" s="137">
        <v>10300</v>
      </c>
      <c r="E10" s="137">
        <v>1070</v>
      </c>
    </row>
    <row r="11" spans="1:9">
      <c r="A11" s="134">
        <v>4</v>
      </c>
      <c r="B11" s="135" t="s">
        <v>442</v>
      </c>
      <c r="C11" s="137">
        <f t="shared" si="0"/>
        <v>4396</v>
      </c>
      <c r="D11" s="137">
        <v>0</v>
      </c>
      <c r="E11" s="137">
        <v>4396</v>
      </c>
    </row>
    <row r="12" spans="1:9">
      <c r="A12" s="134">
        <v>5</v>
      </c>
      <c r="B12" s="135" t="s">
        <v>60</v>
      </c>
      <c r="C12" s="137">
        <f t="shared" si="0"/>
        <v>6629</v>
      </c>
      <c r="D12" s="137">
        <v>0</v>
      </c>
      <c r="E12" s="137">
        <v>6629</v>
      </c>
    </row>
    <row r="13" spans="1:9">
      <c r="A13" s="134">
        <v>6</v>
      </c>
      <c r="B13" s="138" t="s">
        <v>62</v>
      </c>
      <c r="C13" s="137">
        <f t="shared" si="0"/>
        <v>774</v>
      </c>
      <c r="D13" s="137">
        <v>0</v>
      </c>
      <c r="E13" s="137">
        <v>774</v>
      </c>
    </row>
    <row r="14" spans="1:9">
      <c r="A14" s="134">
        <v>7</v>
      </c>
      <c r="B14" s="138" t="s">
        <v>443</v>
      </c>
      <c r="C14" s="137">
        <f t="shared" si="0"/>
        <v>4245</v>
      </c>
      <c r="D14" s="137">
        <v>2500</v>
      </c>
      <c r="E14" s="137">
        <v>1745</v>
      </c>
    </row>
    <row r="15" spans="1:9">
      <c r="A15" s="134">
        <v>8</v>
      </c>
      <c r="B15" s="138" t="s">
        <v>63</v>
      </c>
      <c r="C15" s="137">
        <f t="shared" si="0"/>
        <v>13860</v>
      </c>
      <c r="D15" s="137">
        <v>0</v>
      </c>
      <c r="E15" s="137">
        <v>13860</v>
      </c>
    </row>
    <row r="16" spans="1:9">
      <c r="A16" s="134">
        <v>9</v>
      </c>
      <c r="B16" s="138" t="s">
        <v>61</v>
      </c>
      <c r="C16" s="137">
        <f t="shared" si="0"/>
        <v>1020</v>
      </c>
      <c r="D16" s="137">
        <v>0</v>
      </c>
      <c r="E16" s="137">
        <v>1020</v>
      </c>
    </row>
    <row r="17" spans="1:8">
      <c r="A17" s="134">
        <v>10</v>
      </c>
      <c r="B17" s="135" t="s">
        <v>59</v>
      </c>
      <c r="C17" s="137">
        <f t="shared" si="0"/>
        <v>230</v>
      </c>
      <c r="D17" s="136">
        <v>0</v>
      </c>
      <c r="E17" s="136">
        <v>230</v>
      </c>
      <c r="F17" s="139"/>
    </row>
    <row r="18" spans="1:8" s="370" customFormat="1" ht="13.5" hidden="1" customHeight="1">
      <c r="A18" s="367">
        <v>11</v>
      </c>
      <c r="B18" s="368" t="s">
        <v>445</v>
      </c>
      <c r="C18" s="365">
        <f t="shared" si="0"/>
        <v>0</v>
      </c>
      <c r="D18" s="369"/>
      <c r="E18" s="136"/>
    </row>
    <row r="19" spans="1:8" s="370" customFormat="1" ht="13.5" hidden="1" customHeight="1">
      <c r="A19" s="367">
        <v>12</v>
      </c>
      <c r="B19" s="368" t="s">
        <v>446</v>
      </c>
      <c r="C19" s="365">
        <f t="shared" si="0"/>
        <v>0</v>
      </c>
      <c r="D19" s="369"/>
      <c r="E19" s="136"/>
    </row>
    <row r="20" spans="1:8">
      <c r="A20" s="134">
        <v>11</v>
      </c>
      <c r="B20" s="138" t="s">
        <v>447</v>
      </c>
      <c r="C20" s="137">
        <f t="shared" si="0"/>
        <v>6500</v>
      </c>
      <c r="D20" s="136">
        <v>0</v>
      </c>
      <c r="E20" s="136">
        <v>6500</v>
      </c>
    </row>
    <row r="21" spans="1:8" s="142" customFormat="1">
      <c r="A21" s="134">
        <v>12</v>
      </c>
      <c r="B21" s="135" t="s">
        <v>448</v>
      </c>
      <c r="C21" s="137">
        <f t="shared" si="0"/>
        <v>3767</v>
      </c>
      <c r="D21" s="136">
        <v>3000</v>
      </c>
      <c r="E21" s="136">
        <v>767</v>
      </c>
      <c r="F21" s="147"/>
    </row>
    <row r="22" spans="1:8" ht="13.5" hidden="1" customHeight="1">
      <c r="A22" s="134">
        <v>13</v>
      </c>
      <c r="B22" s="138" t="s">
        <v>449</v>
      </c>
      <c r="C22" s="137">
        <f t="shared" si="0"/>
        <v>0</v>
      </c>
      <c r="D22" s="136"/>
      <c r="E22" s="136"/>
    </row>
    <row r="23" spans="1:8" s="370" customFormat="1" ht="13.5" hidden="1" customHeight="1">
      <c r="A23" s="367">
        <v>16</v>
      </c>
      <c r="B23" s="368" t="s">
        <v>572</v>
      </c>
      <c r="C23" s="365">
        <f t="shared" si="0"/>
        <v>0</v>
      </c>
      <c r="D23" s="369"/>
      <c r="E23" s="136"/>
    </row>
    <row r="24" spans="1:8">
      <c r="A24" s="140" t="s">
        <v>657</v>
      </c>
      <c r="B24" s="141" t="s">
        <v>64</v>
      </c>
      <c r="C24" s="133">
        <f>SUM(D24:E24)</f>
        <v>1239850</v>
      </c>
      <c r="D24" s="133">
        <f>SUM(D25,D39)</f>
        <v>372200</v>
      </c>
      <c r="E24" s="133">
        <f>SUM(E25,E39)</f>
        <v>867650</v>
      </c>
    </row>
    <row r="25" spans="1:8">
      <c r="A25" s="131" t="s">
        <v>641</v>
      </c>
      <c r="B25" s="132" t="s">
        <v>65</v>
      </c>
      <c r="C25" s="133">
        <f>SUM(C26:C38)</f>
        <v>372200</v>
      </c>
      <c r="D25" s="133">
        <f>SUM(D26:D38)</f>
        <v>372200</v>
      </c>
      <c r="E25" s="133">
        <f>SUM(E26:E33)</f>
        <v>0</v>
      </c>
      <c r="F25" s="139"/>
      <c r="H25" s="139"/>
    </row>
    <row r="26" spans="1:8">
      <c r="A26" s="143">
        <v>1</v>
      </c>
      <c r="B26" s="138" t="s">
        <v>66</v>
      </c>
      <c r="C26" s="137">
        <f t="shared" si="0"/>
        <v>64000</v>
      </c>
      <c r="D26" s="137">
        <v>64000</v>
      </c>
      <c r="E26" s="137"/>
    </row>
    <row r="27" spans="1:8">
      <c r="A27" s="143">
        <v>2</v>
      </c>
      <c r="B27" s="135" t="s">
        <v>302</v>
      </c>
      <c r="C27" s="137">
        <f t="shared" si="0"/>
        <v>109400</v>
      </c>
      <c r="D27" s="137">
        <v>109400</v>
      </c>
      <c r="E27" s="137"/>
    </row>
    <row r="28" spans="1:8" ht="27">
      <c r="A28" s="143">
        <v>3</v>
      </c>
      <c r="B28" s="135" t="s">
        <v>6</v>
      </c>
      <c r="C28" s="137">
        <f t="shared" si="0"/>
        <v>19000</v>
      </c>
      <c r="D28" s="137">
        <v>19000</v>
      </c>
      <c r="E28" s="137"/>
    </row>
    <row r="29" spans="1:8">
      <c r="A29" s="143">
        <v>4</v>
      </c>
      <c r="B29" s="138" t="s">
        <v>306</v>
      </c>
      <c r="C29" s="137">
        <f t="shared" si="0"/>
        <v>16800</v>
      </c>
      <c r="D29" s="137">
        <v>16800</v>
      </c>
      <c r="E29" s="137"/>
    </row>
    <row r="30" spans="1:8" ht="27">
      <c r="A30" s="143">
        <v>5</v>
      </c>
      <c r="B30" s="135" t="s">
        <v>303</v>
      </c>
      <c r="C30" s="137">
        <f t="shared" si="0"/>
        <v>6000</v>
      </c>
      <c r="D30" s="137">
        <v>6000</v>
      </c>
      <c r="E30" s="137"/>
    </row>
    <row r="31" spans="1:8" ht="27">
      <c r="A31" s="143">
        <v>6</v>
      </c>
      <c r="B31" s="135" t="s">
        <v>7</v>
      </c>
      <c r="C31" s="137">
        <f t="shared" si="0"/>
        <v>46000</v>
      </c>
      <c r="D31" s="137">
        <v>46000</v>
      </c>
      <c r="E31" s="137"/>
    </row>
    <row r="32" spans="1:8">
      <c r="A32" s="143">
        <v>7</v>
      </c>
      <c r="B32" s="138" t="s">
        <v>304</v>
      </c>
      <c r="C32" s="137">
        <f t="shared" si="0"/>
        <v>4000</v>
      </c>
      <c r="D32" s="137">
        <v>4000</v>
      </c>
      <c r="E32" s="137"/>
    </row>
    <row r="33" spans="1:9">
      <c r="A33" s="143">
        <v>8</v>
      </c>
      <c r="B33" s="138" t="s">
        <v>305</v>
      </c>
      <c r="C33" s="137">
        <f t="shared" si="0"/>
        <v>48000</v>
      </c>
      <c r="D33" s="137">
        <v>48000</v>
      </c>
      <c r="E33" s="137"/>
    </row>
    <row r="34" spans="1:9">
      <c r="A34" s="143">
        <v>9</v>
      </c>
      <c r="B34" s="138" t="s">
        <v>307</v>
      </c>
      <c r="C34" s="137">
        <f t="shared" si="0"/>
        <v>4000</v>
      </c>
      <c r="D34" s="137">
        <v>4000</v>
      </c>
      <c r="E34" s="137"/>
    </row>
    <row r="35" spans="1:9" ht="13.5" hidden="1" customHeight="1">
      <c r="A35" s="143"/>
      <c r="B35" s="138" t="s">
        <v>894</v>
      </c>
      <c r="C35" s="136">
        <f t="shared" si="0"/>
        <v>0</v>
      </c>
      <c r="D35" s="137"/>
      <c r="E35" s="137"/>
    </row>
    <row r="36" spans="1:9" ht="13.5" hidden="1" customHeight="1">
      <c r="A36" s="143"/>
      <c r="B36" s="138" t="s">
        <v>896</v>
      </c>
      <c r="C36" s="136">
        <f t="shared" si="0"/>
        <v>0</v>
      </c>
      <c r="D36" s="137"/>
      <c r="E36" s="137"/>
    </row>
    <row r="37" spans="1:9">
      <c r="A37" s="143">
        <v>10</v>
      </c>
      <c r="B37" s="138" t="s">
        <v>953</v>
      </c>
      <c r="C37" s="137">
        <f t="shared" si="0"/>
        <v>40000</v>
      </c>
      <c r="D37" s="137">
        <v>40000</v>
      </c>
      <c r="E37" s="137"/>
    </row>
    <row r="38" spans="1:9" s="142" customFormat="1">
      <c r="A38" s="143">
        <v>11</v>
      </c>
      <c r="B38" s="138" t="s">
        <v>895</v>
      </c>
      <c r="C38" s="136">
        <f t="shared" si="0"/>
        <v>15000</v>
      </c>
      <c r="D38" s="137">
        <v>15000</v>
      </c>
      <c r="E38" s="137"/>
    </row>
    <row r="39" spans="1:9" s="142" customFormat="1">
      <c r="A39" s="131" t="s">
        <v>654</v>
      </c>
      <c r="B39" s="132" t="s">
        <v>67</v>
      </c>
      <c r="C39" s="133">
        <f>SUM(D39:E39)</f>
        <v>867650</v>
      </c>
      <c r="D39" s="133">
        <f>SUM(D40:D65)</f>
        <v>0</v>
      </c>
      <c r="E39" s="133">
        <f>SUM(E40:E65)</f>
        <v>867650</v>
      </c>
    </row>
    <row r="40" spans="1:9">
      <c r="A40" s="134">
        <v>1</v>
      </c>
      <c r="B40" s="138" t="s">
        <v>68</v>
      </c>
      <c r="C40" s="137">
        <f t="shared" si="0"/>
        <v>13230</v>
      </c>
      <c r="D40" s="137"/>
      <c r="E40" s="137">
        <v>13230</v>
      </c>
    </row>
    <row r="41" spans="1:9" ht="27" hidden="1">
      <c r="A41" s="134"/>
      <c r="B41" s="144" t="s">
        <v>793</v>
      </c>
      <c r="C41" s="137">
        <f t="shared" si="0"/>
        <v>0</v>
      </c>
      <c r="D41" s="137"/>
      <c r="E41" s="137"/>
      <c r="F41" s="139"/>
    </row>
    <row r="42" spans="1:9" ht="13.5" customHeight="1">
      <c r="A42" s="134">
        <v>2</v>
      </c>
      <c r="B42" s="138" t="s">
        <v>797</v>
      </c>
      <c r="C42" s="137">
        <f t="shared" si="0"/>
        <v>5000</v>
      </c>
      <c r="D42" s="137"/>
      <c r="E42" s="137">
        <v>5000</v>
      </c>
      <c r="F42" s="139"/>
    </row>
    <row r="43" spans="1:9" ht="13.5" customHeight="1">
      <c r="A43" s="134">
        <v>3</v>
      </c>
      <c r="B43" s="135" t="s">
        <v>263</v>
      </c>
      <c r="C43" s="137">
        <f t="shared" si="0"/>
        <v>2749</v>
      </c>
      <c r="D43" s="137"/>
      <c r="E43" s="137">
        <v>2749</v>
      </c>
      <c r="F43" s="139"/>
    </row>
    <row r="44" spans="1:9" ht="27" hidden="1">
      <c r="A44" s="134"/>
      <c r="B44" s="135" t="s">
        <v>394</v>
      </c>
      <c r="C44" s="137"/>
      <c r="D44" s="137"/>
      <c r="E44" s="137"/>
      <c r="F44" s="139"/>
      <c r="G44" s="139"/>
      <c r="H44" s="139"/>
      <c r="I44" s="139"/>
    </row>
    <row r="45" spans="1:9" ht="40.5">
      <c r="A45" s="134">
        <v>4</v>
      </c>
      <c r="B45" s="135" t="s">
        <v>622</v>
      </c>
      <c r="C45" s="137">
        <f t="shared" si="0"/>
        <v>360</v>
      </c>
      <c r="D45" s="137"/>
      <c r="E45" s="137">
        <f>360</f>
        <v>360</v>
      </c>
      <c r="F45" s="139"/>
    </row>
    <row r="46" spans="1:9" ht="27">
      <c r="A46" s="134">
        <v>5</v>
      </c>
      <c r="B46" s="135" t="s">
        <v>955</v>
      </c>
      <c r="C46" s="137">
        <f t="shared" si="0"/>
        <v>16220</v>
      </c>
      <c r="D46" s="137"/>
      <c r="E46" s="137">
        <f>16220</f>
        <v>16220</v>
      </c>
      <c r="F46" s="139"/>
    </row>
    <row r="47" spans="1:9" ht="27">
      <c r="A47" s="134">
        <v>6</v>
      </c>
      <c r="B47" s="144" t="s">
        <v>795</v>
      </c>
      <c r="C47" s="137">
        <f t="shared" si="0"/>
        <v>80</v>
      </c>
      <c r="D47" s="145"/>
      <c r="E47" s="145">
        <v>80</v>
      </c>
      <c r="F47" s="139"/>
    </row>
    <row r="48" spans="1:9">
      <c r="A48" s="134">
        <v>7</v>
      </c>
      <c r="B48" s="138" t="s">
        <v>794</v>
      </c>
      <c r="C48" s="137">
        <f t="shared" si="0"/>
        <v>240</v>
      </c>
      <c r="D48" s="145"/>
      <c r="E48" s="145">
        <v>240</v>
      </c>
      <c r="F48" s="139"/>
    </row>
    <row r="49" spans="1:6" ht="27">
      <c r="A49" s="134">
        <v>8</v>
      </c>
      <c r="B49" s="144" t="s">
        <v>798</v>
      </c>
      <c r="C49" s="137">
        <f t="shared" si="0"/>
        <v>43500</v>
      </c>
      <c r="D49" s="145"/>
      <c r="E49" s="145">
        <v>43500</v>
      </c>
      <c r="F49" s="139"/>
    </row>
    <row r="50" spans="1:6">
      <c r="A50" s="134">
        <v>9</v>
      </c>
      <c r="B50" s="144" t="s">
        <v>264</v>
      </c>
      <c r="C50" s="137">
        <f t="shared" si="0"/>
        <v>8370</v>
      </c>
      <c r="D50" s="145"/>
      <c r="E50" s="145">
        <v>8370</v>
      </c>
      <c r="F50" s="139"/>
    </row>
    <row r="51" spans="1:6">
      <c r="A51" s="134">
        <v>10</v>
      </c>
      <c r="B51" s="144" t="s">
        <v>796</v>
      </c>
      <c r="C51" s="137">
        <f t="shared" si="0"/>
        <v>813</v>
      </c>
      <c r="D51" s="145"/>
      <c r="E51" s="145">
        <v>813</v>
      </c>
      <c r="F51" s="139"/>
    </row>
    <row r="52" spans="1:6">
      <c r="A52" s="134">
        <v>11</v>
      </c>
      <c r="B52" s="144" t="s">
        <v>792</v>
      </c>
      <c r="C52" s="137">
        <f t="shared" si="0"/>
        <v>200</v>
      </c>
      <c r="D52" s="145"/>
      <c r="E52" s="145">
        <v>200</v>
      </c>
      <c r="F52" s="139"/>
    </row>
    <row r="53" spans="1:6" hidden="1">
      <c r="A53" s="134"/>
      <c r="B53" s="144" t="s">
        <v>350</v>
      </c>
      <c r="C53" s="137">
        <f t="shared" si="0"/>
        <v>0</v>
      </c>
      <c r="D53" s="145"/>
      <c r="E53" s="145"/>
      <c r="F53" s="139"/>
    </row>
    <row r="54" spans="1:6">
      <c r="A54" s="134">
        <v>12</v>
      </c>
      <c r="B54" s="144" t="s">
        <v>444</v>
      </c>
      <c r="C54" s="137">
        <f t="shared" si="0"/>
        <v>286</v>
      </c>
      <c r="D54" s="145"/>
      <c r="E54" s="145">
        <v>286</v>
      </c>
      <c r="F54" s="139"/>
    </row>
    <row r="55" spans="1:6">
      <c r="A55" s="134">
        <v>13</v>
      </c>
      <c r="B55" s="144" t="s">
        <v>400</v>
      </c>
      <c r="C55" s="137">
        <f t="shared" si="0"/>
        <v>11200</v>
      </c>
      <c r="D55" s="145"/>
      <c r="E55" s="145">
        <v>11200</v>
      </c>
      <c r="F55" s="139"/>
    </row>
    <row r="56" spans="1:6" hidden="1">
      <c r="A56" s="134"/>
      <c r="B56" s="144" t="s">
        <v>636</v>
      </c>
      <c r="C56" s="137">
        <f t="shared" si="0"/>
        <v>0</v>
      </c>
      <c r="D56" s="145"/>
      <c r="E56" s="145"/>
      <c r="F56" s="139"/>
    </row>
    <row r="57" spans="1:6" ht="27">
      <c r="A57" s="134">
        <v>14</v>
      </c>
      <c r="B57" s="144" t="s">
        <v>401</v>
      </c>
      <c r="C57" s="137">
        <f t="shared" si="0"/>
        <v>45825</v>
      </c>
      <c r="D57" s="145"/>
      <c r="E57" s="145">
        <v>45825</v>
      </c>
      <c r="F57" s="139"/>
    </row>
    <row r="58" spans="1:6" ht="27">
      <c r="A58" s="134">
        <v>15</v>
      </c>
      <c r="B58" s="144" t="s">
        <v>573</v>
      </c>
      <c r="C58" s="137">
        <f t="shared" si="0"/>
        <v>950</v>
      </c>
      <c r="D58" s="145"/>
      <c r="E58" s="145">
        <v>950</v>
      </c>
      <c r="F58" s="139"/>
    </row>
    <row r="59" spans="1:6" ht="13.5" customHeight="1">
      <c r="A59" s="134">
        <v>16</v>
      </c>
      <c r="B59" s="144" t="s">
        <v>799</v>
      </c>
      <c r="C59" s="137">
        <f t="shared" si="0"/>
        <v>39810</v>
      </c>
      <c r="D59" s="145"/>
      <c r="E59" s="145">
        <v>39810</v>
      </c>
      <c r="F59" s="139"/>
    </row>
    <row r="60" spans="1:6" ht="27">
      <c r="A60" s="134">
        <v>17</v>
      </c>
      <c r="B60" s="144" t="s">
        <v>625</v>
      </c>
      <c r="C60" s="137">
        <f t="shared" si="0"/>
        <v>4047</v>
      </c>
      <c r="D60" s="145"/>
      <c r="E60" s="145">
        <v>4047</v>
      </c>
    </row>
    <row r="61" spans="1:6" ht="13.5" customHeight="1">
      <c r="A61" s="134">
        <v>18</v>
      </c>
      <c r="B61" s="144" t="s">
        <v>950</v>
      </c>
      <c r="C61" s="137">
        <f t="shared" si="0"/>
        <v>1500</v>
      </c>
      <c r="D61" s="145"/>
      <c r="E61" s="145">
        <v>1500</v>
      </c>
    </row>
    <row r="62" spans="1:6" ht="27">
      <c r="A62" s="134">
        <v>19</v>
      </c>
      <c r="B62" s="144" t="s">
        <v>951</v>
      </c>
      <c r="C62" s="137">
        <f t="shared" si="0"/>
        <v>1651</v>
      </c>
      <c r="D62" s="145"/>
      <c r="E62" s="145">
        <v>1651</v>
      </c>
    </row>
    <row r="63" spans="1:6">
      <c r="A63" s="134">
        <v>20</v>
      </c>
      <c r="B63" s="144" t="s">
        <v>952</v>
      </c>
      <c r="C63" s="137">
        <f t="shared" si="0"/>
        <v>181098</v>
      </c>
      <c r="D63" s="145"/>
      <c r="E63" s="145">
        <v>181098</v>
      </c>
    </row>
    <row r="64" spans="1:6" ht="27">
      <c r="A64" s="134">
        <v>21</v>
      </c>
      <c r="B64" s="144" t="s">
        <v>637</v>
      </c>
      <c r="C64" s="137">
        <f t="shared" si="0"/>
        <v>422841</v>
      </c>
      <c r="D64" s="145"/>
      <c r="E64" s="145">
        <v>422841</v>
      </c>
    </row>
    <row r="65" spans="1:5" ht="27">
      <c r="A65" s="134">
        <v>22</v>
      </c>
      <c r="B65" s="144" t="s">
        <v>265</v>
      </c>
      <c r="C65" s="137">
        <f t="shared" si="0"/>
        <v>67680</v>
      </c>
      <c r="D65" s="145"/>
      <c r="E65" s="145">
        <v>67680</v>
      </c>
    </row>
    <row r="66" spans="1:5">
      <c r="A66" s="713" t="s">
        <v>69</v>
      </c>
      <c r="B66" s="714"/>
      <c r="C66" s="146">
        <f>SUM(C7,C24)</f>
        <v>1316095</v>
      </c>
      <c r="D66" s="146">
        <f>SUM(D7,D24)</f>
        <v>396000</v>
      </c>
      <c r="E66" s="146">
        <f>SUM(E7,E24)</f>
        <v>920095</v>
      </c>
    </row>
    <row r="70" spans="1:5">
      <c r="D70" s="366"/>
    </row>
  </sheetData>
  <mergeCells count="7">
    <mergeCell ref="A66:B66"/>
    <mergeCell ref="A1:E1"/>
    <mergeCell ref="A3:E3"/>
    <mergeCell ref="A5:A6"/>
    <mergeCell ref="B5:B6"/>
    <mergeCell ref="C5:C6"/>
    <mergeCell ref="D5:E5"/>
  </mergeCells>
  <phoneticPr fontId="2" type="noConversion"/>
  <printOptions horizontalCentered="1"/>
  <pageMargins left="0" right="0" top="0.59055118110236227" bottom="0.39370078740157483" header="0.19685039370078741" footer="0.19685039370078741"/>
  <pageSetup paperSize="9" scale="85" orientation="portrait" r:id="rId1"/>
  <headerFooter alignWithMargins="0">
    <oddHeader>&amp;R&amp;A</oddHeader>
  </headerFooter>
  <ignoredErrors>
    <ignoredError sqref="C25" formula="1"/>
  </ignoredErrors>
  <legacyDrawing r:id="rId2"/>
</worksheet>
</file>

<file path=xl/worksheets/sheet27.xml><?xml version="1.0" encoding="utf-8"?>
<worksheet xmlns="http://schemas.openxmlformats.org/spreadsheetml/2006/main" xmlns:r="http://schemas.openxmlformats.org/officeDocument/2006/relationships">
  <sheetPr codeName="Sheet23">
    <tabColor indexed="11"/>
  </sheetPr>
  <dimension ref="A1:F38"/>
  <sheetViews>
    <sheetView topLeftCell="A13" workbookViewId="0">
      <selection activeCell="O69" sqref="O69"/>
    </sheetView>
  </sheetViews>
  <sheetFormatPr defaultColWidth="9" defaultRowHeight="12.75"/>
  <cols>
    <col min="1" max="1" width="55.625" style="371" customWidth="1"/>
    <col min="2" max="2" width="10.75" style="371" customWidth="1"/>
    <col min="3" max="3" width="10.625" style="371" customWidth="1"/>
    <col min="4" max="4" width="11.25" style="371" customWidth="1"/>
    <col min="5" max="16384" width="9" style="371"/>
  </cols>
  <sheetData>
    <row r="1" spans="1:5" s="19" customFormat="1" ht="31.5" customHeight="1">
      <c r="A1" s="745" t="s">
        <v>920</v>
      </c>
      <c r="B1" s="745"/>
      <c r="C1" s="745"/>
      <c r="D1" s="745"/>
    </row>
    <row r="2" spans="1:5" s="19" customFormat="1" ht="15.75">
      <c r="A2" s="428" t="s">
        <v>921</v>
      </c>
      <c r="B2" s="428"/>
      <c r="C2" s="428"/>
      <c r="D2" s="428"/>
    </row>
    <row r="3" spans="1:5">
      <c r="A3" s="746"/>
      <c r="B3" s="746"/>
      <c r="C3" s="746"/>
      <c r="D3" s="746"/>
    </row>
    <row r="5" spans="1:5" s="19" customFormat="1" ht="15.75">
      <c r="A5" s="177" t="s">
        <v>311</v>
      </c>
    </row>
    <row r="6" spans="1:5" s="19" customFormat="1" ht="15.75">
      <c r="A6" s="19" t="s">
        <v>312</v>
      </c>
      <c r="C6" s="429">
        <f>'Phụ lục số 2'!K13</f>
        <v>673000</v>
      </c>
      <c r="D6" s="19" t="s">
        <v>313</v>
      </c>
      <c r="E6" s="430"/>
    </row>
    <row r="7" spans="1:5" s="61" customFormat="1" ht="15.75">
      <c r="A7" s="190" t="s">
        <v>314</v>
      </c>
      <c r="C7" s="426">
        <f>'Phụ lục số 3- KQPB'!C12</f>
        <v>133000</v>
      </c>
      <c r="D7" s="61" t="s">
        <v>313</v>
      </c>
    </row>
    <row r="8" spans="1:5" s="61" customFormat="1" ht="15.75">
      <c r="A8" s="61" t="s">
        <v>315</v>
      </c>
      <c r="C8" s="426">
        <f>'Phụ lục số 3- KQPB'!C13</f>
        <v>29000</v>
      </c>
      <c r="D8" s="61" t="s">
        <v>313</v>
      </c>
    </row>
    <row r="9" spans="1:5" s="19" customFormat="1" ht="15.75">
      <c r="A9" s="177" t="s">
        <v>316</v>
      </c>
      <c r="C9" s="429"/>
    </row>
    <row r="10" spans="1:5" s="19" customFormat="1" ht="15.75">
      <c r="A10" s="19" t="s">
        <v>317</v>
      </c>
      <c r="C10" s="429">
        <f>'Phụ lục số 2'!K42</f>
        <v>600000</v>
      </c>
      <c r="D10" s="19" t="s">
        <v>313</v>
      </c>
    </row>
    <row r="11" spans="1:5" s="61" customFormat="1" ht="15.75">
      <c r="A11" s="190" t="s">
        <v>318</v>
      </c>
      <c r="C11" s="426">
        <v>240000</v>
      </c>
      <c r="D11" s="61" t="s">
        <v>313</v>
      </c>
      <c r="E11" s="501"/>
    </row>
    <row r="12" spans="1:5" s="61" customFormat="1" ht="15.75">
      <c r="A12" s="61" t="s">
        <v>319</v>
      </c>
      <c r="C12" s="426">
        <v>120000</v>
      </c>
      <c r="D12" s="61" t="s">
        <v>313</v>
      </c>
    </row>
    <row r="13" spans="1:5" s="19" customFormat="1" ht="15.75">
      <c r="A13" s="177" t="s">
        <v>320</v>
      </c>
    </row>
    <row r="14" spans="1:5" ht="26.25" customHeight="1">
      <c r="A14" s="61"/>
      <c r="B14" s="61"/>
      <c r="C14" s="61"/>
      <c r="D14" s="249" t="s">
        <v>766</v>
      </c>
    </row>
    <row r="15" spans="1:5" s="19" customFormat="1" ht="15.75">
      <c r="A15" s="705" t="s">
        <v>321</v>
      </c>
      <c r="B15" s="705" t="s">
        <v>923</v>
      </c>
      <c r="C15" s="705" t="s">
        <v>922</v>
      </c>
      <c r="D15" s="705"/>
    </row>
    <row r="16" spans="1:5" s="19" customFormat="1" ht="74.25" customHeight="1">
      <c r="A16" s="705"/>
      <c r="B16" s="705"/>
      <c r="C16" s="50" t="s">
        <v>322</v>
      </c>
      <c r="D16" s="50" t="s">
        <v>323</v>
      </c>
    </row>
    <row r="17" spans="1:6" s="177" customFormat="1" ht="20.100000000000001" customHeight="1">
      <c r="A17" s="55" t="s">
        <v>324</v>
      </c>
      <c r="B17" s="28">
        <f>SUM(B19,B23,B30,B34,B38)</f>
        <v>1026384</v>
      </c>
      <c r="C17" s="28">
        <f>SUM(C19,C23,C30,C34,C38)</f>
        <v>379000</v>
      </c>
      <c r="D17" s="28">
        <f>SUM(D19,D23,D30,D34,D38)</f>
        <v>340680</v>
      </c>
    </row>
    <row r="18" spans="1:6" s="19" customFormat="1" ht="20.100000000000001" customHeight="1">
      <c r="A18" s="157" t="s">
        <v>325</v>
      </c>
      <c r="B18" s="431"/>
      <c r="C18" s="431"/>
      <c r="D18" s="431"/>
    </row>
    <row r="19" spans="1:6" s="19" customFormat="1" ht="20.100000000000001" customHeight="1">
      <c r="A19" s="157" t="s">
        <v>326</v>
      </c>
      <c r="B19" s="431">
        <f>B21</f>
        <v>0</v>
      </c>
      <c r="C19" s="431">
        <f>C21</f>
        <v>0</v>
      </c>
      <c r="D19" s="431">
        <f>D21</f>
        <v>0</v>
      </c>
    </row>
    <row r="20" spans="1:6" s="190" customFormat="1" ht="20.100000000000001" customHeight="1">
      <c r="A20" s="432" t="s">
        <v>428</v>
      </c>
      <c r="B20" s="433"/>
      <c r="C20" s="433"/>
      <c r="D20" s="433"/>
    </row>
    <row r="21" spans="1:6" ht="20.100000000000001" customHeight="1">
      <c r="A21" s="276" t="s">
        <v>327</v>
      </c>
      <c r="B21" s="434">
        <f>0</f>
        <v>0</v>
      </c>
      <c r="C21" s="434">
        <v>0</v>
      </c>
      <c r="D21" s="434">
        <f>0</f>
        <v>0</v>
      </c>
    </row>
    <row r="22" spans="1:6" ht="20.100000000000001" customHeight="1">
      <c r="A22" s="276" t="s">
        <v>328</v>
      </c>
      <c r="B22" s="434">
        <v>0</v>
      </c>
      <c r="C22" s="434">
        <v>0</v>
      </c>
      <c r="D22" s="434">
        <v>0</v>
      </c>
    </row>
    <row r="23" spans="1:6" s="19" customFormat="1" ht="20.100000000000001" customHeight="1">
      <c r="A23" s="157" t="s">
        <v>329</v>
      </c>
      <c r="B23" s="431">
        <f>B25+B26+B28+B29+B27</f>
        <v>1026384</v>
      </c>
      <c r="C23" s="431">
        <f>C25+C26+C28+C29+C27</f>
        <v>379000</v>
      </c>
      <c r="D23" s="431">
        <f>D25+D26+D28+D29+D27</f>
        <v>340680</v>
      </c>
    </row>
    <row r="24" spans="1:6" s="190" customFormat="1" ht="20.100000000000001" customHeight="1">
      <c r="A24" s="432" t="s">
        <v>428</v>
      </c>
      <c r="B24" s="433"/>
      <c r="C24" s="433"/>
      <c r="D24" s="433"/>
    </row>
    <row r="25" spans="1:6" s="436" customFormat="1" ht="20.100000000000001" customHeight="1">
      <c r="A25" s="276" t="s">
        <v>331</v>
      </c>
      <c r="B25" s="434">
        <v>286979</v>
      </c>
      <c r="C25" s="434">
        <v>379000</v>
      </c>
      <c r="D25" s="434">
        <v>69063</v>
      </c>
      <c r="E25" s="435"/>
      <c r="F25" s="435"/>
    </row>
    <row r="26" spans="1:6" ht="20.100000000000001" customHeight="1">
      <c r="A26" s="276" t="s">
        <v>332</v>
      </c>
      <c r="B26" s="434">
        <f>32250+70376+141513+88700+26370-18272</f>
        <v>340937</v>
      </c>
      <c r="C26" s="434">
        <v>0</v>
      </c>
      <c r="D26" s="434">
        <v>271617</v>
      </c>
    </row>
    <row r="27" spans="1:6" ht="20.100000000000001" customHeight="1">
      <c r="A27" s="276" t="s">
        <v>333</v>
      </c>
      <c r="B27" s="434">
        <f>228000+28008+142460</f>
        <v>398468</v>
      </c>
      <c r="C27" s="434">
        <f>398468-B27</f>
        <v>0</v>
      </c>
      <c r="D27" s="434">
        <v>0</v>
      </c>
    </row>
    <row r="28" spans="1:6" s="436" customFormat="1" ht="20.100000000000001" customHeight="1">
      <c r="A28" s="276" t="s">
        <v>334</v>
      </c>
      <c r="B28" s="434"/>
      <c r="C28" s="434"/>
      <c r="D28" s="434"/>
    </row>
    <row r="29" spans="1:6" s="436" customFormat="1" ht="20.100000000000001" customHeight="1">
      <c r="A29" s="276" t="s">
        <v>372</v>
      </c>
      <c r="B29" s="434"/>
      <c r="C29" s="434"/>
      <c r="D29" s="434"/>
    </row>
    <row r="30" spans="1:6" s="19" customFormat="1" ht="20.100000000000001" customHeight="1">
      <c r="A30" s="157" t="s">
        <v>373</v>
      </c>
      <c r="B30" s="431">
        <v>0</v>
      </c>
      <c r="C30" s="431">
        <v>0</v>
      </c>
      <c r="D30" s="431">
        <v>0</v>
      </c>
    </row>
    <row r="31" spans="1:6" s="190" customFormat="1" ht="20.100000000000001" customHeight="1">
      <c r="A31" s="432" t="s">
        <v>428</v>
      </c>
      <c r="B31" s="433"/>
      <c r="C31" s="433"/>
      <c r="D31" s="433"/>
    </row>
    <row r="32" spans="1:6" ht="20.100000000000001" customHeight="1">
      <c r="A32" s="276" t="s">
        <v>374</v>
      </c>
      <c r="B32" s="434">
        <v>0</v>
      </c>
      <c r="C32" s="434">
        <v>0</v>
      </c>
      <c r="D32" s="434">
        <v>0</v>
      </c>
    </row>
    <row r="33" spans="1:4" ht="20.100000000000001" customHeight="1">
      <c r="A33" s="276" t="s">
        <v>375</v>
      </c>
      <c r="B33" s="434">
        <v>0</v>
      </c>
      <c r="C33" s="434">
        <v>0</v>
      </c>
      <c r="D33" s="434">
        <v>0</v>
      </c>
    </row>
    <row r="34" spans="1:4" s="19" customFormat="1" ht="20.100000000000001" customHeight="1">
      <c r="A34" s="157" t="s">
        <v>376</v>
      </c>
      <c r="B34" s="431">
        <v>0</v>
      </c>
      <c r="C34" s="431">
        <v>0</v>
      </c>
      <c r="D34" s="431">
        <v>0</v>
      </c>
    </row>
    <row r="35" spans="1:4" s="190" customFormat="1" ht="20.100000000000001" customHeight="1">
      <c r="A35" s="432" t="s">
        <v>428</v>
      </c>
      <c r="B35" s="433"/>
      <c r="C35" s="433"/>
      <c r="D35" s="433"/>
    </row>
    <row r="36" spans="1:4" ht="20.100000000000001" customHeight="1">
      <c r="A36" s="276" t="s">
        <v>374</v>
      </c>
      <c r="B36" s="434">
        <v>0</v>
      </c>
      <c r="C36" s="434">
        <v>0</v>
      </c>
      <c r="D36" s="434">
        <v>0</v>
      </c>
    </row>
    <row r="37" spans="1:4" ht="20.100000000000001" customHeight="1">
      <c r="A37" s="276" t="s">
        <v>377</v>
      </c>
      <c r="B37" s="434">
        <v>0</v>
      </c>
      <c r="C37" s="434">
        <v>0</v>
      </c>
      <c r="D37" s="434">
        <v>0</v>
      </c>
    </row>
    <row r="38" spans="1:4" s="19" customFormat="1" ht="20.100000000000001" customHeight="1">
      <c r="A38" s="437" t="s">
        <v>378</v>
      </c>
      <c r="B38" s="438">
        <v>0</v>
      </c>
      <c r="C38" s="438">
        <v>0</v>
      </c>
      <c r="D38" s="438">
        <v>0</v>
      </c>
    </row>
  </sheetData>
  <mergeCells count="5">
    <mergeCell ref="A1:D1"/>
    <mergeCell ref="A3:D3"/>
    <mergeCell ref="A15:A16"/>
    <mergeCell ref="B15:B16"/>
    <mergeCell ref="C15:D15"/>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28.xml><?xml version="1.0" encoding="utf-8"?>
<worksheet xmlns="http://schemas.openxmlformats.org/spreadsheetml/2006/main" xmlns:r="http://schemas.openxmlformats.org/officeDocument/2006/relationships">
  <sheetPr codeName="Sheet25">
    <tabColor indexed="13"/>
  </sheetPr>
  <dimension ref="A1:D28"/>
  <sheetViews>
    <sheetView workbookViewId="0">
      <selection activeCell="C1" sqref="C1"/>
    </sheetView>
  </sheetViews>
  <sheetFormatPr defaultRowHeight="15.75"/>
  <cols>
    <col min="1" max="1" width="4.875" style="775" customWidth="1"/>
    <col min="2" max="2" width="54.125" style="775" customWidth="1"/>
    <col min="3" max="3" width="18" style="775" customWidth="1"/>
    <col min="4" max="4" width="8.875" style="775" bestFit="1" customWidth="1"/>
    <col min="5" max="16384" width="9" style="775"/>
  </cols>
  <sheetData>
    <row r="1" spans="1:4" s="19" customFormat="1" ht="14.45" customHeight="1">
      <c r="A1" s="636" t="s">
        <v>753</v>
      </c>
      <c r="B1" s="173"/>
      <c r="C1" s="834" t="s">
        <v>985</v>
      </c>
    </row>
    <row r="2" spans="1:4" s="19" customFormat="1" ht="15.6" customHeight="1">
      <c r="C2" s="647"/>
    </row>
    <row r="3" spans="1:4" ht="39.75" customHeight="1">
      <c r="A3" s="681" t="s">
        <v>969</v>
      </c>
      <c r="B3" s="682"/>
      <c r="C3" s="682"/>
    </row>
    <row r="4" spans="1:4">
      <c r="A4" s="776"/>
      <c r="C4" s="604" t="s">
        <v>766</v>
      </c>
    </row>
    <row r="5" spans="1:4" s="644" customFormat="1" ht="45.75" customHeight="1">
      <c r="A5" s="645" t="s">
        <v>72</v>
      </c>
      <c r="B5" s="645" t="s">
        <v>767</v>
      </c>
      <c r="C5" s="645" t="s">
        <v>867</v>
      </c>
    </row>
    <row r="6" spans="1:4" s="19" customFormat="1" ht="20.100000000000001" customHeight="1">
      <c r="A6" s="777" t="s">
        <v>639</v>
      </c>
      <c r="B6" s="778" t="s">
        <v>275</v>
      </c>
      <c r="C6" s="779">
        <f>C7+C8</f>
        <v>4835700</v>
      </c>
    </row>
    <row r="7" spans="1:4" s="19" customFormat="1" ht="20.100000000000001" customHeight="1">
      <c r="A7" s="178" t="s">
        <v>641</v>
      </c>
      <c r="B7" s="179" t="s">
        <v>642</v>
      </c>
      <c r="C7" s="180">
        <v>4535700</v>
      </c>
    </row>
    <row r="8" spans="1:4" s="19" customFormat="1" ht="20.100000000000001" customHeight="1">
      <c r="A8" s="178" t="s">
        <v>654</v>
      </c>
      <c r="B8" s="179" t="s">
        <v>276</v>
      </c>
      <c r="C8" s="180">
        <v>300000</v>
      </c>
    </row>
    <row r="9" spans="1:4" s="19" customFormat="1" ht="20.100000000000001" customHeight="1">
      <c r="A9" s="178" t="s">
        <v>657</v>
      </c>
      <c r="B9" s="179" t="s">
        <v>48</v>
      </c>
      <c r="C9" s="180">
        <v>8730076</v>
      </c>
      <c r="D9" s="2"/>
    </row>
    <row r="10" spans="1:4" s="19" customFormat="1" ht="20.100000000000001" customHeight="1">
      <c r="A10" s="178" t="s">
        <v>641</v>
      </c>
      <c r="B10" s="179" t="s">
        <v>549</v>
      </c>
      <c r="C10" s="180">
        <f>C11+C15+C17+C18</f>
        <v>7269226</v>
      </c>
      <c r="D10" s="2"/>
    </row>
    <row r="11" spans="1:4" s="61" customFormat="1" ht="20.100000000000001" customHeight="1">
      <c r="A11" s="184">
        <v>1</v>
      </c>
      <c r="B11" s="185" t="s">
        <v>277</v>
      </c>
      <c r="C11" s="186">
        <f>C12+C13</f>
        <v>4452790</v>
      </c>
      <c r="D11" s="5"/>
    </row>
    <row r="12" spans="1:4" s="190" customFormat="1" ht="20.100000000000001" customHeight="1">
      <c r="A12" s="187" t="s">
        <v>670</v>
      </c>
      <c r="B12" s="188" t="s">
        <v>278</v>
      </c>
      <c r="C12" s="189">
        <v>793000</v>
      </c>
    </row>
    <row r="13" spans="1:4" s="190" customFormat="1" ht="20.100000000000001" customHeight="1">
      <c r="A13" s="191" t="s">
        <v>671</v>
      </c>
      <c r="B13" s="192" t="s">
        <v>279</v>
      </c>
      <c r="C13" s="189">
        <v>3659790</v>
      </c>
    </row>
    <row r="14" spans="1:4" s="61" customFormat="1" ht="20.100000000000001" customHeight="1">
      <c r="A14" s="184">
        <v>2</v>
      </c>
      <c r="B14" s="185" t="s">
        <v>280</v>
      </c>
      <c r="C14" s="186">
        <f>C15+C16+C17</f>
        <v>4530670</v>
      </c>
      <c r="D14" s="5"/>
    </row>
    <row r="15" spans="1:4" s="190" customFormat="1" ht="20.100000000000001" customHeight="1">
      <c r="A15" s="187" t="s">
        <v>670</v>
      </c>
      <c r="B15" s="188" t="s">
        <v>808</v>
      </c>
      <c r="C15" s="189">
        <v>1174152</v>
      </c>
    </row>
    <row r="16" spans="1:4" s="190" customFormat="1" ht="20.100000000000001" customHeight="1">
      <c r="A16" s="187" t="s">
        <v>671</v>
      </c>
      <c r="B16" s="188" t="s">
        <v>809</v>
      </c>
      <c r="C16" s="189">
        <v>2058684</v>
      </c>
      <c r="D16" s="118"/>
    </row>
    <row r="17" spans="1:3" s="190" customFormat="1" ht="20.100000000000001" customHeight="1">
      <c r="A17" s="187" t="s">
        <v>281</v>
      </c>
      <c r="B17" s="188" t="s">
        <v>282</v>
      </c>
      <c r="C17" s="189">
        <v>1297834</v>
      </c>
    </row>
    <row r="18" spans="1:3" s="190" customFormat="1" ht="20.100000000000001" customHeight="1">
      <c r="A18" s="184">
        <v>3</v>
      </c>
      <c r="B18" s="185" t="s">
        <v>283</v>
      </c>
      <c r="C18" s="186">
        <v>344450</v>
      </c>
    </row>
    <row r="19" spans="1:3" s="19" customFormat="1" ht="20.100000000000001" customHeight="1">
      <c r="A19" s="178" t="s">
        <v>654</v>
      </c>
      <c r="B19" s="179" t="s">
        <v>284</v>
      </c>
      <c r="C19" s="180">
        <v>700000</v>
      </c>
    </row>
    <row r="20" spans="1:3" s="19" customFormat="1" ht="20.100000000000001" customHeight="1">
      <c r="A20" s="178" t="s">
        <v>661</v>
      </c>
      <c r="B20" s="179" t="s">
        <v>552</v>
      </c>
      <c r="C20" s="180">
        <f>C21+C26+C27</f>
        <v>8730076</v>
      </c>
    </row>
    <row r="21" spans="1:3" s="19" customFormat="1" ht="20.100000000000001" customHeight="1">
      <c r="A21" s="178" t="s">
        <v>641</v>
      </c>
      <c r="B21" s="179" t="s">
        <v>756</v>
      </c>
      <c r="C21" s="180">
        <f>SUM(C22:C25)</f>
        <v>7269226</v>
      </c>
    </row>
    <row r="22" spans="1:3" ht="20.100000000000001" customHeight="1">
      <c r="A22" s="780">
        <v>1</v>
      </c>
      <c r="B22" s="781" t="s">
        <v>285</v>
      </c>
      <c r="C22" s="782">
        <v>1246800</v>
      </c>
    </row>
    <row r="23" spans="1:3" ht="20.100000000000001" customHeight="1">
      <c r="A23" s="780">
        <v>2</v>
      </c>
      <c r="B23" s="781" t="s">
        <v>697</v>
      </c>
      <c r="C23" s="782">
        <v>5862166</v>
      </c>
    </row>
    <row r="24" spans="1:3" ht="20.100000000000001" customHeight="1">
      <c r="A24" s="780">
        <v>3</v>
      </c>
      <c r="B24" s="781" t="s">
        <v>415</v>
      </c>
      <c r="C24" s="782">
        <v>2000</v>
      </c>
    </row>
    <row r="25" spans="1:3" ht="20.100000000000001" customHeight="1">
      <c r="A25" s="780">
        <v>4</v>
      </c>
      <c r="B25" s="781" t="s">
        <v>726</v>
      </c>
      <c r="C25" s="782">
        <v>158260</v>
      </c>
    </row>
    <row r="26" spans="1:3" s="19" customFormat="1" ht="20.100000000000001" customHeight="1">
      <c r="A26" s="178" t="s">
        <v>654</v>
      </c>
      <c r="B26" s="194" t="s">
        <v>287</v>
      </c>
      <c r="C26" s="180">
        <v>760850</v>
      </c>
    </row>
    <row r="27" spans="1:3" s="19" customFormat="1" ht="20.100000000000001" customHeight="1">
      <c r="A27" s="195" t="s">
        <v>685</v>
      </c>
      <c r="B27" s="196" t="s">
        <v>760</v>
      </c>
      <c r="C27" s="197">
        <v>700000</v>
      </c>
    </row>
    <row r="28" spans="1:3">
      <c r="C28" s="647"/>
    </row>
  </sheetData>
  <mergeCells count="1">
    <mergeCell ref="A3:C3"/>
  </mergeCells>
  <phoneticPr fontId="2" type="noConversion"/>
  <printOptions horizontalCentered="1"/>
  <pageMargins left="0.7" right="0" top="0.77" bottom="0.59055118110236227" header="0.19685039370078741" footer="0.19685039370078741"/>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sheetPr codeName="Sheet26">
    <tabColor indexed="13"/>
  </sheetPr>
  <dimension ref="A1:E28"/>
  <sheetViews>
    <sheetView workbookViewId="0">
      <selection activeCell="C1" sqref="C1"/>
    </sheetView>
  </sheetViews>
  <sheetFormatPr defaultRowHeight="15.75"/>
  <cols>
    <col min="1" max="1" width="5.375" style="775" customWidth="1"/>
    <col min="2" max="2" width="56.75" style="775" customWidth="1"/>
    <col min="3" max="3" width="20.5" style="775" customWidth="1"/>
    <col min="4" max="4" width="9.625" style="775" customWidth="1"/>
    <col min="5" max="5" width="8.875" style="775" bestFit="1" customWidth="1"/>
    <col min="6" max="16384" width="9" style="775"/>
  </cols>
  <sheetData>
    <row r="1" spans="1:5" ht="20.45" customHeight="1">
      <c r="A1" s="17" t="s">
        <v>753</v>
      </c>
      <c r="B1" s="173"/>
      <c r="C1" s="835" t="s">
        <v>986</v>
      </c>
    </row>
    <row r="2" spans="1:5" ht="13.15" customHeight="1">
      <c r="A2" s="19"/>
      <c r="B2" s="19"/>
      <c r="C2" s="19"/>
    </row>
    <row r="3" spans="1:5" ht="25.15" customHeight="1">
      <c r="A3" s="681" t="s">
        <v>970</v>
      </c>
      <c r="B3" s="682"/>
      <c r="C3" s="682"/>
    </row>
    <row r="4" spans="1:5" ht="25.15" customHeight="1">
      <c r="C4" s="604" t="s">
        <v>766</v>
      </c>
    </row>
    <row r="5" spans="1:5" s="644" customFormat="1" ht="31.5">
      <c r="A5" s="645" t="s">
        <v>72</v>
      </c>
      <c r="B5" s="645" t="s">
        <v>690</v>
      </c>
      <c r="C5" s="645" t="s">
        <v>971</v>
      </c>
    </row>
    <row r="6" spans="1:5" s="19" customFormat="1">
      <c r="A6" s="178"/>
      <c r="B6" s="179" t="s">
        <v>289</v>
      </c>
      <c r="C6" s="180">
        <f>+C7+C10+C14+C15</f>
        <v>7499611</v>
      </c>
      <c r="D6" s="2"/>
      <c r="E6" s="2"/>
    </row>
    <row r="7" spans="1:5" s="19" customFormat="1">
      <c r="A7" s="178" t="s">
        <v>641</v>
      </c>
      <c r="B7" s="179" t="s">
        <v>290</v>
      </c>
      <c r="C7" s="180">
        <f>C8+C9</f>
        <v>3261585</v>
      </c>
    </row>
    <row r="8" spans="1:5" s="190" customFormat="1">
      <c r="A8" s="187">
        <v>1</v>
      </c>
      <c r="B8" s="188" t="s">
        <v>383</v>
      </c>
      <c r="C8" s="189">
        <v>129970</v>
      </c>
    </row>
    <row r="9" spans="1:5" s="190" customFormat="1">
      <c r="A9" s="187">
        <v>2</v>
      </c>
      <c r="B9" s="200" t="s">
        <v>384</v>
      </c>
      <c r="C9" s="189">
        <v>3131615</v>
      </c>
    </row>
    <row r="10" spans="1:5" s="19" customFormat="1">
      <c r="A10" s="178" t="s">
        <v>654</v>
      </c>
      <c r="B10" s="179" t="s">
        <v>385</v>
      </c>
      <c r="C10" s="180">
        <f>C11+C12</f>
        <v>3232836</v>
      </c>
      <c r="D10" s="2"/>
    </row>
    <row r="11" spans="1:5" s="190" customFormat="1">
      <c r="A11" s="187">
        <v>1</v>
      </c>
      <c r="B11" s="188" t="s">
        <v>808</v>
      </c>
      <c r="C11" s="189">
        <v>1174152</v>
      </c>
    </row>
    <row r="12" spans="1:5" s="190" customFormat="1">
      <c r="A12" s="187">
        <v>2</v>
      </c>
      <c r="B12" s="188" t="s">
        <v>660</v>
      </c>
      <c r="C12" s="189">
        <v>2058684</v>
      </c>
    </row>
    <row r="13" spans="1:5" s="19" customFormat="1" hidden="1">
      <c r="A13" s="178" t="s">
        <v>685</v>
      </c>
      <c r="B13" s="179" t="s">
        <v>283</v>
      </c>
      <c r="C13" s="180">
        <v>88100</v>
      </c>
    </row>
    <row r="14" spans="1:5" s="19" customFormat="1">
      <c r="A14" s="178" t="s">
        <v>686</v>
      </c>
      <c r="B14" s="179" t="s">
        <v>283</v>
      </c>
      <c r="C14" s="180">
        <v>305190</v>
      </c>
    </row>
    <row r="15" spans="1:5" s="19" customFormat="1">
      <c r="A15" s="178" t="s">
        <v>685</v>
      </c>
      <c r="B15" s="179" t="s">
        <v>386</v>
      </c>
      <c r="C15" s="180">
        <v>700000</v>
      </c>
    </row>
    <row r="16" spans="1:5" s="19" customFormat="1">
      <c r="A16" s="178" t="s">
        <v>657</v>
      </c>
      <c r="B16" s="179" t="s">
        <v>387</v>
      </c>
      <c r="C16" s="180">
        <f>C17+C24+C25+C28</f>
        <v>7499611</v>
      </c>
      <c r="D16" s="2"/>
      <c r="E16" s="2"/>
    </row>
    <row r="17" spans="1:4" s="214" customFormat="1">
      <c r="A17" s="215" t="s">
        <v>641</v>
      </c>
      <c r="B17" s="642" t="s">
        <v>388</v>
      </c>
      <c r="C17" s="212">
        <f>C18+C21+C22+C23</f>
        <v>2698695</v>
      </c>
      <c r="D17" s="213"/>
    </row>
    <row r="18" spans="1:4" s="214" customFormat="1">
      <c r="A18" s="211">
        <v>1</v>
      </c>
      <c r="B18" s="36" t="s">
        <v>666</v>
      </c>
      <c r="C18" s="212">
        <v>530800</v>
      </c>
      <c r="D18" s="213"/>
    </row>
    <row r="19" spans="1:4" s="210" customFormat="1">
      <c r="A19" s="207"/>
      <c r="B19" s="117" t="s">
        <v>964</v>
      </c>
      <c r="C19" s="208">
        <v>105000</v>
      </c>
      <c r="D19" s="209"/>
    </row>
    <row r="20" spans="1:4" s="210" customFormat="1">
      <c r="A20" s="207"/>
      <c r="B20" s="117" t="s">
        <v>576</v>
      </c>
      <c r="C20" s="208">
        <v>44000</v>
      </c>
      <c r="D20" s="209"/>
    </row>
    <row r="21" spans="1:4" s="214" customFormat="1">
      <c r="A21" s="211">
        <v>2</v>
      </c>
      <c r="B21" s="36" t="s">
        <v>697</v>
      </c>
      <c r="C21" s="212">
        <v>2077625</v>
      </c>
      <c r="D21" s="213"/>
    </row>
    <row r="22" spans="1:4" s="214" customFormat="1">
      <c r="A22" s="211">
        <v>3</v>
      </c>
      <c r="B22" s="36" t="s">
        <v>405</v>
      </c>
      <c r="C22" s="212">
        <v>2000</v>
      </c>
      <c r="D22" s="213"/>
    </row>
    <row r="23" spans="1:4" s="214" customFormat="1">
      <c r="A23" s="211">
        <v>4</v>
      </c>
      <c r="B23" s="36" t="s">
        <v>726</v>
      </c>
      <c r="C23" s="212">
        <v>88270</v>
      </c>
      <c r="D23" s="213"/>
    </row>
    <row r="24" spans="1:4" s="214" customFormat="1">
      <c r="A24" s="215" t="s">
        <v>654</v>
      </c>
      <c r="B24" s="642" t="s">
        <v>687</v>
      </c>
      <c r="C24" s="212">
        <v>760850</v>
      </c>
      <c r="D24" s="213"/>
    </row>
    <row r="25" spans="1:4" s="19" customFormat="1">
      <c r="A25" s="178" t="s">
        <v>685</v>
      </c>
      <c r="B25" s="179" t="s">
        <v>406</v>
      </c>
      <c r="C25" s="180">
        <f>C26+C27</f>
        <v>3340066</v>
      </c>
    </row>
    <row r="26" spans="1:4" s="190" customFormat="1">
      <c r="A26" s="187">
        <v>1</v>
      </c>
      <c r="B26" s="188" t="s">
        <v>808</v>
      </c>
      <c r="C26" s="189">
        <v>1153620</v>
      </c>
    </row>
    <row r="27" spans="1:4" s="190" customFormat="1">
      <c r="A27" s="187">
        <v>2</v>
      </c>
      <c r="B27" s="188" t="s">
        <v>660</v>
      </c>
      <c r="C27" s="189">
        <v>2186446</v>
      </c>
    </row>
    <row r="28" spans="1:4" s="19" customFormat="1">
      <c r="A28" s="195" t="s">
        <v>686</v>
      </c>
      <c r="B28" s="196" t="s">
        <v>760</v>
      </c>
      <c r="C28" s="197">
        <v>700000</v>
      </c>
    </row>
  </sheetData>
  <mergeCells count="1">
    <mergeCell ref="A3:C3"/>
  </mergeCells>
  <phoneticPr fontId="2" type="noConversion"/>
  <printOptions horizontalCentered="1"/>
  <pageMargins left="0.55118110236220474" right="0" top="0.59055118110236227" bottom="0.59055118110236227" header="0.19685039370078741" footer="0.1968503937007874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4">
    <tabColor rgb="FFFF0000"/>
    <pageSetUpPr fitToPage="1"/>
  </sheetPr>
  <dimension ref="A1:Q41"/>
  <sheetViews>
    <sheetView zoomScale="80" workbookViewId="0">
      <pane xSplit="3" ySplit="6" topLeftCell="D14"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6.5"/>
  <cols>
    <col min="1" max="1" width="4.25" style="68" customWidth="1"/>
    <col min="2" max="2" width="33.25" style="64" customWidth="1"/>
    <col min="3" max="3" width="10.625" style="64" customWidth="1"/>
    <col min="4" max="5" width="9.625" style="64" customWidth="1"/>
    <col min="6" max="6" width="9.375" style="64" customWidth="1"/>
    <col min="7" max="7" width="10.375" style="64" customWidth="1"/>
    <col min="8" max="8" width="9.25" style="64" customWidth="1"/>
    <col min="9" max="9" width="9.75" style="64" customWidth="1"/>
    <col min="10" max="10" width="9.625" style="64" customWidth="1"/>
    <col min="11" max="11" width="9.125" style="64" customWidth="1"/>
    <col min="12" max="12" width="17.5" style="64" customWidth="1"/>
    <col min="13" max="13" width="16.375" style="64" customWidth="1"/>
    <col min="14" max="14" width="13.875" style="64" customWidth="1"/>
    <col min="15" max="15" width="16.625" style="64" customWidth="1"/>
    <col min="16" max="16" width="17" style="64" customWidth="1"/>
    <col min="17" max="17" width="16.75" style="64" customWidth="1"/>
    <col min="18" max="16384" width="9" style="64"/>
  </cols>
  <sheetData>
    <row r="1" spans="1:17">
      <c r="A1" s="681" t="s">
        <v>875</v>
      </c>
      <c r="B1" s="682"/>
      <c r="C1" s="682"/>
      <c r="D1" s="682"/>
      <c r="E1" s="682"/>
      <c r="F1" s="682"/>
      <c r="G1" s="682"/>
      <c r="H1" s="682"/>
      <c r="I1" s="682"/>
      <c r="J1" s="682"/>
      <c r="K1" s="682"/>
      <c r="L1" s="61"/>
      <c r="M1" s="61"/>
      <c r="N1" s="61"/>
      <c r="O1" s="61"/>
      <c r="P1" s="61"/>
      <c r="Q1" s="61"/>
    </row>
    <row r="2" spans="1:17">
      <c r="A2" s="18"/>
      <c r="B2" s="18"/>
      <c r="C2" s="18"/>
      <c r="D2" s="18"/>
      <c r="E2" s="18"/>
      <c r="F2" s="18"/>
      <c r="G2" s="61"/>
      <c r="H2" s="5"/>
      <c r="I2" s="683" t="s">
        <v>728</v>
      </c>
      <c r="J2" s="683"/>
      <c r="K2" s="683"/>
      <c r="L2" s="61"/>
      <c r="M2" s="61"/>
      <c r="N2" s="61"/>
      <c r="O2" s="61"/>
      <c r="P2" s="61"/>
      <c r="Q2" s="61"/>
    </row>
    <row r="3" spans="1:17" s="65" customFormat="1" ht="17.25" customHeight="1">
      <c r="A3" s="684" t="s">
        <v>689</v>
      </c>
      <c r="B3" s="684" t="s">
        <v>690</v>
      </c>
      <c r="C3" s="686" t="s">
        <v>620</v>
      </c>
      <c r="D3" s="686"/>
      <c r="E3" s="686"/>
      <c r="F3" s="678" t="s">
        <v>868</v>
      </c>
      <c r="G3" s="679"/>
      <c r="H3" s="680"/>
      <c r="I3" s="678" t="s">
        <v>869</v>
      </c>
      <c r="J3" s="679"/>
      <c r="K3" s="680"/>
      <c r="L3" s="678" t="s">
        <v>870</v>
      </c>
      <c r="M3" s="679"/>
      <c r="N3" s="680"/>
      <c r="O3" s="678" t="s">
        <v>871</v>
      </c>
      <c r="P3" s="679"/>
      <c r="Q3" s="680"/>
    </row>
    <row r="4" spans="1:17" s="65" customFormat="1">
      <c r="A4" s="685"/>
      <c r="B4" s="685"/>
      <c r="C4" s="62" t="s">
        <v>691</v>
      </c>
      <c r="D4" s="71" t="s">
        <v>741</v>
      </c>
      <c r="E4" s="71" t="s">
        <v>742</v>
      </c>
      <c r="F4" s="62" t="s">
        <v>691</v>
      </c>
      <c r="G4" s="71" t="s">
        <v>741</v>
      </c>
      <c r="H4" s="71" t="s">
        <v>742</v>
      </c>
      <c r="I4" s="62" t="s">
        <v>691</v>
      </c>
      <c r="J4" s="71" t="s">
        <v>741</v>
      </c>
      <c r="K4" s="71" t="s">
        <v>742</v>
      </c>
      <c r="L4" s="62" t="s">
        <v>691</v>
      </c>
      <c r="M4" s="70" t="s">
        <v>692</v>
      </c>
      <c r="N4" s="70" t="s">
        <v>693</v>
      </c>
      <c r="O4" s="62" t="s">
        <v>691</v>
      </c>
      <c r="P4" s="70" t="s">
        <v>692</v>
      </c>
      <c r="Q4" s="70" t="s">
        <v>693</v>
      </c>
    </row>
    <row r="5" spans="1:17" s="65" customFormat="1" hidden="1">
      <c r="A5" s="72" t="s">
        <v>639</v>
      </c>
      <c r="B5" s="76" t="s">
        <v>642</v>
      </c>
      <c r="C5" s="77">
        <f>'Phụ lục số 1'!C13</f>
        <v>3345220</v>
      </c>
      <c r="D5" s="77" t="e">
        <f>C5-E5</f>
        <v>#REF!</v>
      </c>
      <c r="E5" s="77" t="e">
        <f>#REF!</f>
        <v>#REF!</v>
      </c>
      <c r="F5" s="77">
        <f>'Phụ lục số 1'!H13</f>
        <v>2597700</v>
      </c>
      <c r="G5" s="77" t="e">
        <f>F5-H5</f>
        <v>#REF!</v>
      </c>
      <c r="H5" s="77" t="e">
        <f>#REF!</f>
        <v>#REF!</v>
      </c>
      <c r="I5" s="77">
        <f>'Phụ lục số 1'!N13</f>
        <v>2873000</v>
      </c>
      <c r="J5" s="77" t="e">
        <f>I5-K5</f>
        <v>#REF!</v>
      </c>
      <c r="K5" s="77" t="e">
        <f>#REF!</f>
        <v>#REF!</v>
      </c>
      <c r="L5" s="77"/>
      <c r="M5" s="77"/>
      <c r="N5" s="77"/>
      <c r="O5" s="77"/>
      <c r="P5" s="77"/>
      <c r="Q5" s="77"/>
    </row>
    <row r="6" spans="1:17" s="65" customFormat="1">
      <c r="A6" s="72" t="s">
        <v>639</v>
      </c>
      <c r="B6" s="76" t="s">
        <v>729</v>
      </c>
      <c r="C6" s="388">
        <f t="shared" ref="C6:C16" si="0">SUM(D6:E6)</f>
        <v>9425006</v>
      </c>
      <c r="D6" s="388">
        <f t="shared" ref="D6:K6" si="1">SUM(D7,D10,D14,D15,D16)</f>
        <v>5470502</v>
      </c>
      <c r="E6" s="388">
        <f t="shared" si="1"/>
        <v>3954504</v>
      </c>
      <c r="F6" s="388">
        <f t="shared" si="1"/>
        <v>9338501</v>
      </c>
      <c r="G6" s="388">
        <f t="shared" si="1"/>
        <v>5697607</v>
      </c>
      <c r="H6" s="388">
        <f t="shared" si="1"/>
        <v>3640894</v>
      </c>
      <c r="I6" s="388">
        <f t="shared" si="1"/>
        <v>10770095</v>
      </c>
      <c r="J6" s="388">
        <f t="shared" si="1"/>
        <v>6414884</v>
      </c>
      <c r="K6" s="388">
        <f t="shared" si="1"/>
        <v>4355211</v>
      </c>
      <c r="L6" s="78" t="s">
        <v>873</v>
      </c>
      <c r="M6" s="79"/>
      <c r="N6" s="80"/>
      <c r="O6" s="78" t="s">
        <v>872</v>
      </c>
      <c r="P6" s="79"/>
      <c r="Q6" s="80"/>
    </row>
    <row r="7" spans="1:17" s="65" customFormat="1">
      <c r="A7" s="81" t="s">
        <v>641</v>
      </c>
      <c r="B7" s="82" t="s">
        <v>694</v>
      </c>
      <c r="C7" s="392">
        <f t="shared" si="0"/>
        <v>3251820</v>
      </c>
      <c r="D7" s="392">
        <f>'Phụ lục số 1'!F13</f>
        <v>1735230</v>
      </c>
      <c r="E7" s="392">
        <f>'Phụ lục số 1'!G12</f>
        <v>1516590</v>
      </c>
      <c r="F7" s="392">
        <f t="shared" ref="F7:F16" si="2">SUM(G7:H7)</f>
        <v>2488300</v>
      </c>
      <c r="G7" s="392">
        <f>'Phụ lục số 1'!L13</f>
        <v>1562335</v>
      </c>
      <c r="H7" s="392">
        <f>'Phụ lục số 1'!M13</f>
        <v>925965</v>
      </c>
      <c r="I7" s="392">
        <f t="shared" ref="I7:I16" si="3">SUM(J7:K7)</f>
        <v>2754600</v>
      </c>
      <c r="J7" s="392">
        <f>'Phụ lục số 1'!R13</f>
        <v>1731300</v>
      </c>
      <c r="K7" s="392">
        <f>'Phụ lục số 1'!S13</f>
        <v>1023300</v>
      </c>
      <c r="L7" s="520">
        <f>M7+N7</f>
        <v>-763520</v>
      </c>
      <c r="M7" s="520">
        <f>G7-D7</f>
        <v>-172895</v>
      </c>
      <c r="N7" s="520">
        <f>H7-E7</f>
        <v>-590625</v>
      </c>
      <c r="O7" s="520">
        <f>I7-C7</f>
        <v>-497220</v>
      </c>
      <c r="P7" s="520">
        <f>J7-D7</f>
        <v>-3930</v>
      </c>
      <c r="Q7" s="520">
        <f>K7-E7</f>
        <v>-493290</v>
      </c>
    </row>
    <row r="8" spans="1:17" s="65" customFormat="1">
      <c r="A8" s="81"/>
      <c r="B8" s="82" t="s">
        <v>730</v>
      </c>
      <c r="C8" s="392">
        <f t="shared" si="0"/>
        <v>350000</v>
      </c>
      <c r="D8" s="392">
        <f>'Phụ lục số 1'!F48</f>
        <v>0</v>
      </c>
      <c r="E8" s="392">
        <f>'Phụ lục số 1'!G48</f>
        <v>350000</v>
      </c>
      <c r="F8" s="392">
        <f t="shared" si="2"/>
        <v>200000</v>
      </c>
      <c r="G8" s="392">
        <f>'Phụ lục số 1'!L48</f>
        <v>0</v>
      </c>
      <c r="H8" s="392">
        <f>'Phụ lục số 1'!M48</f>
        <v>200000</v>
      </c>
      <c r="I8" s="392">
        <f t="shared" si="3"/>
        <v>250000</v>
      </c>
      <c r="J8" s="392">
        <f>'Phụ lục số 1'!R48</f>
        <v>0</v>
      </c>
      <c r="K8" s="392">
        <f>'Phụ lục số 1'!S48</f>
        <v>250000</v>
      </c>
      <c r="L8" s="78" t="s">
        <v>737</v>
      </c>
      <c r="M8" s="79"/>
      <c r="N8" s="80"/>
      <c r="O8" s="78" t="s">
        <v>737</v>
      </c>
      <c r="P8" s="79"/>
      <c r="Q8" s="80"/>
    </row>
    <row r="9" spans="1:17" s="65" customFormat="1">
      <c r="A9" s="81"/>
      <c r="B9" s="82" t="s">
        <v>731</v>
      </c>
      <c r="C9" s="392">
        <f t="shared" si="0"/>
        <v>2901820</v>
      </c>
      <c r="D9" s="392">
        <f>D7-D8</f>
        <v>1735230</v>
      </c>
      <c r="E9" s="392">
        <f>E7-E8</f>
        <v>1166590</v>
      </c>
      <c r="F9" s="392">
        <f t="shared" si="2"/>
        <v>2288300</v>
      </c>
      <c r="G9" s="392">
        <f>G7-G8</f>
        <v>1562335</v>
      </c>
      <c r="H9" s="392">
        <f>H7-H8</f>
        <v>725965</v>
      </c>
      <c r="I9" s="392">
        <f t="shared" si="3"/>
        <v>2504600</v>
      </c>
      <c r="J9" s="392">
        <f>J7-J8</f>
        <v>1731300</v>
      </c>
      <c r="K9" s="392">
        <f>K7-K8</f>
        <v>773300</v>
      </c>
      <c r="L9" s="520">
        <f>M9+N9</f>
        <v>-150000</v>
      </c>
      <c r="M9" s="520">
        <f>G8-D8</f>
        <v>0</v>
      </c>
      <c r="N9" s="520">
        <f>H8-E8</f>
        <v>-150000</v>
      </c>
      <c r="O9" s="520">
        <f>P9+Q9</f>
        <v>-100000</v>
      </c>
      <c r="P9" s="520">
        <f>J8-D8</f>
        <v>0</v>
      </c>
      <c r="Q9" s="520">
        <f>K8-E8</f>
        <v>-100000</v>
      </c>
    </row>
    <row r="10" spans="1:17" s="65" customFormat="1">
      <c r="A10" s="81" t="s">
        <v>654</v>
      </c>
      <c r="B10" s="82" t="s">
        <v>695</v>
      </c>
      <c r="C10" s="392">
        <f t="shared" si="0"/>
        <v>5710986</v>
      </c>
      <c r="D10" s="392">
        <f>'Phụ lục số 1'!F56</f>
        <v>3335272</v>
      </c>
      <c r="E10" s="392">
        <f>2306222+(30323+39169)</f>
        <v>2375714</v>
      </c>
      <c r="F10" s="392">
        <f t="shared" si="2"/>
        <v>5988001</v>
      </c>
      <c r="G10" s="392">
        <f>'Phụ lục số 1'!L56</f>
        <v>3335272</v>
      </c>
      <c r="H10" s="392">
        <f>2375714+(46000+12000+110570)+108445</f>
        <v>2652729</v>
      </c>
      <c r="I10" s="392">
        <f t="shared" si="3"/>
        <v>7258645</v>
      </c>
      <c r="J10" s="392">
        <f>J11+J12</f>
        <v>3995484</v>
      </c>
      <c r="K10" s="392">
        <f>'Phụ lục số 5'!E22</f>
        <v>3263161</v>
      </c>
      <c r="L10" s="78" t="s">
        <v>735</v>
      </c>
      <c r="M10" s="79"/>
      <c r="N10" s="80"/>
      <c r="O10" s="78" t="s">
        <v>626</v>
      </c>
      <c r="P10" s="79"/>
      <c r="Q10" s="80"/>
    </row>
    <row r="11" spans="1:17" s="65" customFormat="1">
      <c r="A11" s="81">
        <v>1</v>
      </c>
      <c r="B11" s="82" t="s">
        <v>808</v>
      </c>
      <c r="C11" s="392">
        <f t="shared" si="0"/>
        <v>1174152</v>
      </c>
      <c r="D11" s="392">
        <f>'Phụ lục số 1'!C57</f>
        <v>1174152</v>
      </c>
      <c r="E11" s="392">
        <f>'Phụ lục số 1'!M57</f>
        <v>0</v>
      </c>
      <c r="F11" s="392">
        <f t="shared" si="2"/>
        <v>1174152</v>
      </c>
      <c r="G11" s="392">
        <f>'Phụ lục số 1'!L57</f>
        <v>1174152</v>
      </c>
      <c r="H11" s="392">
        <f>'Phụ lục số 1'!M57</f>
        <v>0</v>
      </c>
      <c r="I11" s="392">
        <f t="shared" si="3"/>
        <v>1174152</v>
      </c>
      <c r="J11" s="392">
        <f>'Phụ lục số 1'!R57</f>
        <v>1174152</v>
      </c>
      <c r="K11" s="392">
        <f>'Phụ lục số 1'!S57</f>
        <v>0</v>
      </c>
      <c r="L11" s="78"/>
      <c r="M11" s="79"/>
      <c r="N11" s="80"/>
      <c r="O11" s="78"/>
      <c r="P11" s="79"/>
      <c r="Q11" s="80"/>
    </row>
    <row r="12" spans="1:17" s="65" customFormat="1">
      <c r="A12" s="81">
        <v>2</v>
      </c>
      <c r="B12" s="82" t="s">
        <v>809</v>
      </c>
      <c r="C12" s="392">
        <f t="shared" si="0"/>
        <v>2161120</v>
      </c>
      <c r="D12" s="392">
        <f>'Phụ lục số 1'!C58</f>
        <v>2161120</v>
      </c>
      <c r="E12" s="392">
        <f>'Phụ lục số 1'!M58</f>
        <v>0</v>
      </c>
      <c r="F12" s="392">
        <f t="shared" si="2"/>
        <v>2161120</v>
      </c>
      <c r="G12" s="392">
        <f>'Phụ lục số 1'!L58</f>
        <v>2161120</v>
      </c>
      <c r="H12" s="392">
        <f>'Phụ lục số 1'!M58</f>
        <v>0</v>
      </c>
      <c r="I12" s="392">
        <f t="shared" si="3"/>
        <v>2821332</v>
      </c>
      <c r="J12" s="392">
        <f>'Phụ lục số 1'!R58</f>
        <v>2821332</v>
      </c>
      <c r="K12" s="392">
        <f>'Phụ lục số 1'!S58</f>
        <v>0</v>
      </c>
      <c r="L12" s="78"/>
      <c r="M12" s="79"/>
      <c r="N12" s="80"/>
      <c r="O12" s="78"/>
      <c r="P12" s="79"/>
      <c r="Q12" s="80"/>
    </row>
    <row r="13" spans="1:17" s="65" customFormat="1">
      <c r="A13" s="81"/>
      <c r="B13" s="82" t="s">
        <v>810</v>
      </c>
      <c r="C13" s="392">
        <f t="shared" si="0"/>
        <v>834939</v>
      </c>
      <c r="D13" s="385">
        <v>834939</v>
      </c>
      <c r="E13" s="392">
        <v>0</v>
      </c>
      <c r="F13" s="392">
        <f t="shared" si="2"/>
        <v>501579</v>
      </c>
      <c r="G13" s="392">
        <f>167089+334490</f>
        <v>501579</v>
      </c>
      <c r="H13" s="392">
        <v>0</v>
      </c>
      <c r="I13" s="392">
        <f t="shared" si="3"/>
        <v>1370382</v>
      </c>
      <c r="J13" s="392">
        <f>(167089+667850)+215423+320020</f>
        <v>1370382</v>
      </c>
      <c r="K13" s="392">
        <v>0</v>
      </c>
      <c r="L13" s="78"/>
      <c r="M13" s="79"/>
      <c r="N13" s="80"/>
      <c r="O13" s="78"/>
      <c r="P13" s="79"/>
      <c r="Q13" s="80"/>
    </row>
    <row r="14" spans="1:17" s="65" customFormat="1">
      <c r="A14" s="81" t="s">
        <v>685</v>
      </c>
      <c r="B14" s="82" t="s">
        <v>749</v>
      </c>
      <c r="C14" s="392">
        <f t="shared" si="0"/>
        <v>400000</v>
      </c>
      <c r="D14" s="392">
        <f>'Phụ lục số 1'!F63</f>
        <v>400000</v>
      </c>
      <c r="E14" s="392">
        <v>0</v>
      </c>
      <c r="F14" s="392">
        <f t="shared" si="2"/>
        <v>800000</v>
      </c>
      <c r="G14" s="392">
        <f>'Phụ lục số 1'!L63</f>
        <v>800000</v>
      </c>
      <c r="H14" s="392">
        <f>'Phụ lục số 1'!M63</f>
        <v>0</v>
      </c>
      <c r="I14" s="392">
        <f t="shared" si="3"/>
        <v>600000</v>
      </c>
      <c r="J14" s="392">
        <f>'Phụ lục số 1'!R63</f>
        <v>600000</v>
      </c>
      <c r="K14" s="392">
        <f>'Phụ lục số 1'!S63</f>
        <v>0</v>
      </c>
      <c r="L14" s="520">
        <f>M14+N14</f>
        <v>-613520</v>
      </c>
      <c r="M14" s="520">
        <f>G9-D9</f>
        <v>-172895</v>
      </c>
      <c r="N14" s="520">
        <f>N7-N9</f>
        <v>-440625</v>
      </c>
      <c r="O14" s="520">
        <f>P14+Q14</f>
        <v>-397220</v>
      </c>
      <c r="P14" s="520">
        <f>(J9-D9)</f>
        <v>-3930</v>
      </c>
      <c r="Q14" s="520">
        <f>K9-E9</f>
        <v>-393290</v>
      </c>
    </row>
    <row r="15" spans="1:17" s="66" customFormat="1">
      <c r="A15" s="81" t="s">
        <v>686</v>
      </c>
      <c r="B15" s="82" t="s">
        <v>765</v>
      </c>
      <c r="C15" s="392">
        <f t="shared" si="0"/>
        <v>62200</v>
      </c>
      <c r="D15" s="392">
        <f>'Phụ lục số 1'!F64</f>
        <v>0</v>
      </c>
      <c r="E15" s="392">
        <f>'Phụ lục số 1'!G64</f>
        <v>62200</v>
      </c>
      <c r="F15" s="392">
        <f t="shared" si="2"/>
        <v>62200</v>
      </c>
      <c r="G15" s="392">
        <f>'Phụ lục số 1'!L64</f>
        <v>0</v>
      </c>
      <c r="H15" s="392">
        <f>'Phụ lục số 1'!M64</f>
        <v>62200</v>
      </c>
      <c r="I15" s="392">
        <f t="shared" si="3"/>
        <v>156850</v>
      </c>
      <c r="J15" s="392">
        <f>'Phụ lục số 1'!R64</f>
        <v>88100</v>
      </c>
      <c r="K15" s="392">
        <f>'Phụ lục số 1'!S64</f>
        <v>68750</v>
      </c>
      <c r="L15" s="84"/>
      <c r="M15" s="79"/>
      <c r="N15" s="80"/>
      <c r="O15" s="84"/>
      <c r="P15" s="79"/>
      <c r="Q15" s="80"/>
    </row>
    <row r="16" spans="1:17" s="66" customFormat="1">
      <c r="A16" s="81" t="s">
        <v>711</v>
      </c>
      <c r="B16" s="75" t="s">
        <v>583</v>
      </c>
      <c r="C16" s="392">
        <f t="shared" si="0"/>
        <v>0</v>
      </c>
      <c r="D16" s="392">
        <f>'Phụ lục số 1'!F65</f>
        <v>0</v>
      </c>
      <c r="E16" s="392">
        <f>'Phụ lục số 1'!G65</f>
        <v>0</v>
      </c>
      <c r="F16" s="392">
        <f t="shared" si="2"/>
        <v>0</v>
      </c>
      <c r="G16" s="392">
        <f>'Phụ lục số 1'!L65</f>
        <v>0</v>
      </c>
      <c r="H16" s="392">
        <f>'Phụ lục số 1'!M65</f>
        <v>0</v>
      </c>
      <c r="I16" s="392">
        <f t="shared" si="3"/>
        <v>0</v>
      </c>
      <c r="J16" s="392">
        <f>'Phụ lục số 1'!R65</f>
        <v>0</v>
      </c>
      <c r="K16" s="392">
        <f>'Phụ lục số 1'!S65</f>
        <v>0</v>
      </c>
      <c r="L16" s="84"/>
      <c r="M16" s="79"/>
      <c r="N16" s="80"/>
      <c r="O16" s="84"/>
      <c r="P16" s="79"/>
      <c r="Q16" s="80"/>
    </row>
    <row r="17" spans="1:17" s="65" customFormat="1">
      <c r="A17" s="72" t="s">
        <v>657</v>
      </c>
      <c r="B17" s="76" t="s">
        <v>761</v>
      </c>
      <c r="C17" s="388">
        <f t="shared" ref="C17:K17" si="4">SUM(C18:C22,C27:C35)</f>
        <v>9425006.2653913051</v>
      </c>
      <c r="D17" s="388">
        <f t="shared" si="4"/>
        <v>5165410.2653913042</v>
      </c>
      <c r="E17" s="388">
        <f t="shared" si="4"/>
        <v>4259596</v>
      </c>
      <c r="F17" s="388">
        <f t="shared" si="4"/>
        <v>9859201.1349565219</v>
      </c>
      <c r="G17" s="388">
        <f t="shared" si="4"/>
        <v>5808465.1349565219</v>
      </c>
      <c r="H17" s="388">
        <f>SUM(H18:H22,H27:H35)</f>
        <v>4050736</v>
      </c>
      <c r="I17" s="388">
        <f t="shared" si="4"/>
        <v>10770095</v>
      </c>
      <c r="J17" s="388">
        <f t="shared" si="4"/>
        <v>6414884</v>
      </c>
      <c r="K17" s="388">
        <f t="shared" si="4"/>
        <v>4355211</v>
      </c>
      <c r="L17" s="78" t="s">
        <v>736</v>
      </c>
      <c r="M17" s="79"/>
      <c r="N17" s="80"/>
      <c r="O17" s="78" t="s">
        <v>736</v>
      </c>
      <c r="P17" s="79"/>
      <c r="Q17" s="80"/>
    </row>
    <row r="18" spans="1:17" s="65" customFormat="1">
      <c r="A18" s="81" t="s">
        <v>641</v>
      </c>
      <c r="B18" s="82" t="s">
        <v>667</v>
      </c>
      <c r="C18" s="392">
        <f t="shared" ref="C18:C35" si="5">SUM(D18:E18)</f>
        <v>423000</v>
      </c>
      <c r="D18" s="392">
        <f>'Phụ lục số 2'!D14</f>
        <v>208000</v>
      </c>
      <c r="E18" s="392">
        <f>'Phụ lục số 2'!E14</f>
        <v>215000</v>
      </c>
      <c r="F18" s="392">
        <f t="shared" ref="F18:F35" si="6">SUM(G18:H18)</f>
        <v>423000</v>
      </c>
      <c r="G18" s="392">
        <f>'Phụ lục số 2'!I14</f>
        <v>208000</v>
      </c>
      <c r="H18" s="392">
        <f>'Phụ lục số 2'!J14</f>
        <v>215000</v>
      </c>
      <c r="I18" s="392">
        <f t="shared" ref="I18:I35" si="7">SUM(J18:K18)</f>
        <v>423000</v>
      </c>
      <c r="J18" s="392">
        <f>'Phụ lục số 2'!N14</f>
        <v>210000</v>
      </c>
      <c r="K18" s="392">
        <f>'Phụ lục số 2'!O14</f>
        <v>213000</v>
      </c>
      <c r="L18" s="77"/>
      <c r="M18" s="77"/>
      <c r="N18" s="77"/>
      <c r="O18" s="77"/>
      <c r="P18" s="77"/>
      <c r="Q18" s="77"/>
    </row>
    <row r="19" spans="1:17" s="65" customFormat="1">
      <c r="A19" s="81" t="s">
        <v>654</v>
      </c>
      <c r="B19" s="82" t="s">
        <v>696</v>
      </c>
      <c r="C19" s="392">
        <f t="shared" si="5"/>
        <v>350000</v>
      </c>
      <c r="D19" s="392">
        <f>'Phụ lục số 2'!D15</f>
        <v>0</v>
      </c>
      <c r="E19" s="392">
        <f>E8</f>
        <v>350000</v>
      </c>
      <c r="F19" s="392">
        <f t="shared" si="6"/>
        <v>200000</v>
      </c>
      <c r="G19" s="392">
        <f>'Phụ lục số 2'!I15</f>
        <v>0</v>
      </c>
      <c r="H19" s="392">
        <f>H8</f>
        <v>200000</v>
      </c>
      <c r="I19" s="392">
        <f t="shared" si="7"/>
        <v>250000</v>
      </c>
      <c r="J19" s="392">
        <f>'Phụ lục số 2'!N15</f>
        <v>0</v>
      </c>
      <c r="K19" s="392">
        <f>K8</f>
        <v>250000</v>
      </c>
      <c r="L19" s="78"/>
      <c r="M19" s="77"/>
      <c r="N19" s="77"/>
      <c r="O19" s="78"/>
      <c r="P19" s="78"/>
      <c r="Q19" s="78"/>
    </row>
    <row r="20" spans="1:17" s="65" customFormat="1" hidden="1">
      <c r="A20" s="81" t="s">
        <v>685</v>
      </c>
      <c r="B20" s="82" t="s">
        <v>806</v>
      </c>
      <c r="C20" s="392">
        <f t="shared" si="5"/>
        <v>0</v>
      </c>
      <c r="D20" s="392">
        <f>'Phụ lục số 2'!D16</f>
        <v>0</v>
      </c>
      <c r="E20" s="392">
        <f>'Phụ lục số 2'!E16</f>
        <v>0</v>
      </c>
      <c r="F20" s="392">
        <f t="shared" si="6"/>
        <v>0</v>
      </c>
      <c r="G20" s="392">
        <f>'Phụ lục số 2'!I16</f>
        <v>0</v>
      </c>
      <c r="H20" s="392">
        <f>'Phụ lục số 2'!J16</f>
        <v>0</v>
      </c>
      <c r="I20" s="392">
        <f t="shared" si="7"/>
        <v>0</v>
      </c>
      <c r="J20" s="392">
        <f>'Phụ lục số 2'!N16</f>
        <v>0</v>
      </c>
      <c r="K20" s="392">
        <f>'Phụ lục số 2'!O16</f>
        <v>0</v>
      </c>
      <c r="L20" s="78"/>
      <c r="M20" s="77"/>
      <c r="N20" s="77"/>
      <c r="O20" s="78"/>
      <c r="P20" s="77"/>
      <c r="Q20" s="77"/>
    </row>
    <row r="21" spans="1:17" s="65" customFormat="1" hidden="1">
      <c r="A21" s="81" t="s">
        <v>686</v>
      </c>
      <c r="B21" s="82" t="s">
        <v>668</v>
      </c>
      <c r="C21" s="392">
        <f t="shared" si="5"/>
        <v>0</v>
      </c>
      <c r="D21" s="392">
        <f>'Phụ lục số 2'!D17</f>
        <v>0</v>
      </c>
      <c r="E21" s="392">
        <f>'Phụ lục số 2'!E17</f>
        <v>0</v>
      </c>
      <c r="F21" s="392">
        <f t="shared" si="6"/>
        <v>0</v>
      </c>
      <c r="G21" s="392">
        <f>'Phụ lục số 2'!I17</f>
        <v>0</v>
      </c>
      <c r="H21" s="392">
        <f>'Phụ lục số 2'!J17</f>
        <v>0</v>
      </c>
      <c r="I21" s="392">
        <f t="shared" si="7"/>
        <v>0</v>
      </c>
      <c r="J21" s="392">
        <f>'Phụ lục số 2'!N17</f>
        <v>0</v>
      </c>
      <c r="K21" s="392">
        <f>'Phụ lục số 2'!O17</f>
        <v>0</v>
      </c>
      <c r="L21" s="77"/>
      <c r="M21" s="77"/>
      <c r="N21" s="77"/>
      <c r="O21" s="77"/>
      <c r="P21" s="77"/>
      <c r="Q21" s="77"/>
    </row>
    <row r="22" spans="1:17" s="65" customFormat="1">
      <c r="A22" s="85" t="s">
        <v>711</v>
      </c>
      <c r="B22" s="86" t="s">
        <v>697</v>
      </c>
      <c r="C22" s="393">
        <f t="shared" si="5"/>
        <v>5227960.2653913042</v>
      </c>
      <c r="D22" s="393">
        <f>'Phụ lục số 2'!D18</f>
        <v>1746850.2653913044</v>
      </c>
      <c r="E22" s="393">
        <f>'Phụ lục số 2'!E18</f>
        <v>3481110</v>
      </c>
      <c r="F22" s="393">
        <f t="shared" si="6"/>
        <v>5249960.1349565219</v>
      </c>
      <c r="G22" s="393">
        <f>'Phụ lục số 2'!I18</f>
        <v>1768850.1349565217</v>
      </c>
      <c r="H22" s="393">
        <f>'Phụ lục số 2'!J18</f>
        <v>3481110</v>
      </c>
      <c r="I22" s="393">
        <f t="shared" si="7"/>
        <v>5584855</v>
      </c>
      <c r="J22" s="393">
        <f>'Phụ lục số 2'!N18</f>
        <v>1926824</v>
      </c>
      <c r="K22" s="393">
        <f>'Phụ lục số 2'!O18</f>
        <v>3658031</v>
      </c>
      <c r="L22" s="77"/>
      <c r="M22" s="77"/>
      <c r="N22" s="77"/>
      <c r="O22" s="77"/>
      <c r="P22" s="77"/>
      <c r="Q22" s="77"/>
    </row>
    <row r="23" spans="1:17" s="65" customFormat="1">
      <c r="A23" s="81"/>
      <c r="B23" s="82" t="s">
        <v>732</v>
      </c>
      <c r="C23" s="392">
        <f t="shared" si="5"/>
        <v>2442615</v>
      </c>
      <c r="D23" s="392">
        <f>'Phụ lục số 2'!D23</f>
        <v>525000</v>
      </c>
      <c r="E23" s="392">
        <f>'Phụ lục số 2'!E23</f>
        <v>1917615</v>
      </c>
      <c r="F23" s="392">
        <f t="shared" si="6"/>
        <v>2442615</v>
      </c>
      <c r="G23" s="392">
        <f>'Phụ lục số 2'!I23</f>
        <v>525000</v>
      </c>
      <c r="H23" s="392">
        <f>'Phụ lục số 2'!J23</f>
        <v>1917615</v>
      </c>
      <c r="I23" s="392">
        <f t="shared" si="7"/>
        <v>2458715</v>
      </c>
      <c r="J23" s="392">
        <f>'Phụ lục số 2'!N23</f>
        <v>522780</v>
      </c>
      <c r="K23" s="392">
        <f>'Phụ lục số 2'!O23</f>
        <v>1935935</v>
      </c>
      <c r="L23" s="77"/>
      <c r="M23" s="77"/>
      <c r="N23" s="77"/>
      <c r="O23" s="77"/>
      <c r="P23" s="77"/>
      <c r="Q23" s="77"/>
    </row>
    <row r="24" spans="1:17" s="65" customFormat="1">
      <c r="A24" s="81"/>
      <c r="B24" s="82" t="s">
        <v>733</v>
      </c>
      <c r="C24" s="392">
        <f t="shared" si="5"/>
        <v>26000</v>
      </c>
      <c r="D24" s="392">
        <f>'Phụ lục số 2'!D22</f>
        <v>24000</v>
      </c>
      <c r="E24" s="392">
        <f>'Phụ lục số 2'!E22</f>
        <v>2000</v>
      </c>
      <c r="F24" s="392">
        <f t="shared" si="6"/>
        <v>26000</v>
      </c>
      <c r="G24" s="392">
        <f>'Phụ lục số 2'!I22</f>
        <v>24000</v>
      </c>
      <c r="H24" s="392">
        <f>'Phụ lục số 2'!J22</f>
        <v>2000</v>
      </c>
      <c r="I24" s="392">
        <f t="shared" si="7"/>
        <v>26000</v>
      </c>
      <c r="J24" s="392">
        <f>'Phụ lục số 2'!N22</f>
        <v>24000</v>
      </c>
      <c r="K24" s="392">
        <f>'Phụ lục số 2'!O22</f>
        <v>2000</v>
      </c>
      <c r="L24" s="77"/>
      <c r="M24" s="77"/>
      <c r="N24" s="77"/>
      <c r="O24" s="77"/>
      <c r="P24" s="77"/>
      <c r="Q24" s="77"/>
    </row>
    <row r="25" spans="1:17" s="65" customFormat="1">
      <c r="A25" s="81"/>
      <c r="B25" s="82" t="s">
        <v>450</v>
      </c>
      <c r="C25" s="392">
        <f t="shared" si="5"/>
        <v>60200.17391304348</v>
      </c>
      <c r="D25" s="392">
        <f>'Phụ lục số 2'!D20</f>
        <v>28380.17391304348</v>
      </c>
      <c r="E25" s="392">
        <f>'Phụ lục số 2'!E20</f>
        <v>31820</v>
      </c>
      <c r="F25" s="392">
        <f t="shared" si="6"/>
        <v>60200</v>
      </c>
      <c r="G25" s="392">
        <f>'Phụ lục số 2'!I20</f>
        <v>28380</v>
      </c>
      <c r="H25" s="392">
        <f>'Phụ lục số 2'!J20</f>
        <v>31820</v>
      </c>
      <c r="I25" s="392">
        <f t="shared" si="7"/>
        <v>60200</v>
      </c>
      <c r="J25" s="392">
        <f>'Phụ lục số 2'!N20</f>
        <v>27167</v>
      </c>
      <c r="K25" s="392">
        <f>'Phụ lục số 2'!O20</f>
        <v>33033</v>
      </c>
      <c r="L25" s="77"/>
      <c r="M25" s="77"/>
      <c r="N25" s="77"/>
      <c r="O25" s="77"/>
      <c r="P25" s="77"/>
      <c r="Q25" s="77"/>
    </row>
    <row r="26" spans="1:17" s="65" customFormat="1">
      <c r="A26" s="81"/>
      <c r="B26" s="82" t="s">
        <v>731</v>
      </c>
      <c r="C26" s="392">
        <f t="shared" si="5"/>
        <v>2699145.0914782612</v>
      </c>
      <c r="D26" s="392">
        <f>D22-D23-D24-D25</f>
        <v>1169470.0914782609</v>
      </c>
      <c r="E26" s="392">
        <f>E22-E23-E24-E25</f>
        <v>1529675</v>
      </c>
      <c r="F26" s="392">
        <f t="shared" si="6"/>
        <v>2721145.1349565219</v>
      </c>
      <c r="G26" s="392">
        <f>G22-G23-G24-G25</f>
        <v>1191470.1349565217</v>
      </c>
      <c r="H26" s="392">
        <f>H22-H23-H24-H25</f>
        <v>1529675</v>
      </c>
      <c r="I26" s="392">
        <f>SUM(J26:K26)</f>
        <v>3039940</v>
      </c>
      <c r="J26" s="392">
        <f>J22-J23-J24-J25</f>
        <v>1352877</v>
      </c>
      <c r="K26" s="392">
        <f>K22-K23-K24-K25</f>
        <v>1687063</v>
      </c>
      <c r="L26" s="77"/>
      <c r="M26" s="77"/>
      <c r="N26" s="77"/>
      <c r="O26" s="77"/>
      <c r="P26" s="77"/>
      <c r="Q26" s="77"/>
    </row>
    <row r="27" spans="1:17" s="66" customFormat="1">
      <c r="A27" s="81" t="s">
        <v>712</v>
      </c>
      <c r="B27" s="260" t="s">
        <v>787</v>
      </c>
      <c r="C27" s="392">
        <f>SUM(D27:E27)</f>
        <v>0</v>
      </c>
      <c r="D27" s="392">
        <f>'Phụ lục số 2'!D34</f>
        <v>0</v>
      </c>
      <c r="E27" s="392">
        <f>'Phụ lục số 2'!E34</f>
        <v>0</v>
      </c>
      <c r="F27" s="392">
        <f>SUM(G27:H27)</f>
        <v>0</v>
      </c>
      <c r="G27" s="392">
        <f>'Phụ lục số 2'!I34</f>
        <v>0</v>
      </c>
      <c r="H27" s="392">
        <f>'Phụ lục số 2'!J34</f>
        <v>0</v>
      </c>
      <c r="I27" s="392">
        <f>SUM(J27:K27)</f>
        <v>0</v>
      </c>
      <c r="J27" s="392">
        <f>'Phụ lục số 2'!N34</f>
        <v>0</v>
      </c>
      <c r="K27" s="392">
        <f>'Phụ lục số 2'!O34</f>
        <v>0</v>
      </c>
      <c r="L27" s="77"/>
      <c r="M27" s="77"/>
      <c r="N27" s="77"/>
      <c r="O27" s="77"/>
      <c r="P27" s="77"/>
      <c r="Q27" s="77"/>
    </row>
    <row r="28" spans="1:17" s="65" customFormat="1">
      <c r="A28" s="81" t="s">
        <v>762</v>
      </c>
      <c r="B28" s="83" t="s">
        <v>108</v>
      </c>
      <c r="C28" s="392">
        <f>SUM(D28:D28)</f>
        <v>0</v>
      </c>
      <c r="D28" s="392">
        <f>'Phụ lục số 2'!E35</f>
        <v>0</v>
      </c>
      <c r="E28" s="542"/>
      <c r="F28" s="392">
        <f>SUM(G28:H28)</f>
        <v>0</v>
      </c>
      <c r="G28" s="392">
        <f>'Phụ lục số 2'!I35</f>
        <v>0</v>
      </c>
      <c r="H28" s="392">
        <f>'Phụ lục số 2'!J35</f>
        <v>0</v>
      </c>
      <c r="I28" s="392">
        <f>SUM(J28:K28)</f>
        <v>0</v>
      </c>
      <c r="J28" s="392">
        <f>'Phụ lục số 2'!N35</f>
        <v>0</v>
      </c>
      <c r="K28" s="392">
        <f>'Phụ lục số 2'!O35</f>
        <v>0</v>
      </c>
      <c r="L28" s="77"/>
      <c r="M28" s="77"/>
      <c r="N28" s="77"/>
      <c r="O28" s="77"/>
      <c r="P28" s="77"/>
      <c r="Q28" s="77"/>
    </row>
    <row r="29" spans="1:17" s="65" customFormat="1" hidden="1">
      <c r="A29" s="81" t="s">
        <v>763</v>
      </c>
      <c r="B29" s="82" t="s">
        <v>785</v>
      </c>
      <c r="C29" s="392">
        <f t="shared" si="5"/>
        <v>0</v>
      </c>
      <c r="D29" s="392">
        <f>'Phụ lục số 2'!D36</f>
        <v>0</v>
      </c>
      <c r="E29" s="392">
        <f>'Phụ lục số 2'!E36</f>
        <v>0</v>
      </c>
      <c r="F29" s="392">
        <f t="shared" si="6"/>
        <v>0</v>
      </c>
      <c r="G29" s="392">
        <f>'Phụ lục số 2'!I36</f>
        <v>0</v>
      </c>
      <c r="H29" s="392">
        <f>'Phụ lục số 2'!J36</f>
        <v>0</v>
      </c>
      <c r="I29" s="392">
        <f t="shared" si="7"/>
        <v>0</v>
      </c>
      <c r="J29" s="392">
        <f>'Phụ lục số 2'!N36</f>
        <v>0</v>
      </c>
      <c r="K29" s="392">
        <f>'Phụ lục số 2'!O36</f>
        <v>0</v>
      </c>
      <c r="L29" s="77"/>
      <c r="M29" s="77"/>
      <c r="N29" s="77"/>
      <c r="O29" s="77"/>
      <c r="P29" s="77"/>
      <c r="Q29" s="77"/>
    </row>
    <row r="30" spans="1:17" s="65" customFormat="1">
      <c r="A30" s="81" t="s">
        <v>763</v>
      </c>
      <c r="B30" s="82" t="s">
        <v>699</v>
      </c>
      <c r="C30" s="392">
        <f t="shared" si="5"/>
        <v>2000</v>
      </c>
      <c r="D30" s="392">
        <f>'Phụ lục số 2'!D32</f>
        <v>2000</v>
      </c>
      <c r="E30" s="392">
        <f>'Phụ lục số 2'!E32</f>
        <v>0</v>
      </c>
      <c r="F30" s="392">
        <f t="shared" si="6"/>
        <v>2000</v>
      </c>
      <c r="G30" s="392">
        <f>'Phụ lục số 2'!I32</f>
        <v>2000</v>
      </c>
      <c r="H30" s="392">
        <f>'Phụ lục số 2'!J32</f>
        <v>0</v>
      </c>
      <c r="I30" s="392">
        <f t="shared" si="7"/>
        <v>2000</v>
      </c>
      <c r="J30" s="392">
        <f>'Phụ lục số 2'!N32</f>
        <v>2000</v>
      </c>
      <c r="K30" s="392">
        <f>'Phụ lục số 2'!O32</f>
        <v>0</v>
      </c>
      <c r="L30" s="77"/>
      <c r="M30" s="77"/>
      <c r="N30" s="77"/>
      <c r="O30" s="77"/>
      <c r="P30" s="77"/>
      <c r="Q30" s="77"/>
    </row>
    <row r="31" spans="1:17" s="65" customFormat="1">
      <c r="A31" s="87" t="s">
        <v>764</v>
      </c>
      <c r="B31" s="82" t="s">
        <v>726</v>
      </c>
      <c r="C31" s="392">
        <f t="shared" si="5"/>
        <v>114820</v>
      </c>
      <c r="D31" s="392">
        <f>'Phụ lục số 2'!D33</f>
        <v>55960</v>
      </c>
      <c r="E31" s="392">
        <f>'Phụ lục số 2'!E33</f>
        <v>58860</v>
      </c>
      <c r="F31" s="392">
        <f t="shared" si="6"/>
        <v>0</v>
      </c>
      <c r="G31" s="392">
        <f>'Phụ lục số 2'!I33</f>
        <v>0</v>
      </c>
      <c r="H31" s="392">
        <f>'Phụ lục số 2'!J33</f>
        <v>0</v>
      </c>
      <c r="I31" s="392">
        <f t="shared" si="7"/>
        <v>109200</v>
      </c>
      <c r="J31" s="392">
        <f>'Phụ lục số 2'!N33</f>
        <v>52710</v>
      </c>
      <c r="K31" s="392">
        <f>'Phụ lục số 2'!O33</f>
        <v>56490</v>
      </c>
      <c r="L31" s="77"/>
      <c r="M31" s="77"/>
      <c r="N31" s="77"/>
      <c r="O31" s="77"/>
      <c r="P31" s="77"/>
      <c r="Q31" s="77"/>
    </row>
    <row r="32" spans="1:17" s="65" customFormat="1">
      <c r="A32" s="81" t="s">
        <v>781</v>
      </c>
      <c r="B32" s="82" t="s">
        <v>698</v>
      </c>
      <c r="C32" s="392">
        <f t="shared" si="5"/>
        <v>531512</v>
      </c>
      <c r="D32" s="392">
        <f>'Phụ lục số 2'!D37</f>
        <v>495286</v>
      </c>
      <c r="E32" s="392">
        <f>'Phụ lục số 2'!E37</f>
        <v>36226</v>
      </c>
      <c r="F32" s="392">
        <f t="shared" si="6"/>
        <v>531512</v>
      </c>
      <c r="G32" s="392">
        <f>'Phụ lục số 2'!I37</f>
        <v>495286</v>
      </c>
      <c r="H32" s="392">
        <f>'Phụ lục số 2'!J37</f>
        <v>36226</v>
      </c>
      <c r="I32" s="392">
        <f t="shared" si="7"/>
        <v>537879</v>
      </c>
      <c r="J32" s="392">
        <f>'Phụ lục số 2'!N37</f>
        <v>537879</v>
      </c>
      <c r="K32" s="392">
        <f>'Phụ lục số 2'!O37</f>
        <v>0</v>
      </c>
      <c r="L32" s="77"/>
      <c r="M32" s="77"/>
      <c r="N32" s="77"/>
      <c r="O32" s="77"/>
      <c r="P32" s="77"/>
      <c r="Q32" s="77"/>
    </row>
    <row r="33" spans="1:17" s="65" customFormat="1">
      <c r="A33" s="81" t="s">
        <v>782</v>
      </c>
      <c r="B33" s="82" t="s">
        <v>743</v>
      </c>
      <c r="C33" s="392">
        <f t="shared" si="5"/>
        <v>400000</v>
      </c>
      <c r="D33" s="392">
        <f>'Phụ lục số 2'!D42</f>
        <v>281600</v>
      </c>
      <c r="E33" s="392">
        <f>'Phụ lục số 2'!E42</f>
        <v>118400</v>
      </c>
      <c r="F33" s="392">
        <f t="shared" si="6"/>
        <v>800000</v>
      </c>
      <c r="G33" s="392">
        <f>'Phụ lục số 2'!I42</f>
        <v>681600</v>
      </c>
      <c r="H33" s="392">
        <f>'Phụ lục số 2'!J42</f>
        <v>118400</v>
      </c>
      <c r="I33" s="392">
        <f t="shared" si="7"/>
        <v>600000</v>
      </c>
      <c r="J33" s="392">
        <f>'Phụ lục số 2'!N42</f>
        <v>422310</v>
      </c>
      <c r="K33" s="392">
        <f>'Phụ lục số 2'!O42</f>
        <v>177690</v>
      </c>
      <c r="L33" s="77"/>
      <c r="M33" s="77"/>
      <c r="N33" s="77"/>
      <c r="O33" s="77"/>
      <c r="P33" s="77"/>
      <c r="Q33" s="77"/>
    </row>
    <row r="34" spans="1:17" s="65" customFormat="1">
      <c r="A34" s="81" t="s">
        <v>784</v>
      </c>
      <c r="B34" s="75" t="s">
        <v>628</v>
      </c>
      <c r="C34" s="392">
        <f t="shared" si="5"/>
        <v>0</v>
      </c>
      <c r="D34" s="392">
        <f>'Phụ lục số 2'!D43</f>
        <v>0</v>
      </c>
      <c r="E34" s="392">
        <f>'Phụ lục số 2'!E43</f>
        <v>0</v>
      </c>
      <c r="F34" s="392">
        <f t="shared" si="6"/>
        <v>0</v>
      </c>
      <c r="G34" s="392">
        <f>'Phụ lục số 2'!I43</f>
        <v>0</v>
      </c>
      <c r="H34" s="392">
        <f>'Phụ lục số 2'!J43</f>
        <v>0</v>
      </c>
      <c r="I34" s="392">
        <f t="shared" si="7"/>
        <v>0</v>
      </c>
      <c r="J34" s="392">
        <f>'Phụ lục số 2'!N43</f>
        <v>0</v>
      </c>
      <c r="K34" s="392">
        <f>'Phụ lục số 2'!O43</f>
        <v>0</v>
      </c>
      <c r="L34" s="77"/>
      <c r="M34" s="77"/>
      <c r="N34" s="77"/>
      <c r="O34" s="77"/>
      <c r="P34" s="77"/>
      <c r="Q34" s="77"/>
    </row>
    <row r="35" spans="1:17" s="67" customFormat="1">
      <c r="A35" s="81" t="s">
        <v>786</v>
      </c>
      <c r="B35" s="82" t="s">
        <v>783</v>
      </c>
      <c r="C35" s="392">
        <f t="shared" si="5"/>
        <v>2375714</v>
      </c>
      <c r="D35" s="392">
        <f>E10</f>
        <v>2375714</v>
      </c>
      <c r="E35" s="392"/>
      <c r="F35" s="392">
        <f t="shared" si="6"/>
        <v>2652729</v>
      </c>
      <c r="G35" s="392">
        <f>H10</f>
        <v>2652729</v>
      </c>
      <c r="H35" s="392"/>
      <c r="I35" s="392">
        <f t="shared" si="7"/>
        <v>3263161</v>
      </c>
      <c r="J35" s="392">
        <f>K10</f>
        <v>3263161</v>
      </c>
      <c r="K35" s="392"/>
      <c r="L35" s="77"/>
      <c r="M35" s="77"/>
      <c r="N35" s="77"/>
      <c r="O35" s="77"/>
      <c r="P35" s="77"/>
      <c r="Q35" s="77"/>
    </row>
    <row r="36" spans="1:17">
      <c r="A36" s="72" t="s">
        <v>661</v>
      </c>
      <c r="B36" s="76" t="s">
        <v>734</v>
      </c>
      <c r="C36" s="388">
        <f>C6-C17</f>
        <v>-0.26539130508899689</v>
      </c>
      <c r="D36" s="388">
        <f>D6-D17</f>
        <v>305091.73460869584</v>
      </c>
      <c r="E36" s="388">
        <f>E6-E17</f>
        <v>-305092</v>
      </c>
      <c r="F36" s="388">
        <f>G36+H36</f>
        <v>-520700.13495652191</v>
      </c>
      <c r="G36" s="388">
        <f>G6-G17</f>
        <v>-110858.13495652191</v>
      </c>
      <c r="H36" s="388">
        <f>H6-H17</f>
        <v>-409842</v>
      </c>
      <c r="I36" s="388">
        <f>I6-I17</f>
        <v>0</v>
      </c>
      <c r="J36" s="388">
        <f>J6-J17</f>
        <v>0</v>
      </c>
      <c r="K36" s="388">
        <f>K6-K17</f>
        <v>0</v>
      </c>
      <c r="L36" s="77"/>
      <c r="M36" s="77"/>
      <c r="N36" s="77"/>
      <c r="O36" s="77"/>
      <c r="P36" s="77"/>
      <c r="Q36" s="77"/>
    </row>
    <row r="39" spans="1:17">
      <c r="I39" s="64">
        <f>+I26/C26%</f>
        <v>112.62603146446986</v>
      </c>
      <c r="J39" s="519">
        <f>+J17-J35</f>
        <v>3151723</v>
      </c>
    </row>
    <row r="40" spans="1:17">
      <c r="I40" s="88">
        <f>I26-'Phụ lục số 2'!S18</f>
        <v>2742272</v>
      </c>
    </row>
    <row r="41" spans="1:17">
      <c r="I41" s="64">
        <f>+I40/C26%</f>
        <v>101.5977988237053</v>
      </c>
    </row>
  </sheetData>
  <mergeCells count="9">
    <mergeCell ref="O3:Q3"/>
    <mergeCell ref="L3:N3"/>
    <mergeCell ref="A1:K1"/>
    <mergeCell ref="I2:K2"/>
    <mergeCell ref="A3:A4"/>
    <mergeCell ref="B3:B4"/>
    <mergeCell ref="C3:E3"/>
    <mergeCell ref="F3:H3"/>
    <mergeCell ref="I3:K3"/>
  </mergeCells>
  <phoneticPr fontId="2" type="noConversion"/>
  <printOptions horizontalCentered="1"/>
  <pageMargins left="0" right="0" top="0.19685039370078741" bottom="0.19685039370078741" header="0.18" footer="9.8425196850393706E-2"/>
  <pageSetup paperSize="9" fitToWidth="2" orientation="landscape" r:id="rId1"/>
  <headerFooter alignWithMargins="0">
    <oddHeader>&amp;R&amp;"Times New Roman,Bold"&amp;10Phụ lục số 3</oddHeader>
  </headerFooter>
  <ignoredErrors>
    <ignoredError sqref="F36 I9 F9 F26 I26 C28" formula="1"/>
  </ignoredErrors>
  <legacyDrawing r:id="rId2"/>
</worksheet>
</file>

<file path=xl/worksheets/sheet30.xml><?xml version="1.0" encoding="utf-8"?>
<worksheet xmlns="http://schemas.openxmlformats.org/spreadsheetml/2006/main" xmlns:r="http://schemas.openxmlformats.org/officeDocument/2006/relationships">
  <sheetPr codeName="Sheet27">
    <tabColor indexed="13"/>
  </sheetPr>
  <dimension ref="A1:C34"/>
  <sheetViews>
    <sheetView topLeftCell="A25" workbookViewId="0">
      <selection activeCell="C1" sqref="C1"/>
    </sheetView>
  </sheetViews>
  <sheetFormatPr defaultColWidth="9" defaultRowHeight="27" customHeight="1"/>
  <cols>
    <col min="1" max="1" width="4.625" style="220" customWidth="1"/>
    <col min="2" max="2" width="48.375" style="220" customWidth="1"/>
    <col min="3" max="3" width="22.5" style="220" customWidth="1"/>
    <col min="4" max="16384" width="9" style="220"/>
  </cols>
  <sheetData>
    <row r="1" spans="1:3" s="219" customFormat="1" ht="19.149999999999999" customHeight="1">
      <c r="A1" s="748" t="s">
        <v>753</v>
      </c>
      <c r="B1" s="748"/>
      <c r="C1" s="835" t="s">
        <v>987</v>
      </c>
    </row>
    <row r="2" spans="1:3" ht="12" customHeight="1">
      <c r="B2" s="221"/>
      <c r="C2" s="222"/>
    </row>
    <row r="3" spans="1:3" s="219" customFormat="1" ht="27" customHeight="1">
      <c r="A3" s="747" t="s">
        <v>972</v>
      </c>
      <c r="B3" s="747"/>
      <c r="C3" s="747"/>
    </row>
    <row r="4" spans="1:3" s="219" customFormat="1" ht="10.9" customHeight="1">
      <c r="A4" s="223"/>
      <c r="B4" s="223"/>
      <c r="C4" s="224"/>
    </row>
    <row r="5" spans="1:3" s="219" customFormat="1" ht="27" customHeight="1">
      <c r="A5" s="223"/>
      <c r="B5" s="223"/>
      <c r="C5" s="605" t="s">
        <v>766</v>
      </c>
    </row>
    <row r="6" spans="1:3" s="226" customFormat="1" ht="24" customHeight="1">
      <c r="A6" s="740" t="s">
        <v>72</v>
      </c>
      <c r="B6" s="740" t="s">
        <v>690</v>
      </c>
      <c r="C6" s="741" t="s">
        <v>971</v>
      </c>
    </row>
    <row r="7" spans="1:3" s="226" customFormat="1" ht="24" customHeight="1">
      <c r="A7" s="740"/>
      <c r="B7" s="740"/>
      <c r="C7" s="742"/>
    </row>
    <row r="8" spans="1:3" s="238" customFormat="1" ht="23.45" customHeight="1">
      <c r="A8" s="827" t="s">
        <v>639</v>
      </c>
      <c r="B8" s="828" t="s">
        <v>275</v>
      </c>
      <c r="C8" s="829">
        <f>C9+C23</f>
        <v>4835700</v>
      </c>
    </row>
    <row r="9" spans="1:3" s="238" customFormat="1" ht="23.45" customHeight="1">
      <c r="A9" s="241" t="s">
        <v>641</v>
      </c>
      <c r="B9" s="242" t="s">
        <v>642</v>
      </c>
      <c r="C9" s="243">
        <f>SUM(C10:C22)</f>
        <v>4535700</v>
      </c>
    </row>
    <row r="10" spans="1:3" s="237" customFormat="1" ht="23.45" customHeight="1">
      <c r="A10" s="234">
        <v>1</v>
      </c>
      <c r="B10" s="235" t="s">
        <v>416</v>
      </c>
      <c r="C10" s="236">
        <v>175000</v>
      </c>
    </row>
    <row r="11" spans="1:3" s="237" customFormat="1" ht="23.45" customHeight="1">
      <c r="A11" s="234">
        <v>2</v>
      </c>
      <c r="B11" s="235" t="s">
        <v>417</v>
      </c>
      <c r="C11" s="236">
        <v>380000</v>
      </c>
    </row>
    <row r="12" spans="1:3" s="237" customFormat="1" ht="23.45" customHeight="1">
      <c r="A12" s="234">
        <v>3</v>
      </c>
      <c r="B12" s="235" t="s">
        <v>418</v>
      </c>
      <c r="C12" s="236">
        <v>80000</v>
      </c>
    </row>
    <row r="13" spans="1:3" s="238" customFormat="1" ht="23.45" customHeight="1">
      <c r="A13" s="234">
        <v>4</v>
      </c>
      <c r="B13" s="235" t="s">
        <v>75</v>
      </c>
      <c r="C13" s="236">
        <v>710000</v>
      </c>
    </row>
    <row r="14" spans="1:3" s="237" customFormat="1" ht="23.45" customHeight="1">
      <c r="A14" s="234">
        <v>5</v>
      </c>
      <c r="B14" s="235" t="s">
        <v>649</v>
      </c>
      <c r="C14" s="236">
        <v>132700</v>
      </c>
    </row>
    <row r="15" spans="1:3" s="237" customFormat="1" ht="23.45" customHeight="1">
      <c r="A15" s="234">
        <v>6</v>
      </c>
      <c r="B15" s="235" t="s">
        <v>559</v>
      </c>
      <c r="C15" s="236">
        <v>8000</v>
      </c>
    </row>
    <row r="16" spans="1:3" s="237" customFormat="1" ht="23.45" customHeight="1">
      <c r="A16" s="234">
        <v>7</v>
      </c>
      <c r="B16" s="235" t="s">
        <v>788</v>
      </c>
      <c r="C16" s="236">
        <v>320000</v>
      </c>
    </row>
    <row r="17" spans="1:3" s="237" customFormat="1" ht="23.45" customHeight="1">
      <c r="A17" s="234">
        <v>8</v>
      </c>
      <c r="B17" s="235" t="s">
        <v>593</v>
      </c>
      <c r="C17" s="236">
        <v>2053000</v>
      </c>
    </row>
    <row r="18" spans="1:3" s="237" customFormat="1" ht="23.45" customHeight="1">
      <c r="A18" s="234">
        <v>9</v>
      </c>
      <c r="B18" s="235" t="s">
        <v>650</v>
      </c>
      <c r="C18" s="235">
        <v>140000</v>
      </c>
    </row>
    <row r="19" spans="1:3" s="237" customFormat="1" ht="23.45" customHeight="1">
      <c r="A19" s="234">
        <v>10</v>
      </c>
      <c r="B19" s="235" t="s">
        <v>651</v>
      </c>
      <c r="C19" s="236">
        <v>350000</v>
      </c>
    </row>
    <row r="20" spans="1:3" s="237" customFormat="1" ht="23.45" customHeight="1">
      <c r="A20" s="234">
        <v>11</v>
      </c>
      <c r="B20" s="235" t="s">
        <v>790</v>
      </c>
      <c r="C20" s="236">
        <v>29000</v>
      </c>
    </row>
    <row r="21" spans="1:3" s="237" customFormat="1" ht="23.45" customHeight="1">
      <c r="A21" s="234">
        <v>12</v>
      </c>
      <c r="B21" s="235" t="s">
        <v>652</v>
      </c>
      <c r="C21" s="236">
        <v>143000</v>
      </c>
    </row>
    <row r="22" spans="1:3" s="237" customFormat="1" ht="23.45" customHeight="1">
      <c r="A22" s="234">
        <v>13</v>
      </c>
      <c r="B22" s="235" t="s">
        <v>81</v>
      </c>
      <c r="C22" s="236">
        <v>15000</v>
      </c>
    </row>
    <row r="23" spans="1:3" s="237" customFormat="1" ht="23.45" customHeight="1">
      <c r="A23" s="241" t="s">
        <v>654</v>
      </c>
      <c r="B23" s="242" t="s">
        <v>815</v>
      </c>
      <c r="C23" s="242">
        <v>300000</v>
      </c>
    </row>
    <row r="24" spans="1:3" s="238" customFormat="1" ht="23.45" customHeight="1">
      <c r="A24" s="241" t="s">
        <v>657</v>
      </c>
      <c r="B24" s="179" t="s">
        <v>283</v>
      </c>
      <c r="C24" s="243">
        <v>344450</v>
      </c>
    </row>
    <row r="25" spans="1:3" s="237" customFormat="1" ht="23.45" customHeight="1">
      <c r="A25" s="241" t="s">
        <v>661</v>
      </c>
      <c r="B25" s="242" t="s">
        <v>284</v>
      </c>
      <c r="C25" s="243">
        <v>700000</v>
      </c>
    </row>
    <row r="26" spans="1:3" s="237" customFormat="1" ht="23.45" customHeight="1">
      <c r="A26" s="241"/>
      <c r="B26" s="830" t="s">
        <v>47</v>
      </c>
      <c r="C26" s="242">
        <f>C27+C30+C33+C34</f>
        <v>8730076</v>
      </c>
    </row>
    <row r="27" spans="1:3" s="238" customFormat="1" ht="23.45" customHeight="1">
      <c r="A27" s="241" t="s">
        <v>641</v>
      </c>
      <c r="B27" s="242" t="s">
        <v>419</v>
      </c>
      <c r="C27" s="242">
        <f>C28+C29</f>
        <v>4452790</v>
      </c>
    </row>
    <row r="28" spans="1:3" s="237" customFormat="1" ht="23.45" customHeight="1">
      <c r="A28" s="234">
        <v>1</v>
      </c>
      <c r="B28" s="235" t="s">
        <v>420</v>
      </c>
      <c r="C28" s="236">
        <v>793000</v>
      </c>
    </row>
    <row r="29" spans="1:3" s="237" customFormat="1" ht="23.45" customHeight="1">
      <c r="A29" s="234">
        <v>2</v>
      </c>
      <c r="B29" s="235" t="s">
        <v>421</v>
      </c>
      <c r="C29" s="236">
        <v>3659790</v>
      </c>
    </row>
    <row r="30" spans="1:3" s="238" customFormat="1" ht="23.45" customHeight="1">
      <c r="A30" s="241" t="s">
        <v>654</v>
      </c>
      <c r="B30" s="242" t="s">
        <v>658</v>
      </c>
      <c r="C30" s="243">
        <f>C31+C32</f>
        <v>3232836</v>
      </c>
    </row>
    <row r="31" spans="1:3" s="237" customFormat="1" ht="23.45" customHeight="1">
      <c r="A31" s="234">
        <v>1</v>
      </c>
      <c r="B31" s="235" t="s">
        <v>808</v>
      </c>
      <c r="C31" s="236">
        <v>1174152</v>
      </c>
    </row>
    <row r="32" spans="1:3" s="237" customFormat="1" ht="23.45" customHeight="1">
      <c r="A32" s="234">
        <v>2</v>
      </c>
      <c r="B32" s="235" t="s">
        <v>809</v>
      </c>
      <c r="C32" s="236">
        <v>2058684</v>
      </c>
    </row>
    <row r="33" spans="1:3" s="238" customFormat="1" ht="34.5" customHeight="1">
      <c r="A33" s="244" t="s">
        <v>685</v>
      </c>
      <c r="B33" s="642" t="s">
        <v>413</v>
      </c>
      <c r="C33" s="245">
        <v>344450</v>
      </c>
    </row>
    <row r="34" spans="1:3" s="237" customFormat="1" ht="23.45" customHeight="1">
      <c r="A34" s="831" t="s">
        <v>686</v>
      </c>
      <c r="B34" s="832" t="s">
        <v>284</v>
      </c>
      <c r="C34" s="833">
        <v>700000</v>
      </c>
    </row>
  </sheetData>
  <mergeCells count="5">
    <mergeCell ref="A6:A7"/>
    <mergeCell ref="B6:B7"/>
    <mergeCell ref="C6:C7"/>
    <mergeCell ref="A3:C3"/>
    <mergeCell ref="A1:B1"/>
  </mergeCells>
  <phoneticPr fontId="2" type="noConversion"/>
  <printOptions horizontalCentered="1"/>
  <pageMargins left="0.82677165354330717" right="0" top="0.43307086614173229" bottom="0.31496062992125984" header="0.15748031496062992" footer="0.19685039370078741"/>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sheetPr codeName="Sheet28">
    <tabColor indexed="13"/>
  </sheetPr>
  <dimension ref="A1:DW30"/>
  <sheetViews>
    <sheetView topLeftCell="A7" workbookViewId="0">
      <selection activeCell="C1" sqref="C1"/>
    </sheetView>
  </sheetViews>
  <sheetFormatPr defaultColWidth="9" defaultRowHeight="15.75"/>
  <cols>
    <col min="1" max="1" width="4.25" style="61" customWidth="1"/>
    <col min="2" max="2" width="44.75" style="61" customWidth="1"/>
    <col min="3" max="3" width="12.5" style="61" customWidth="1"/>
    <col min="4" max="4" width="11.375" style="61" customWidth="1"/>
    <col min="5" max="5" width="10.75" style="61" customWidth="1"/>
    <col min="6" max="16384" width="9" style="61"/>
  </cols>
  <sheetData>
    <row r="1" spans="1:5" s="19" customFormat="1" ht="19.899999999999999" customHeight="1">
      <c r="A1" s="749" t="s">
        <v>753</v>
      </c>
      <c r="B1" s="749"/>
      <c r="C1" s="648"/>
      <c r="D1" s="648"/>
      <c r="E1" s="835" t="s">
        <v>988</v>
      </c>
    </row>
    <row r="2" spans="1:5" s="19" customFormat="1" ht="10.15" customHeight="1">
      <c r="B2" s="647"/>
      <c r="C2" s="738"/>
      <c r="D2" s="738"/>
      <c r="E2" s="738"/>
    </row>
    <row r="3" spans="1:5" s="19" customFormat="1" ht="22.15" customHeight="1">
      <c r="A3" s="745" t="s">
        <v>973</v>
      </c>
      <c r="B3" s="738"/>
      <c r="C3" s="738"/>
      <c r="D3" s="738"/>
      <c r="E3" s="738"/>
    </row>
    <row r="4" spans="1:5" ht="26.45" customHeight="1">
      <c r="E4" s="606" t="s">
        <v>766</v>
      </c>
    </row>
    <row r="5" spans="1:5" s="19" customFormat="1">
      <c r="A5" s="705" t="s">
        <v>72</v>
      </c>
      <c r="B5" s="739" t="s">
        <v>767</v>
      </c>
      <c r="C5" s="686" t="s">
        <v>974</v>
      </c>
      <c r="D5" s="686"/>
      <c r="E5" s="686"/>
    </row>
    <row r="6" spans="1:5" s="19" customFormat="1">
      <c r="A6" s="739"/>
      <c r="B6" s="739"/>
      <c r="C6" s="739" t="s">
        <v>634</v>
      </c>
      <c r="D6" s="686" t="s">
        <v>423</v>
      </c>
      <c r="E6" s="686"/>
    </row>
    <row r="7" spans="1:5" s="644" customFormat="1" ht="63">
      <c r="A7" s="739"/>
      <c r="B7" s="739"/>
      <c r="C7" s="739"/>
      <c r="D7" s="645" t="s">
        <v>424</v>
      </c>
      <c r="E7" s="645" t="s">
        <v>425</v>
      </c>
    </row>
    <row r="8" spans="1:5" s="19" customFormat="1" ht="20.100000000000001" customHeight="1">
      <c r="A8" s="820"/>
      <c r="B8" s="821" t="s">
        <v>426</v>
      </c>
      <c r="C8" s="822">
        <f>D8+E8</f>
        <v>8730076</v>
      </c>
      <c r="D8" s="822">
        <f>D9+D13+D18+D19+D20+D21</f>
        <v>4159545</v>
      </c>
      <c r="E8" s="822">
        <f>E9+E13+E18+E19</f>
        <v>4570531</v>
      </c>
    </row>
    <row r="9" spans="1:5" s="19" customFormat="1" ht="20.100000000000001" customHeight="1">
      <c r="A9" s="178" t="s">
        <v>641</v>
      </c>
      <c r="B9" s="179" t="s">
        <v>666</v>
      </c>
      <c r="C9" s="36">
        <f>D9+E9</f>
        <v>1246800</v>
      </c>
      <c r="D9" s="36">
        <v>530800</v>
      </c>
      <c r="E9" s="36">
        <v>716000</v>
      </c>
    </row>
    <row r="10" spans="1:5" s="775" customFormat="1" ht="20.100000000000001" customHeight="1">
      <c r="A10" s="780"/>
      <c r="B10" s="837" t="s">
        <v>428</v>
      </c>
      <c r="C10" s="836"/>
      <c r="D10" s="836"/>
      <c r="E10" s="836"/>
    </row>
    <row r="11" spans="1:5" s="775" customFormat="1" ht="20.100000000000001" customHeight="1">
      <c r="A11" s="780" t="s">
        <v>847</v>
      </c>
      <c r="B11" s="781" t="s">
        <v>566</v>
      </c>
      <c r="C11" s="836">
        <f>D11+E11</f>
        <v>249000</v>
      </c>
      <c r="D11" s="836">
        <v>105000</v>
      </c>
      <c r="E11" s="836">
        <v>144000</v>
      </c>
    </row>
    <row r="12" spans="1:5" s="775" customFormat="1" ht="20.100000000000001" customHeight="1">
      <c r="A12" s="780" t="s">
        <v>847</v>
      </c>
      <c r="B12" s="781" t="s">
        <v>567</v>
      </c>
      <c r="C12" s="836">
        <f>D12+E12</f>
        <v>44000</v>
      </c>
      <c r="D12" s="836">
        <v>44000</v>
      </c>
      <c r="E12" s="836">
        <v>0</v>
      </c>
    </row>
    <row r="13" spans="1:5" s="19" customFormat="1" ht="20.100000000000001" customHeight="1">
      <c r="A13" s="178" t="s">
        <v>654</v>
      </c>
      <c r="B13" s="179" t="s">
        <v>427</v>
      </c>
      <c r="C13" s="36">
        <f>D13+E13</f>
        <v>5862166</v>
      </c>
      <c r="D13" s="36">
        <v>2077625</v>
      </c>
      <c r="E13" s="36">
        <v>3784541</v>
      </c>
    </row>
    <row r="14" spans="1:5" s="19" customFormat="1" ht="20.100000000000001" customHeight="1">
      <c r="A14" s="178"/>
      <c r="B14" s="837" t="s">
        <v>428</v>
      </c>
      <c r="C14" s="36"/>
      <c r="D14" s="36"/>
      <c r="E14" s="36"/>
    </row>
    <row r="15" spans="1:5" ht="20.100000000000001" customHeight="1">
      <c r="A15" s="184" t="s">
        <v>670</v>
      </c>
      <c r="B15" s="185" t="s">
        <v>562</v>
      </c>
      <c r="C15" s="38">
        <f>D15+E15</f>
        <v>2556940</v>
      </c>
      <c r="D15" s="38">
        <v>524405</v>
      </c>
      <c r="E15" s="38">
        <v>2032535</v>
      </c>
    </row>
    <row r="16" spans="1:5" ht="20.100000000000001" customHeight="1">
      <c r="A16" s="184" t="s">
        <v>671</v>
      </c>
      <c r="B16" s="185" t="s">
        <v>563</v>
      </c>
      <c r="C16" s="38">
        <f t="shared" ref="C16:C21" si="0">D16+E16</f>
        <v>26000</v>
      </c>
      <c r="D16" s="38">
        <v>23800</v>
      </c>
      <c r="E16" s="38">
        <v>2200</v>
      </c>
    </row>
    <row r="17" spans="1:127" ht="20.100000000000001" customHeight="1">
      <c r="A17" s="184" t="s">
        <v>672</v>
      </c>
      <c r="B17" s="185" t="s">
        <v>564</v>
      </c>
      <c r="C17" s="38">
        <f t="shared" si="0"/>
        <v>66041</v>
      </c>
      <c r="D17" s="38">
        <v>29741</v>
      </c>
      <c r="E17" s="38">
        <v>36300</v>
      </c>
    </row>
    <row r="18" spans="1:127" s="19" customFormat="1" ht="20.100000000000001" customHeight="1">
      <c r="A18" s="178" t="s">
        <v>685</v>
      </c>
      <c r="B18" s="194" t="s">
        <v>286</v>
      </c>
      <c r="C18" s="36">
        <f t="shared" si="0"/>
        <v>2000</v>
      </c>
      <c r="D18" s="36">
        <v>2000</v>
      </c>
      <c r="E18" s="36">
        <v>0</v>
      </c>
    </row>
    <row r="19" spans="1:127" s="19" customFormat="1" ht="15" customHeight="1">
      <c r="A19" s="178" t="s">
        <v>686</v>
      </c>
      <c r="B19" s="179" t="s">
        <v>726</v>
      </c>
      <c r="C19" s="36">
        <f t="shared" si="0"/>
        <v>158260</v>
      </c>
      <c r="D19" s="36">
        <v>88270</v>
      </c>
      <c r="E19" s="36">
        <v>69990</v>
      </c>
    </row>
    <row r="20" spans="1:127" s="19" customFormat="1" ht="20.100000000000001" customHeight="1">
      <c r="A20" s="215" t="s">
        <v>711</v>
      </c>
      <c r="B20" s="642" t="s">
        <v>429</v>
      </c>
      <c r="C20" s="36">
        <f t="shared" si="0"/>
        <v>760850</v>
      </c>
      <c r="D20" s="36">
        <v>760850</v>
      </c>
      <c r="E20" s="36">
        <v>0</v>
      </c>
    </row>
    <row r="21" spans="1:127" s="19" customFormat="1" ht="20.100000000000001" customHeight="1">
      <c r="A21" s="823" t="s">
        <v>712</v>
      </c>
      <c r="B21" s="824" t="s">
        <v>760</v>
      </c>
      <c r="C21" s="637">
        <f t="shared" si="0"/>
        <v>700000</v>
      </c>
      <c r="D21" s="637">
        <v>700000</v>
      </c>
      <c r="E21" s="637">
        <v>0</v>
      </c>
    </row>
    <row r="22" spans="1:127" s="19" customFormat="1" ht="20.100000000000001" hidden="1" customHeight="1">
      <c r="A22" s="643" t="s">
        <v>763</v>
      </c>
      <c r="B22" s="825" t="s">
        <v>628</v>
      </c>
      <c r="C22" s="826">
        <v>0</v>
      </c>
      <c r="D22" s="826">
        <v>0</v>
      </c>
      <c r="E22" s="826">
        <v>0</v>
      </c>
    </row>
    <row r="23" spans="1:127">
      <c r="B23" s="159" t="s">
        <v>688</v>
      </c>
      <c r="C23" s="160"/>
      <c r="D23" s="160"/>
      <c r="E23" s="160"/>
    </row>
    <row r="24" spans="1:127">
      <c r="B24" s="255" t="s">
        <v>965</v>
      </c>
      <c r="C24" s="160"/>
      <c r="D24" s="255">
        <v>3340066</v>
      </c>
      <c r="E24" s="160" t="s">
        <v>430</v>
      </c>
    </row>
    <row r="25" spans="1:127" hidden="1">
      <c r="B25" s="255" t="s">
        <v>816</v>
      </c>
      <c r="C25" s="160"/>
      <c r="D25" s="255">
        <v>0</v>
      </c>
      <c r="E25" s="160" t="s">
        <v>430</v>
      </c>
      <c r="G25" s="5"/>
      <c r="J25" s="5"/>
      <c r="L25" s="5"/>
      <c r="O25" s="5"/>
      <c r="Q25" s="5"/>
      <c r="T25" s="5"/>
      <c r="V25" s="5"/>
      <c r="Y25" s="5"/>
      <c r="AA25" s="5"/>
      <c r="AD25" s="5"/>
      <c r="AF25" s="5"/>
      <c r="AI25" s="5"/>
      <c r="AK25" s="5"/>
      <c r="AN25" s="5"/>
      <c r="AP25" s="5"/>
      <c r="AS25" s="5"/>
      <c r="AU25" s="5"/>
      <c r="AX25" s="5"/>
      <c r="AZ25" s="5"/>
      <c r="BC25" s="5"/>
      <c r="BE25" s="5"/>
      <c r="BH25" s="5"/>
      <c r="BJ25" s="5"/>
      <c r="BM25" s="5"/>
      <c r="BO25" s="5"/>
      <c r="BR25" s="5"/>
      <c r="BT25" s="5"/>
      <c r="BW25" s="5"/>
      <c r="BY25" s="5"/>
      <c r="CB25" s="5"/>
      <c r="CD25" s="5"/>
      <c r="CG25" s="5"/>
      <c r="CI25" s="5"/>
      <c r="CL25" s="5"/>
      <c r="CN25" s="5"/>
      <c r="CQ25" s="5"/>
      <c r="CS25" s="5"/>
      <c r="CV25" s="5"/>
      <c r="CX25" s="5"/>
      <c r="DA25" s="5"/>
      <c r="DC25" s="5"/>
      <c r="DF25" s="5"/>
      <c r="DH25" s="5"/>
      <c r="DK25" s="5"/>
      <c r="DM25" s="5"/>
      <c r="DP25" s="5"/>
      <c r="DR25" s="5"/>
      <c r="DU25" s="5"/>
      <c r="DW25" s="5"/>
    </row>
    <row r="26" spans="1:127">
      <c r="B26" s="744" t="s">
        <v>624</v>
      </c>
      <c r="C26" s="744"/>
      <c r="D26" s="744"/>
      <c r="E26" s="744"/>
    </row>
    <row r="27" spans="1:127">
      <c r="B27" s="160"/>
      <c r="C27" s="160"/>
      <c r="D27" s="160"/>
      <c r="E27" s="160"/>
    </row>
    <row r="30" spans="1:127">
      <c r="B30" s="253"/>
      <c r="C30" s="253"/>
      <c r="D30" s="253"/>
      <c r="E30" s="253"/>
    </row>
  </sheetData>
  <mergeCells count="9">
    <mergeCell ref="A1:B1"/>
    <mergeCell ref="C2:E2"/>
    <mergeCell ref="A3:E3"/>
    <mergeCell ref="B26:E26"/>
    <mergeCell ref="A5:A7"/>
    <mergeCell ref="B5:B7"/>
    <mergeCell ref="C5:E5"/>
    <mergeCell ref="C6:C7"/>
    <mergeCell ref="D6:E6"/>
  </mergeCells>
  <phoneticPr fontId="2" type="noConversion"/>
  <printOptions horizontalCentered="1"/>
  <pageMargins left="0.51181102362204722" right="0" top="0.77" bottom="0.59055118110236227" header="0.19685039370078741" footer="0.19685039370078741"/>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sheetPr codeName="Sheet29">
    <tabColor indexed="13"/>
  </sheetPr>
  <dimension ref="A1:M34"/>
  <sheetViews>
    <sheetView zoomScale="85" zoomScaleNormal="85" workbookViewId="0">
      <selection activeCell="C1" sqref="C1"/>
    </sheetView>
  </sheetViews>
  <sheetFormatPr defaultColWidth="9" defaultRowHeight="15.95" customHeight="1"/>
  <cols>
    <col min="1" max="1" width="4.875" style="324" customWidth="1"/>
    <col min="2" max="2" width="35" style="160" customWidth="1"/>
    <col min="3" max="3" width="11.625" style="160" customWidth="1"/>
    <col min="4" max="4" width="10.375" style="159" customWidth="1"/>
    <col min="5" max="5" width="9.625" style="160" customWidth="1"/>
    <col min="6" max="6" width="10.625" style="160" customWidth="1"/>
    <col min="7" max="7" width="9.625" style="160" customWidth="1"/>
    <col min="8" max="8" width="9.875" style="160" customWidth="1"/>
    <col min="9" max="9" width="9.625" style="160" customWidth="1"/>
    <col min="10" max="10" width="10.125" style="160" customWidth="1"/>
    <col min="11" max="11" width="12.875" style="160" customWidth="1"/>
    <col min="12" max="12" width="9.375" style="160" customWidth="1"/>
    <col min="13" max="13" width="9.625" style="159" customWidth="1"/>
    <col min="14" max="16384" width="9" style="160"/>
  </cols>
  <sheetData>
    <row r="1" spans="1:13" ht="21" customHeight="1">
      <c r="A1" s="749" t="s">
        <v>753</v>
      </c>
      <c r="B1" s="749"/>
      <c r="K1" s="635" t="s">
        <v>968</v>
      </c>
    </row>
    <row r="2" spans="1:13" ht="29.45" customHeight="1">
      <c r="A2" s="751" t="s">
        <v>980</v>
      </c>
      <c r="B2" s="751"/>
      <c r="C2" s="751"/>
      <c r="D2" s="751"/>
      <c r="E2" s="751"/>
      <c r="F2" s="751"/>
      <c r="G2" s="751"/>
      <c r="H2" s="751"/>
      <c r="I2" s="751"/>
      <c r="J2" s="751"/>
      <c r="K2" s="751"/>
    </row>
    <row r="3" spans="1:13" ht="15.95" customHeight="1">
      <c r="K3" s="615" t="s">
        <v>766</v>
      </c>
    </row>
    <row r="4" spans="1:13" s="607" customFormat="1" ht="15.95" customHeight="1">
      <c r="A4" s="752" t="s">
        <v>769</v>
      </c>
      <c r="B4" s="750" t="s">
        <v>818</v>
      </c>
      <c r="C4" s="750" t="s">
        <v>982</v>
      </c>
      <c r="D4" s="750"/>
      <c r="E4" s="750"/>
      <c r="F4" s="750"/>
      <c r="G4" s="750"/>
      <c r="H4" s="750"/>
      <c r="I4" s="750"/>
      <c r="J4" s="750"/>
      <c r="K4" s="750"/>
      <c r="M4" s="608"/>
    </row>
    <row r="5" spans="1:13" s="607" customFormat="1" ht="15.95" customHeight="1">
      <c r="A5" s="752"/>
      <c r="B5" s="750"/>
      <c r="C5" s="750" t="s">
        <v>745</v>
      </c>
      <c r="D5" s="754" t="s">
        <v>819</v>
      </c>
      <c r="E5" s="754"/>
      <c r="F5" s="754"/>
      <c r="G5" s="754"/>
      <c r="H5" s="754"/>
      <c r="I5" s="754"/>
      <c r="J5" s="754"/>
      <c r="K5" s="838" t="s">
        <v>989</v>
      </c>
      <c r="M5" s="608"/>
    </row>
    <row r="6" spans="1:13" s="607" customFormat="1" ht="15.95" customHeight="1">
      <c r="A6" s="752"/>
      <c r="B6" s="750"/>
      <c r="C6" s="750"/>
      <c r="D6" s="750" t="s">
        <v>300</v>
      </c>
      <c r="E6" s="754" t="s">
        <v>428</v>
      </c>
      <c r="F6" s="754"/>
      <c r="G6" s="754"/>
      <c r="H6" s="754"/>
      <c r="I6" s="754"/>
      <c r="J6" s="754"/>
      <c r="K6" s="839"/>
      <c r="M6" s="608"/>
    </row>
    <row r="7" spans="1:13" s="607" customFormat="1" ht="15.95" customHeight="1">
      <c r="A7" s="752"/>
      <c r="B7" s="750"/>
      <c r="C7" s="750"/>
      <c r="D7" s="750"/>
      <c r="E7" s="750" t="s">
        <v>948</v>
      </c>
      <c r="F7" s="750" t="s">
        <v>947</v>
      </c>
      <c r="G7" s="750" t="s">
        <v>946</v>
      </c>
      <c r="H7" s="750" t="s">
        <v>945</v>
      </c>
      <c r="I7" s="750" t="s">
        <v>940</v>
      </c>
      <c r="J7" s="750" t="s">
        <v>941</v>
      </c>
      <c r="K7" s="839"/>
      <c r="M7" s="608"/>
    </row>
    <row r="8" spans="1:13" s="607" customFormat="1" ht="108" customHeight="1">
      <c r="A8" s="752"/>
      <c r="B8" s="750"/>
      <c r="C8" s="750"/>
      <c r="D8" s="753"/>
      <c r="E8" s="750"/>
      <c r="F8" s="750"/>
      <c r="G8" s="750"/>
      <c r="H8" s="750"/>
      <c r="I8" s="750"/>
      <c r="J8" s="750"/>
      <c r="K8" s="840"/>
      <c r="M8" s="608"/>
    </row>
    <row r="9" spans="1:13" s="607" customFormat="1" ht="19.899999999999999" customHeight="1">
      <c r="A9" s="609"/>
      <c r="B9" s="610" t="s">
        <v>981</v>
      </c>
      <c r="C9" s="819"/>
      <c r="D9" s="819"/>
      <c r="E9" s="819"/>
      <c r="F9" s="819"/>
      <c r="G9" s="819"/>
      <c r="H9" s="819"/>
      <c r="I9" s="819"/>
      <c r="J9" s="819"/>
      <c r="K9" s="819"/>
      <c r="M9" s="608"/>
    </row>
    <row r="10" spans="1:13" s="607" customFormat="1" ht="19.899999999999999" customHeight="1">
      <c r="A10" s="616">
        <v>1</v>
      </c>
      <c r="B10" s="611" t="s">
        <v>107</v>
      </c>
      <c r="C10" s="612">
        <v>8384</v>
      </c>
      <c r="D10" s="612">
        <v>8384</v>
      </c>
      <c r="E10" s="612"/>
      <c r="F10" s="612"/>
      <c r="G10" s="612">
        <v>350</v>
      </c>
      <c r="H10" s="612"/>
      <c r="I10" s="612"/>
      <c r="J10" s="612">
        <v>8034</v>
      </c>
      <c r="K10" s="612"/>
    </row>
    <row r="11" spans="1:13" s="607" customFormat="1" ht="19.899999999999999" customHeight="1">
      <c r="A11" s="616">
        <v>2</v>
      </c>
      <c r="B11" s="611" t="s">
        <v>310</v>
      </c>
      <c r="C11" s="612">
        <v>18075</v>
      </c>
      <c r="D11" s="612">
        <v>18075</v>
      </c>
      <c r="E11" s="612">
        <v>1383</v>
      </c>
      <c r="F11" s="612"/>
      <c r="G11" s="612">
        <v>600</v>
      </c>
      <c r="H11" s="612"/>
      <c r="I11" s="612"/>
      <c r="J11" s="612">
        <v>16092</v>
      </c>
      <c r="K11" s="612"/>
    </row>
    <row r="12" spans="1:13" s="607" customFormat="1" ht="19.899999999999999" customHeight="1">
      <c r="A12" s="616">
        <v>3</v>
      </c>
      <c r="B12" s="611" t="s">
        <v>355</v>
      </c>
      <c r="C12" s="612">
        <v>176457</v>
      </c>
      <c r="D12" s="612">
        <v>176457</v>
      </c>
      <c r="E12" s="612">
        <v>165521</v>
      </c>
      <c r="F12" s="612"/>
      <c r="G12" s="612">
        <v>250</v>
      </c>
      <c r="H12" s="612"/>
      <c r="I12" s="612"/>
      <c r="J12" s="612">
        <v>5941</v>
      </c>
      <c r="K12" s="612"/>
    </row>
    <row r="13" spans="1:13" s="607" customFormat="1" ht="19.899999999999999" customHeight="1">
      <c r="A13" s="616">
        <v>4</v>
      </c>
      <c r="B13" s="611" t="s">
        <v>354</v>
      </c>
      <c r="C13" s="612">
        <v>7992</v>
      </c>
      <c r="D13" s="612">
        <v>7992</v>
      </c>
      <c r="E13" s="612"/>
      <c r="F13" s="612"/>
      <c r="G13" s="612">
        <v>280</v>
      </c>
      <c r="H13" s="612"/>
      <c r="I13" s="612"/>
      <c r="J13" s="612">
        <v>7712</v>
      </c>
      <c r="K13" s="612"/>
    </row>
    <row r="14" spans="1:13" s="607" customFormat="1" ht="19.899999999999999" customHeight="1">
      <c r="A14" s="616">
        <v>5</v>
      </c>
      <c r="B14" s="611" t="s">
        <v>353</v>
      </c>
      <c r="C14" s="612">
        <v>9602</v>
      </c>
      <c r="D14" s="612">
        <v>9602</v>
      </c>
      <c r="E14" s="612">
        <v>3181</v>
      </c>
      <c r="F14" s="612"/>
      <c r="G14" s="612">
        <v>2100</v>
      </c>
      <c r="H14" s="612"/>
      <c r="I14" s="612"/>
      <c r="J14" s="612">
        <v>4321</v>
      </c>
      <c r="K14" s="612"/>
    </row>
    <row r="15" spans="1:13" s="607" customFormat="1" ht="19.899999999999999" customHeight="1">
      <c r="A15" s="616">
        <v>6</v>
      </c>
      <c r="B15" s="611" t="s">
        <v>352</v>
      </c>
      <c r="C15" s="612">
        <v>22298</v>
      </c>
      <c r="D15" s="612">
        <v>22298</v>
      </c>
      <c r="E15" s="612">
        <v>6629</v>
      </c>
      <c r="F15" s="612"/>
      <c r="G15" s="612">
        <v>80</v>
      </c>
      <c r="H15" s="612"/>
      <c r="I15" s="612"/>
      <c r="J15" s="612">
        <v>15485</v>
      </c>
      <c r="K15" s="612"/>
    </row>
    <row r="16" spans="1:13" s="607" customFormat="1" ht="19.899999999999999" customHeight="1">
      <c r="A16" s="616">
        <v>7</v>
      </c>
      <c r="B16" s="611" t="s">
        <v>351</v>
      </c>
      <c r="C16" s="612">
        <v>25879</v>
      </c>
      <c r="D16" s="612">
        <v>25879</v>
      </c>
      <c r="E16" s="612"/>
      <c r="F16" s="612">
        <v>19480</v>
      </c>
      <c r="G16" s="612"/>
      <c r="H16" s="612"/>
      <c r="I16" s="612"/>
      <c r="J16" s="612">
        <v>6399</v>
      </c>
      <c r="K16" s="612"/>
    </row>
    <row r="17" spans="1:11" s="607" customFormat="1" ht="19.899999999999999" customHeight="1">
      <c r="A17" s="616">
        <v>8</v>
      </c>
      <c r="B17" s="611" t="s">
        <v>349</v>
      </c>
      <c r="C17" s="612">
        <v>13482</v>
      </c>
      <c r="D17" s="612">
        <v>13482</v>
      </c>
      <c r="E17" s="612">
        <v>385</v>
      </c>
      <c r="F17" s="612"/>
      <c r="G17" s="612">
        <v>4000</v>
      </c>
      <c r="H17" s="612"/>
      <c r="I17" s="612"/>
      <c r="J17" s="612">
        <v>9097</v>
      </c>
      <c r="K17" s="612"/>
    </row>
    <row r="18" spans="1:11" s="607" customFormat="1" ht="19.899999999999999" customHeight="1">
      <c r="A18" s="616">
        <v>9</v>
      </c>
      <c r="B18" s="611" t="s">
        <v>348</v>
      </c>
      <c r="C18" s="612">
        <v>8545</v>
      </c>
      <c r="D18" s="612">
        <v>8545</v>
      </c>
      <c r="E18" s="612">
        <v>2100</v>
      </c>
      <c r="F18" s="612"/>
      <c r="G18" s="612">
        <v>130</v>
      </c>
      <c r="H18" s="612"/>
      <c r="I18" s="612"/>
      <c r="J18" s="612">
        <v>6315</v>
      </c>
      <c r="K18" s="612"/>
    </row>
    <row r="19" spans="1:11" s="607" customFormat="1" ht="19.899999999999999" customHeight="1">
      <c r="A19" s="616">
        <v>10</v>
      </c>
      <c r="B19" s="611" t="s">
        <v>347</v>
      </c>
      <c r="C19" s="612">
        <v>43730</v>
      </c>
      <c r="D19" s="612">
        <v>43730</v>
      </c>
      <c r="E19" s="612">
        <v>35728</v>
      </c>
      <c r="F19" s="612"/>
      <c r="G19" s="612">
        <v>833</v>
      </c>
      <c r="H19" s="612"/>
      <c r="I19" s="612"/>
      <c r="J19" s="612">
        <v>7169</v>
      </c>
      <c r="K19" s="612"/>
    </row>
    <row r="20" spans="1:11" s="607" customFormat="1" ht="19.899999999999999" customHeight="1">
      <c r="A20" s="616">
        <v>11</v>
      </c>
      <c r="B20" s="611" t="s">
        <v>346</v>
      </c>
      <c r="C20" s="612">
        <v>343634</v>
      </c>
      <c r="D20" s="612">
        <v>339075</v>
      </c>
      <c r="E20" s="612"/>
      <c r="F20" s="612"/>
      <c r="G20" s="612">
        <v>331193</v>
      </c>
      <c r="H20" s="612"/>
      <c r="I20" s="612"/>
      <c r="J20" s="612">
        <v>7691</v>
      </c>
      <c r="K20" s="612">
        <v>4559</v>
      </c>
    </row>
    <row r="21" spans="1:11" s="607" customFormat="1" ht="19.899999999999999" customHeight="1">
      <c r="A21" s="616">
        <v>12</v>
      </c>
      <c r="B21" s="611" t="s">
        <v>345</v>
      </c>
      <c r="C21" s="612">
        <v>550288</v>
      </c>
      <c r="D21" s="612">
        <v>550288</v>
      </c>
      <c r="E21" s="612"/>
      <c r="F21" s="612"/>
      <c r="G21" s="612">
        <v>12900</v>
      </c>
      <c r="H21" s="612">
        <v>528519</v>
      </c>
      <c r="I21" s="612"/>
      <c r="J21" s="612">
        <v>8869</v>
      </c>
      <c r="K21" s="612"/>
    </row>
    <row r="22" spans="1:11" s="607" customFormat="1" ht="19.899999999999999" customHeight="1">
      <c r="A22" s="616">
        <v>13</v>
      </c>
      <c r="B22" s="611" t="s">
        <v>344</v>
      </c>
      <c r="C22" s="612">
        <v>82575</v>
      </c>
      <c r="D22" s="612">
        <v>82575</v>
      </c>
      <c r="E22" s="612"/>
      <c r="F22" s="612"/>
      <c r="G22" s="612">
        <v>35454</v>
      </c>
      <c r="H22" s="612"/>
      <c r="I22" s="612">
        <v>38694</v>
      </c>
      <c r="J22" s="612">
        <v>8427</v>
      </c>
      <c r="K22" s="612"/>
    </row>
    <row r="23" spans="1:11" s="607" customFormat="1" ht="19.899999999999999" customHeight="1">
      <c r="A23" s="616">
        <v>14</v>
      </c>
      <c r="B23" s="611" t="s">
        <v>343</v>
      </c>
      <c r="C23" s="612">
        <v>85703</v>
      </c>
      <c r="D23" s="612">
        <v>85703</v>
      </c>
      <c r="E23" s="612"/>
      <c r="F23" s="612"/>
      <c r="G23" s="612">
        <v>31154</v>
      </c>
      <c r="H23" s="612"/>
      <c r="I23" s="612"/>
      <c r="J23" s="612">
        <v>7308</v>
      </c>
      <c r="K23" s="612"/>
    </row>
    <row r="24" spans="1:11" s="607" customFormat="1" ht="19.899999999999999" customHeight="1">
      <c r="A24" s="616">
        <v>15</v>
      </c>
      <c r="B24" s="611" t="s">
        <v>342</v>
      </c>
      <c r="C24" s="612">
        <v>27386</v>
      </c>
      <c r="D24" s="612">
        <v>27386</v>
      </c>
      <c r="E24" s="612">
        <v>10285</v>
      </c>
      <c r="F24" s="612"/>
      <c r="G24" s="612"/>
      <c r="H24" s="612"/>
      <c r="I24" s="612"/>
      <c r="J24" s="612">
        <v>7101</v>
      </c>
      <c r="K24" s="612"/>
    </row>
    <row r="25" spans="1:11" s="607" customFormat="1" ht="19.899999999999999" customHeight="1">
      <c r="A25" s="616">
        <v>16</v>
      </c>
      <c r="B25" s="611" t="s">
        <v>309</v>
      </c>
      <c r="C25" s="612">
        <v>6456</v>
      </c>
      <c r="D25" s="612">
        <v>6456</v>
      </c>
      <c r="E25" s="612"/>
      <c r="F25" s="612"/>
      <c r="G25" s="612">
        <v>881</v>
      </c>
      <c r="H25" s="612"/>
      <c r="I25" s="612"/>
      <c r="J25" s="612">
        <v>5575</v>
      </c>
      <c r="K25" s="612"/>
    </row>
    <row r="26" spans="1:11" s="607" customFormat="1" ht="19.899999999999999" customHeight="1">
      <c r="A26" s="616">
        <v>17</v>
      </c>
      <c r="B26" s="611" t="s">
        <v>483</v>
      </c>
      <c r="C26" s="612">
        <v>38370</v>
      </c>
      <c r="D26" s="612">
        <v>38370</v>
      </c>
      <c r="E26" s="612">
        <v>4686</v>
      </c>
      <c r="F26" s="612"/>
      <c r="G26" s="612">
        <v>4400</v>
      </c>
      <c r="H26" s="612"/>
      <c r="I26" s="612"/>
      <c r="J26" s="612">
        <v>29284</v>
      </c>
      <c r="K26" s="612"/>
    </row>
    <row r="27" spans="1:11" s="607" customFormat="1" ht="19.899999999999999" customHeight="1">
      <c r="A27" s="616">
        <v>18</v>
      </c>
      <c r="B27" s="611" t="s">
        <v>468</v>
      </c>
      <c r="C27" s="612">
        <v>12210</v>
      </c>
      <c r="D27" s="612">
        <v>12210</v>
      </c>
      <c r="E27" s="612"/>
      <c r="F27" s="612"/>
      <c r="G27" s="612">
        <v>1403</v>
      </c>
      <c r="H27" s="612"/>
      <c r="I27" s="612"/>
      <c r="J27" s="612">
        <v>10807</v>
      </c>
      <c r="K27" s="612"/>
    </row>
    <row r="28" spans="1:11" s="607" customFormat="1" ht="19.899999999999999" customHeight="1">
      <c r="A28" s="616">
        <v>19</v>
      </c>
      <c r="B28" s="611" t="s">
        <v>341</v>
      </c>
      <c r="C28" s="612">
        <v>6296</v>
      </c>
      <c r="D28" s="612">
        <v>6296</v>
      </c>
      <c r="E28" s="612"/>
      <c r="F28" s="612"/>
      <c r="G28" s="612"/>
      <c r="H28" s="612"/>
      <c r="I28" s="612"/>
      <c r="J28" s="612">
        <v>6296</v>
      </c>
      <c r="K28" s="612"/>
    </row>
    <row r="29" spans="1:11" s="607" customFormat="1" ht="19.899999999999999" customHeight="1">
      <c r="A29" s="616">
        <v>20</v>
      </c>
      <c r="B29" s="611" t="s">
        <v>340</v>
      </c>
      <c r="C29" s="612">
        <v>4400</v>
      </c>
      <c r="D29" s="612">
        <v>4400</v>
      </c>
      <c r="E29" s="612"/>
      <c r="F29" s="612"/>
      <c r="G29" s="612"/>
      <c r="H29" s="612"/>
      <c r="I29" s="612"/>
      <c r="J29" s="612"/>
      <c r="K29" s="612"/>
    </row>
    <row r="30" spans="1:11" s="607" customFormat="1" ht="19.899999999999999" customHeight="1">
      <c r="A30" s="616">
        <v>21</v>
      </c>
      <c r="B30" s="611" t="s">
        <v>360</v>
      </c>
      <c r="C30" s="612">
        <v>6020</v>
      </c>
      <c r="D30" s="612">
        <v>6020</v>
      </c>
      <c r="E30" s="612"/>
      <c r="F30" s="612"/>
      <c r="G30" s="612">
        <v>260</v>
      </c>
      <c r="H30" s="612"/>
      <c r="I30" s="612"/>
      <c r="J30" s="612">
        <v>5654</v>
      </c>
      <c r="K30" s="612"/>
    </row>
    <row r="31" spans="1:11" s="607" customFormat="1" ht="19.899999999999999" customHeight="1">
      <c r="A31" s="616">
        <v>22</v>
      </c>
      <c r="B31" s="611" t="s">
        <v>361</v>
      </c>
      <c r="C31" s="612">
        <v>6256</v>
      </c>
      <c r="D31" s="612">
        <v>6256</v>
      </c>
      <c r="E31" s="612">
        <v>470</v>
      </c>
      <c r="F31" s="612"/>
      <c r="G31" s="612">
        <v>100</v>
      </c>
      <c r="H31" s="612"/>
      <c r="I31" s="612"/>
      <c r="J31" s="612">
        <v>5401</v>
      </c>
      <c r="K31" s="612"/>
    </row>
    <row r="32" spans="1:11" s="607" customFormat="1" ht="19.899999999999999" customHeight="1">
      <c r="A32" s="616">
        <v>23</v>
      </c>
      <c r="B32" s="611" t="s">
        <v>362</v>
      </c>
      <c r="C32" s="612">
        <v>4298</v>
      </c>
      <c r="D32" s="612">
        <v>4298</v>
      </c>
      <c r="E32" s="612"/>
      <c r="F32" s="612"/>
      <c r="G32" s="612"/>
      <c r="H32" s="612"/>
      <c r="I32" s="612"/>
      <c r="J32" s="612">
        <v>4146</v>
      </c>
      <c r="K32" s="612"/>
    </row>
    <row r="33" spans="1:11" s="607" customFormat="1" ht="19.899999999999999" customHeight="1">
      <c r="A33" s="616">
        <v>24</v>
      </c>
      <c r="B33" s="611" t="s">
        <v>363</v>
      </c>
      <c r="C33" s="612">
        <v>4203</v>
      </c>
      <c r="D33" s="612">
        <v>4203</v>
      </c>
      <c r="E33" s="612"/>
      <c r="F33" s="612"/>
      <c r="G33" s="612">
        <v>135</v>
      </c>
      <c r="H33" s="612"/>
      <c r="I33" s="612"/>
      <c r="J33" s="612">
        <v>3878</v>
      </c>
      <c r="K33" s="612"/>
    </row>
    <row r="34" spans="1:11" s="607" customFormat="1" ht="19.899999999999999" customHeight="1">
      <c r="A34" s="617">
        <v>25</v>
      </c>
      <c r="B34" s="613" t="s">
        <v>364</v>
      </c>
      <c r="C34" s="614">
        <v>3405</v>
      </c>
      <c r="D34" s="614">
        <v>3405</v>
      </c>
      <c r="E34" s="614"/>
      <c r="F34" s="614"/>
      <c r="G34" s="614">
        <v>250</v>
      </c>
      <c r="H34" s="614"/>
      <c r="I34" s="614"/>
      <c r="J34" s="614">
        <v>3097</v>
      </c>
      <c r="K34" s="614"/>
    </row>
  </sheetData>
  <mergeCells count="16">
    <mergeCell ref="A1:B1"/>
    <mergeCell ref="F7:F8"/>
    <mergeCell ref="G7:G8"/>
    <mergeCell ref="D5:J5"/>
    <mergeCell ref="E7:E8"/>
    <mergeCell ref="I7:I8"/>
    <mergeCell ref="E6:J6"/>
    <mergeCell ref="J7:J8"/>
    <mergeCell ref="H7:H8"/>
    <mergeCell ref="A2:K2"/>
    <mergeCell ref="A4:A8"/>
    <mergeCell ref="B4:B8"/>
    <mergeCell ref="C4:K4"/>
    <mergeCell ref="C5:C8"/>
    <mergeCell ref="D6:D8"/>
    <mergeCell ref="K5:K8"/>
  </mergeCells>
  <phoneticPr fontId="2" type="noConversion"/>
  <printOptions horizontalCentered="1"/>
  <pageMargins left="0" right="0" top="0.39370078740157483" bottom="0.19685039370078741" header="0" footer="0"/>
  <pageSetup paperSize="9" scale="95" fitToHeight="2"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sheetPr codeName="Sheet30">
    <tabColor indexed="13"/>
    <pageSetUpPr fitToPage="1"/>
  </sheetPr>
  <dimension ref="A1:I13"/>
  <sheetViews>
    <sheetView showZeros="0" tabSelected="1" workbookViewId="0">
      <selection activeCell="H5" sqref="H5"/>
    </sheetView>
  </sheetViews>
  <sheetFormatPr defaultColWidth="9" defaultRowHeight="13.5"/>
  <cols>
    <col min="1" max="1" width="6" style="127" customWidth="1"/>
    <col min="2" max="2" width="31.875" style="127" customWidth="1"/>
    <col min="3" max="3" width="12.5" style="127" customWidth="1"/>
    <col min="4" max="4" width="13.125" style="127" customWidth="1"/>
    <col min="5" max="5" width="13.875" style="127" customWidth="1"/>
    <col min="6" max="16384" width="9" style="127"/>
  </cols>
  <sheetData>
    <row r="1" spans="1:9" ht="19.149999999999999" customHeight="1">
      <c r="A1" s="755" t="s">
        <v>753</v>
      </c>
      <c r="B1" s="755"/>
      <c r="C1" s="646"/>
      <c r="D1" s="646"/>
      <c r="E1" s="635" t="s">
        <v>967</v>
      </c>
      <c r="G1" s="646"/>
      <c r="H1" s="646"/>
      <c r="I1" s="646"/>
    </row>
    <row r="2" spans="1:9" ht="20.45" customHeight="1"/>
    <row r="3" spans="1:9" ht="54" customHeight="1">
      <c r="A3" s="681" t="s">
        <v>975</v>
      </c>
      <c r="B3" s="758"/>
      <c r="C3" s="758"/>
      <c r="D3" s="758"/>
      <c r="E3" s="758"/>
    </row>
    <row r="4" spans="1:9" ht="20.25" customHeight="1">
      <c r="E4" s="606" t="s">
        <v>766</v>
      </c>
    </row>
    <row r="5" spans="1:9" s="644" customFormat="1" ht="18" customHeight="1">
      <c r="A5" s="705" t="s">
        <v>769</v>
      </c>
      <c r="B5" s="705" t="s">
        <v>54</v>
      </c>
      <c r="C5" s="705" t="s">
        <v>976</v>
      </c>
      <c r="D5" s="705" t="s">
        <v>55</v>
      </c>
      <c r="E5" s="705"/>
    </row>
    <row r="6" spans="1:9" s="644" customFormat="1" ht="39" customHeight="1">
      <c r="A6" s="705"/>
      <c r="B6" s="705"/>
      <c r="C6" s="705"/>
      <c r="D6" s="619" t="s">
        <v>721</v>
      </c>
      <c r="E6" s="619" t="s">
        <v>56</v>
      </c>
    </row>
    <row r="7" spans="1:9" s="61" customFormat="1" ht="21.6" customHeight="1">
      <c r="A7" s="814" t="s">
        <v>639</v>
      </c>
      <c r="B7" s="815" t="s">
        <v>57</v>
      </c>
      <c r="C7" s="816">
        <f>D7+E7</f>
        <v>53674</v>
      </c>
      <c r="D7" s="816">
        <f>D8+D9</f>
        <v>30000</v>
      </c>
      <c r="E7" s="816">
        <f>E8+E9</f>
        <v>23674</v>
      </c>
    </row>
    <row r="8" spans="1:9" s="61" customFormat="1" ht="21.6" customHeight="1">
      <c r="A8" s="620">
        <v>2</v>
      </c>
      <c r="B8" s="621" t="s">
        <v>571</v>
      </c>
      <c r="C8" s="622">
        <f>D8+E8</f>
        <v>10674</v>
      </c>
      <c r="D8" s="622">
        <v>7200</v>
      </c>
      <c r="E8" s="622">
        <v>3474</v>
      </c>
    </row>
    <row r="9" spans="1:9" s="61" customFormat="1" ht="21.6" customHeight="1">
      <c r="A9" s="620">
        <v>11</v>
      </c>
      <c r="B9" s="618" t="s">
        <v>447</v>
      </c>
      <c r="C9" s="622">
        <f>D9+E9</f>
        <v>43000</v>
      </c>
      <c r="D9" s="622">
        <v>22800</v>
      </c>
      <c r="E9" s="622">
        <v>20200</v>
      </c>
    </row>
    <row r="10" spans="1:9" s="61" customFormat="1" ht="21.6" customHeight="1">
      <c r="A10" s="817" t="s">
        <v>657</v>
      </c>
      <c r="B10" s="818" t="s">
        <v>64</v>
      </c>
      <c r="C10" s="816">
        <f>D10+E10</f>
        <v>1544008</v>
      </c>
      <c r="D10" s="816">
        <v>585920</v>
      </c>
      <c r="E10" s="816">
        <v>958088</v>
      </c>
    </row>
    <row r="11" spans="1:9" s="652" customFormat="1" ht="21.6" customHeight="1">
      <c r="A11" s="756" t="s">
        <v>69</v>
      </c>
      <c r="B11" s="757"/>
      <c r="C11" s="651">
        <f>C7+C10</f>
        <v>1597682</v>
      </c>
      <c r="D11" s="651">
        <f>D7+D10</f>
        <v>615920</v>
      </c>
      <c r="E11" s="651">
        <f>E7+E10</f>
        <v>981762</v>
      </c>
    </row>
    <row r="13" spans="1:9">
      <c r="D13" s="366"/>
    </row>
  </sheetData>
  <mergeCells count="7">
    <mergeCell ref="A1:B1"/>
    <mergeCell ref="A11:B11"/>
    <mergeCell ref="A3:E3"/>
    <mergeCell ref="A5:A6"/>
    <mergeCell ref="B5:B6"/>
    <mergeCell ref="C5:C6"/>
    <mergeCell ref="D5:E5"/>
  </mergeCells>
  <phoneticPr fontId="2" type="noConversion"/>
  <printOptions horizontalCentered="1"/>
  <pageMargins left="0.51181102362204722" right="0" top="1.0236220472440944" bottom="0.39370078740157483" header="0.19685039370078741" footer="0.19685039370078741"/>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sheetPr codeName="Sheet31">
    <tabColor indexed="13"/>
    <pageSetUpPr fitToPage="1"/>
  </sheetPr>
  <dimension ref="A1:J21"/>
  <sheetViews>
    <sheetView zoomScale="90" workbookViewId="0">
      <selection activeCell="C1" sqref="C1"/>
    </sheetView>
  </sheetViews>
  <sheetFormatPr defaultColWidth="9" defaultRowHeight="15.75"/>
  <cols>
    <col min="1" max="1" width="4.5" style="467" customWidth="1"/>
    <col min="2" max="2" width="12.25" style="468" customWidth="1"/>
    <col min="3" max="10" width="9.125" style="468" customWidth="1"/>
    <col min="11" max="16384" width="9" style="468"/>
  </cols>
  <sheetData>
    <row r="1" spans="1:10" ht="16.5">
      <c r="A1" s="636" t="s">
        <v>753</v>
      </c>
      <c r="J1" s="835" t="s">
        <v>991</v>
      </c>
    </row>
    <row r="3" spans="1:10" s="638" customFormat="1" ht="34.5" customHeight="1">
      <c r="A3" s="766" t="s">
        <v>977</v>
      </c>
      <c r="B3" s="767"/>
      <c r="C3" s="767"/>
      <c r="D3" s="767"/>
      <c r="E3" s="767"/>
      <c r="F3" s="767"/>
      <c r="G3" s="767"/>
      <c r="H3" s="767"/>
      <c r="I3" s="767"/>
      <c r="J3" s="767"/>
    </row>
    <row r="4" spans="1:10" ht="17.25" customHeight="1">
      <c r="J4" s="627" t="s">
        <v>828</v>
      </c>
    </row>
    <row r="5" spans="1:10" s="490" customFormat="1" ht="16.5" customHeight="1">
      <c r="A5" s="734" t="s">
        <v>769</v>
      </c>
      <c r="B5" s="734" t="s">
        <v>30</v>
      </c>
      <c r="C5" s="734" t="s">
        <v>983</v>
      </c>
      <c r="D5" s="764" t="s">
        <v>70</v>
      </c>
      <c r="E5" s="765"/>
      <c r="F5" s="765"/>
      <c r="G5" s="765"/>
      <c r="H5" s="765"/>
      <c r="I5" s="765"/>
      <c r="J5" s="734" t="s">
        <v>984</v>
      </c>
    </row>
    <row r="6" spans="1:10" s="490" customFormat="1" ht="15.75" customHeight="1">
      <c r="A6" s="734"/>
      <c r="B6" s="734"/>
      <c r="C6" s="734"/>
      <c r="D6" s="761" t="s">
        <v>32</v>
      </c>
      <c r="E6" s="764" t="s">
        <v>55</v>
      </c>
      <c r="F6" s="765"/>
      <c r="G6" s="765"/>
      <c r="H6" s="765"/>
      <c r="I6" s="841"/>
      <c r="J6" s="734"/>
    </row>
    <row r="7" spans="1:10" s="490" customFormat="1" ht="15.75" customHeight="1">
      <c r="A7" s="734"/>
      <c r="B7" s="734"/>
      <c r="C7" s="734"/>
      <c r="D7" s="762"/>
      <c r="E7" s="762" t="s">
        <v>33</v>
      </c>
      <c r="F7" s="762" t="s">
        <v>555</v>
      </c>
      <c r="G7" s="762" t="s">
        <v>34</v>
      </c>
      <c r="H7" s="842" t="s">
        <v>55</v>
      </c>
      <c r="I7" s="843"/>
      <c r="J7" s="734"/>
    </row>
    <row r="8" spans="1:10" s="490" customFormat="1" ht="47.25">
      <c r="A8" s="734"/>
      <c r="B8" s="734"/>
      <c r="C8" s="734"/>
      <c r="D8" s="763"/>
      <c r="E8" s="763"/>
      <c r="F8" s="763"/>
      <c r="G8" s="763"/>
      <c r="H8" s="650" t="s">
        <v>808</v>
      </c>
      <c r="I8" s="650" t="s">
        <v>36</v>
      </c>
      <c r="J8" s="734"/>
    </row>
    <row r="9" spans="1:10" s="639" customFormat="1" ht="24.95" customHeight="1">
      <c r="A9" s="628">
        <v>1</v>
      </c>
      <c r="B9" s="629" t="s">
        <v>37</v>
      </c>
      <c r="C9" s="623">
        <v>31400</v>
      </c>
      <c r="D9" s="623">
        <f>E9+F9+G9</f>
        <v>347165</v>
      </c>
      <c r="E9" s="623">
        <v>26980</v>
      </c>
      <c r="F9" s="623">
        <v>2570</v>
      </c>
      <c r="G9" s="623">
        <f>H9+I9</f>
        <v>317615</v>
      </c>
      <c r="H9" s="623">
        <v>138230</v>
      </c>
      <c r="I9" s="630">
        <v>179385</v>
      </c>
      <c r="J9" s="623">
        <v>347165</v>
      </c>
    </row>
    <row r="10" spans="1:10" s="640" customFormat="1" ht="24.95" customHeight="1">
      <c r="A10" s="631">
        <v>2</v>
      </c>
      <c r="B10" s="632" t="s">
        <v>4</v>
      </c>
      <c r="C10" s="624">
        <v>102300</v>
      </c>
      <c r="D10" s="624">
        <f>E10+F10+G10</f>
        <v>274760</v>
      </c>
      <c r="E10" s="624">
        <v>92030</v>
      </c>
      <c r="F10" s="624">
        <v>400</v>
      </c>
      <c r="G10" s="624">
        <f t="shared" ref="G10:G20" si="0">H10+I10</f>
        <v>182330</v>
      </c>
      <c r="H10" s="624">
        <v>72140</v>
      </c>
      <c r="I10" s="624">
        <v>110190</v>
      </c>
      <c r="J10" s="624">
        <v>274760</v>
      </c>
    </row>
    <row r="11" spans="1:10" s="640" customFormat="1" ht="24.95" customHeight="1">
      <c r="A11" s="631">
        <v>3</v>
      </c>
      <c r="B11" s="632" t="s">
        <v>38</v>
      </c>
      <c r="C11" s="624">
        <v>31940</v>
      </c>
      <c r="D11" s="624">
        <f>E11+F11+G11</f>
        <v>319035</v>
      </c>
      <c r="E11" s="624">
        <v>26390</v>
      </c>
      <c r="F11" s="624">
        <v>2300</v>
      </c>
      <c r="G11" s="624">
        <f t="shared" si="0"/>
        <v>290345</v>
      </c>
      <c r="H11" s="624">
        <v>135930</v>
      </c>
      <c r="I11" s="624">
        <v>154415</v>
      </c>
      <c r="J11" s="624">
        <v>319035</v>
      </c>
    </row>
    <row r="12" spans="1:10" s="640" customFormat="1" ht="24.95" customHeight="1">
      <c r="A12" s="631">
        <v>4</v>
      </c>
      <c r="B12" s="632" t="s">
        <v>8</v>
      </c>
      <c r="C12" s="624">
        <v>62650</v>
      </c>
      <c r="D12" s="624">
        <f>E12+F12+G12</f>
        <v>318185</v>
      </c>
      <c r="E12" s="624">
        <v>51400</v>
      </c>
      <c r="F12" s="624">
        <v>1410</v>
      </c>
      <c r="G12" s="624">
        <f t="shared" si="0"/>
        <v>265375</v>
      </c>
      <c r="H12" s="624">
        <v>113580</v>
      </c>
      <c r="I12" s="624">
        <v>151795</v>
      </c>
      <c r="J12" s="624">
        <v>318185</v>
      </c>
    </row>
    <row r="13" spans="1:10" s="640" customFormat="1" ht="24.95" customHeight="1">
      <c r="A13" s="631">
        <v>5</v>
      </c>
      <c r="B13" s="632" t="s">
        <v>9</v>
      </c>
      <c r="C13" s="624">
        <v>106700</v>
      </c>
      <c r="D13" s="624">
        <f>E13+F13+G13</f>
        <v>388672</v>
      </c>
      <c r="E13" s="624">
        <v>98025</v>
      </c>
      <c r="F13" s="624">
        <v>4570</v>
      </c>
      <c r="G13" s="624">
        <f t="shared" si="0"/>
        <v>286077</v>
      </c>
      <c r="H13" s="624">
        <v>140800</v>
      </c>
      <c r="I13" s="624">
        <v>145277</v>
      </c>
      <c r="J13" s="624">
        <v>388672</v>
      </c>
    </row>
    <row r="14" spans="1:10" s="640" customFormat="1" ht="24.95" customHeight="1">
      <c r="A14" s="631">
        <v>6</v>
      </c>
      <c r="B14" s="632" t="s">
        <v>10</v>
      </c>
      <c r="C14" s="624">
        <v>433400</v>
      </c>
      <c r="D14" s="624">
        <f>E14+F14+G14</f>
        <v>465860</v>
      </c>
      <c r="E14" s="624">
        <v>314120</v>
      </c>
      <c r="F14" s="624">
        <v>13850</v>
      </c>
      <c r="G14" s="624">
        <f t="shared" si="0"/>
        <v>137890</v>
      </c>
      <c r="H14" s="624">
        <v>0</v>
      </c>
      <c r="I14" s="624">
        <v>137890</v>
      </c>
      <c r="J14" s="624">
        <v>465860</v>
      </c>
    </row>
    <row r="15" spans="1:10" s="640" customFormat="1" ht="24.95" customHeight="1">
      <c r="A15" s="631">
        <v>7</v>
      </c>
      <c r="B15" s="632" t="s">
        <v>11</v>
      </c>
      <c r="C15" s="624">
        <v>101620</v>
      </c>
      <c r="D15" s="624">
        <f>E15+F15+G15</f>
        <v>489569</v>
      </c>
      <c r="E15" s="624">
        <v>91560</v>
      </c>
      <c r="F15" s="624">
        <v>6060</v>
      </c>
      <c r="G15" s="624">
        <f t="shared" si="0"/>
        <v>391949</v>
      </c>
      <c r="H15" s="624">
        <v>181315</v>
      </c>
      <c r="I15" s="624">
        <v>210634</v>
      </c>
      <c r="J15" s="624">
        <v>489569</v>
      </c>
    </row>
    <row r="16" spans="1:10" s="640" customFormat="1" ht="24.95" customHeight="1">
      <c r="A16" s="631">
        <v>8</v>
      </c>
      <c r="B16" s="632" t="s">
        <v>39</v>
      </c>
      <c r="C16" s="624">
        <v>100100</v>
      </c>
      <c r="D16" s="624">
        <f>E16+F16+G16</f>
        <v>429595</v>
      </c>
      <c r="E16" s="624">
        <v>84840</v>
      </c>
      <c r="F16" s="624">
        <v>2030</v>
      </c>
      <c r="G16" s="624">
        <f t="shared" si="0"/>
        <v>342725</v>
      </c>
      <c r="H16" s="624">
        <v>144865</v>
      </c>
      <c r="I16" s="624">
        <v>197860</v>
      </c>
      <c r="J16" s="624">
        <v>429595</v>
      </c>
    </row>
    <row r="17" spans="1:10" s="640" customFormat="1" ht="24.95" customHeight="1">
      <c r="A17" s="631">
        <v>9</v>
      </c>
      <c r="B17" s="632" t="s">
        <v>40</v>
      </c>
      <c r="C17" s="624">
        <v>114470</v>
      </c>
      <c r="D17" s="624">
        <f>E17+F17+G17</f>
        <v>430470</v>
      </c>
      <c r="E17" s="624">
        <v>103410</v>
      </c>
      <c r="F17" s="624">
        <v>3120</v>
      </c>
      <c r="G17" s="624">
        <f t="shared" si="0"/>
        <v>323940</v>
      </c>
      <c r="H17" s="624">
        <v>15490</v>
      </c>
      <c r="I17" s="624">
        <v>308450</v>
      </c>
      <c r="J17" s="624">
        <v>430470</v>
      </c>
    </row>
    <row r="18" spans="1:10" s="640" customFormat="1" ht="24.95" customHeight="1">
      <c r="A18" s="631">
        <v>10</v>
      </c>
      <c r="B18" s="632" t="s">
        <v>41</v>
      </c>
      <c r="C18" s="624">
        <v>67340</v>
      </c>
      <c r="D18" s="624">
        <f>E18+F18+G18</f>
        <v>354155</v>
      </c>
      <c r="E18" s="624">
        <v>58060</v>
      </c>
      <c r="F18" s="624"/>
      <c r="G18" s="624">
        <f t="shared" si="0"/>
        <v>296095</v>
      </c>
      <c r="H18" s="624">
        <v>137020</v>
      </c>
      <c r="I18" s="624">
        <v>159075</v>
      </c>
      <c r="J18" s="624">
        <v>354155</v>
      </c>
    </row>
    <row r="19" spans="1:10" s="640" customFormat="1" ht="24.95" customHeight="1">
      <c r="A19" s="631">
        <v>11</v>
      </c>
      <c r="B19" s="632" t="s">
        <v>198</v>
      </c>
      <c r="C19" s="624">
        <v>260030</v>
      </c>
      <c r="D19" s="624">
        <f>E19+F19+G19</f>
        <v>413845</v>
      </c>
      <c r="E19" s="624">
        <v>180930</v>
      </c>
      <c r="F19" s="624">
        <v>2950</v>
      </c>
      <c r="G19" s="624">
        <f t="shared" si="0"/>
        <v>229965</v>
      </c>
      <c r="H19" s="624"/>
      <c r="I19" s="624">
        <v>229965</v>
      </c>
      <c r="J19" s="624">
        <v>413845</v>
      </c>
    </row>
    <row r="20" spans="1:10" s="641" customFormat="1" ht="24.95" customHeight="1">
      <c r="A20" s="633">
        <v>12</v>
      </c>
      <c r="B20" s="634" t="s">
        <v>15</v>
      </c>
      <c r="C20" s="625">
        <v>70750</v>
      </c>
      <c r="D20" s="624">
        <f>E20+F20+G20</f>
        <v>339220</v>
      </c>
      <c r="E20" s="624">
        <v>63460</v>
      </c>
      <c r="F20" s="625"/>
      <c r="G20" s="624">
        <f t="shared" si="0"/>
        <v>275760</v>
      </c>
      <c r="H20" s="625">
        <v>74250</v>
      </c>
      <c r="I20" s="624">
        <v>201510</v>
      </c>
      <c r="J20" s="625">
        <v>339220</v>
      </c>
    </row>
    <row r="21" spans="1:10" s="490" customFormat="1" ht="24.95" customHeight="1">
      <c r="A21" s="759" t="s">
        <v>42</v>
      </c>
      <c r="B21" s="760"/>
      <c r="C21" s="626">
        <f>SUM(C9:C20)</f>
        <v>1482700</v>
      </c>
      <c r="D21" s="626">
        <f t="shared" ref="D21:J21" si="1">SUM(D9:D20)</f>
        <v>4570531</v>
      </c>
      <c r="E21" s="626">
        <f t="shared" si="1"/>
        <v>1191205</v>
      </c>
      <c r="F21" s="626">
        <f t="shared" si="1"/>
        <v>39260</v>
      </c>
      <c r="G21" s="626">
        <f t="shared" si="1"/>
        <v>3340066</v>
      </c>
      <c r="H21" s="626">
        <f t="shared" si="1"/>
        <v>1153620</v>
      </c>
      <c r="I21" s="626">
        <f t="shared" si="1"/>
        <v>2186446</v>
      </c>
      <c r="J21" s="626">
        <f t="shared" si="1"/>
        <v>4570531</v>
      </c>
    </row>
  </sheetData>
  <mergeCells count="13">
    <mergeCell ref="D5:I5"/>
    <mergeCell ref="A3:J3"/>
    <mergeCell ref="A5:A8"/>
    <mergeCell ref="B5:B8"/>
    <mergeCell ref="J5:J8"/>
    <mergeCell ref="E6:I6"/>
    <mergeCell ref="E7:E8"/>
    <mergeCell ref="F7:F8"/>
    <mergeCell ref="G7:G8"/>
    <mergeCell ref="H7:I7"/>
    <mergeCell ref="A21:B21"/>
    <mergeCell ref="D6:D8"/>
    <mergeCell ref="C5:C8"/>
  </mergeCells>
  <phoneticPr fontId="2" type="noConversion"/>
  <printOptions horizontalCentered="1"/>
  <pageMargins left="0" right="0" top="0.39370078740157483" bottom="0.39370078740157483" header="0.19685039370078741" footer="0.19685039370078741"/>
  <pageSetup paperSize="9" orientation="landscape" r:id="rId1"/>
  <headerFooter alignWithMargins="0"/>
</worksheet>
</file>

<file path=xl/worksheets/sheet35.xml><?xml version="1.0" encoding="utf-8"?>
<worksheet xmlns="http://schemas.openxmlformats.org/spreadsheetml/2006/main" xmlns:r="http://schemas.openxmlformats.org/officeDocument/2006/relationships">
  <sheetPr codeName="Sheet32">
    <tabColor indexed="13"/>
    <pageSetUpPr fitToPage="1"/>
  </sheetPr>
  <dimension ref="A1:Q27"/>
  <sheetViews>
    <sheetView workbookViewId="0">
      <selection activeCell="C1" sqref="C1"/>
    </sheetView>
  </sheetViews>
  <sheetFormatPr defaultRowHeight="15.75"/>
  <cols>
    <col min="1" max="1" width="4.25" style="775" customWidth="1"/>
    <col min="2" max="2" width="15.375" style="775" customWidth="1"/>
    <col min="3" max="3" width="6.5" style="775" customWidth="1"/>
    <col min="4" max="4" width="7" style="775" customWidth="1"/>
    <col min="5" max="5" width="7.25" style="775" customWidth="1"/>
    <col min="6" max="9" width="8.125" style="775" customWidth="1"/>
    <col min="10" max="10" width="7.25" style="775" customWidth="1"/>
    <col min="11" max="11" width="8.125" style="775" customWidth="1"/>
    <col min="12" max="12" width="8.5" style="775" customWidth="1"/>
    <col min="13" max="13" width="7.5" style="775" customWidth="1"/>
    <col min="14" max="15" width="8.125" style="775" customWidth="1"/>
    <col min="16" max="16" width="7.625" style="775" customWidth="1"/>
    <col min="17" max="17" width="7.375" style="775" customWidth="1"/>
    <col min="18" max="16384" width="9" style="775"/>
  </cols>
  <sheetData>
    <row r="1" spans="1:17" ht="16.5">
      <c r="A1" s="636" t="s">
        <v>753</v>
      </c>
      <c r="Q1" s="835" t="s">
        <v>990</v>
      </c>
    </row>
    <row r="3" spans="1:17" ht="36.75" customHeight="1">
      <c r="A3" s="681" t="s">
        <v>978</v>
      </c>
      <c r="B3" s="682"/>
      <c r="C3" s="682"/>
      <c r="D3" s="682"/>
      <c r="E3" s="682"/>
      <c r="F3" s="682"/>
      <c r="G3" s="682"/>
      <c r="H3" s="682"/>
      <c r="I3" s="682"/>
      <c r="J3" s="682"/>
      <c r="K3" s="682"/>
      <c r="L3" s="682"/>
      <c r="M3" s="682"/>
      <c r="N3" s="682"/>
      <c r="O3" s="682"/>
      <c r="P3" s="682"/>
      <c r="Q3" s="682"/>
    </row>
    <row r="4" spans="1:17">
      <c r="P4" s="768" t="s">
        <v>71</v>
      </c>
      <c r="Q4" s="738"/>
    </row>
    <row r="5" spans="1:17" s="19" customFormat="1">
      <c r="A5" s="705" t="s">
        <v>72</v>
      </c>
      <c r="B5" s="705" t="s">
        <v>73</v>
      </c>
      <c r="C5" s="678" t="s">
        <v>74</v>
      </c>
      <c r="D5" s="679"/>
      <c r="E5" s="679"/>
      <c r="F5" s="679"/>
      <c r="G5" s="679"/>
      <c r="H5" s="679"/>
      <c r="I5" s="679"/>
      <c r="J5" s="679"/>
      <c r="K5" s="679"/>
      <c r="L5" s="679"/>
      <c r="M5" s="679"/>
      <c r="N5" s="679"/>
      <c r="O5" s="679"/>
      <c r="P5" s="679"/>
      <c r="Q5" s="680"/>
    </row>
    <row r="6" spans="1:17" s="19" customFormat="1" ht="27" customHeight="1">
      <c r="A6" s="705"/>
      <c r="B6" s="705"/>
      <c r="C6" s="769" t="s">
        <v>75</v>
      </c>
      <c r="D6" s="770"/>
      <c r="E6" s="770"/>
      <c r="F6" s="770"/>
      <c r="G6" s="770"/>
      <c r="H6" s="771"/>
      <c r="I6" s="705" t="s">
        <v>788</v>
      </c>
      <c r="J6" s="705" t="s">
        <v>76</v>
      </c>
      <c r="K6" s="705" t="s">
        <v>77</v>
      </c>
      <c r="L6" s="705" t="s">
        <v>379</v>
      </c>
      <c r="M6" s="705" t="s">
        <v>78</v>
      </c>
      <c r="N6" s="677" t="s">
        <v>790</v>
      </c>
      <c r="O6" s="705" t="s">
        <v>79</v>
      </c>
      <c r="P6" s="750" t="s">
        <v>80</v>
      </c>
      <c r="Q6" s="705" t="s">
        <v>81</v>
      </c>
    </row>
    <row r="7" spans="1:17" s="644" customFormat="1" ht="103.5" customHeight="1">
      <c r="A7" s="705"/>
      <c r="B7" s="705"/>
      <c r="C7" s="645" t="s">
        <v>82</v>
      </c>
      <c r="D7" s="645" t="s">
        <v>83</v>
      </c>
      <c r="E7" s="645" t="s">
        <v>646</v>
      </c>
      <c r="F7" s="649" t="s">
        <v>84</v>
      </c>
      <c r="G7" s="645" t="s">
        <v>85</v>
      </c>
      <c r="H7" s="645" t="s">
        <v>86</v>
      </c>
      <c r="I7" s="705"/>
      <c r="J7" s="705"/>
      <c r="K7" s="705"/>
      <c r="L7" s="705"/>
      <c r="M7" s="705"/>
      <c r="N7" s="666"/>
      <c r="O7" s="705"/>
      <c r="P7" s="750"/>
      <c r="Q7" s="705"/>
    </row>
    <row r="8" spans="1:17" ht="20.100000000000001" customHeight="1">
      <c r="A8" s="809">
        <v>1</v>
      </c>
      <c r="B8" s="810" t="s">
        <v>87</v>
      </c>
      <c r="C8" s="811">
        <v>1</v>
      </c>
      <c r="D8" s="811">
        <v>1</v>
      </c>
      <c r="E8" s="811">
        <v>0</v>
      </c>
      <c r="F8" s="811">
        <v>1</v>
      </c>
      <c r="G8" s="811">
        <v>0</v>
      </c>
      <c r="H8" s="811">
        <v>1</v>
      </c>
      <c r="I8" s="811">
        <v>0</v>
      </c>
      <c r="J8" s="811">
        <v>1</v>
      </c>
      <c r="K8" s="811">
        <v>0</v>
      </c>
      <c r="L8" s="811">
        <v>0</v>
      </c>
      <c r="M8" s="811">
        <v>1</v>
      </c>
      <c r="N8" s="811">
        <v>1</v>
      </c>
      <c r="O8" s="811">
        <v>1</v>
      </c>
      <c r="P8" s="811">
        <v>1</v>
      </c>
      <c r="Q8" s="811">
        <v>0</v>
      </c>
    </row>
    <row r="9" spans="1:17" s="61" customFormat="1" ht="20.100000000000001" customHeight="1">
      <c r="A9" s="150">
        <v>2</v>
      </c>
      <c r="B9" s="276" t="s">
        <v>88</v>
      </c>
      <c r="C9" s="166">
        <v>1</v>
      </c>
      <c r="D9" s="166">
        <v>1</v>
      </c>
      <c r="E9" s="166">
        <v>0</v>
      </c>
      <c r="F9" s="166">
        <v>1</v>
      </c>
      <c r="G9" s="166">
        <v>0</v>
      </c>
      <c r="H9" s="166">
        <v>1</v>
      </c>
      <c r="I9" s="166">
        <v>0</v>
      </c>
      <c r="J9" s="166">
        <v>1</v>
      </c>
      <c r="K9" s="166">
        <v>0</v>
      </c>
      <c r="L9" s="166">
        <v>0</v>
      </c>
      <c r="M9" s="166">
        <v>1</v>
      </c>
      <c r="N9" s="166">
        <v>1</v>
      </c>
      <c r="O9" s="166">
        <v>1</v>
      </c>
      <c r="P9" s="166">
        <v>1</v>
      </c>
      <c r="Q9" s="166">
        <v>0</v>
      </c>
    </row>
    <row r="10" spans="1:17" ht="20.100000000000001" customHeight="1">
      <c r="A10" s="784">
        <v>3</v>
      </c>
      <c r="B10" s="785" t="s">
        <v>89</v>
      </c>
      <c r="C10" s="786">
        <v>1</v>
      </c>
      <c r="D10" s="786">
        <v>1</v>
      </c>
      <c r="E10" s="786">
        <v>0</v>
      </c>
      <c r="F10" s="786">
        <v>1</v>
      </c>
      <c r="G10" s="786">
        <v>0</v>
      </c>
      <c r="H10" s="786">
        <v>1</v>
      </c>
      <c r="I10" s="786">
        <v>0</v>
      </c>
      <c r="J10" s="786">
        <v>1</v>
      </c>
      <c r="K10" s="786">
        <v>0</v>
      </c>
      <c r="L10" s="786">
        <v>0</v>
      </c>
      <c r="M10" s="786">
        <v>1</v>
      </c>
      <c r="N10" s="786">
        <v>1</v>
      </c>
      <c r="O10" s="786">
        <v>1</v>
      </c>
      <c r="P10" s="786">
        <v>1</v>
      </c>
      <c r="Q10" s="786">
        <v>0</v>
      </c>
    </row>
    <row r="11" spans="1:17" ht="20.100000000000001" customHeight="1">
      <c r="A11" s="784">
        <v>4</v>
      </c>
      <c r="B11" s="785" t="s">
        <v>90</v>
      </c>
      <c r="C11" s="786">
        <v>1</v>
      </c>
      <c r="D11" s="786">
        <v>1</v>
      </c>
      <c r="E11" s="786">
        <v>0</v>
      </c>
      <c r="F11" s="786">
        <v>1</v>
      </c>
      <c r="G11" s="786">
        <v>0</v>
      </c>
      <c r="H11" s="786">
        <v>1</v>
      </c>
      <c r="I11" s="786">
        <v>0</v>
      </c>
      <c r="J11" s="786">
        <v>1</v>
      </c>
      <c r="K11" s="786">
        <v>0</v>
      </c>
      <c r="L11" s="786">
        <v>0</v>
      </c>
      <c r="M11" s="786">
        <v>1</v>
      </c>
      <c r="N11" s="786">
        <v>1</v>
      </c>
      <c r="O11" s="786">
        <v>1</v>
      </c>
      <c r="P11" s="786">
        <v>1</v>
      </c>
      <c r="Q11" s="786">
        <v>0</v>
      </c>
    </row>
    <row r="12" spans="1:17" ht="20.100000000000001" customHeight="1">
      <c r="A12" s="784">
        <v>5</v>
      </c>
      <c r="B12" s="785" t="s">
        <v>91</v>
      </c>
      <c r="C12" s="786">
        <v>1</v>
      </c>
      <c r="D12" s="786">
        <v>1</v>
      </c>
      <c r="E12" s="786">
        <v>0</v>
      </c>
      <c r="F12" s="786">
        <v>1</v>
      </c>
      <c r="G12" s="786">
        <v>0</v>
      </c>
      <c r="H12" s="786">
        <v>1</v>
      </c>
      <c r="I12" s="786">
        <v>0</v>
      </c>
      <c r="J12" s="786">
        <v>1</v>
      </c>
      <c r="K12" s="786">
        <v>0</v>
      </c>
      <c r="L12" s="786">
        <v>0</v>
      </c>
      <c r="M12" s="786">
        <v>1</v>
      </c>
      <c r="N12" s="786">
        <v>1</v>
      </c>
      <c r="O12" s="786">
        <v>1</v>
      </c>
      <c r="P12" s="786">
        <v>1</v>
      </c>
      <c r="Q12" s="786">
        <v>0</v>
      </c>
    </row>
    <row r="13" spans="1:17" s="61" customFormat="1" ht="20.100000000000001" customHeight="1">
      <c r="A13" s="150">
        <v>6</v>
      </c>
      <c r="B13" s="276" t="s">
        <v>92</v>
      </c>
      <c r="C13" s="166">
        <v>0.7</v>
      </c>
      <c r="D13" s="166">
        <v>0.7</v>
      </c>
      <c r="E13" s="166">
        <v>0</v>
      </c>
      <c r="F13" s="166">
        <v>1</v>
      </c>
      <c r="G13" s="166">
        <v>0</v>
      </c>
      <c r="H13" s="166">
        <v>1</v>
      </c>
      <c r="I13" s="166">
        <v>0</v>
      </c>
      <c r="J13" s="166">
        <v>1</v>
      </c>
      <c r="K13" s="166">
        <v>0</v>
      </c>
      <c r="L13" s="166">
        <v>0</v>
      </c>
      <c r="M13" s="166">
        <v>1</v>
      </c>
      <c r="N13" s="166">
        <v>1</v>
      </c>
      <c r="O13" s="166">
        <v>1</v>
      </c>
      <c r="P13" s="166">
        <v>1</v>
      </c>
      <c r="Q13" s="166">
        <v>0</v>
      </c>
    </row>
    <row r="14" spans="1:17" s="61" customFormat="1" ht="20.100000000000001" customHeight="1">
      <c r="A14" s="150">
        <v>7</v>
      </c>
      <c r="B14" s="276" t="s">
        <v>93</v>
      </c>
      <c r="C14" s="166">
        <v>1</v>
      </c>
      <c r="D14" s="166">
        <v>1</v>
      </c>
      <c r="E14" s="166">
        <v>0</v>
      </c>
      <c r="F14" s="166">
        <v>1</v>
      </c>
      <c r="G14" s="166">
        <v>0</v>
      </c>
      <c r="H14" s="166">
        <v>1</v>
      </c>
      <c r="I14" s="166">
        <v>0</v>
      </c>
      <c r="J14" s="166">
        <v>1</v>
      </c>
      <c r="K14" s="166">
        <v>0</v>
      </c>
      <c r="L14" s="166">
        <v>0</v>
      </c>
      <c r="M14" s="166">
        <v>1</v>
      </c>
      <c r="N14" s="166">
        <v>1</v>
      </c>
      <c r="O14" s="166">
        <v>1</v>
      </c>
      <c r="P14" s="166">
        <v>1</v>
      </c>
      <c r="Q14" s="166">
        <v>0</v>
      </c>
    </row>
    <row r="15" spans="1:17" s="61" customFormat="1" ht="20.100000000000001" customHeight="1">
      <c r="A15" s="150">
        <v>8</v>
      </c>
      <c r="B15" s="276" t="s">
        <v>94</v>
      </c>
      <c r="C15" s="166">
        <v>1</v>
      </c>
      <c r="D15" s="166">
        <v>1</v>
      </c>
      <c r="E15" s="166">
        <v>0</v>
      </c>
      <c r="F15" s="166">
        <v>1</v>
      </c>
      <c r="G15" s="166">
        <v>0</v>
      </c>
      <c r="H15" s="166">
        <v>1</v>
      </c>
      <c r="I15" s="166">
        <v>0</v>
      </c>
      <c r="J15" s="166">
        <v>1</v>
      </c>
      <c r="K15" s="166">
        <v>0</v>
      </c>
      <c r="L15" s="166">
        <v>0</v>
      </c>
      <c r="M15" s="166">
        <v>1</v>
      </c>
      <c r="N15" s="166">
        <v>1</v>
      </c>
      <c r="O15" s="166">
        <v>1</v>
      </c>
      <c r="P15" s="166">
        <v>1</v>
      </c>
      <c r="Q15" s="166">
        <v>0</v>
      </c>
    </row>
    <row r="16" spans="1:17" s="61" customFormat="1" ht="20.100000000000001" customHeight="1">
      <c r="A16" s="150">
        <v>9</v>
      </c>
      <c r="B16" s="276" t="s">
        <v>95</v>
      </c>
      <c r="C16" s="166">
        <v>1</v>
      </c>
      <c r="D16" s="166">
        <v>1</v>
      </c>
      <c r="E16" s="166">
        <v>0</v>
      </c>
      <c r="F16" s="166">
        <v>1</v>
      </c>
      <c r="G16" s="166">
        <v>0</v>
      </c>
      <c r="H16" s="166">
        <v>1</v>
      </c>
      <c r="I16" s="166">
        <v>0</v>
      </c>
      <c r="J16" s="166">
        <v>1</v>
      </c>
      <c r="K16" s="166">
        <v>0</v>
      </c>
      <c r="L16" s="166">
        <v>0</v>
      </c>
      <c r="M16" s="166">
        <v>1</v>
      </c>
      <c r="N16" s="166">
        <v>1</v>
      </c>
      <c r="O16" s="166">
        <v>1</v>
      </c>
      <c r="P16" s="166">
        <v>1</v>
      </c>
      <c r="Q16" s="166">
        <v>0</v>
      </c>
    </row>
    <row r="17" spans="1:17" s="61" customFormat="1" ht="20.100000000000001" customHeight="1">
      <c r="A17" s="150">
        <v>10</v>
      </c>
      <c r="B17" s="276" t="s">
        <v>96</v>
      </c>
      <c r="C17" s="166">
        <v>1</v>
      </c>
      <c r="D17" s="166">
        <v>1</v>
      </c>
      <c r="E17" s="166">
        <v>0</v>
      </c>
      <c r="F17" s="166">
        <v>1</v>
      </c>
      <c r="G17" s="166">
        <v>0</v>
      </c>
      <c r="H17" s="166">
        <v>1</v>
      </c>
      <c r="I17" s="166">
        <v>0</v>
      </c>
      <c r="J17" s="166">
        <v>1</v>
      </c>
      <c r="K17" s="166">
        <v>0</v>
      </c>
      <c r="L17" s="166">
        <v>0</v>
      </c>
      <c r="M17" s="166">
        <v>1</v>
      </c>
      <c r="N17" s="166">
        <v>1</v>
      </c>
      <c r="O17" s="166">
        <v>1</v>
      </c>
      <c r="P17" s="166">
        <v>1</v>
      </c>
      <c r="Q17" s="166">
        <v>0</v>
      </c>
    </row>
    <row r="18" spans="1:17" s="61" customFormat="1" ht="20.100000000000001" customHeight="1">
      <c r="A18" s="150">
        <v>11</v>
      </c>
      <c r="B18" s="276" t="s">
        <v>202</v>
      </c>
      <c r="C18" s="166">
        <v>0.6</v>
      </c>
      <c r="D18" s="166">
        <v>0.6</v>
      </c>
      <c r="E18" s="166">
        <v>0</v>
      </c>
      <c r="F18" s="166">
        <v>1</v>
      </c>
      <c r="G18" s="166">
        <v>0</v>
      </c>
      <c r="H18" s="166">
        <v>1</v>
      </c>
      <c r="I18" s="166">
        <v>0</v>
      </c>
      <c r="J18" s="166">
        <v>1</v>
      </c>
      <c r="K18" s="166">
        <v>0</v>
      </c>
      <c r="L18" s="166">
        <v>0</v>
      </c>
      <c r="M18" s="166">
        <v>1</v>
      </c>
      <c r="N18" s="166">
        <v>1</v>
      </c>
      <c r="O18" s="166">
        <v>1</v>
      </c>
      <c r="P18" s="166">
        <v>1</v>
      </c>
      <c r="Q18" s="166">
        <v>0</v>
      </c>
    </row>
    <row r="19" spans="1:17" ht="20.100000000000001" customHeight="1">
      <c r="A19" s="812">
        <v>12</v>
      </c>
      <c r="B19" s="813" t="s">
        <v>97</v>
      </c>
      <c r="C19" s="808">
        <v>1</v>
      </c>
      <c r="D19" s="808">
        <v>1</v>
      </c>
      <c r="E19" s="808">
        <v>0</v>
      </c>
      <c r="F19" s="808">
        <v>1</v>
      </c>
      <c r="G19" s="808">
        <v>0</v>
      </c>
      <c r="H19" s="808">
        <v>1</v>
      </c>
      <c r="I19" s="808">
        <v>0</v>
      </c>
      <c r="J19" s="808">
        <v>1</v>
      </c>
      <c r="K19" s="808">
        <v>0</v>
      </c>
      <c r="L19" s="808">
        <v>0</v>
      </c>
      <c r="M19" s="808">
        <v>1</v>
      </c>
      <c r="N19" s="808">
        <v>1</v>
      </c>
      <c r="O19" s="808">
        <v>1</v>
      </c>
      <c r="P19" s="808">
        <v>1</v>
      </c>
      <c r="Q19" s="808">
        <v>0</v>
      </c>
    </row>
    <row r="20" spans="1:17">
      <c r="B20" s="159" t="s">
        <v>98</v>
      </c>
      <c r="M20" s="773"/>
      <c r="N20" s="773"/>
      <c r="O20" s="773"/>
      <c r="P20" s="773"/>
    </row>
    <row r="21" spans="1:17">
      <c r="B21" s="160" t="s">
        <v>99</v>
      </c>
      <c r="M21" s="738"/>
      <c r="N21" s="738"/>
      <c r="O21" s="738"/>
      <c r="P21" s="738"/>
    </row>
    <row r="22" spans="1:17">
      <c r="B22" s="160" t="s">
        <v>100</v>
      </c>
      <c r="M22" s="738"/>
      <c r="N22" s="738"/>
      <c r="O22" s="738"/>
      <c r="P22" s="738"/>
    </row>
    <row r="23" spans="1:17">
      <c r="B23" s="160" t="s">
        <v>101</v>
      </c>
    </row>
    <row r="24" spans="1:17">
      <c r="B24" s="160" t="s">
        <v>102</v>
      </c>
    </row>
    <row r="25" spans="1:17">
      <c r="B25" s="160" t="s">
        <v>103</v>
      </c>
    </row>
    <row r="26" spans="1:17">
      <c r="B26" s="160" t="s">
        <v>104</v>
      </c>
    </row>
    <row r="27" spans="1:17" ht="38.25" customHeight="1">
      <c r="B27" s="772" t="s">
        <v>966</v>
      </c>
      <c r="C27" s="772"/>
      <c r="D27" s="772"/>
      <c r="E27" s="772"/>
      <c r="F27" s="772"/>
      <c r="G27" s="772"/>
      <c r="H27" s="772"/>
      <c r="I27" s="772"/>
      <c r="J27" s="772"/>
      <c r="K27" s="772"/>
      <c r="L27" s="772"/>
      <c r="M27" s="772"/>
      <c r="N27" s="772"/>
      <c r="O27" s="772"/>
      <c r="P27" s="772"/>
      <c r="Q27" s="772"/>
    </row>
  </sheetData>
  <mergeCells count="19">
    <mergeCell ref="B27:Q27"/>
    <mergeCell ref="O6:O7"/>
    <mergeCell ref="P6:P7"/>
    <mergeCell ref="Q6:Q7"/>
    <mergeCell ref="M20:P20"/>
    <mergeCell ref="M6:M7"/>
    <mergeCell ref="N6:N7"/>
    <mergeCell ref="M21:P21"/>
    <mergeCell ref="M22:P22"/>
    <mergeCell ref="A3:Q3"/>
    <mergeCell ref="P4:Q4"/>
    <mergeCell ref="A5:A7"/>
    <mergeCell ref="B5:B7"/>
    <mergeCell ref="C5:Q5"/>
    <mergeCell ref="C6:H6"/>
    <mergeCell ref="I6:I7"/>
    <mergeCell ref="J6:J7"/>
    <mergeCell ref="K6:K7"/>
    <mergeCell ref="L6:L7"/>
  </mergeCells>
  <phoneticPr fontId="2" type="noConversion"/>
  <printOptions horizontalCentered="1"/>
  <pageMargins left="0" right="0" top="0.39370078740157483" bottom="0.19685039370078741" header="0" footer="0"/>
  <pageSetup paperSize="9" scale="92" orientation="landscape" r:id="rId1"/>
  <headerFooter alignWithMargins="0"/>
</worksheet>
</file>

<file path=xl/worksheets/sheet36.xml><?xml version="1.0" encoding="utf-8"?>
<worksheet xmlns="http://schemas.openxmlformats.org/spreadsheetml/2006/main" xmlns:r="http://schemas.openxmlformats.org/officeDocument/2006/relationships">
  <sheetPr codeName="Sheet33">
    <tabColor indexed="13"/>
  </sheetPr>
  <dimension ref="A1:G169"/>
  <sheetViews>
    <sheetView workbookViewId="0">
      <selection activeCell="C1" sqref="C1"/>
    </sheetView>
  </sheetViews>
  <sheetFormatPr defaultRowHeight="15.75"/>
  <cols>
    <col min="1" max="1" width="4.25" style="776" customWidth="1"/>
    <col min="2" max="2" width="24.875" style="775" customWidth="1"/>
    <col min="3" max="7" width="10.625" style="775" customWidth="1"/>
    <col min="8" max="16384" width="9" style="775"/>
  </cols>
  <sheetData>
    <row r="1" spans="1:7" ht="16.5">
      <c r="A1" s="636" t="s">
        <v>753</v>
      </c>
      <c r="G1" s="835" t="s">
        <v>992</v>
      </c>
    </row>
    <row r="3" spans="1:7">
      <c r="A3" s="738" t="s">
        <v>105</v>
      </c>
      <c r="B3" s="738"/>
      <c r="C3" s="738"/>
      <c r="D3" s="738"/>
      <c r="E3" s="738"/>
      <c r="F3" s="738"/>
      <c r="G3" s="738"/>
    </row>
    <row r="4" spans="1:7" ht="18.600000000000001" customHeight="1">
      <c r="A4" s="745" t="s">
        <v>979</v>
      </c>
      <c r="B4" s="738"/>
      <c r="C4" s="738"/>
      <c r="D4" s="738"/>
      <c r="E4" s="738"/>
      <c r="F4" s="738"/>
      <c r="G4" s="738"/>
    </row>
    <row r="5" spans="1:7">
      <c r="F5" s="844" t="s">
        <v>106</v>
      </c>
      <c r="G5" s="844"/>
    </row>
    <row r="6" spans="1:7">
      <c r="A6" s="705" t="s">
        <v>72</v>
      </c>
      <c r="B6" s="705" t="s">
        <v>109</v>
      </c>
      <c r="C6" s="686"/>
      <c r="D6" s="686"/>
      <c r="E6" s="686"/>
      <c r="F6" s="686"/>
      <c r="G6" s="686"/>
    </row>
    <row r="7" spans="1:7" s="783" customFormat="1" ht="91.5" customHeight="1">
      <c r="A7" s="705"/>
      <c r="B7" s="705"/>
      <c r="C7" s="645" t="s">
        <v>379</v>
      </c>
      <c r="D7" s="645" t="s">
        <v>110</v>
      </c>
      <c r="E7" s="645" t="s">
        <v>77</v>
      </c>
      <c r="F7" s="645" t="s">
        <v>111</v>
      </c>
      <c r="G7" s="645" t="s">
        <v>112</v>
      </c>
    </row>
    <row r="8" spans="1:7" s="19" customFormat="1">
      <c r="A8" s="161" t="s">
        <v>641</v>
      </c>
      <c r="B8" s="162" t="s">
        <v>87</v>
      </c>
      <c r="C8" s="155"/>
      <c r="D8" s="155"/>
      <c r="E8" s="155"/>
      <c r="F8" s="155"/>
      <c r="G8" s="155"/>
    </row>
    <row r="9" spans="1:7">
      <c r="A9" s="784">
        <v>1</v>
      </c>
      <c r="B9" s="785" t="s">
        <v>113</v>
      </c>
      <c r="C9" s="786">
        <v>1</v>
      </c>
      <c r="D9" s="786">
        <v>1</v>
      </c>
      <c r="E9" s="786">
        <v>1</v>
      </c>
      <c r="F9" s="786">
        <v>1</v>
      </c>
      <c r="G9" s="786">
        <v>1</v>
      </c>
    </row>
    <row r="10" spans="1:7">
      <c r="A10" s="784">
        <v>2</v>
      </c>
      <c r="B10" s="785" t="s">
        <v>114</v>
      </c>
      <c r="C10" s="786">
        <v>1</v>
      </c>
      <c r="D10" s="786">
        <v>1</v>
      </c>
      <c r="E10" s="786">
        <v>1</v>
      </c>
      <c r="F10" s="786">
        <v>1</v>
      </c>
      <c r="G10" s="786">
        <v>1</v>
      </c>
    </row>
    <row r="11" spans="1:7">
      <c r="A11" s="784">
        <v>3</v>
      </c>
      <c r="B11" s="785" t="s">
        <v>115</v>
      </c>
      <c r="C11" s="786">
        <v>1</v>
      </c>
      <c r="D11" s="786">
        <v>1</v>
      </c>
      <c r="E11" s="786">
        <v>1</v>
      </c>
      <c r="F11" s="786">
        <v>1</v>
      </c>
      <c r="G11" s="786">
        <v>1</v>
      </c>
    </row>
    <row r="12" spans="1:7">
      <c r="A12" s="784">
        <v>4</v>
      </c>
      <c r="B12" s="785" t="s">
        <v>116</v>
      </c>
      <c r="C12" s="786">
        <v>1</v>
      </c>
      <c r="D12" s="786">
        <v>1</v>
      </c>
      <c r="E12" s="786">
        <v>1</v>
      </c>
      <c r="F12" s="786">
        <v>1</v>
      </c>
      <c r="G12" s="786">
        <v>1</v>
      </c>
    </row>
    <row r="13" spans="1:7">
      <c r="A13" s="784">
        <v>5</v>
      </c>
      <c r="B13" s="785" t="s">
        <v>117</v>
      </c>
      <c r="C13" s="786">
        <v>1</v>
      </c>
      <c r="D13" s="786">
        <v>1</v>
      </c>
      <c r="E13" s="786">
        <v>1</v>
      </c>
      <c r="F13" s="786">
        <v>1</v>
      </c>
      <c r="G13" s="786">
        <v>1</v>
      </c>
    </row>
    <row r="14" spans="1:7">
      <c r="A14" s="784">
        <v>6</v>
      </c>
      <c r="B14" s="785" t="s">
        <v>118</v>
      </c>
      <c r="C14" s="786">
        <v>1</v>
      </c>
      <c r="D14" s="786">
        <v>1</v>
      </c>
      <c r="E14" s="786">
        <v>1</v>
      </c>
      <c r="F14" s="786">
        <v>1</v>
      </c>
      <c r="G14" s="786">
        <v>1</v>
      </c>
    </row>
    <row r="15" spans="1:7">
      <c r="A15" s="784">
        <v>7</v>
      </c>
      <c r="B15" s="785" t="s">
        <v>119</v>
      </c>
      <c r="C15" s="786">
        <v>1</v>
      </c>
      <c r="D15" s="786">
        <v>1</v>
      </c>
      <c r="E15" s="786">
        <v>1</v>
      </c>
      <c r="F15" s="786">
        <v>1</v>
      </c>
      <c r="G15" s="786">
        <v>1</v>
      </c>
    </row>
    <row r="16" spans="1:7">
      <c r="A16" s="784">
        <v>8</v>
      </c>
      <c r="B16" s="785" t="s">
        <v>120</v>
      </c>
      <c r="C16" s="786">
        <v>1</v>
      </c>
      <c r="D16" s="786">
        <v>1</v>
      </c>
      <c r="E16" s="786">
        <v>1</v>
      </c>
      <c r="F16" s="786">
        <v>1</v>
      </c>
      <c r="G16" s="786">
        <v>1</v>
      </c>
    </row>
    <row r="17" spans="1:7">
      <c r="A17" s="784">
        <v>9</v>
      </c>
      <c r="B17" s="785" t="s">
        <v>121</v>
      </c>
      <c r="C17" s="786">
        <v>1</v>
      </c>
      <c r="D17" s="786">
        <v>1</v>
      </c>
      <c r="E17" s="786">
        <v>1</v>
      </c>
      <c r="F17" s="786">
        <v>1</v>
      </c>
      <c r="G17" s="786">
        <v>1</v>
      </c>
    </row>
    <row r="18" spans="1:7">
      <c r="A18" s="784">
        <v>10</v>
      </c>
      <c r="B18" s="785" t="s">
        <v>122</v>
      </c>
      <c r="C18" s="786">
        <v>1</v>
      </c>
      <c r="D18" s="786">
        <v>1</v>
      </c>
      <c r="E18" s="786">
        <v>1</v>
      </c>
      <c r="F18" s="786">
        <v>1</v>
      </c>
      <c r="G18" s="786">
        <v>1</v>
      </c>
    </row>
    <row r="19" spans="1:7">
      <c r="A19" s="784">
        <v>11</v>
      </c>
      <c r="B19" s="785" t="s">
        <v>123</v>
      </c>
      <c r="C19" s="786">
        <v>1</v>
      </c>
      <c r="D19" s="786">
        <v>1</v>
      </c>
      <c r="E19" s="786">
        <v>1</v>
      </c>
      <c r="F19" s="786">
        <v>1</v>
      </c>
      <c r="G19" s="786">
        <v>1</v>
      </c>
    </row>
    <row r="20" spans="1:7" s="19" customFormat="1">
      <c r="A20" s="156" t="s">
        <v>654</v>
      </c>
      <c r="B20" s="157" t="s">
        <v>124</v>
      </c>
      <c r="C20" s="158"/>
      <c r="D20" s="158"/>
      <c r="E20" s="158"/>
      <c r="F20" s="158"/>
      <c r="G20" s="158"/>
    </row>
    <row r="21" spans="1:7">
      <c r="A21" s="784">
        <v>1</v>
      </c>
      <c r="B21" s="785" t="s">
        <v>125</v>
      </c>
      <c r="C21" s="787" t="s">
        <v>380</v>
      </c>
      <c r="D21" s="788"/>
      <c r="E21" s="788"/>
      <c r="F21" s="789"/>
      <c r="G21" s="786">
        <v>1</v>
      </c>
    </row>
    <row r="22" spans="1:7">
      <c r="A22" s="784">
        <v>2</v>
      </c>
      <c r="B22" s="785" t="s">
        <v>126</v>
      </c>
      <c r="C22" s="790"/>
      <c r="D22" s="791"/>
      <c r="E22" s="791"/>
      <c r="F22" s="792"/>
      <c r="G22" s="786">
        <v>1</v>
      </c>
    </row>
    <row r="23" spans="1:7" ht="66" customHeight="1">
      <c r="A23" s="780">
        <v>3</v>
      </c>
      <c r="B23" s="793" t="s">
        <v>127</v>
      </c>
      <c r="C23" s="794"/>
      <c r="D23" s="795"/>
      <c r="E23" s="795"/>
      <c r="F23" s="796"/>
      <c r="G23" s="797">
        <v>1</v>
      </c>
    </row>
    <row r="24" spans="1:7">
      <c r="A24" s="784">
        <v>4</v>
      </c>
      <c r="B24" s="785" t="s">
        <v>128</v>
      </c>
      <c r="C24" s="786">
        <v>1</v>
      </c>
      <c r="D24" s="786">
        <v>1</v>
      </c>
      <c r="E24" s="786">
        <v>1</v>
      </c>
      <c r="F24" s="786">
        <v>1</v>
      </c>
      <c r="G24" s="786">
        <v>1</v>
      </c>
    </row>
    <row r="25" spans="1:7">
      <c r="A25" s="784">
        <v>5</v>
      </c>
      <c r="B25" s="785" t="s">
        <v>129</v>
      </c>
      <c r="C25" s="786">
        <v>1</v>
      </c>
      <c r="D25" s="786">
        <v>1</v>
      </c>
      <c r="E25" s="786">
        <v>1</v>
      </c>
      <c r="F25" s="786">
        <v>1</v>
      </c>
      <c r="G25" s="786">
        <v>1</v>
      </c>
    </row>
    <row r="26" spans="1:7">
      <c r="A26" s="784">
        <v>6</v>
      </c>
      <c r="B26" s="785" t="s">
        <v>130</v>
      </c>
      <c r="C26" s="786">
        <v>1</v>
      </c>
      <c r="D26" s="786">
        <v>1</v>
      </c>
      <c r="E26" s="786">
        <v>1</v>
      </c>
      <c r="F26" s="786">
        <v>1</v>
      </c>
      <c r="G26" s="786">
        <v>1</v>
      </c>
    </row>
    <row r="27" spans="1:7">
      <c r="A27" s="784">
        <v>7</v>
      </c>
      <c r="B27" s="785" t="s">
        <v>131</v>
      </c>
      <c r="C27" s="786">
        <v>1</v>
      </c>
      <c r="D27" s="786">
        <v>1</v>
      </c>
      <c r="E27" s="786">
        <v>1</v>
      </c>
      <c r="F27" s="786">
        <v>1</v>
      </c>
      <c r="G27" s="786">
        <v>1</v>
      </c>
    </row>
    <row r="28" spans="1:7" s="19" customFormat="1">
      <c r="A28" s="156" t="s">
        <v>685</v>
      </c>
      <c r="B28" s="157" t="s">
        <v>89</v>
      </c>
      <c r="C28" s="158"/>
      <c r="D28" s="158"/>
      <c r="E28" s="158"/>
      <c r="F28" s="158"/>
      <c r="G28" s="158"/>
    </row>
    <row r="29" spans="1:7">
      <c r="A29" s="784">
        <v>1</v>
      </c>
      <c r="B29" s="785" t="s">
        <v>132</v>
      </c>
      <c r="C29" s="786">
        <v>1</v>
      </c>
      <c r="D29" s="786">
        <v>1</v>
      </c>
      <c r="E29" s="786">
        <v>1</v>
      </c>
      <c r="F29" s="786">
        <v>1</v>
      </c>
      <c r="G29" s="786">
        <v>1</v>
      </c>
    </row>
    <row r="30" spans="1:7">
      <c r="A30" s="784">
        <v>2</v>
      </c>
      <c r="B30" s="785" t="s">
        <v>133</v>
      </c>
      <c r="C30" s="786">
        <v>1</v>
      </c>
      <c r="D30" s="786">
        <v>1</v>
      </c>
      <c r="E30" s="786">
        <v>1</v>
      </c>
      <c r="F30" s="786">
        <v>1</v>
      </c>
      <c r="G30" s="786">
        <v>1</v>
      </c>
    </row>
    <row r="31" spans="1:7">
      <c r="A31" s="784">
        <v>3</v>
      </c>
      <c r="B31" s="785" t="s">
        <v>134</v>
      </c>
      <c r="C31" s="786">
        <v>1</v>
      </c>
      <c r="D31" s="786">
        <v>1</v>
      </c>
      <c r="E31" s="786">
        <v>1</v>
      </c>
      <c r="F31" s="786">
        <v>1</v>
      </c>
      <c r="G31" s="786">
        <v>1</v>
      </c>
    </row>
    <row r="32" spans="1:7">
      <c r="A32" s="784">
        <v>4</v>
      </c>
      <c r="B32" s="785" t="s">
        <v>135</v>
      </c>
      <c r="C32" s="786">
        <v>1</v>
      </c>
      <c r="D32" s="786">
        <v>1</v>
      </c>
      <c r="E32" s="786">
        <v>1</v>
      </c>
      <c r="F32" s="786">
        <v>1</v>
      </c>
      <c r="G32" s="786">
        <v>1</v>
      </c>
    </row>
    <row r="33" spans="1:7">
      <c r="A33" s="784">
        <v>5</v>
      </c>
      <c r="B33" s="785" t="s">
        <v>136</v>
      </c>
      <c r="C33" s="786">
        <v>1</v>
      </c>
      <c r="D33" s="786">
        <v>1</v>
      </c>
      <c r="E33" s="786">
        <v>1</v>
      </c>
      <c r="F33" s="786">
        <v>1</v>
      </c>
      <c r="G33" s="786">
        <v>1</v>
      </c>
    </row>
    <row r="34" spans="1:7">
      <c r="A34" s="784">
        <v>6</v>
      </c>
      <c r="B34" s="785" t="s">
        <v>137</v>
      </c>
      <c r="C34" s="786">
        <v>1</v>
      </c>
      <c r="D34" s="786">
        <v>1</v>
      </c>
      <c r="E34" s="786">
        <v>1</v>
      </c>
      <c r="F34" s="786">
        <v>1</v>
      </c>
      <c r="G34" s="786">
        <v>1</v>
      </c>
    </row>
    <row r="35" spans="1:7">
      <c r="A35" s="784">
        <v>7</v>
      </c>
      <c r="B35" s="785" t="s">
        <v>138</v>
      </c>
      <c r="C35" s="786">
        <v>1</v>
      </c>
      <c r="D35" s="786">
        <v>1</v>
      </c>
      <c r="E35" s="786">
        <v>1</v>
      </c>
      <c r="F35" s="786">
        <v>1</v>
      </c>
      <c r="G35" s="786">
        <v>1</v>
      </c>
    </row>
    <row r="36" spans="1:7">
      <c r="A36" s="784">
        <v>8</v>
      </c>
      <c r="B36" s="785" t="s">
        <v>139</v>
      </c>
      <c r="C36" s="786">
        <v>1</v>
      </c>
      <c r="D36" s="786">
        <v>1</v>
      </c>
      <c r="E36" s="786">
        <v>1</v>
      </c>
      <c r="F36" s="786">
        <v>1</v>
      </c>
      <c r="G36" s="786">
        <v>1</v>
      </c>
    </row>
    <row r="37" spans="1:7">
      <c r="A37" s="784">
        <v>9</v>
      </c>
      <c r="B37" s="785" t="s">
        <v>140</v>
      </c>
      <c r="C37" s="786">
        <v>1</v>
      </c>
      <c r="D37" s="786">
        <v>1</v>
      </c>
      <c r="E37" s="786">
        <v>1</v>
      </c>
      <c r="F37" s="786">
        <v>1</v>
      </c>
      <c r="G37" s="786">
        <v>1</v>
      </c>
    </row>
    <row r="38" spans="1:7" s="19" customFormat="1">
      <c r="A38" s="156" t="s">
        <v>686</v>
      </c>
      <c r="B38" s="157" t="s">
        <v>141</v>
      </c>
      <c r="C38" s="158"/>
      <c r="D38" s="158"/>
      <c r="E38" s="158"/>
      <c r="F38" s="158"/>
      <c r="G38" s="158"/>
    </row>
    <row r="39" spans="1:7">
      <c r="A39" s="784">
        <v>1</v>
      </c>
      <c r="B39" s="785" t="s">
        <v>142</v>
      </c>
      <c r="C39" s="786">
        <v>1</v>
      </c>
      <c r="D39" s="786">
        <v>1</v>
      </c>
      <c r="E39" s="786">
        <v>1</v>
      </c>
      <c r="F39" s="786">
        <v>1</v>
      </c>
      <c r="G39" s="786">
        <v>1</v>
      </c>
    </row>
    <row r="40" spans="1:7">
      <c r="A40" s="784">
        <v>2</v>
      </c>
      <c r="B40" s="785" t="s">
        <v>143</v>
      </c>
      <c r="C40" s="786">
        <v>1</v>
      </c>
      <c r="D40" s="786">
        <v>1</v>
      </c>
      <c r="E40" s="786">
        <v>1</v>
      </c>
      <c r="F40" s="786">
        <v>1</v>
      </c>
      <c r="G40" s="786">
        <v>1</v>
      </c>
    </row>
    <row r="41" spans="1:7">
      <c r="A41" s="784">
        <v>3</v>
      </c>
      <c r="B41" s="785" t="s">
        <v>144</v>
      </c>
      <c r="C41" s="786">
        <v>1</v>
      </c>
      <c r="D41" s="786">
        <v>1</v>
      </c>
      <c r="E41" s="786">
        <v>1</v>
      </c>
      <c r="F41" s="786">
        <v>1</v>
      </c>
      <c r="G41" s="786">
        <v>1</v>
      </c>
    </row>
    <row r="42" spans="1:7">
      <c r="A42" s="784">
        <v>4</v>
      </c>
      <c r="B42" s="785" t="s">
        <v>145</v>
      </c>
      <c r="C42" s="786">
        <v>1</v>
      </c>
      <c r="D42" s="786">
        <v>1</v>
      </c>
      <c r="E42" s="786">
        <v>1</v>
      </c>
      <c r="F42" s="786">
        <v>1</v>
      </c>
      <c r="G42" s="786">
        <v>1</v>
      </c>
    </row>
    <row r="43" spans="1:7">
      <c r="A43" s="784">
        <v>5</v>
      </c>
      <c r="B43" s="785" t="s">
        <v>146</v>
      </c>
      <c r="C43" s="786">
        <v>1</v>
      </c>
      <c r="D43" s="786">
        <v>1</v>
      </c>
      <c r="E43" s="786">
        <v>1</v>
      </c>
      <c r="F43" s="786">
        <v>1</v>
      </c>
      <c r="G43" s="786">
        <v>1</v>
      </c>
    </row>
    <row r="44" spans="1:7">
      <c r="A44" s="784">
        <v>6</v>
      </c>
      <c r="B44" s="785" t="s">
        <v>147</v>
      </c>
      <c r="C44" s="786">
        <v>1</v>
      </c>
      <c r="D44" s="786">
        <v>1</v>
      </c>
      <c r="E44" s="786">
        <v>1</v>
      </c>
      <c r="F44" s="786">
        <v>1</v>
      </c>
      <c r="G44" s="786">
        <v>1</v>
      </c>
    </row>
    <row r="45" spans="1:7">
      <c r="A45" s="784">
        <v>7</v>
      </c>
      <c r="B45" s="785" t="s">
        <v>148</v>
      </c>
      <c r="C45" s="786">
        <v>1</v>
      </c>
      <c r="D45" s="786">
        <v>1</v>
      </c>
      <c r="E45" s="786">
        <v>1</v>
      </c>
      <c r="F45" s="786">
        <v>1</v>
      </c>
      <c r="G45" s="786">
        <v>1</v>
      </c>
    </row>
    <row r="46" spans="1:7">
      <c r="A46" s="784">
        <v>8</v>
      </c>
      <c r="B46" s="785" t="s">
        <v>149</v>
      </c>
      <c r="C46" s="786">
        <v>1</v>
      </c>
      <c r="D46" s="786">
        <v>1</v>
      </c>
      <c r="E46" s="786">
        <v>1</v>
      </c>
      <c r="F46" s="786">
        <v>1</v>
      </c>
      <c r="G46" s="786">
        <v>1</v>
      </c>
    </row>
    <row r="47" spans="1:7">
      <c r="A47" s="784">
        <v>9</v>
      </c>
      <c r="B47" s="785" t="s">
        <v>150</v>
      </c>
      <c r="C47" s="786">
        <v>1</v>
      </c>
      <c r="D47" s="786">
        <v>1</v>
      </c>
      <c r="E47" s="786">
        <v>1</v>
      </c>
      <c r="F47" s="786">
        <v>1</v>
      </c>
      <c r="G47" s="786">
        <v>1</v>
      </c>
    </row>
    <row r="48" spans="1:7">
      <c r="A48" s="784">
        <v>10</v>
      </c>
      <c r="B48" s="785" t="s">
        <v>151</v>
      </c>
      <c r="C48" s="786">
        <v>1</v>
      </c>
      <c r="D48" s="786">
        <v>1</v>
      </c>
      <c r="E48" s="786">
        <v>1</v>
      </c>
      <c r="F48" s="786">
        <v>1</v>
      </c>
      <c r="G48" s="786">
        <v>1</v>
      </c>
    </row>
    <row r="49" spans="1:7">
      <c r="A49" s="784">
        <v>11</v>
      </c>
      <c r="B49" s="785" t="s">
        <v>152</v>
      </c>
      <c r="C49" s="786">
        <v>1</v>
      </c>
      <c r="D49" s="786">
        <v>1</v>
      </c>
      <c r="E49" s="786">
        <v>1</v>
      </c>
      <c r="F49" s="786">
        <v>1</v>
      </c>
      <c r="G49" s="786">
        <v>1</v>
      </c>
    </row>
    <row r="50" spans="1:7">
      <c r="A50" s="784">
        <v>12</v>
      </c>
      <c r="B50" s="785" t="s">
        <v>153</v>
      </c>
      <c r="C50" s="786">
        <v>1</v>
      </c>
      <c r="D50" s="786">
        <v>1</v>
      </c>
      <c r="E50" s="786">
        <v>1</v>
      </c>
      <c r="F50" s="786">
        <v>1</v>
      </c>
      <c r="G50" s="786">
        <v>1</v>
      </c>
    </row>
    <row r="51" spans="1:7" s="19" customFormat="1">
      <c r="A51" s="156" t="s">
        <v>711</v>
      </c>
      <c r="B51" s="157" t="s">
        <v>91</v>
      </c>
      <c r="C51" s="158"/>
      <c r="D51" s="158"/>
      <c r="E51" s="158"/>
      <c r="F51" s="158"/>
      <c r="G51" s="158"/>
    </row>
    <row r="52" spans="1:7">
      <c r="A52" s="150">
        <v>1</v>
      </c>
      <c r="B52" s="164" t="s">
        <v>154</v>
      </c>
      <c r="C52" s="786">
        <v>1</v>
      </c>
      <c r="D52" s="786">
        <v>1</v>
      </c>
      <c r="E52" s="786">
        <v>1</v>
      </c>
      <c r="F52" s="786">
        <v>1</v>
      </c>
      <c r="G52" s="786">
        <v>1</v>
      </c>
    </row>
    <row r="53" spans="1:7">
      <c r="A53" s="150">
        <v>2</v>
      </c>
      <c r="B53" s="164" t="s">
        <v>155</v>
      </c>
      <c r="C53" s="786">
        <v>1</v>
      </c>
      <c r="D53" s="786">
        <v>1</v>
      </c>
      <c r="E53" s="786">
        <v>1</v>
      </c>
      <c r="F53" s="786">
        <v>1</v>
      </c>
      <c r="G53" s="786">
        <v>1</v>
      </c>
    </row>
    <row r="54" spans="1:7">
      <c r="A54" s="150">
        <v>3</v>
      </c>
      <c r="B54" s="164" t="s">
        <v>156</v>
      </c>
      <c r="C54" s="786">
        <v>1</v>
      </c>
      <c r="D54" s="786">
        <v>1</v>
      </c>
      <c r="E54" s="786">
        <v>1</v>
      </c>
      <c r="F54" s="786">
        <v>1</v>
      </c>
      <c r="G54" s="786">
        <v>1</v>
      </c>
    </row>
    <row r="55" spans="1:7">
      <c r="A55" s="150">
        <v>4</v>
      </c>
      <c r="B55" s="164" t="s">
        <v>157</v>
      </c>
      <c r="C55" s="786">
        <v>1</v>
      </c>
      <c r="D55" s="786">
        <v>1</v>
      </c>
      <c r="E55" s="786">
        <v>1</v>
      </c>
      <c r="F55" s="786">
        <v>1</v>
      </c>
      <c r="G55" s="786">
        <v>1</v>
      </c>
    </row>
    <row r="56" spans="1:7">
      <c r="A56" s="150">
        <v>5</v>
      </c>
      <c r="B56" s="164" t="s">
        <v>158</v>
      </c>
      <c r="C56" s="786">
        <v>1</v>
      </c>
      <c r="D56" s="786">
        <v>1</v>
      </c>
      <c r="E56" s="786">
        <v>1</v>
      </c>
      <c r="F56" s="786">
        <v>1</v>
      </c>
      <c r="G56" s="786">
        <v>1</v>
      </c>
    </row>
    <row r="57" spans="1:7">
      <c r="A57" s="150">
        <v>6</v>
      </c>
      <c r="B57" s="164" t="s">
        <v>159</v>
      </c>
      <c r="C57" s="786">
        <v>1</v>
      </c>
      <c r="D57" s="786">
        <v>1</v>
      </c>
      <c r="E57" s="786">
        <v>1</v>
      </c>
      <c r="F57" s="786">
        <v>1</v>
      </c>
      <c r="G57" s="786">
        <v>1</v>
      </c>
    </row>
    <row r="58" spans="1:7">
      <c r="A58" s="150">
        <v>7</v>
      </c>
      <c r="B58" s="164" t="s">
        <v>160</v>
      </c>
      <c r="C58" s="786">
        <v>1</v>
      </c>
      <c r="D58" s="786">
        <v>1</v>
      </c>
      <c r="E58" s="786">
        <v>1</v>
      </c>
      <c r="F58" s="786">
        <v>1</v>
      </c>
      <c r="G58" s="786">
        <v>1</v>
      </c>
    </row>
    <row r="59" spans="1:7">
      <c r="A59" s="150">
        <v>8</v>
      </c>
      <c r="B59" s="164" t="s">
        <v>161</v>
      </c>
      <c r="C59" s="786">
        <v>1</v>
      </c>
      <c r="D59" s="786">
        <v>1</v>
      </c>
      <c r="E59" s="786">
        <v>1</v>
      </c>
      <c r="F59" s="786">
        <v>1</v>
      </c>
      <c r="G59" s="786">
        <v>1</v>
      </c>
    </row>
    <row r="60" spans="1:7">
      <c r="A60" s="150">
        <v>9</v>
      </c>
      <c r="B60" s="164" t="s">
        <v>162</v>
      </c>
      <c r="C60" s="786">
        <v>1</v>
      </c>
      <c r="D60" s="786">
        <v>1</v>
      </c>
      <c r="E60" s="786">
        <v>1</v>
      </c>
      <c r="F60" s="786">
        <v>1</v>
      </c>
      <c r="G60" s="786">
        <v>1</v>
      </c>
    </row>
    <row r="61" spans="1:7">
      <c r="A61" s="150">
        <v>10</v>
      </c>
      <c r="B61" s="164" t="s">
        <v>163</v>
      </c>
      <c r="C61" s="786">
        <v>1</v>
      </c>
      <c r="D61" s="786">
        <v>1</v>
      </c>
      <c r="E61" s="786">
        <v>1</v>
      </c>
      <c r="F61" s="786">
        <v>1</v>
      </c>
      <c r="G61" s="786">
        <v>1</v>
      </c>
    </row>
    <row r="62" spans="1:7">
      <c r="A62" s="150">
        <v>11</v>
      </c>
      <c r="B62" s="164" t="s">
        <v>164</v>
      </c>
      <c r="C62" s="786">
        <v>1</v>
      </c>
      <c r="D62" s="786">
        <v>1</v>
      </c>
      <c r="E62" s="786">
        <v>1</v>
      </c>
      <c r="F62" s="786">
        <v>1</v>
      </c>
      <c r="G62" s="786">
        <v>1</v>
      </c>
    </row>
    <row r="63" spans="1:7">
      <c r="A63" s="150">
        <v>12</v>
      </c>
      <c r="B63" s="164" t="s">
        <v>165</v>
      </c>
      <c r="C63" s="786">
        <v>1</v>
      </c>
      <c r="D63" s="786">
        <v>1</v>
      </c>
      <c r="E63" s="786">
        <v>1</v>
      </c>
      <c r="F63" s="786">
        <v>1</v>
      </c>
      <c r="G63" s="786">
        <v>1</v>
      </c>
    </row>
    <row r="64" spans="1:7">
      <c r="A64" s="150">
        <v>13</v>
      </c>
      <c r="B64" s="164" t="s">
        <v>166</v>
      </c>
      <c r="C64" s="786">
        <v>1</v>
      </c>
      <c r="D64" s="786">
        <v>1</v>
      </c>
      <c r="E64" s="786">
        <v>1</v>
      </c>
      <c r="F64" s="786">
        <v>1</v>
      </c>
      <c r="G64" s="786">
        <v>1</v>
      </c>
    </row>
    <row r="65" spans="1:7">
      <c r="A65" s="156" t="s">
        <v>712</v>
      </c>
      <c r="B65" s="165" t="s">
        <v>167</v>
      </c>
      <c r="C65" s="786"/>
      <c r="D65" s="786"/>
      <c r="E65" s="786"/>
      <c r="F65" s="786"/>
      <c r="G65" s="786"/>
    </row>
    <row r="66" spans="1:7" ht="15.75" customHeight="1">
      <c r="A66" s="150">
        <v>1</v>
      </c>
      <c r="B66" s="164" t="s">
        <v>168</v>
      </c>
      <c r="C66" s="774" t="s">
        <v>381</v>
      </c>
      <c r="D66" s="798"/>
      <c r="E66" s="798"/>
      <c r="F66" s="799"/>
      <c r="G66" s="166">
        <v>1</v>
      </c>
    </row>
    <row r="67" spans="1:7">
      <c r="A67" s="150">
        <v>2</v>
      </c>
      <c r="B67" s="164" t="s">
        <v>169</v>
      </c>
      <c r="C67" s="800"/>
      <c r="D67" s="801"/>
      <c r="E67" s="801"/>
      <c r="F67" s="802"/>
      <c r="G67" s="166">
        <v>1</v>
      </c>
    </row>
    <row r="68" spans="1:7">
      <c r="A68" s="150">
        <v>3</v>
      </c>
      <c r="B68" s="164" t="s">
        <v>170</v>
      </c>
      <c r="C68" s="800"/>
      <c r="D68" s="801"/>
      <c r="E68" s="801"/>
      <c r="F68" s="802"/>
      <c r="G68" s="166">
        <v>1</v>
      </c>
    </row>
    <row r="69" spans="1:7">
      <c r="A69" s="150">
        <v>4</v>
      </c>
      <c r="B69" s="164" t="s">
        <v>171</v>
      </c>
      <c r="C69" s="800"/>
      <c r="D69" s="801"/>
      <c r="E69" s="801"/>
      <c r="F69" s="802"/>
      <c r="G69" s="166">
        <v>1</v>
      </c>
    </row>
    <row r="70" spans="1:7">
      <c r="A70" s="150">
        <v>5</v>
      </c>
      <c r="B70" s="164" t="s">
        <v>172</v>
      </c>
      <c r="C70" s="800"/>
      <c r="D70" s="801"/>
      <c r="E70" s="801"/>
      <c r="F70" s="802"/>
      <c r="G70" s="166">
        <v>1</v>
      </c>
    </row>
    <row r="71" spans="1:7">
      <c r="A71" s="150">
        <v>6</v>
      </c>
      <c r="B71" s="164" t="s">
        <v>173</v>
      </c>
      <c r="C71" s="800"/>
      <c r="D71" s="803"/>
      <c r="E71" s="803"/>
      <c r="F71" s="802"/>
      <c r="G71" s="166">
        <v>1</v>
      </c>
    </row>
    <row r="72" spans="1:7">
      <c r="A72" s="150">
        <v>7</v>
      </c>
      <c r="B72" s="164" t="s">
        <v>174</v>
      </c>
      <c r="C72" s="800"/>
      <c r="D72" s="801"/>
      <c r="E72" s="801"/>
      <c r="F72" s="802"/>
      <c r="G72" s="166">
        <v>1</v>
      </c>
    </row>
    <row r="73" spans="1:7">
      <c r="A73" s="150">
        <v>8</v>
      </c>
      <c r="B73" s="164" t="s">
        <v>175</v>
      </c>
      <c r="C73" s="804"/>
      <c r="D73" s="805"/>
      <c r="E73" s="805"/>
      <c r="F73" s="806"/>
      <c r="G73" s="166">
        <v>1</v>
      </c>
    </row>
    <row r="74" spans="1:7">
      <c r="A74" s="150">
        <v>9</v>
      </c>
      <c r="B74" s="164" t="s">
        <v>176</v>
      </c>
      <c r="C74" s="786">
        <v>1</v>
      </c>
      <c r="D74" s="786">
        <v>1</v>
      </c>
      <c r="E74" s="786">
        <v>1</v>
      </c>
      <c r="F74" s="786">
        <v>1</v>
      </c>
      <c r="G74" s="786">
        <v>1</v>
      </c>
    </row>
    <row r="75" spans="1:7">
      <c r="A75" s="150">
        <v>10</v>
      </c>
      <c r="B75" s="164" t="s">
        <v>177</v>
      </c>
      <c r="C75" s="786">
        <v>1</v>
      </c>
      <c r="D75" s="786">
        <v>1</v>
      </c>
      <c r="E75" s="786">
        <v>1</v>
      </c>
      <c r="F75" s="786">
        <v>1</v>
      </c>
      <c r="G75" s="786">
        <v>1</v>
      </c>
    </row>
    <row r="76" spans="1:7">
      <c r="A76" s="150">
        <v>11</v>
      </c>
      <c r="B76" s="164" t="s">
        <v>178</v>
      </c>
      <c r="C76" s="786">
        <v>1</v>
      </c>
      <c r="D76" s="786">
        <v>1</v>
      </c>
      <c r="E76" s="786">
        <v>1</v>
      </c>
      <c r="F76" s="786">
        <v>1</v>
      </c>
      <c r="G76" s="786">
        <v>1</v>
      </c>
    </row>
    <row r="77" spans="1:7">
      <c r="A77" s="150">
        <v>12</v>
      </c>
      <c r="B77" s="164" t="s">
        <v>179</v>
      </c>
      <c r="C77" s="786">
        <v>1</v>
      </c>
      <c r="D77" s="786">
        <v>1</v>
      </c>
      <c r="E77" s="786">
        <v>1</v>
      </c>
      <c r="F77" s="786">
        <v>1</v>
      </c>
      <c r="G77" s="786">
        <v>1</v>
      </c>
    </row>
    <row r="78" spans="1:7">
      <c r="A78" s="150">
        <v>13</v>
      </c>
      <c r="B78" s="164" t="s">
        <v>180</v>
      </c>
      <c r="C78" s="786">
        <v>1</v>
      </c>
      <c r="D78" s="786">
        <v>1</v>
      </c>
      <c r="E78" s="786">
        <v>1</v>
      </c>
      <c r="F78" s="786">
        <v>1</v>
      </c>
      <c r="G78" s="786">
        <v>1</v>
      </c>
    </row>
    <row r="79" spans="1:7">
      <c r="A79" s="150">
        <v>14</v>
      </c>
      <c r="B79" s="164" t="s">
        <v>181</v>
      </c>
      <c r="C79" s="786">
        <v>1</v>
      </c>
      <c r="D79" s="786">
        <v>1</v>
      </c>
      <c r="E79" s="786">
        <v>1</v>
      </c>
      <c r="F79" s="786">
        <v>1</v>
      </c>
      <c r="G79" s="786">
        <v>1</v>
      </c>
    </row>
    <row r="80" spans="1:7">
      <c r="A80" s="150">
        <v>15</v>
      </c>
      <c r="B80" s="164" t="s">
        <v>182</v>
      </c>
      <c r="C80" s="786">
        <v>1</v>
      </c>
      <c r="D80" s="786">
        <v>1</v>
      </c>
      <c r="E80" s="786">
        <v>1</v>
      </c>
      <c r="F80" s="786">
        <v>1</v>
      </c>
      <c r="G80" s="786">
        <v>1</v>
      </c>
    </row>
    <row r="81" spans="1:7">
      <c r="A81" s="156" t="s">
        <v>762</v>
      </c>
      <c r="B81" s="165" t="s">
        <v>183</v>
      </c>
      <c r="C81" s="786"/>
      <c r="D81" s="786"/>
      <c r="E81" s="786"/>
      <c r="F81" s="786"/>
      <c r="G81" s="786"/>
    </row>
    <row r="82" spans="1:7">
      <c r="A82" s="150">
        <v>1</v>
      </c>
      <c r="B82" s="164" t="s">
        <v>184</v>
      </c>
      <c r="C82" s="786">
        <v>1</v>
      </c>
      <c r="D82" s="786">
        <v>1</v>
      </c>
      <c r="E82" s="786">
        <v>1</v>
      </c>
      <c r="F82" s="786">
        <v>1</v>
      </c>
      <c r="G82" s="786">
        <v>1</v>
      </c>
    </row>
    <row r="83" spans="1:7">
      <c r="A83" s="150">
        <v>2</v>
      </c>
      <c r="B83" s="164" t="s">
        <v>185</v>
      </c>
      <c r="C83" s="786">
        <v>1</v>
      </c>
      <c r="D83" s="786">
        <v>1</v>
      </c>
      <c r="E83" s="786">
        <v>1</v>
      </c>
      <c r="F83" s="786">
        <v>1</v>
      </c>
      <c r="G83" s="786">
        <v>1</v>
      </c>
    </row>
    <row r="84" spans="1:7">
      <c r="A84" s="150">
        <v>3</v>
      </c>
      <c r="B84" s="164" t="s">
        <v>186</v>
      </c>
      <c r="C84" s="786">
        <v>1</v>
      </c>
      <c r="D84" s="786">
        <v>1</v>
      </c>
      <c r="E84" s="786">
        <v>1</v>
      </c>
      <c r="F84" s="786">
        <v>1</v>
      </c>
      <c r="G84" s="786">
        <v>1</v>
      </c>
    </row>
    <row r="85" spans="1:7">
      <c r="A85" s="150">
        <v>4</v>
      </c>
      <c r="B85" s="164" t="s">
        <v>187</v>
      </c>
      <c r="C85" s="786">
        <v>1</v>
      </c>
      <c r="D85" s="786">
        <v>1</v>
      </c>
      <c r="E85" s="786">
        <v>1</v>
      </c>
      <c r="F85" s="786">
        <v>1</v>
      </c>
      <c r="G85" s="786">
        <v>1</v>
      </c>
    </row>
    <row r="86" spans="1:7">
      <c r="A86" s="150">
        <v>5</v>
      </c>
      <c r="B86" s="164" t="s">
        <v>188</v>
      </c>
      <c r="C86" s="786">
        <v>1</v>
      </c>
      <c r="D86" s="786">
        <v>1</v>
      </c>
      <c r="E86" s="786">
        <v>1</v>
      </c>
      <c r="F86" s="786">
        <v>1</v>
      </c>
      <c r="G86" s="786">
        <v>1</v>
      </c>
    </row>
    <row r="87" spans="1:7">
      <c r="A87" s="150">
        <v>6</v>
      </c>
      <c r="B87" s="164" t="s">
        <v>189</v>
      </c>
      <c r="C87" s="786">
        <v>1</v>
      </c>
      <c r="D87" s="786">
        <v>1</v>
      </c>
      <c r="E87" s="786">
        <v>1</v>
      </c>
      <c r="F87" s="786">
        <v>1</v>
      </c>
      <c r="G87" s="786">
        <v>1</v>
      </c>
    </row>
    <row r="88" spans="1:7">
      <c r="A88" s="150">
        <v>7</v>
      </c>
      <c r="B88" s="164" t="s">
        <v>190</v>
      </c>
      <c r="C88" s="786">
        <v>1</v>
      </c>
      <c r="D88" s="786">
        <v>1</v>
      </c>
      <c r="E88" s="786">
        <v>1</v>
      </c>
      <c r="F88" s="786">
        <v>1</v>
      </c>
      <c r="G88" s="786">
        <v>1</v>
      </c>
    </row>
    <row r="89" spans="1:7">
      <c r="A89" s="150">
        <v>8</v>
      </c>
      <c r="B89" s="164" t="s">
        <v>191</v>
      </c>
      <c r="C89" s="786">
        <v>1</v>
      </c>
      <c r="D89" s="786">
        <v>1</v>
      </c>
      <c r="E89" s="786">
        <v>1</v>
      </c>
      <c r="F89" s="786">
        <v>1</v>
      </c>
      <c r="G89" s="786">
        <v>1</v>
      </c>
    </row>
    <row r="90" spans="1:7">
      <c r="A90" s="150">
        <v>9</v>
      </c>
      <c r="B90" s="164" t="s">
        <v>192</v>
      </c>
      <c r="C90" s="786">
        <v>1</v>
      </c>
      <c r="D90" s="786">
        <v>1</v>
      </c>
      <c r="E90" s="786">
        <v>1</v>
      </c>
      <c r="F90" s="786">
        <v>1</v>
      </c>
      <c r="G90" s="786">
        <v>1</v>
      </c>
    </row>
    <row r="91" spans="1:7">
      <c r="A91" s="150">
        <v>10</v>
      </c>
      <c r="B91" s="164" t="s">
        <v>193</v>
      </c>
      <c r="C91" s="786">
        <v>1</v>
      </c>
      <c r="D91" s="786">
        <v>1</v>
      </c>
      <c r="E91" s="786">
        <v>1</v>
      </c>
      <c r="F91" s="786">
        <v>1</v>
      </c>
      <c r="G91" s="786">
        <v>1</v>
      </c>
    </row>
    <row r="92" spans="1:7">
      <c r="A92" s="150">
        <v>11</v>
      </c>
      <c r="B92" s="164" t="s">
        <v>194</v>
      </c>
      <c r="C92" s="786">
        <v>1</v>
      </c>
      <c r="D92" s="786">
        <v>1</v>
      </c>
      <c r="E92" s="786">
        <v>1</v>
      </c>
      <c r="F92" s="786">
        <v>1</v>
      </c>
      <c r="G92" s="786">
        <v>1</v>
      </c>
    </row>
    <row r="93" spans="1:7">
      <c r="A93" s="150">
        <v>12</v>
      </c>
      <c r="B93" s="164" t="s">
        <v>195</v>
      </c>
      <c r="C93" s="786">
        <v>1</v>
      </c>
      <c r="D93" s="786">
        <v>1</v>
      </c>
      <c r="E93" s="786">
        <v>1</v>
      </c>
      <c r="F93" s="786">
        <v>1</v>
      </c>
      <c r="G93" s="786">
        <v>1</v>
      </c>
    </row>
    <row r="94" spans="1:7">
      <c r="A94" s="150">
        <v>13</v>
      </c>
      <c r="B94" s="164" t="s">
        <v>205</v>
      </c>
      <c r="C94" s="786">
        <v>1</v>
      </c>
      <c r="D94" s="786">
        <v>1</v>
      </c>
      <c r="E94" s="786">
        <v>1</v>
      </c>
      <c r="F94" s="786">
        <v>1</v>
      </c>
      <c r="G94" s="786">
        <v>1</v>
      </c>
    </row>
    <row r="95" spans="1:7">
      <c r="A95" s="150">
        <v>14</v>
      </c>
      <c r="B95" s="164" t="s">
        <v>206</v>
      </c>
      <c r="C95" s="786">
        <v>1</v>
      </c>
      <c r="D95" s="786">
        <v>1</v>
      </c>
      <c r="E95" s="786">
        <v>1</v>
      </c>
      <c r="F95" s="786">
        <v>1</v>
      </c>
      <c r="G95" s="786">
        <v>1</v>
      </c>
    </row>
    <row r="96" spans="1:7">
      <c r="A96" s="150">
        <v>15</v>
      </c>
      <c r="B96" s="164" t="s">
        <v>207</v>
      </c>
      <c r="C96" s="786">
        <v>1</v>
      </c>
      <c r="D96" s="786">
        <v>1</v>
      </c>
      <c r="E96" s="786">
        <v>1</v>
      </c>
      <c r="F96" s="786">
        <v>1</v>
      </c>
      <c r="G96" s="786">
        <v>1</v>
      </c>
    </row>
    <row r="97" spans="1:7">
      <c r="A97" s="150">
        <v>16</v>
      </c>
      <c r="B97" s="164" t="s">
        <v>208</v>
      </c>
      <c r="C97" s="786">
        <v>1</v>
      </c>
      <c r="D97" s="786">
        <v>1</v>
      </c>
      <c r="E97" s="786">
        <v>1</v>
      </c>
      <c r="F97" s="786">
        <v>1</v>
      </c>
      <c r="G97" s="786">
        <v>1</v>
      </c>
    </row>
    <row r="98" spans="1:7">
      <c r="A98" s="150">
        <v>17</v>
      </c>
      <c r="B98" s="164" t="s">
        <v>128</v>
      </c>
      <c r="C98" s="786">
        <v>1</v>
      </c>
      <c r="D98" s="786">
        <v>1</v>
      </c>
      <c r="E98" s="786">
        <v>1</v>
      </c>
      <c r="F98" s="786">
        <v>1</v>
      </c>
      <c r="G98" s="786">
        <v>1</v>
      </c>
    </row>
    <row r="99" spans="1:7">
      <c r="A99" s="150">
        <v>18</v>
      </c>
      <c r="B99" s="164" t="s">
        <v>209</v>
      </c>
      <c r="C99" s="786">
        <v>1</v>
      </c>
      <c r="D99" s="786">
        <v>1</v>
      </c>
      <c r="E99" s="786">
        <v>1</v>
      </c>
      <c r="F99" s="786">
        <v>1</v>
      </c>
      <c r="G99" s="786">
        <v>1</v>
      </c>
    </row>
    <row r="100" spans="1:7">
      <c r="A100" s="156" t="s">
        <v>763</v>
      </c>
      <c r="B100" s="165" t="s">
        <v>94</v>
      </c>
      <c r="C100" s="807"/>
      <c r="D100" s="807"/>
      <c r="E100" s="807"/>
      <c r="F100" s="807"/>
      <c r="G100" s="807"/>
    </row>
    <row r="101" spans="1:7">
      <c r="A101" s="150">
        <v>1</v>
      </c>
      <c r="B101" s="164" t="s">
        <v>210</v>
      </c>
      <c r="C101" s="786">
        <v>1</v>
      </c>
      <c r="D101" s="786">
        <v>1</v>
      </c>
      <c r="E101" s="786">
        <v>1</v>
      </c>
      <c r="F101" s="786">
        <v>1</v>
      </c>
      <c r="G101" s="786">
        <v>1</v>
      </c>
    </row>
    <row r="102" spans="1:7">
      <c r="A102" s="150">
        <v>2</v>
      </c>
      <c r="B102" s="164" t="s">
        <v>211</v>
      </c>
      <c r="C102" s="786">
        <v>1</v>
      </c>
      <c r="D102" s="786">
        <v>1</v>
      </c>
      <c r="E102" s="786">
        <v>1</v>
      </c>
      <c r="F102" s="786">
        <v>1</v>
      </c>
      <c r="G102" s="786">
        <v>1</v>
      </c>
    </row>
    <row r="103" spans="1:7">
      <c r="A103" s="150">
        <v>3</v>
      </c>
      <c r="B103" s="164" t="s">
        <v>212</v>
      </c>
      <c r="C103" s="786">
        <v>1</v>
      </c>
      <c r="D103" s="786">
        <v>1</v>
      </c>
      <c r="E103" s="786">
        <v>1</v>
      </c>
      <c r="F103" s="786">
        <v>1</v>
      </c>
      <c r="G103" s="786">
        <v>1</v>
      </c>
    </row>
    <row r="104" spans="1:7">
      <c r="A104" s="150">
        <v>4</v>
      </c>
      <c r="B104" s="164" t="s">
        <v>213</v>
      </c>
      <c r="C104" s="786">
        <v>1</v>
      </c>
      <c r="D104" s="786">
        <v>1</v>
      </c>
      <c r="E104" s="786">
        <v>1</v>
      </c>
      <c r="F104" s="786">
        <v>1</v>
      </c>
      <c r="G104" s="786">
        <v>1</v>
      </c>
    </row>
    <row r="105" spans="1:7">
      <c r="A105" s="150">
        <v>5</v>
      </c>
      <c r="B105" s="164" t="s">
        <v>214</v>
      </c>
      <c r="C105" s="786">
        <v>1</v>
      </c>
      <c r="D105" s="786">
        <v>1</v>
      </c>
      <c r="E105" s="786">
        <v>1</v>
      </c>
      <c r="F105" s="786">
        <v>1</v>
      </c>
      <c r="G105" s="786">
        <v>1</v>
      </c>
    </row>
    <row r="106" spans="1:7">
      <c r="A106" s="150">
        <v>6</v>
      </c>
      <c r="B106" s="164" t="s">
        <v>215</v>
      </c>
      <c r="C106" s="786">
        <v>1</v>
      </c>
      <c r="D106" s="786">
        <v>1</v>
      </c>
      <c r="E106" s="786">
        <v>1</v>
      </c>
      <c r="F106" s="786">
        <v>1</v>
      </c>
      <c r="G106" s="786">
        <v>1</v>
      </c>
    </row>
    <row r="107" spans="1:7">
      <c r="A107" s="150">
        <v>7</v>
      </c>
      <c r="B107" s="164" t="s">
        <v>216</v>
      </c>
      <c r="C107" s="786">
        <v>1</v>
      </c>
      <c r="D107" s="786">
        <v>1</v>
      </c>
      <c r="E107" s="786">
        <v>1</v>
      </c>
      <c r="F107" s="786">
        <v>1</v>
      </c>
      <c r="G107" s="786">
        <v>1</v>
      </c>
    </row>
    <row r="108" spans="1:7">
      <c r="A108" s="150">
        <v>8</v>
      </c>
      <c r="B108" s="164" t="s">
        <v>217</v>
      </c>
      <c r="C108" s="786">
        <v>1</v>
      </c>
      <c r="D108" s="786">
        <v>1</v>
      </c>
      <c r="E108" s="786">
        <v>1</v>
      </c>
      <c r="F108" s="786">
        <v>1</v>
      </c>
      <c r="G108" s="786">
        <v>1</v>
      </c>
    </row>
    <row r="109" spans="1:7">
      <c r="A109" s="150">
        <v>9</v>
      </c>
      <c r="B109" s="164" t="s">
        <v>218</v>
      </c>
      <c r="C109" s="786">
        <v>1</v>
      </c>
      <c r="D109" s="786">
        <v>1</v>
      </c>
      <c r="E109" s="786">
        <v>1</v>
      </c>
      <c r="F109" s="786">
        <v>1</v>
      </c>
      <c r="G109" s="786">
        <v>1</v>
      </c>
    </row>
    <row r="110" spans="1:7">
      <c r="A110" s="150">
        <v>10</v>
      </c>
      <c r="B110" s="164" t="s">
        <v>219</v>
      </c>
      <c r="C110" s="786">
        <v>1</v>
      </c>
      <c r="D110" s="786">
        <v>1</v>
      </c>
      <c r="E110" s="786">
        <v>1</v>
      </c>
      <c r="F110" s="786">
        <v>1</v>
      </c>
      <c r="G110" s="786">
        <v>1</v>
      </c>
    </row>
    <row r="111" spans="1:7">
      <c r="A111" s="150">
        <v>11</v>
      </c>
      <c r="B111" s="164" t="s">
        <v>220</v>
      </c>
      <c r="C111" s="786">
        <v>1</v>
      </c>
      <c r="D111" s="786">
        <v>1</v>
      </c>
      <c r="E111" s="786">
        <v>1</v>
      </c>
      <c r="F111" s="786">
        <v>1</v>
      </c>
      <c r="G111" s="786">
        <v>1</v>
      </c>
    </row>
    <row r="112" spans="1:7">
      <c r="A112" s="150">
        <v>12</v>
      </c>
      <c r="B112" s="164" t="s">
        <v>221</v>
      </c>
      <c r="C112" s="786">
        <v>1</v>
      </c>
      <c r="D112" s="786">
        <v>1</v>
      </c>
      <c r="E112" s="786">
        <v>1</v>
      </c>
      <c r="F112" s="786">
        <v>1</v>
      </c>
      <c r="G112" s="786">
        <v>1</v>
      </c>
    </row>
    <row r="113" spans="1:7">
      <c r="A113" s="150">
        <v>13</v>
      </c>
      <c r="B113" s="164" t="s">
        <v>222</v>
      </c>
      <c r="C113" s="786">
        <v>1</v>
      </c>
      <c r="D113" s="786">
        <v>1</v>
      </c>
      <c r="E113" s="786">
        <v>1</v>
      </c>
      <c r="F113" s="786">
        <v>1</v>
      </c>
      <c r="G113" s="786">
        <v>1</v>
      </c>
    </row>
    <row r="114" spans="1:7">
      <c r="A114" s="156" t="s">
        <v>764</v>
      </c>
      <c r="B114" s="165" t="s">
        <v>95</v>
      </c>
      <c r="C114" s="807"/>
      <c r="D114" s="807"/>
      <c r="E114" s="807"/>
      <c r="F114" s="807"/>
      <c r="G114" s="807"/>
    </row>
    <row r="115" spans="1:7">
      <c r="A115" s="150">
        <v>1</v>
      </c>
      <c r="B115" s="164" t="s">
        <v>223</v>
      </c>
      <c r="C115" s="786">
        <v>1</v>
      </c>
      <c r="D115" s="786">
        <v>1</v>
      </c>
      <c r="E115" s="786">
        <v>1</v>
      </c>
      <c r="F115" s="786">
        <v>1</v>
      </c>
      <c r="G115" s="786">
        <v>1</v>
      </c>
    </row>
    <row r="116" spans="1:7">
      <c r="A116" s="150">
        <v>2</v>
      </c>
      <c r="B116" s="164" t="s">
        <v>155</v>
      </c>
      <c r="C116" s="786">
        <v>1</v>
      </c>
      <c r="D116" s="786">
        <v>1</v>
      </c>
      <c r="E116" s="786">
        <v>1</v>
      </c>
      <c r="F116" s="786">
        <v>1</v>
      </c>
      <c r="G116" s="786">
        <v>1</v>
      </c>
    </row>
    <row r="117" spans="1:7">
      <c r="A117" s="150">
        <v>3</v>
      </c>
      <c r="B117" s="164" t="s">
        <v>224</v>
      </c>
      <c r="C117" s="786">
        <v>1</v>
      </c>
      <c r="D117" s="786">
        <v>1</v>
      </c>
      <c r="E117" s="786">
        <v>1</v>
      </c>
      <c r="F117" s="786">
        <v>1</v>
      </c>
      <c r="G117" s="786">
        <v>1</v>
      </c>
    </row>
    <row r="118" spans="1:7">
      <c r="A118" s="150">
        <v>4</v>
      </c>
      <c r="B118" s="164" t="s">
        <v>225</v>
      </c>
      <c r="C118" s="786">
        <v>1</v>
      </c>
      <c r="D118" s="786">
        <v>1</v>
      </c>
      <c r="E118" s="786">
        <v>1</v>
      </c>
      <c r="F118" s="786">
        <v>1</v>
      </c>
      <c r="G118" s="786">
        <v>1</v>
      </c>
    </row>
    <row r="119" spans="1:7">
      <c r="A119" s="150">
        <v>5</v>
      </c>
      <c r="B119" s="164" t="s">
        <v>226</v>
      </c>
      <c r="C119" s="786">
        <v>1</v>
      </c>
      <c r="D119" s="786">
        <v>1</v>
      </c>
      <c r="E119" s="786">
        <v>1</v>
      </c>
      <c r="F119" s="786">
        <v>1</v>
      </c>
      <c r="G119" s="786">
        <v>1</v>
      </c>
    </row>
    <row r="120" spans="1:7">
      <c r="A120" s="150">
        <v>6</v>
      </c>
      <c r="B120" s="164" t="s">
        <v>227</v>
      </c>
      <c r="C120" s="786">
        <v>1</v>
      </c>
      <c r="D120" s="786">
        <v>1</v>
      </c>
      <c r="E120" s="786">
        <v>1</v>
      </c>
      <c r="F120" s="786">
        <v>1</v>
      </c>
      <c r="G120" s="786">
        <v>1</v>
      </c>
    </row>
    <row r="121" spans="1:7">
      <c r="A121" s="150">
        <v>7</v>
      </c>
      <c r="B121" s="164" t="s">
        <v>228</v>
      </c>
      <c r="C121" s="786">
        <v>1</v>
      </c>
      <c r="D121" s="786">
        <v>1</v>
      </c>
      <c r="E121" s="786">
        <v>1</v>
      </c>
      <c r="F121" s="786">
        <v>1</v>
      </c>
      <c r="G121" s="786">
        <v>1</v>
      </c>
    </row>
    <row r="122" spans="1:7">
      <c r="A122" s="150">
        <v>8</v>
      </c>
      <c r="B122" s="164" t="s">
        <v>229</v>
      </c>
      <c r="C122" s="786">
        <v>1</v>
      </c>
      <c r="D122" s="786">
        <v>1</v>
      </c>
      <c r="E122" s="786">
        <v>1</v>
      </c>
      <c r="F122" s="786">
        <v>1</v>
      </c>
      <c r="G122" s="786">
        <v>1</v>
      </c>
    </row>
    <row r="123" spans="1:7">
      <c r="A123" s="150">
        <v>9</v>
      </c>
      <c r="B123" s="164" t="s">
        <v>230</v>
      </c>
      <c r="C123" s="786">
        <v>1</v>
      </c>
      <c r="D123" s="786">
        <v>1</v>
      </c>
      <c r="E123" s="786">
        <v>1</v>
      </c>
      <c r="F123" s="786">
        <v>1</v>
      </c>
      <c r="G123" s="786">
        <v>1</v>
      </c>
    </row>
    <row r="124" spans="1:7">
      <c r="A124" s="150">
        <v>10</v>
      </c>
      <c r="B124" s="164" t="s">
        <v>231</v>
      </c>
      <c r="C124" s="786">
        <v>1</v>
      </c>
      <c r="D124" s="786">
        <v>1</v>
      </c>
      <c r="E124" s="786">
        <v>1</v>
      </c>
      <c r="F124" s="786">
        <v>1</v>
      </c>
      <c r="G124" s="786">
        <v>1</v>
      </c>
    </row>
    <row r="125" spans="1:7">
      <c r="A125" s="150">
        <v>11</v>
      </c>
      <c r="B125" s="164" t="s">
        <v>232</v>
      </c>
      <c r="C125" s="786">
        <v>1</v>
      </c>
      <c r="D125" s="786">
        <v>1</v>
      </c>
      <c r="E125" s="786">
        <v>1</v>
      </c>
      <c r="F125" s="786">
        <v>1</v>
      </c>
      <c r="G125" s="786">
        <v>1</v>
      </c>
    </row>
    <row r="126" spans="1:7">
      <c r="A126" s="150">
        <v>12</v>
      </c>
      <c r="B126" s="164" t="s">
        <v>233</v>
      </c>
      <c r="C126" s="786">
        <v>1</v>
      </c>
      <c r="D126" s="786">
        <v>1</v>
      </c>
      <c r="E126" s="786">
        <v>1</v>
      </c>
      <c r="F126" s="786">
        <v>1</v>
      </c>
      <c r="G126" s="786">
        <v>1</v>
      </c>
    </row>
    <row r="127" spans="1:7">
      <c r="A127" s="150">
        <v>13</v>
      </c>
      <c r="B127" s="164" t="s">
        <v>234</v>
      </c>
      <c r="C127" s="786">
        <v>1</v>
      </c>
      <c r="D127" s="786">
        <v>1</v>
      </c>
      <c r="E127" s="786">
        <v>1</v>
      </c>
      <c r="F127" s="786">
        <v>1</v>
      </c>
      <c r="G127" s="786">
        <v>1</v>
      </c>
    </row>
    <row r="128" spans="1:7">
      <c r="A128" s="156" t="s">
        <v>781</v>
      </c>
      <c r="B128" s="165" t="s">
        <v>235</v>
      </c>
      <c r="C128" s="807"/>
      <c r="D128" s="807"/>
      <c r="E128" s="807"/>
      <c r="F128" s="807"/>
      <c r="G128" s="807"/>
    </row>
    <row r="129" spans="1:7">
      <c r="A129" s="150">
        <v>1</v>
      </c>
      <c r="B129" s="164" t="s">
        <v>236</v>
      </c>
      <c r="C129" s="786">
        <v>1</v>
      </c>
      <c r="D129" s="786">
        <v>1</v>
      </c>
      <c r="E129" s="786">
        <v>1</v>
      </c>
      <c r="F129" s="786">
        <v>1</v>
      </c>
      <c r="G129" s="786">
        <v>1</v>
      </c>
    </row>
    <row r="130" spans="1:7">
      <c r="A130" s="150">
        <v>2</v>
      </c>
      <c r="B130" s="164" t="s">
        <v>237</v>
      </c>
      <c r="C130" s="786">
        <v>1</v>
      </c>
      <c r="D130" s="786">
        <v>1</v>
      </c>
      <c r="E130" s="786">
        <v>1</v>
      </c>
      <c r="F130" s="786">
        <v>1</v>
      </c>
      <c r="G130" s="786">
        <v>1</v>
      </c>
    </row>
    <row r="131" spans="1:7">
      <c r="A131" s="150">
        <v>3</v>
      </c>
      <c r="B131" s="164" t="s">
        <v>238</v>
      </c>
      <c r="C131" s="786">
        <v>1</v>
      </c>
      <c r="D131" s="786">
        <v>1</v>
      </c>
      <c r="E131" s="786">
        <v>1</v>
      </c>
      <c r="F131" s="786">
        <v>1</v>
      </c>
      <c r="G131" s="786">
        <v>1</v>
      </c>
    </row>
    <row r="132" spans="1:7">
      <c r="A132" s="150">
        <v>4</v>
      </c>
      <c r="B132" s="164" t="s">
        <v>138</v>
      </c>
      <c r="C132" s="786">
        <v>1</v>
      </c>
      <c r="D132" s="786">
        <v>1</v>
      </c>
      <c r="E132" s="786">
        <v>1</v>
      </c>
      <c r="F132" s="786">
        <v>1</v>
      </c>
      <c r="G132" s="786">
        <v>1</v>
      </c>
    </row>
    <row r="133" spans="1:7">
      <c r="A133" s="150">
        <v>5</v>
      </c>
      <c r="B133" s="164" t="s">
        <v>239</v>
      </c>
      <c r="C133" s="786">
        <v>1</v>
      </c>
      <c r="D133" s="786">
        <v>1</v>
      </c>
      <c r="E133" s="786">
        <v>1</v>
      </c>
      <c r="F133" s="786">
        <v>1</v>
      </c>
      <c r="G133" s="786">
        <v>1</v>
      </c>
    </row>
    <row r="134" spans="1:7">
      <c r="A134" s="150">
        <v>6</v>
      </c>
      <c r="B134" s="164" t="s">
        <v>240</v>
      </c>
      <c r="C134" s="786">
        <v>1</v>
      </c>
      <c r="D134" s="786">
        <v>1</v>
      </c>
      <c r="E134" s="786">
        <v>1</v>
      </c>
      <c r="F134" s="786">
        <v>1</v>
      </c>
      <c r="G134" s="786">
        <v>1</v>
      </c>
    </row>
    <row r="135" spans="1:7">
      <c r="A135" s="150">
        <v>7</v>
      </c>
      <c r="B135" s="164" t="s">
        <v>241</v>
      </c>
      <c r="C135" s="786">
        <v>1</v>
      </c>
      <c r="D135" s="786">
        <v>1</v>
      </c>
      <c r="E135" s="786">
        <v>1</v>
      </c>
      <c r="F135" s="786">
        <v>1</v>
      </c>
      <c r="G135" s="786">
        <v>1</v>
      </c>
    </row>
    <row r="136" spans="1:7">
      <c r="A136" s="150">
        <v>8</v>
      </c>
      <c r="B136" s="164" t="s">
        <v>242</v>
      </c>
      <c r="C136" s="786">
        <v>1</v>
      </c>
      <c r="D136" s="786">
        <v>1</v>
      </c>
      <c r="E136" s="786">
        <v>1</v>
      </c>
      <c r="F136" s="786">
        <v>1</v>
      </c>
      <c r="G136" s="786">
        <v>1</v>
      </c>
    </row>
    <row r="137" spans="1:7">
      <c r="A137" s="150">
        <v>9</v>
      </c>
      <c r="B137" s="164" t="s">
        <v>243</v>
      </c>
      <c r="C137" s="786">
        <v>1</v>
      </c>
      <c r="D137" s="786">
        <v>1</v>
      </c>
      <c r="E137" s="786">
        <v>1</v>
      </c>
      <c r="F137" s="786">
        <v>1</v>
      </c>
      <c r="G137" s="786">
        <v>1</v>
      </c>
    </row>
    <row r="138" spans="1:7">
      <c r="A138" s="150">
        <v>10</v>
      </c>
      <c r="B138" s="164" t="s">
        <v>244</v>
      </c>
      <c r="C138" s="786">
        <v>1</v>
      </c>
      <c r="D138" s="786">
        <v>1</v>
      </c>
      <c r="E138" s="786">
        <v>1</v>
      </c>
      <c r="F138" s="786">
        <v>1</v>
      </c>
      <c r="G138" s="786">
        <v>1</v>
      </c>
    </row>
    <row r="139" spans="1:7">
      <c r="A139" s="150">
        <v>11</v>
      </c>
      <c r="B139" s="164" t="s">
        <v>245</v>
      </c>
      <c r="C139" s="786">
        <v>1</v>
      </c>
      <c r="D139" s="786">
        <v>1</v>
      </c>
      <c r="E139" s="786">
        <v>1</v>
      </c>
      <c r="F139" s="786">
        <v>1</v>
      </c>
      <c r="G139" s="786">
        <v>1</v>
      </c>
    </row>
    <row r="140" spans="1:7">
      <c r="A140" s="150">
        <v>12</v>
      </c>
      <c r="B140" s="164" t="s">
        <v>246</v>
      </c>
      <c r="C140" s="786">
        <v>1</v>
      </c>
      <c r="D140" s="786">
        <v>1</v>
      </c>
      <c r="E140" s="786">
        <v>1</v>
      </c>
      <c r="F140" s="786">
        <v>1</v>
      </c>
      <c r="G140" s="786">
        <v>1</v>
      </c>
    </row>
    <row r="141" spans="1:7">
      <c r="A141" s="156" t="s">
        <v>782</v>
      </c>
      <c r="B141" s="165" t="s">
        <v>203</v>
      </c>
      <c r="C141" s="807"/>
      <c r="D141" s="807"/>
      <c r="E141" s="807"/>
      <c r="F141" s="807"/>
      <c r="G141" s="807"/>
    </row>
    <row r="142" spans="1:7" ht="15.75" customHeight="1">
      <c r="A142" s="150">
        <v>1</v>
      </c>
      <c r="B142" s="164" t="s">
        <v>168</v>
      </c>
      <c r="C142" s="774" t="s">
        <v>204</v>
      </c>
      <c r="D142" s="798"/>
      <c r="E142" s="798"/>
      <c r="F142" s="799"/>
      <c r="G142" s="166">
        <v>1</v>
      </c>
    </row>
    <row r="143" spans="1:7">
      <c r="A143" s="150">
        <v>2</v>
      </c>
      <c r="B143" s="164" t="s">
        <v>169</v>
      </c>
      <c r="C143" s="800"/>
      <c r="D143" s="801"/>
      <c r="E143" s="801"/>
      <c r="F143" s="802"/>
      <c r="G143" s="166">
        <v>1</v>
      </c>
    </row>
    <row r="144" spans="1:7">
      <c r="A144" s="150">
        <v>3</v>
      </c>
      <c r="B144" s="164" t="s">
        <v>170</v>
      </c>
      <c r="C144" s="800"/>
      <c r="D144" s="801"/>
      <c r="E144" s="801"/>
      <c r="F144" s="802"/>
      <c r="G144" s="166">
        <v>1</v>
      </c>
    </row>
    <row r="145" spans="1:7">
      <c r="A145" s="150">
        <v>4</v>
      </c>
      <c r="B145" s="164" t="s">
        <v>171</v>
      </c>
      <c r="C145" s="800"/>
      <c r="D145" s="801"/>
      <c r="E145" s="801"/>
      <c r="F145" s="802"/>
      <c r="G145" s="166">
        <v>1</v>
      </c>
    </row>
    <row r="146" spans="1:7">
      <c r="A146" s="150">
        <v>5</v>
      </c>
      <c r="B146" s="164" t="s">
        <v>247</v>
      </c>
      <c r="C146" s="800"/>
      <c r="D146" s="801"/>
      <c r="E146" s="801"/>
      <c r="F146" s="802"/>
      <c r="G146" s="166">
        <v>1</v>
      </c>
    </row>
    <row r="147" spans="1:7" ht="38.25" customHeight="1">
      <c r="A147" s="168">
        <v>6</v>
      </c>
      <c r="B147" s="169" t="s">
        <v>248</v>
      </c>
      <c r="C147" s="804"/>
      <c r="D147" s="805"/>
      <c r="E147" s="805"/>
      <c r="F147" s="806"/>
      <c r="G147" s="170">
        <v>1</v>
      </c>
    </row>
    <row r="148" spans="1:7">
      <c r="A148" s="150">
        <v>7</v>
      </c>
      <c r="B148" s="164" t="s">
        <v>249</v>
      </c>
      <c r="C148" s="786">
        <v>1</v>
      </c>
      <c r="D148" s="786">
        <v>1</v>
      </c>
      <c r="E148" s="786">
        <v>1</v>
      </c>
      <c r="F148" s="786">
        <v>1</v>
      </c>
      <c r="G148" s="786">
        <v>1</v>
      </c>
    </row>
    <row r="149" spans="1:7">
      <c r="A149" s="150">
        <v>8</v>
      </c>
      <c r="B149" s="164" t="s">
        <v>250</v>
      </c>
      <c r="C149" s="786">
        <v>1</v>
      </c>
      <c r="D149" s="786">
        <v>1</v>
      </c>
      <c r="E149" s="786">
        <v>1</v>
      </c>
      <c r="F149" s="786">
        <v>1</v>
      </c>
      <c r="G149" s="786">
        <v>1</v>
      </c>
    </row>
    <row r="150" spans="1:7">
      <c r="A150" s="150">
        <v>9</v>
      </c>
      <c r="B150" s="164" t="s">
        <v>251</v>
      </c>
      <c r="C150" s="786">
        <v>1</v>
      </c>
      <c r="D150" s="786">
        <v>1</v>
      </c>
      <c r="E150" s="786">
        <v>1</v>
      </c>
      <c r="F150" s="786">
        <v>1</v>
      </c>
      <c r="G150" s="786">
        <v>1</v>
      </c>
    </row>
    <row r="151" spans="1:7">
      <c r="A151" s="156" t="s">
        <v>784</v>
      </c>
      <c r="B151" s="165" t="s">
        <v>252</v>
      </c>
      <c r="C151" s="807"/>
      <c r="D151" s="807"/>
      <c r="E151" s="807"/>
      <c r="F151" s="807"/>
      <c r="G151" s="807"/>
    </row>
    <row r="152" spans="1:7">
      <c r="A152" s="150">
        <v>1</v>
      </c>
      <c r="B152" s="164" t="s">
        <v>253</v>
      </c>
      <c r="C152" s="786">
        <v>1</v>
      </c>
      <c r="D152" s="786">
        <v>1</v>
      </c>
      <c r="E152" s="786">
        <v>1</v>
      </c>
      <c r="F152" s="786">
        <v>1</v>
      </c>
      <c r="G152" s="786">
        <v>1</v>
      </c>
    </row>
    <row r="153" spans="1:7">
      <c r="A153" s="150">
        <v>2</v>
      </c>
      <c r="B153" s="164" t="s">
        <v>166</v>
      </c>
      <c r="C153" s="786">
        <v>1</v>
      </c>
      <c r="D153" s="786">
        <v>1</v>
      </c>
      <c r="E153" s="786">
        <v>1</v>
      </c>
      <c r="F153" s="786">
        <v>1</v>
      </c>
      <c r="G153" s="786">
        <v>1</v>
      </c>
    </row>
    <row r="154" spans="1:7">
      <c r="A154" s="150">
        <v>3</v>
      </c>
      <c r="B154" s="164" t="s">
        <v>254</v>
      </c>
      <c r="C154" s="786">
        <v>1</v>
      </c>
      <c r="D154" s="786">
        <v>1</v>
      </c>
      <c r="E154" s="786">
        <v>1</v>
      </c>
      <c r="F154" s="786">
        <v>1</v>
      </c>
      <c r="G154" s="786">
        <v>1</v>
      </c>
    </row>
    <row r="155" spans="1:7">
      <c r="A155" s="150">
        <v>4</v>
      </c>
      <c r="B155" s="164" t="s">
        <v>255</v>
      </c>
      <c r="C155" s="786">
        <v>1</v>
      </c>
      <c r="D155" s="786">
        <v>1</v>
      </c>
      <c r="E155" s="786">
        <v>1</v>
      </c>
      <c r="F155" s="786">
        <v>1</v>
      </c>
      <c r="G155" s="786">
        <v>1</v>
      </c>
    </row>
    <row r="156" spans="1:7">
      <c r="A156" s="150">
        <v>5</v>
      </c>
      <c r="B156" s="164" t="s">
        <v>256</v>
      </c>
      <c r="C156" s="786">
        <v>1</v>
      </c>
      <c r="D156" s="786">
        <v>1</v>
      </c>
      <c r="E156" s="786">
        <v>1</v>
      </c>
      <c r="F156" s="786">
        <v>1</v>
      </c>
      <c r="G156" s="786">
        <v>1</v>
      </c>
    </row>
    <row r="157" spans="1:7">
      <c r="A157" s="150">
        <v>6</v>
      </c>
      <c r="B157" s="164" t="s">
        <v>257</v>
      </c>
      <c r="C157" s="786">
        <v>1</v>
      </c>
      <c r="D157" s="786">
        <v>1</v>
      </c>
      <c r="E157" s="786">
        <v>1</v>
      </c>
      <c r="F157" s="786">
        <v>1</v>
      </c>
      <c r="G157" s="786">
        <v>1</v>
      </c>
    </row>
    <row r="158" spans="1:7">
      <c r="A158" s="150">
        <v>7</v>
      </c>
      <c r="B158" s="164" t="s">
        <v>258</v>
      </c>
      <c r="C158" s="786">
        <v>1</v>
      </c>
      <c r="D158" s="786">
        <v>1</v>
      </c>
      <c r="E158" s="786">
        <v>1</v>
      </c>
      <c r="F158" s="786">
        <v>1</v>
      </c>
      <c r="G158" s="786">
        <v>1</v>
      </c>
    </row>
    <row r="159" spans="1:7">
      <c r="A159" s="150">
        <v>8</v>
      </c>
      <c r="B159" s="164" t="s">
        <v>259</v>
      </c>
      <c r="C159" s="786">
        <v>1</v>
      </c>
      <c r="D159" s="786">
        <v>1</v>
      </c>
      <c r="E159" s="786">
        <v>1</v>
      </c>
      <c r="F159" s="786">
        <v>1</v>
      </c>
      <c r="G159" s="786">
        <v>1</v>
      </c>
    </row>
    <row r="160" spans="1:7">
      <c r="A160" s="150">
        <v>9</v>
      </c>
      <c r="B160" s="164" t="s">
        <v>260</v>
      </c>
      <c r="C160" s="786">
        <v>1</v>
      </c>
      <c r="D160" s="786">
        <v>1</v>
      </c>
      <c r="E160" s="786">
        <v>1</v>
      </c>
      <c r="F160" s="786">
        <v>1</v>
      </c>
      <c r="G160" s="786">
        <v>1</v>
      </c>
    </row>
    <row r="161" spans="1:7">
      <c r="A161" s="150">
        <v>10</v>
      </c>
      <c r="B161" s="164" t="s">
        <v>261</v>
      </c>
      <c r="C161" s="786">
        <v>1</v>
      </c>
      <c r="D161" s="786">
        <v>1</v>
      </c>
      <c r="E161" s="786">
        <v>1</v>
      </c>
      <c r="F161" s="786">
        <v>1</v>
      </c>
      <c r="G161" s="786">
        <v>1</v>
      </c>
    </row>
    <row r="162" spans="1:7">
      <c r="A162" s="150">
        <v>11</v>
      </c>
      <c r="B162" s="164" t="s">
        <v>262</v>
      </c>
      <c r="C162" s="786">
        <v>1</v>
      </c>
      <c r="D162" s="786">
        <v>1</v>
      </c>
      <c r="E162" s="786">
        <v>1</v>
      </c>
      <c r="F162" s="786">
        <v>1</v>
      </c>
      <c r="G162" s="786">
        <v>1</v>
      </c>
    </row>
    <row r="163" spans="1:7">
      <c r="A163" s="151">
        <v>12</v>
      </c>
      <c r="B163" s="171" t="s">
        <v>266</v>
      </c>
      <c r="C163" s="808">
        <v>1</v>
      </c>
      <c r="D163" s="808">
        <v>1</v>
      </c>
      <c r="E163" s="808">
        <v>1</v>
      </c>
      <c r="F163" s="808">
        <v>1</v>
      </c>
      <c r="G163" s="808">
        <v>1</v>
      </c>
    </row>
    <row r="164" spans="1:7">
      <c r="B164" s="19" t="s">
        <v>267</v>
      </c>
      <c r="E164" s="773"/>
      <c r="F164" s="773"/>
      <c r="G164" s="773"/>
    </row>
    <row r="165" spans="1:7">
      <c r="B165" s="61" t="s">
        <v>268</v>
      </c>
      <c r="E165" s="172"/>
      <c r="F165" s="172"/>
      <c r="G165" s="172"/>
    </row>
    <row r="166" spans="1:7">
      <c r="B166" s="775" t="s">
        <v>269</v>
      </c>
      <c r="E166" s="738"/>
      <c r="F166" s="738"/>
      <c r="G166" s="738"/>
    </row>
    <row r="167" spans="1:7">
      <c r="B167" s="775" t="s">
        <v>270</v>
      </c>
      <c r="E167" s="738"/>
      <c r="F167" s="738"/>
      <c r="G167" s="738"/>
    </row>
    <row r="168" spans="1:7">
      <c r="B168" s="775" t="s">
        <v>271</v>
      </c>
    </row>
    <row r="169" spans="1:7">
      <c r="B169" s="775" t="s">
        <v>272</v>
      </c>
    </row>
  </sheetData>
  <mergeCells count="12">
    <mergeCell ref="E166:G166"/>
    <mergeCell ref="E167:G167"/>
    <mergeCell ref="C21:F23"/>
    <mergeCell ref="C66:F73"/>
    <mergeCell ref="C142:F147"/>
    <mergeCell ref="E164:G164"/>
    <mergeCell ref="A3:G3"/>
    <mergeCell ref="A4:G4"/>
    <mergeCell ref="F5:G5"/>
    <mergeCell ref="A6:A7"/>
    <mergeCell ref="B6:B7"/>
    <mergeCell ref="C6:G6"/>
  </mergeCells>
  <phoneticPr fontId="2" type="noConversion"/>
  <printOptions horizontalCentered="1"/>
  <pageMargins left="0.62992125984251968" right="0" top="0.36" bottom="0.36" header="0.19685039370078741" footer="0.19685039370078741"/>
  <pageSetup paperSize="9" fitToHeight="4" orientation="portrait" r:id="rId1"/>
  <headerFooter alignWithMargins="0"/>
</worksheet>
</file>

<file path=xl/worksheets/sheet37.xml><?xml version="1.0" encoding="utf-8"?>
<worksheet xmlns="http://schemas.openxmlformats.org/spreadsheetml/2006/main" xmlns:r="http://schemas.openxmlformats.org/officeDocument/2006/relationships">
  <sheetPr codeName="Sheet36">
    <tabColor theme="1"/>
  </sheetPr>
  <dimension ref="A1:E14"/>
  <sheetViews>
    <sheetView topLeftCell="XFD33" workbookViewId="0">
      <selection activeCell="A46" sqref="A46"/>
    </sheetView>
  </sheetViews>
  <sheetFormatPr defaultColWidth="0" defaultRowHeight="15.75"/>
  <cols>
    <col min="1" max="1" width="4.5" hidden="1" customWidth="1"/>
    <col min="2" max="2" width="41.125" hidden="1" customWidth="1"/>
    <col min="3" max="3" width="11.75" hidden="1" customWidth="1"/>
    <col min="4" max="4" width="14.125" hidden="1" customWidth="1"/>
    <col min="5" max="5" width="15.375" hidden="1" customWidth="1"/>
    <col min="6" max="16384" width="9" hidden="1"/>
  </cols>
  <sheetData>
    <row r="1" spans="1:5" ht="15.75" customHeight="1">
      <c r="A1" s="745" t="s">
        <v>599</v>
      </c>
      <c r="B1" s="745"/>
      <c r="C1" s="745"/>
      <c r="D1" s="745"/>
      <c r="E1" s="745"/>
    </row>
    <row r="3" spans="1:5">
      <c r="D3" s="683" t="s">
        <v>766</v>
      </c>
      <c r="E3" s="683"/>
    </row>
    <row r="4" spans="1:5" ht="63">
      <c r="A4" s="50" t="s">
        <v>769</v>
      </c>
      <c r="B4" s="50" t="s">
        <v>767</v>
      </c>
      <c r="C4" s="50" t="s">
        <v>634</v>
      </c>
      <c r="D4" s="50" t="s">
        <v>804</v>
      </c>
      <c r="E4" s="50" t="s">
        <v>805</v>
      </c>
    </row>
    <row r="5" spans="1:5" ht="30" customHeight="1">
      <c r="A5" s="55"/>
      <c r="B5" s="94" t="s">
        <v>770</v>
      </c>
      <c r="C5" s="92">
        <f t="shared" ref="C5:C14" si="0">SUM(D5:E5)</f>
        <v>0</v>
      </c>
      <c r="D5" s="92">
        <f>SUM(D6,D7:D14)</f>
        <v>0</v>
      </c>
      <c r="E5" s="92">
        <f>SUM(E6,E7:E14)</f>
        <v>0</v>
      </c>
    </row>
    <row r="6" spans="1:5" ht="30" customHeight="1">
      <c r="A6" s="56">
        <v>1</v>
      </c>
      <c r="B6" s="57" t="s">
        <v>771</v>
      </c>
      <c r="C6" s="95">
        <f t="shared" si="0"/>
        <v>0</v>
      </c>
      <c r="D6" s="95"/>
      <c r="E6" s="95"/>
    </row>
    <row r="7" spans="1:5" ht="30" customHeight="1">
      <c r="A7" s="56">
        <v>2</v>
      </c>
      <c r="B7" s="57" t="s">
        <v>772</v>
      </c>
      <c r="C7" s="95">
        <f t="shared" si="0"/>
        <v>0</v>
      </c>
      <c r="D7" s="95"/>
      <c r="E7" s="95"/>
    </row>
    <row r="8" spans="1:5" ht="30" customHeight="1">
      <c r="A8" s="56">
        <v>3</v>
      </c>
      <c r="B8" s="57" t="s">
        <v>801</v>
      </c>
      <c r="C8" s="95">
        <f t="shared" si="0"/>
        <v>0</v>
      </c>
      <c r="D8" s="95"/>
      <c r="E8" s="95"/>
    </row>
    <row r="9" spans="1:5" ht="30" customHeight="1">
      <c r="A9" s="56">
        <v>4</v>
      </c>
      <c r="B9" s="57" t="s">
        <v>773</v>
      </c>
      <c r="C9" s="95">
        <f t="shared" si="0"/>
        <v>0</v>
      </c>
      <c r="D9" s="95"/>
      <c r="E9" s="95"/>
    </row>
    <row r="10" spans="1:5" ht="30" customHeight="1">
      <c r="A10" s="56">
        <v>5</v>
      </c>
      <c r="B10" s="57" t="s">
        <v>775</v>
      </c>
      <c r="C10" s="95">
        <f t="shared" si="0"/>
        <v>0</v>
      </c>
      <c r="D10" s="95"/>
      <c r="E10" s="95"/>
    </row>
    <row r="11" spans="1:5" ht="30" customHeight="1">
      <c r="A11" s="56">
        <v>6</v>
      </c>
      <c r="B11" s="57" t="s">
        <v>776</v>
      </c>
      <c r="C11" s="95">
        <f t="shared" si="0"/>
        <v>0</v>
      </c>
      <c r="D11" s="95"/>
      <c r="E11" s="95"/>
    </row>
    <row r="12" spans="1:5" ht="30" customHeight="1">
      <c r="A12" s="56">
        <v>7</v>
      </c>
      <c r="B12" s="57" t="s">
        <v>777</v>
      </c>
      <c r="C12" s="95">
        <f t="shared" si="0"/>
        <v>0</v>
      </c>
      <c r="D12" s="95"/>
      <c r="E12" s="95"/>
    </row>
    <row r="13" spans="1:5" ht="30" customHeight="1">
      <c r="A13" s="56">
        <v>8</v>
      </c>
      <c r="B13" s="57" t="s">
        <v>778</v>
      </c>
      <c r="C13" s="95">
        <f t="shared" si="0"/>
        <v>0</v>
      </c>
      <c r="D13" s="95"/>
      <c r="E13" s="95"/>
    </row>
    <row r="14" spans="1:5" ht="30" customHeight="1">
      <c r="A14" s="58">
        <v>9</v>
      </c>
      <c r="B14" s="59" t="s">
        <v>779</v>
      </c>
      <c r="C14" s="96">
        <f t="shared" si="0"/>
        <v>0</v>
      </c>
      <c r="D14" s="96"/>
      <c r="E14" s="96"/>
    </row>
  </sheetData>
  <mergeCells count="2">
    <mergeCell ref="A1:E1"/>
    <mergeCell ref="D3:E3"/>
  </mergeCells>
  <phoneticPr fontId="2" type="noConversion"/>
  <printOptions horizontalCentered="1"/>
  <pageMargins left="0" right="0" top="0.59055118110236227" bottom="0.59055118110236227" header="0.39370078740157483"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dimension ref="A1"/>
  <sheetViews>
    <sheetView workbookViewId="0">
      <selection activeCell="A3" sqref="A3:A4"/>
    </sheetView>
  </sheetViews>
  <sheetFormatPr defaultRowHeight="15.75"/>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
  <sheetViews>
    <sheetView workbookViewId="0">
      <selection activeCell="C16" sqref="C16"/>
    </sheetView>
  </sheetViews>
  <sheetFormatPr defaultRowHeig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tabColor rgb="FFFF0000"/>
  </sheetPr>
  <dimension ref="A1:AO35"/>
  <sheetViews>
    <sheetView zoomScale="82" zoomScaleNormal="82" workbookViewId="0">
      <pane xSplit="5" ySplit="6" topLeftCell="F16"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125" style="106" customWidth="1"/>
    <col min="2" max="2" width="25.125" style="5" customWidth="1"/>
    <col min="3" max="3" width="8.875" style="5" customWidth="1"/>
    <col min="4" max="4" width="7.625" style="5" customWidth="1"/>
    <col min="5" max="6" width="8.125" style="5" customWidth="1"/>
    <col min="7" max="7" width="6.625" style="5" customWidth="1"/>
    <col min="8" max="12" width="8.125" style="5" customWidth="1"/>
    <col min="13" max="13" width="6.625" style="5" customWidth="1"/>
    <col min="14" max="15" width="8.125" style="5" customWidth="1"/>
    <col min="16" max="16" width="6.625" style="5" customWidth="1"/>
    <col min="17" max="18" width="8.125" style="5" customWidth="1"/>
    <col min="19" max="19" width="6.625" style="5" customWidth="1"/>
    <col min="20" max="21" width="8.125" style="5" customWidth="1"/>
    <col min="22" max="22" width="6.625" style="5" customWidth="1"/>
    <col min="23" max="24" width="8.125" style="5" customWidth="1"/>
    <col min="25" max="25" width="6.625" style="5" customWidth="1"/>
    <col min="26" max="26" width="8.875" style="5" customWidth="1"/>
    <col min="27" max="27" width="8.125" style="5" customWidth="1"/>
    <col min="28" max="28" width="6.625" style="5" customWidth="1"/>
    <col min="29" max="30" width="8.125" style="5" customWidth="1"/>
    <col min="31" max="31" width="6.625" style="5" customWidth="1"/>
    <col min="32" max="33" width="8.125" style="5" customWidth="1"/>
    <col min="34" max="34" width="6.625" style="5" customWidth="1"/>
    <col min="35" max="36" width="8.125" style="5" customWidth="1"/>
    <col min="37" max="37" width="6.625" style="5" customWidth="1"/>
    <col min="38" max="39" width="8.125" style="5" customWidth="1"/>
    <col min="40" max="40" width="6.625" style="5" customWidth="1"/>
    <col min="41" max="41" width="7.125" style="5" customWidth="1"/>
    <col min="42" max="16384" width="9" style="5"/>
  </cols>
  <sheetData>
    <row r="1" spans="1:41">
      <c r="B1" s="107"/>
      <c r="C1" s="1"/>
      <c r="D1" s="1"/>
      <c r="E1" s="107" t="s">
        <v>876</v>
      </c>
      <c r="F1" s="1"/>
      <c r="G1" s="1"/>
      <c r="H1" s="1"/>
      <c r="I1" s="1"/>
      <c r="J1" s="1"/>
      <c r="K1" s="1"/>
      <c r="L1" s="1"/>
      <c r="M1" s="1"/>
      <c r="N1" s="1"/>
      <c r="O1" s="1"/>
      <c r="P1" s="1"/>
      <c r="Q1" s="1"/>
      <c r="R1" s="1"/>
      <c r="S1" s="1"/>
      <c r="T1" s="1"/>
      <c r="U1" s="15"/>
      <c r="V1" s="15"/>
      <c r="W1" s="15"/>
      <c r="X1" s="1"/>
      <c r="Y1" s="1"/>
      <c r="Z1" s="107" t="s">
        <v>876</v>
      </c>
      <c r="AA1" s="108"/>
      <c r="AB1" s="108"/>
      <c r="AC1" s="108"/>
      <c r="AD1" s="108"/>
      <c r="AE1" s="108"/>
      <c r="AF1" s="108"/>
      <c r="AG1" s="108"/>
      <c r="AH1" s="108"/>
      <c r="AI1" s="108"/>
      <c r="AJ1" s="108"/>
      <c r="AK1" s="108"/>
      <c r="AL1" s="108"/>
      <c r="AM1" s="15"/>
      <c r="AN1" s="15"/>
      <c r="AO1" s="15"/>
    </row>
    <row r="2" spans="1:41">
      <c r="D2" s="60"/>
      <c r="E2" s="60"/>
      <c r="F2" s="109"/>
      <c r="T2" s="22"/>
      <c r="U2" s="688" t="s">
        <v>828</v>
      </c>
      <c r="V2" s="688"/>
      <c r="W2" s="688"/>
      <c r="AL2" s="22"/>
      <c r="AM2" s="689" t="s">
        <v>828</v>
      </c>
      <c r="AN2" s="689"/>
      <c r="AO2" s="689"/>
    </row>
    <row r="3" spans="1:41" s="14" customFormat="1">
      <c r="A3" s="690" t="s">
        <v>689</v>
      </c>
      <c r="B3" s="690" t="s">
        <v>829</v>
      </c>
      <c r="C3" s="687" t="s">
        <v>830</v>
      </c>
      <c r="D3" s="687"/>
      <c r="E3" s="687"/>
      <c r="F3" s="687" t="s">
        <v>831</v>
      </c>
      <c r="G3" s="687"/>
      <c r="H3" s="687"/>
      <c r="I3" s="687" t="s">
        <v>832</v>
      </c>
      <c r="J3" s="687"/>
      <c r="K3" s="687"/>
      <c r="L3" s="687" t="s">
        <v>833</v>
      </c>
      <c r="M3" s="687"/>
      <c r="N3" s="687"/>
      <c r="O3" s="687" t="s">
        <v>834</v>
      </c>
      <c r="P3" s="687"/>
      <c r="Q3" s="687"/>
      <c r="R3" s="687" t="s">
        <v>835</v>
      </c>
      <c r="S3" s="687"/>
      <c r="T3" s="687"/>
      <c r="U3" s="687" t="s">
        <v>836</v>
      </c>
      <c r="V3" s="687"/>
      <c r="W3" s="687"/>
      <c r="X3" s="687" t="s">
        <v>837</v>
      </c>
      <c r="Y3" s="687"/>
      <c r="Z3" s="687"/>
      <c r="AA3" s="687" t="s">
        <v>838</v>
      </c>
      <c r="AB3" s="687"/>
      <c r="AC3" s="687"/>
      <c r="AD3" s="687" t="s">
        <v>839</v>
      </c>
      <c r="AE3" s="687"/>
      <c r="AF3" s="687"/>
      <c r="AG3" s="687" t="s">
        <v>840</v>
      </c>
      <c r="AH3" s="687"/>
      <c r="AI3" s="687"/>
      <c r="AJ3" s="687" t="s">
        <v>199</v>
      </c>
      <c r="AK3" s="687"/>
      <c r="AL3" s="687"/>
      <c r="AM3" s="687" t="s">
        <v>841</v>
      </c>
      <c r="AN3" s="687"/>
      <c r="AO3" s="687"/>
    </row>
    <row r="4" spans="1:41" s="49" customFormat="1" ht="27.75" customHeight="1">
      <c r="A4" s="690"/>
      <c r="B4" s="690"/>
      <c r="C4" s="110" t="s">
        <v>842</v>
      </c>
      <c r="D4" s="110" t="s">
        <v>843</v>
      </c>
      <c r="E4" s="110" t="s">
        <v>844</v>
      </c>
      <c r="F4" s="110" t="s">
        <v>842</v>
      </c>
      <c r="G4" s="110" t="s">
        <v>843</v>
      </c>
      <c r="H4" s="110" t="s">
        <v>844</v>
      </c>
      <c r="I4" s="110" t="s">
        <v>842</v>
      </c>
      <c r="J4" s="110" t="s">
        <v>843</v>
      </c>
      <c r="K4" s="110" t="s">
        <v>844</v>
      </c>
      <c r="L4" s="110" t="s">
        <v>842</v>
      </c>
      <c r="M4" s="110" t="s">
        <v>843</v>
      </c>
      <c r="N4" s="110" t="s">
        <v>844</v>
      </c>
      <c r="O4" s="110" t="s">
        <v>842</v>
      </c>
      <c r="P4" s="110" t="s">
        <v>843</v>
      </c>
      <c r="Q4" s="110" t="s">
        <v>844</v>
      </c>
      <c r="R4" s="110" t="s">
        <v>842</v>
      </c>
      <c r="S4" s="110" t="s">
        <v>843</v>
      </c>
      <c r="T4" s="110" t="s">
        <v>844</v>
      </c>
      <c r="U4" s="110" t="s">
        <v>842</v>
      </c>
      <c r="V4" s="110" t="s">
        <v>843</v>
      </c>
      <c r="W4" s="110" t="s">
        <v>844</v>
      </c>
      <c r="X4" s="110" t="s">
        <v>842</v>
      </c>
      <c r="Y4" s="110" t="s">
        <v>843</v>
      </c>
      <c r="Z4" s="110" t="s">
        <v>844</v>
      </c>
      <c r="AA4" s="110" t="s">
        <v>842</v>
      </c>
      <c r="AB4" s="110" t="s">
        <v>843</v>
      </c>
      <c r="AC4" s="110" t="s">
        <v>844</v>
      </c>
      <c r="AD4" s="110" t="s">
        <v>842</v>
      </c>
      <c r="AE4" s="110" t="s">
        <v>843</v>
      </c>
      <c r="AF4" s="110" t="s">
        <v>844</v>
      </c>
      <c r="AG4" s="110" t="s">
        <v>842</v>
      </c>
      <c r="AH4" s="110" t="s">
        <v>843</v>
      </c>
      <c r="AI4" s="110" t="s">
        <v>844</v>
      </c>
      <c r="AJ4" s="110" t="s">
        <v>842</v>
      </c>
      <c r="AK4" s="110" t="s">
        <v>843</v>
      </c>
      <c r="AL4" s="110" t="s">
        <v>844</v>
      </c>
      <c r="AM4" s="110" t="s">
        <v>842</v>
      </c>
      <c r="AN4" s="110" t="s">
        <v>843</v>
      </c>
      <c r="AO4" s="110" t="s">
        <v>844</v>
      </c>
    </row>
    <row r="5" spans="1:41" s="54" customFormat="1" ht="20.100000000000001" customHeight="1">
      <c r="A5" s="111" t="s">
        <v>641</v>
      </c>
      <c r="B5" s="25" t="s">
        <v>845</v>
      </c>
      <c r="C5" s="120">
        <f>SUM(F5,L5,O5,R5,U5,X5,AA5,AD5,AG5,AJ5,AM5,I5)</f>
        <v>1223800</v>
      </c>
      <c r="D5" s="121"/>
      <c r="E5" s="120">
        <f>SUM(H5,N5,Q5,T5,W5,Z5,AC5,AF5,AI5,AL5,AO5,K5)</f>
        <v>1023300</v>
      </c>
      <c r="F5" s="120">
        <f>SUM(F6,F14:F17,F18:F21,F13)</f>
        <v>33210</v>
      </c>
      <c r="G5" s="120"/>
      <c r="H5" s="120">
        <f>SUM(H6,H14:H17,H18:H21,H13)</f>
        <v>30890</v>
      </c>
      <c r="I5" s="120">
        <f>SUM(I6,I14:I17,I18:I21,I13)</f>
        <v>78750</v>
      </c>
      <c r="J5" s="120"/>
      <c r="K5" s="120">
        <f>SUM(K6,K14:K17,K18:K21,K13)</f>
        <v>74300</v>
      </c>
      <c r="L5" s="120">
        <f>SUM(L6,L14:L17,L18:L21,L13)</f>
        <v>25490</v>
      </c>
      <c r="M5" s="120"/>
      <c r="N5" s="120">
        <f>SUM(N6,N14:N17,N18:N21,N13)</f>
        <v>21850</v>
      </c>
      <c r="O5" s="120">
        <f>SUM(O6,O14:O17,O18:O21,O13)</f>
        <v>40720</v>
      </c>
      <c r="P5" s="120"/>
      <c r="Q5" s="120">
        <f>SUM(Q6,Q14:Q17,Q18:Q21,Q13)</f>
        <v>33590</v>
      </c>
      <c r="R5" s="120">
        <f>SUM(R6,R14:R17,R18:R21,R13)</f>
        <v>102980</v>
      </c>
      <c r="S5" s="120"/>
      <c r="T5" s="120">
        <f>SUM(T6,T14:T17,T18:T21,T13)</f>
        <v>97290</v>
      </c>
      <c r="U5" s="120">
        <f>SUM(U6,U14:U17,U18:U21,U13)</f>
        <v>298750</v>
      </c>
      <c r="V5" s="120"/>
      <c r="W5" s="120">
        <f>SUM(W6,W14:W17,W18:W21,W13)</f>
        <v>222880</v>
      </c>
      <c r="X5" s="120">
        <f>SUM(X6,X14:X17,X18:X21,X13)</f>
        <v>89100</v>
      </c>
      <c r="Y5" s="120"/>
      <c r="Z5" s="120">
        <f>SUM(Z6,Z14:Z17,Z18:Z21,Z13)</f>
        <v>81220</v>
      </c>
      <c r="AA5" s="120">
        <f>SUM(AA6,AA14:AA17,AA18:AA21,AA13)</f>
        <v>82290</v>
      </c>
      <c r="AB5" s="120"/>
      <c r="AC5" s="120">
        <f>SUM(AC6,AC14:AC17,AC18:AC21,AC13)</f>
        <v>74500</v>
      </c>
      <c r="AD5" s="120">
        <f>SUM(AD6,AD14:AD17,AD18:AD21,AD13)</f>
        <v>99850</v>
      </c>
      <c r="AE5" s="120"/>
      <c r="AF5" s="120">
        <f>SUM(AF6,AF14:AF17,AF18:AF21,AF13)</f>
        <v>92870</v>
      </c>
      <c r="AG5" s="120">
        <f>SUM(AG6,AG14:AG17,AG18:AG21,AG13)</f>
        <v>76240</v>
      </c>
      <c r="AH5" s="120"/>
      <c r="AI5" s="120">
        <f>SUM(AI6,AI14:AI17,AI18:AI21,AI13)</f>
        <v>71090</v>
      </c>
      <c r="AJ5" s="120">
        <f>SUM(AJ6,AJ14:AJ17,AJ18:AJ21,AJ13)</f>
        <v>226950</v>
      </c>
      <c r="AK5" s="120"/>
      <c r="AL5" s="120">
        <f>SUM(AL6,AL14:AL17,AL18:AL21,AL13)</f>
        <v>157440</v>
      </c>
      <c r="AM5" s="120">
        <f>SUM(AM6,AM14:AM17,AM18:AM21,AM13)</f>
        <v>69470</v>
      </c>
      <c r="AN5" s="120"/>
      <c r="AO5" s="120">
        <f>SUM(AO6,AO14:AO17,AO18:AO21,AO13)</f>
        <v>65380</v>
      </c>
    </row>
    <row r="6" spans="1:41" s="112" customFormat="1" ht="20.100000000000001" customHeight="1">
      <c r="A6" s="99">
        <v>1</v>
      </c>
      <c r="B6" s="97" t="s">
        <v>846</v>
      </c>
      <c r="C6" s="122">
        <f>SUM(F6,L6,O6,R6,U6,X6,AA6,AD6,AG6,AJ6,AM6,I6)</f>
        <v>650000</v>
      </c>
      <c r="D6" s="122"/>
      <c r="E6" s="122">
        <f>SUM(H6,N6,Q6,T6,W6,Z6,AC6,AF6,AI6,AL6,AO6,K6)</f>
        <v>524800</v>
      </c>
      <c r="F6" s="122">
        <f>SUM(F7:F12)</f>
        <v>6700</v>
      </c>
      <c r="G6" s="122"/>
      <c r="H6" s="122">
        <f t="shared" ref="H6:AL6" si="0">SUM(H7:H12)</f>
        <v>6680</v>
      </c>
      <c r="I6" s="122">
        <f>SUM(I7:I12)</f>
        <v>22500</v>
      </c>
      <c r="J6" s="122"/>
      <c r="K6" s="122">
        <f>SUM(K7:K12)</f>
        <v>22250</v>
      </c>
      <c r="L6" s="122">
        <f t="shared" si="0"/>
        <v>7500</v>
      </c>
      <c r="M6" s="122"/>
      <c r="N6" s="122">
        <f t="shared" si="0"/>
        <v>7360</v>
      </c>
      <c r="O6" s="122">
        <f t="shared" si="0"/>
        <v>12200</v>
      </c>
      <c r="P6" s="122"/>
      <c r="Q6" s="122">
        <f t="shared" si="0"/>
        <v>11970</v>
      </c>
      <c r="R6" s="122">
        <f t="shared" si="0"/>
        <v>55350</v>
      </c>
      <c r="S6" s="122"/>
      <c r="T6" s="122">
        <f t="shared" si="0"/>
        <v>55160</v>
      </c>
      <c r="U6" s="122">
        <f t="shared" si="0"/>
        <v>215300</v>
      </c>
      <c r="V6" s="122"/>
      <c r="W6" s="122">
        <f t="shared" si="0"/>
        <v>150430</v>
      </c>
      <c r="X6" s="122">
        <f t="shared" si="0"/>
        <v>27000</v>
      </c>
      <c r="Y6" s="122"/>
      <c r="Z6" s="122">
        <f t="shared" si="0"/>
        <v>26920</v>
      </c>
      <c r="AA6" s="122">
        <f t="shared" si="0"/>
        <v>22000</v>
      </c>
      <c r="AB6" s="122"/>
      <c r="AC6" s="122">
        <f t="shared" si="0"/>
        <v>21710</v>
      </c>
      <c r="AD6" s="122">
        <f>SUM(AD7:AD12)</f>
        <v>52000</v>
      </c>
      <c r="AE6" s="122"/>
      <c r="AF6" s="122">
        <f t="shared" si="0"/>
        <v>51720</v>
      </c>
      <c r="AG6" s="122">
        <f>SUM(AG7:AG12)</f>
        <v>46300</v>
      </c>
      <c r="AH6" s="122"/>
      <c r="AI6" s="122">
        <f t="shared" si="0"/>
        <v>46150</v>
      </c>
      <c r="AJ6" s="122">
        <f>SUM(AJ7:AJ12)</f>
        <v>150000</v>
      </c>
      <c r="AK6" s="122"/>
      <c r="AL6" s="122">
        <f t="shared" si="0"/>
        <v>91490</v>
      </c>
      <c r="AM6" s="122">
        <f>SUM(AM7:AM12)</f>
        <v>33150</v>
      </c>
      <c r="AN6" s="122"/>
      <c r="AO6" s="122">
        <f>SUM(AO7:AO12)</f>
        <v>32960</v>
      </c>
    </row>
    <row r="7" spans="1:41" ht="20.100000000000001" customHeight="1">
      <c r="A7" s="113" t="s">
        <v>847</v>
      </c>
      <c r="B7" s="98" t="s">
        <v>848</v>
      </c>
      <c r="C7" s="123">
        <f>SUM(F7,L7,O7,R7,U7,X7,AA7,AD7,AG7,AJ7,AM7,I7)</f>
        <v>403480</v>
      </c>
      <c r="D7" s="123"/>
      <c r="E7" s="123">
        <f t="shared" ref="E7:E16" si="1">SUM(H7,N7,Q7,T7,W7,Z7,AC7,AF7,AI7,AL7,AO7,K7)</f>
        <v>334580</v>
      </c>
      <c r="F7" s="123">
        <f>'Thu NSH'!U11</f>
        <v>5400</v>
      </c>
      <c r="G7" s="123">
        <v>100</v>
      </c>
      <c r="H7" s="123">
        <f t="shared" ref="H7:H16" si="2">F7*G7/100</f>
        <v>5400</v>
      </c>
      <c r="I7" s="123">
        <f>'Thu NSH'!AG11</f>
        <v>18300</v>
      </c>
      <c r="J7" s="123">
        <v>100</v>
      </c>
      <c r="K7" s="123">
        <f>I7*J7/100</f>
        <v>18300</v>
      </c>
      <c r="L7" s="123">
        <f>'Thu NSH'!AS11</f>
        <v>6100</v>
      </c>
      <c r="M7" s="123">
        <v>100</v>
      </c>
      <c r="N7" s="123">
        <f t="shared" ref="N7:N16" si="3">L7*M7/100</f>
        <v>6100</v>
      </c>
      <c r="O7" s="123">
        <f>'Thu NSH'!BE11</f>
        <v>7680</v>
      </c>
      <c r="P7" s="123">
        <v>100</v>
      </c>
      <c r="Q7" s="123">
        <f t="shared" ref="Q7:Q16" si="4">O7*P7/100</f>
        <v>7680</v>
      </c>
      <c r="R7" s="123">
        <f>'Thu NSH'!BQ11</f>
        <v>33100</v>
      </c>
      <c r="S7" s="123">
        <v>100</v>
      </c>
      <c r="T7" s="123">
        <f t="shared" ref="T7:T16" si="5">R7*S7/100</f>
        <v>33100</v>
      </c>
      <c r="U7" s="123">
        <f>'Thu NSH'!CC11</f>
        <v>99600</v>
      </c>
      <c r="V7" s="124">
        <v>70</v>
      </c>
      <c r="W7" s="123">
        <f>INT(ROUND(U7*V7/100,-1))</f>
        <v>69720</v>
      </c>
      <c r="X7" s="123">
        <f>'Thu NSH'!CO11</f>
        <v>19370</v>
      </c>
      <c r="Y7" s="123">
        <v>100</v>
      </c>
      <c r="Z7" s="123">
        <f t="shared" ref="Z7:Z16" si="6">X7*Y7/100</f>
        <v>19370</v>
      </c>
      <c r="AA7" s="123">
        <f>'Thu NSH'!DA11</f>
        <v>16590</v>
      </c>
      <c r="AB7" s="123">
        <v>100</v>
      </c>
      <c r="AC7" s="123">
        <f t="shared" ref="AC7:AC16" si="7">AA7*AB7/100</f>
        <v>16590</v>
      </c>
      <c r="AD7" s="123">
        <f>'Thu NSH'!DM11</f>
        <v>38100</v>
      </c>
      <c r="AE7" s="123">
        <v>100</v>
      </c>
      <c r="AF7" s="123">
        <f t="shared" ref="AF7:AF16" si="8">AD7*AE7/100</f>
        <v>38100</v>
      </c>
      <c r="AG7" s="123">
        <f>'Thu NSH'!DY11</f>
        <v>36100</v>
      </c>
      <c r="AH7" s="123">
        <v>100</v>
      </c>
      <c r="AI7" s="123">
        <f t="shared" ref="AI7:AI16" si="9">AG7*AH7/100</f>
        <v>36100</v>
      </c>
      <c r="AJ7" s="123">
        <f>'Thu NSH'!EK11</f>
        <v>97540</v>
      </c>
      <c r="AK7" s="124">
        <v>60</v>
      </c>
      <c r="AL7" s="123">
        <f>ROUND(INT(ROUND(AJ7*AK7/100,0)),-1)</f>
        <v>58520</v>
      </c>
      <c r="AM7" s="123">
        <f>'Thu NSH'!EW11</f>
        <v>25600</v>
      </c>
      <c r="AN7" s="123">
        <v>100</v>
      </c>
      <c r="AO7" s="123">
        <f t="shared" ref="AO7:AO16" si="10">AM7*AN7/100</f>
        <v>25600</v>
      </c>
    </row>
    <row r="8" spans="1:41" ht="20.100000000000001" customHeight="1">
      <c r="A8" s="113" t="s">
        <v>847</v>
      </c>
      <c r="B8" s="98" t="s">
        <v>849</v>
      </c>
      <c r="C8" s="123">
        <f t="shared" ref="C8:C16" si="11">SUM(F8,L8,O8,R8,U8,X8,AA8,AD8,AG8,AJ8,AM8,I8)</f>
        <v>208535</v>
      </c>
      <c r="D8" s="123"/>
      <c r="E8" s="123">
        <f t="shared" si="1"/>
        <v>157785</v>
      </c>
      <c r="F8" s="123">
        <f>'Thu NSH'!U12</f>
        <v>550</v>
      </c>
      <c r="G8" s="123">
        <v>100</v>
      </c>
      <c r="H8" s="123">
        <f t="shared" si="2"/>
        <v>550</v>
      </c>
      <c r="I8" s="123">
        <f>'Thu NSH'!AG12</f>
        <v>2200</v>
      </c>
      <c r="J8" s="123">
        <v>100</v>
      </c>
      <c r="K8" s="123">
        <f>I8*J8/100</f>
        <v>2200</v>
      </c>
      <c r="L8" s="123">
        <f>'Thu NSH'!AS12</f>
        <v>320</v>
      </c>
      <c r="M8" s="123">
        <v>100</v>
      </c>
      <c r="N8" s="123">
        <f t="shared" si="3"/>
        <v>320</v>
      </c>
      <c r="O8" s="123">
        <f>'Thu NSH'!BE12</f>
        <v>2435</v>
      </c>
      <c r="P8" s="123">
        <v>100</v>
      </c>
      <c r="Q8" s="123">
        <f t="shared" si="4"/>
        <v>2435</v>
      </c>
      <c r="R8" s="123">
        <f>'Thu NSH'!BQ12</f>
        <v>20150</v>
      </c>
      <c r="S8" s="123">
        <v>100</v>
      </c>
      <c r="T8" s="123">
        <f t="shared" si="5"/>
        <v>20150</v>
      </c>
      <c r="U8" s="123">
        <f>'Thu NSH'!CC12</f>
        <v>106650</v>
      </c>
      <c r="V8" s="124">
        <v>70</v>
      </c>
      <c r="W8" s="123">
        <f>INT(ROUND(U8*V8/100,-1))</f>
        <v>74660</v>
      </c>
      <c r="X8" s="123">
        <f>'Thu NSH'!CO12</f>
        <v>5260</v>
      </c>
      <c r="Y8" s="123">
        <v>100</v>
      </c>
      <c r="Z8" s="123">
        <f t="shared" si="6"/>
        <v>5260</v>
      </c>
      <c r="AA8" s="123">
        <f>'Thu NSH'!DA12</f>
        <v>2320</v>
      </c>
      <c r="AB8" s="123">
        <v>100</v>
      </c>
      <c r="AC8" s="123">
        <f t="shared" si="7"/>
        <v>2320</v>
      </c>
      <c r="AD8" s="123">
        <f>'Thu NSH'!DM12</f>
        <v>8900</v>
      </c>
      <c r="AE8" s="123">
        <v>100</v>
      </c>
      <c r="AF8" s="123">
        <f t="shared" si="8"/>
        <v>8900</v>
      </c>
      <c r="AG8" s="123">
        <f>'Thu NSH'!DY12</f>
        <v>8140</v>
      </c>
      <c r="AH8" s="123">
        <v>100</v>
      </c>
      <c r="AI8" s="123">
        <f t="shared" si="9"/>
        <v>8140</v>
      </c>
      <c r="AJ8" s="123">
        <f>'Thu NSH'!EK12</f>
        <v>46900</v>
      </c>
      <c r="AK8" s="124">
        <v>60</v>
      </c>
      <c r="AL8" s="123">
        <f>ROUND(INT(ROUND(AJ8*AK8/100,0)),-1)</f>
        <v>28140</v>
      </c>
      <c r="AM8" s="123">
        <f>'Thu NSH'!EW12</f>
        <v>4710</v>
      </c>
      <c r="AN8" s="123">
        <v>100</v>
      </c>
      <c r="AO8" s="123">
        <f t="shared" si="10"/>
        <v>4710</v>
      </c>
    </row>
    <row r="9" spans="1:41" ht="20.100000000000001" customHeight="1">
      <c r="A9" s="113" t="s">
        <v>847</v>
      </c>
      <c r="B9" s="98" t="s">
        <v>850</v>
      </c>
      <c r="C9" s="123">
        <f t="shared" si="11"/>
        <v>4720</v>
      </c>
      <c r="D9" s="123" t="str">
        <f t="shared" ref="D9:D16" si="12">IF(E9=0,"",E9/C9*100)</f>
        <v/>
      </c>
      <c r="E9" s="123">
        <f t="shared" si="1"/>
        <v>0</v>
      </c>
      <c r="F9" s="123">
        <f>'Thu NSH'!U13</f>
        <v>0</v>
      </c>
      <c r="G9" s="123">
        <v>0</v>
      </c>
      <c r="H9" s="123">
        <f>F9*G9/100</f>
        <v>0</v>
      </c>
      <c r="I9" s="123">
        <f>'Thu NSH'!AG13</f>
        <v>250</v>
      </c>
      <c r="J9" s="123">
        <v>0</v>
      </c>
      <c r="K9" s="123">
        <f>I9*J9/100</f>
        <v>0</v>
      </c>
      <c r="L9" s="123">
        <f>'Thu NSH'!AS13</f>
        <v>120</v>
      </c>
      <c r="M9" s="123">
        <v>0</v>
      </c>
      <c r="N9" s="123">
        <f>L9*M9/100</f>
        <v>0</v>
      </c>
      <c r="O9" s="123">
        <f>'Thu NSH'!BE13</f>
        <v>170</v>
      </c>
      <c r="P9" s="123">
        <v>0</v>
      </c>
      <c r="Q9" s="123">
        <f>O9*P9/100</f>
        <v>0</v>
      </c>
      <c r="R9" s="123">
        <f>'Thu NSH'!BQ13</f>
        <v>100</v>
      </c>
      <c r="S9" s="123">
        <v>0</v>
      </c>
      <c r="T9" s="123">
        <f>R9*S9/100</f>
        <v>0</v>
      </c>
      <c r="U9" s="123">
        <f>'Thu NSH'!CC13</f>
        <v>2800</v>
      </c>
      <c r="V9" s="123">
        <v>0</v>
      </c>
      <c r="W9" s="123">
        <f t="shared" ref="W9:W16" si="13">U9*V9/100</f>
        <v>0</v>
      </c>
      <c r="X9" s="123">
        <f>'Thu NSH'!CO13</f>
        <v>80</v>
      </c>
      <c r="Y9" s="123">
        <v>0</v>
      </c>
      <c r="Z9" s="123">
        <f>X9*Y9/100</f>
        <v>0</v>
      </c>
      <c r="AA9" s="123">
        <f>'Thu NSH'!DA13</f>
        <v>200</v>
      </c>
      <c r="AB9" s="123">
        <v>0</v>
      </c>
      <c r="AC9" s="123">
        <f>AA9*AB9/100</f>
        <v>0</v>
      </c>
      <c r="AD9" s="123">
        <f>'Thu NSH'!DM13</f>
        <v>130</v>
      </c>
      <c r="AE9" s="123">
        <v>0</v>
      </c>
      <c r="AF9" s="123">
        <f>AD9*AE9/100</f>
        <v>0</v>
      </c>
      <c r="AG9" s="123">
        <f>'Thu NSH'!DY13</f>
        <v>70</v>
      </c>
      <c r="AH9" s="123">
        <v>0</v>
      </c>
      <c r="AI9" s="123">
        <f>AG9*AH9/100</f>
        <v>0</v>
      </c>
      <c r="AJ9" s="123">
        <f>'Thu NSH'!EK13</f>
        <v>660</v>
      </c>
      <c r="AK9" s="123">
        <v>0</v>
      </c>
      <c r="AL9" s="123">
        <f t="shared" ref="AL9:AL16" si="14">AJ9*AK9/100</f>
        <v>0</v>
      </c>
      <c r="AM9" s="123">
        <f>'Thu NSH'!EW13</f>
        <v>140</v>
      </c>
      <c r="AN9" s="123">
        <v>0</v>
      </c>
      <c r="AO9" s="123">
        <f>AM9*AN9/100</f>
        <v>0</v>
      </c>
    </row>
    <row r="10" spans="1:41" ht="20.100000000000001" customHeight="1">
      <c r="A10" s="113" t="s">
        <v>847</v>
      </c>
      <c r="B10" s="98" t="s">
        <v>646</v>
      </c>
      <c r="C10" s="123">
        <f t="shared" si="11"/>
        <v>830</v>
      </c>
      <c r="D10" s="123" t="str">
        <f t="shared" si="12"/>
        <v/>
      </c>
      <c r="E10" s="123">
        <f t="shared" si="1"/>
        <v>0</v>
      </c>
      <c r="F10" s="123">
        <f>'Thu NSH'!U14</f>
        <v>20</v>
      </c>
      <c r="G10" s="123">
        <v>0</v>
      </c>
      <c r="H10" s="123">
        <v>0</v>
      </c>
      <c r="I10" s="123">
        <f>'Thu NSH'!AG14</f>
        <v>0</v>
      </c>
      <c r="J10" s="123">
        <v>0</v>
      </c>
      <c r="K10" s="123">
        <v>0</v>
      </c>
      <c r="L10" s="123">
        <f>'Thu NSH'!AS14</f>
        <v>20</v>
      </c>
      <c r="M10" s="123">
        <v>0</v>
      </c>
      <c r="N10" s="123">
        <v>0</v>
      </c>
      <c r="O10" s="123">
        <f>'Thu NSH'!BE14</f>
        <v>60</v>
      </c>
      <c r="P10" s="123">
        <v>0</v>
      </c>
      <c r="Q10" s="123">
        <v>0</v>
      </c>
      <c r="R10" s="123">
        <f>'Thu NSH'!BQ14</f>
        <v>90</v>
      </c>
      <c r="S10" s="123">
        <v>0</v>
      </c>
      <c r="T10" s="123">
        <v>0</v>
      </c>
      <c r="U10" s="123">
        <f>'Thu NSH'!CC14</f>
        <v>200</v>
      </c>
      <c r="V10" s="123">
        <v>0</v>
      </c>
      <c r="W10" s="123">
        <v>0</v>
      </c>
      <c r="X10" s="123">
        <f>'Thu NSH'!CO14</f>
        <v>0</v>
      </c>
      <c r="Y10" s="123">
        <v>0</v>
      </c>
      <c r="Z10" s="123">
        <v>0</v>
      </c>
      <c r="AA10" s="123">
        <f>'Thu NSH'!DA14</f>
        <v>90</v>
      </c>
      <c r="AB10" s="123">
        <v>0</v>
      </c>
      <c r="AC10" s="123">
        <v>0</v>
      </c>
      <c r="AD10" s="123">
        <f>'Thu NSH'!DM14</f>
        <v>150</v>
      </c>
      <c r="AE10" s="123">
        <v>0</v>
      </c>
      <c r="AF10" s="123">
        <v>0</v>
      </c>
      <c r="AG10" s="123">
        <f>'Thu NSH'!DY14</f>
        <v>80</v>
      </c>
      <c r="AH10" s="123">
        <v>0</v>
      </c>
      <c r="AI10" s="123">
        <v>0</v>
      </c>
      <c r="AJ10" s="123">
        <f>'Thu NSH'!EK14</f>
        <v>70</v>
      </c>
      <c r="AK10" s="123">
        <v>0</v>
      </c>
      <c r="AL10" s="123">
        <v>0</v>
      </c>
      <c r="AM10" s="123">
        <f>'Thu NSH'!EW14</f>
        <v>50</v>
      </c>
      <c r="AN10" s="123">
        <v>0</v>
      </c>
      <c r="AO10" s="123">
        <f>AM10*AN10/100</f>
        <v>0</v>
      </c>
    </row>
    <row r="11" spans="1:41" ht="20.100000000000001" customHeight="1">
      <c r="A11" s="113" t="s">
        <v>847</v>
      </c>
      <c r="B11" s="98" t="s">
        <v>647</v>
      </c>
      <c r="C11" s="123">
        <f t="shared" si="11"/>
        <v>20495</v>
      </c>
      <c r="D11" s="123">
        <f t="shared" si="12"/>
        <v>100</v>
      </c>
      <c r="E11" s="123">
        <f t="shared" si="1"/>
        <v>20495</v>
      </c>
      <c r="F11" s="123">
        <f>'Thu NSH'!U15</f>
        <v>620</v>
      </c>
      <c r="G11" s="123">
        <v>100</v>
      </c>
      <c r="H11" s="123">
        <f>F11*G11/100</f>
        <v>620</v>
      </c>
      <c r="I11" s="123">
        <f>'Thu NSH'!AG15</f>
        <v>1500</v>
      </c>
      <c r="J11" s="123">
        <v>100</v>
      </c>
      <c r="K11" s="123">
        <f t="shared" ref="K11:K16" si="15">I11*J11/100</f>
        <v>1500</v>
      </c>
      <c r="L11" s="123">
        <f>'Thu NSH'!AS15</f>
        <v>730</v>
      </c>
      <c r="M11" s="123">
        <v>100</v>
      </c>
      <c r="N11" s="123">
        <f>L11*M11/100</f>
        <v>730</v>
      </c>
      <c r="O11" s="123">
        <f>'Thu NSH'!BE15</f>
        <v>1325</v>
      </c>
      <c r="P11" s="123">
        <v>100</v>
      </c>
      <c r="Q11" s="123">
        <f>O11*P11/100</f>
        <v>1325</v>
      </c>
      <c r="R11" s="123">
        <f>'Thu NSH'!BQ15</f>
        <v>1040</v>
      </c>
      <c r="S11" s="123">
        <v>100</v>
      </c>
      <c r="T11" s="123">
        <f>R11*S11/100</f>
        <v>1040</v>
      </c>
      <c r="U11" s="123">
        <f>'Thu NSH'!CC15</f>
        <v>4050</v>
      </c>
      <c r="V11" s="123">
        <v>100</v>
      </c>
      <c r="W11" s="123">
        <f>U11*V11/100</f>
        <v>4050</v>
      </c>
      <c r="X11" s="123">
        <f>'Thu NSH'!CO15</f>
        <v>1660</v>
      </c>
      <c r="Y11" s="123">
        <v>100</v>
      </c>
      <c r="Z11" s="123">
        <f>X11*Y11/100</f>
        <v>1660</v>
      </c>
      <c r="AA11" s="123">
        <f>'Thu NSH'!DA15</f>
        <v>1600</v>
      </c>
      <c r="AB11" s="123">
        <v>100</v>
      </c>
      <c r="AC11" s="123">
        <f>AA11*AB11/100</f>
        <v>1600</v>
      </c>
      <c r="AD11" s="123">
        <f>'Thu NSH'!DM15</f>
        <v>1920</v>
      </c>
      <c r="AE11" s="123">
        <v>100</v>
      </c>
      <c r="AF11" s="123">
        <f>AD11*AE11/100</f>
        <v>1920</v>
      </c>
      <c r="AG11" s="123">
        <f>'Thu NSH'!DY15</f>
        <v>1500</v>
      </c>
      <c r="AH11" s="123">
        <v>100</v>
      </c>
      <c r="AI11" s="123">
        <f>AG11*AH11/100</f>
        <v>1500</v>
      </c>
      <c r="AJ11" s="123">
        <f>'Thu NSH'!EK15</f>
        <v>2530</v>
      </c>
      <c r="AK11" s="123">
        <v>100</v>
      </c>
      <c r="AL11" s="123">
        <f>AJ11*AK11/100</f>
        <v>2530</v>
      </c>
      <c r="AM11" s="123">
        <f>'Thu NSH'!EW15</f>
        <v>2020</v>
      </c>
      <c r="AN11" s="123">
        <v>100</v>
      </c>
      <c r="AO11" s="123">
        <f>AM11*AN11/100</f>
        <v>2020</v>
      </c>
    </row>
    <row r="12" spans="1:41" ht="20.100000000000001" customHeight="1">
      <c r="A12" s="113" t="s">
        <v>847</v>
      </c>
      <c r="B12" s="98" t="s">
        <v>851</v>
      </c>
      <c r="C12" s="123">
        <f t="shared" si="11"/>
        <v>11940</v>
      </c>
      <c r="D12" s="123">
        <f t="shared" si="12"/>
        <v>100</v>
      </c>
      <c r="E12" s="123">
        <f t="shared" si="1"/>
        <v>11940</v>
      </c>
      <c r="F12" s="123">
        <f>'Thu NSH'!U16</f>
        <v>110</v>
      </c>
      <c r="G12" s="123">
        <v>100</v>
      </c>
      <c r="H12" s="123">
        <f>F12*G12/100</f>
        <v>110</v>
      </c>
      <c r="I12" s="123">
        <f>'Thu NSH'!AG16</f>
        <v>250</v>
      </c>
      <c r="J12" s="123">
        <v>100</v>
      </c>
      <c r="K12" s="123">
        <f t="shared" si="15"/>
        <v>250</v>
      </c>
      <c r="L12" s="123">
        <f>'Thu NSH'!AS16</f>
        <v>210</v>
      </c>
      <c r="M12" s="123">
        <v>100</v>
      </c>
      <c r="N12" s="123">
        <f>L12*M12/100</f>
        <v>210</v>
      </c>
      <c r="O12" s="123">
        <f>'Thu NSH'!BE16</f>
        <v>530</v>
      </c>
      <c r="P12" s="123">
        <v>100</v>
      </c>
      <c r="Q12" s="123">
        <f>O12*P12/100</f>
        <v>530</v>
      </c>
      <c r="R12" s="123">
        <f>'Thu NSH'!BQ16</f>
        <v>870</v>
      </c>
      <c r="S12" s="123">
        <v>100</v>
      </c>
      <c r="T12" s="123">
        <f>R12*S12/100</f>
        <v>870</v>
      </c>
      <c r="U12" s="123">
        <f>'Thu NSH'!CC16</f>
        <v>2000</v>
      </c>
      <c r="V12" s="123">
        <v>100</v>
      </c>
      <c r="W12" s="123">
        <f>U12*V12/100</f>
        <v>2000</v>
      </c>
      <c r="X12" s="123">
        <f>'Thu NSH'!CO16</f>
        <v>630</v>
      </c>
      <c r="Y12" s="123">
        <v>100</v>
      </c>
      <c r="Z12" s="123">
        <f>X12*Y12/100</f>
        <v>630</v>
      </c>
      <c r="AA12" s="123">
        <f>'Thu NSH'!DA16</f>
        <v>1200</v>
      </c>
      <c r="AB12" s="123">
        <v>100</v>
      </c>
      <c r="AC12" s="123">
        <f>AA12*AB12/100</f>
        <v>1200</v>
      </c>
      <c r="AD12" s="123">
        <f>'Thu NSH'!DM16</f>
        <v>2800</v>
      </c>
      <c r="AE12" s="123">
        <v>100</v>
      </c>
      <c r="AF12" s="123">
        <f>AD12*AE12/100</f>
        <v>2800</v>
      </c>
      <c r="AG12" s="123">
        <f>'Thu NSH'!DY16</f>
        <v>410</v>
      </c>
      <c r="AH12" s="123">
        <v>100</v>
      </c>
      <c r="AI12" s="123">
        <f>AG12*AH12/100</f>
        <v>410</v>
      </c>
      <c r="AJ12" s="123">
        <f>'Thu NSH'!EK16</f>
        <v>2300</v>
      </c>
      <c r="AK12" s="123">
        <v>100</v>
      </c>
      <c r="AL12" s="123">
        <f>AJ12*AK12/100</f>
        <v>2300</v>
      </c>
      <c r="AM12" s="123">
        <f>'Thu NSH'!EW16</f>
        <v>630</v>
      </c>
      <c r="AN12" s="123">
        <v>100</v>
      </c>
      <c r="AO12" s="123">
        <f>AM12*AN12/100</f>
        <v>630</v>
      </c>
    </row>
    <row r="13" spans="1:41" s="114" customFormat="1" ht="20.100000000000001" customHeight="1">
      <c r="A13" s="99">
        <v>2</v>
      </c>
      <c r="B13" s="97" t="s">
        <v>788</v>
      </c>
      <c r="C13" s="122">
        <f t="shared" si="11"/>
        <v>75300</v>
      </c>
      <c r="D13" s="123" t="str">
        <f t="shared" si="12"/>
        <v/>
      </c>
      <c r="E13" s="122">
        <f t="shared" si="1"/>
        <v>0</v>
      </c>
      <c r="F13" s="122">
        <f>'Thu NSH'!U17</f>
        <v>2300</v>
      </c>
      <c r="G13" s="122">
        <v>0</v>
      </c>
      <c r="H13" s="122">
        <f t="shared" si="2"/>
        <v>0</v>
      </c>
      <c r="I13" s="122">
        <f>'Thu NSH'!AG17</f>
        <v>4200</v>
      </c>
      <c r="J13" s="122">
        <v>0</v>
      </c>
      <c r="K13" s="122">
        <f t="shared" si="15"/>
        <v>0</v>
      </c>
      <c r="L13" s="122">
        <f>'Thu NSH'!AS17</f>
        <v>3500</v>
      </c>
      <c r="M13" s="122">
        <v>0</v>
      </c>
      <c r="N13" s="122">
        <f t="shared" si="3"/>
        <v>0</v>
      </c>
      <c r="O13" s="122">
        <f>'Thu NSH'!BE17</f>
        <v>6900</v>
      </c>
      <c r="P13" s="122">
        <v>0</v>
      </c>
      <c r="Q13" s="122">
        <f t="shared" si="4"/>
        <v>0</v>
      </c>
      <c r="R13" s="122">
        <f>'Thu NSH'!BQ17</f>
        <v>5500</v>
      </c>
      <c r="S13" s="122">
        <v>0</v>
      </c>
      <c r="T13" s="122">
        <f t="shared" si="5"/>
        <v>0</v>
      </c>
      <c r="U13" s="122">
        <f>'Thu NSH'!CC17</f>
        <v>11000</v>
      </c>
      <c r="V13" s="122">
        <v>0</v>
      </c>
      <c r="W13" s="122">
        <f t="shared" si="13"/>
        <v>0</v>
      </c>
      <c r="X13" s="122">
        <f>'Thu NSH'!CO17</f>
        <v>7800</v>
      </c>
      <c r="Y13" s="122">
        <v>0</v>
      </c>
      <c r="Z13" s="122">
        <f t="shared" si="6"/>
        <v>0</v>
      </c>
      <c r="AA13" s="122">
        <f>'Thu NSH'!DA17</f>
        <v>7500</v>
      </c>
      <c r="AB13" s="122">
        <v>0</v>
      </c>
      <c r="AC13" s="122">
        <f t="shared" si="7"/>
        <v>0</v>
      </c>
      <c r="AD13" s="122">
        <f>'Thu NSH'!DM17</f>
        <v>6700</v>
      </c>
      <c r="AE13" s="122">
        <v>0</v>
      </c>
      <c r="AF13" s="122">
        <f>AD13*AE13/100</f>
        <v>0</v>
      </c>
      <c r="AG13" s="122">
        <f>'Thu NSH'!DY17</f>
        <v>5000</v>
      </c>
      <c r="AH13" s="122">
        <v>0</v>
      </c>
      <c r="AI13" s="122">
        <f t="shared" si="9"/>
        <v>0</v>
      </c>
      <c r="AJ13" s="122">
        <f>'Thu NSH'!EK17</f>
        <v>11000</v>
      </c>
      <c r="AK13" s="122">
        <v>0</v>
      </c>
      <c r="AL13" s="122">
        <f t="shared" si="14"/>
        <v>0</v>
      </c>
      <c r="AM13" s="122">
        <f>'Thu NSH'!EW17</f>
        <v>3900</v>
      </c>
      <c r="AN13" s="122">
        <v>0</v>
      </c>
      <c r="AO13" s="122">
        <f t="shared" si="10"/>
        <v>0</v>
      </c>
    </row>
    <row r="14" spans="1:41" s="112" customFormat="1" ht="20.100000000000001" customHeight="1">
      <c r="A14" s="99">
        <v>3</v>
      </c>
      <c r="B14" s="97" t="s">
        <v>649</v>
      </c>
      <c r="C14" s="122">
        <f t="shared" si="11"/>
        <v>97000</v>
      </c>
      <c r="D14" s="123">
        <f t="shared" si="12"/>
        <v>100</v>
      </c>
      <c r="E14" s="122">
        <f t="shared" si="1"/>
        <v>97000</v>
      </c>
      <c r="F14" s="122">
        <f>'Thu NSH'!U18</f>
        <v>2700</v>
      </c>
      <c r="G14" s="122">
        <v>100</v>
      </c>
      <c r="H14" s="122">
        <f t="shared" si="2"/>
        <v>2700</v>
      </c>
      <c r="I14" s="122">
        <f>'Thu NSH'!AG18</f>
        <v>8100</v>
      </c>
      <c r="J14" s="122">
        <v>100</v>
      </c>
      <c r="K14" s="122">
        <f t="shared" si="15"/>
        <v>8100</v>
      </c>
      <c r="L14" s="122">
        <f>'Thu NSH'!AS18</f>
        <v>3800</v>
      </c>
      <c r="M14" s="122">
        <v>100</v>
      </c>
      <c r="N14" s="122">
        <f t="shared" si="3"/>
        <v>3800</v>
      </c>
      <c r="O14" s="122">
        <f>'Thu NSH'!BE18</f>
        <v>5400</v>
      </c>
      <c r="P14" s="122">
        <v>100</v>
      </c>
      <c r="Q14" s="122">
        <f t="shared" si="4"/>
        <v>5400</v>
      </c>
      <c r="R14" s="122">
        <f>'Thu NSH'!BQ18</f>
        <v>6530</v>
      </c>
      <c r="S14" s="122">
        <v>100</v>
      </c>
      <c r="T14" s="122">
        <f t="shared" si="5"/>
        <v>6530</v>
      </c>
      <c r="U14" s="122">
        <f>'Thu NSH'!CC18</f>
        <v>19860</v>
      </c>
      <c r="V14" s="122">
        <v>100</v>
      </c>
      <c r="W14" s="122">
        <f t="shared" si="13"/>
        <v>19860</v>
      </c>
      <c r="X14" s="122">
        <f>'Thu NSH'!CO18</f>
        <v>8800</v>
      </c>
      <c r="Y14" s="122">
        <v>100</v>
      </c>
      <c r="Z14" s="122">
        <f t="shared" si="6"/>
        <v>8800</v>
      </c>
      <c r="AA14" s="122">
        <f>'Thu NSH'!DA18</f>
        <v>7740</v>
      </c>
      <c r="AB14" s="122">
        <v>100</v>
      </c>
      <c r="AC14" s="122">
        <f t="shared" si="7"/>
        <v>7740</v>
      </c>
      <c r="AD14" s="122">
        <f>'Thu NSH'!DM18</f>
        <v>8640</v>
      </c>
      <c r="AE14" s="122">
        <v>100</v>
      </c>
      <c r="AF14" s="122">
        <f t="shared" si="8"/>
        <v>8640</v>
      </c>
      <c r="AG14" s="122">
        <f>'Thu NSH'!DY18</f>
        <v>7500</v>
      </c>
      <c r="AH14" s="122">
        <v>100</v>
      </c>
      <c r="AI14" s="122">
        <f t="shared" si="9"/>
        <v>7500</v>
      </c>
      <c r="AJ14" s="122">
        <f>'Thu NSH'!EK18</f>
        <v>11500</v>
      </c>
      <c r="AK14" s="122">
        <v>100</v>
      </c>
      <c r="AL14" s="122">
        <f t="shared" si="14"/>
        <v>11500</v>
      </c>
      <c r="AM14" s="122">
        <f>'Thu NSH'!EW18</f>
        <v>6430</v>
      </c>
      <c r="AN14" s="122">
        <v>100</v>
      </c>
      <c r="AO14" s="122">
        <f t="shared" si="10"/>
        <v>6430</v>
      </c>
    </row>
    <row r="15" spans="1:41" s="112" customFormat="1" ht="20.100000000000001" customHeight="1">
      <c r="A15" s="99">
        <v>4</v>
      </c>
      <c r="B15" s="97" t="s">
        <v>852</v>
      </c>
      <c r="C15" s="122">
        <f t="shared" si="11"/>
        <v>500</v>
      </c>
      <c r="D15" s="123">
        <f t="shared" si="12"/>
        <v>100</v>
      </c>
      <c r="E15" s="122">
        <f t="shared" si="1"/>
        <v>500</v>
      </c>
      <c r="F15" s="122">
        <f>'Thu NSH'!U19</f>
        <v>0</v>
      </c>
      <c r="G15" s="122">
        <v>100</v>
      </c>
      <c r="H15" s="122">
        <f t="shared" si="2"/>
        <v>0</v>
      </c>
      <c r="I15" s="122">
        <f>'Thu NSH'!AG19</f>
        <v>50</v>
      </c>
      <c r="J15" s="122">
        <v>100</v>
      </c>
      <c r="K15" s="122">
        <f t="shared" si="15"/>
        <v>50</v>
      </c>
      <c r="L15" s="122">
        <f>'Thu NSH'!AS19</f>
        <v>100</v>
      </c>
      <c r="M15" s="122">
        <v>100</v>
      </c>
      <c r="N15" s="122">
        <f t="shared" si="3"/>
        <v>100</v>
      </c>
      <c r="O15" s="122">
        <f>'Thu NSH'!BE19</f>
        <v>100</v>
      </c>
      <c r="P15" s="122">
        <v>100</v>
      </c>
      <c r="Q15" s="122">
        <f t="shared" si="4"/>
        <v>100</v>
      </c>
      <c r="R15" s="122">
        <f>'Thu NSH'!BQ19</f>
        <v>0</v>
      </c>
      <c r="S15" s="122">
        <v>100</v>
      </c>
      <c r="T15" s="122">
        <f t="shared" si="5"/>
        <v>0</v>
      </c>
      <c r="U15" s="122">
        <f>'Thu NSH'!CC19</f>
        <v>0</v>
      </c>
      <c r="V15" s="122">
        <v>100</v>
      </c>
      <c r="W15" s="122">
        <f t="shared" si="13"/>
        <v>0</v>
      </c>
      <c r="X15" s="122">
        <f>'Thu NSH'!CO19</f>
        <v>150</v>
      </c>
      <c r="Y15" s="122">
        <v>100</v>
      </c>
      <c r="Z15" s="122">
        <f t="shared" si="6"/>
        <v>150</v>
      </c>
      <c r="AA15" s="122">
        <f>'Thu NSH'!DA19</f>
        <v>100</v>
      </c>
      <c r="AB15" s="122">
        <v>100</v>
      </c>
      <c r="AC15" s="122">
        <f t="shared" si="7"/>
        <v>100</v>
      </c>
      <c r="AD15" s="122">
        <f>'Thu NSH'!DM19</f>
        <v>0</v>
      </c>
      <c r="AE15" s="122">
        <v>100</v>
      </c>
      <c r="AF15" s="122">
        <f t="shared" si="8"/>
        <v>0</v>
      </c>
      <c r="AG15" s="122">
        <f>'Thu NSH'!DY19</f>
        <v>0</v>
      </c>
      <c r="AH15" s="122">
        <v>100</v>
      </c>
      <c r="AI15" s="122">
        <f t="shared" si="9"/>
        <v>0</v>
      </c>
      <c r="AJ15" s="122">
        <f>'Thu NSH'!EK19</f>
        <v>0</v>
      </c>
      <c r="AK15" s="122">
        <v>100</v>
      </c>
      <c r="AL15" s="122">
        <f t="shared" si="14"/>
        <v>0</v>
      </c>
      <c r="AM15" s="122">
        <f>'Thu NSH'!EW19</f>
        <v>0</v>
      </c>
      <c r="AN15" s="122">
        <v>100</v>
      </c>
      <c r="AO15" s="122">
        <f t="shared" si="10"/>
        <v>0</v>
      </c>
    </row>
    <row r="16" spans="1:41" s="112" customFormat="1" ht="20.100000000000001" customHeight="1">
      <c r="A16" s="99">
        <v>5</v>
      </c>
      <c r="B16" s="97" t="s">
        <v>559</v>
      </c>
      <c r="C16" s="122">
        <f t="shared" si="11"/>
        <v>8000</v>
      </c>
      <c r="D16" s="123">
        <f t="shared" si="12"/>
        <v>100</v>
      </c>
      <c r="E16" s="122">
        <f t="shared" si="1"/>
        <v>8000</v>
      </c>
      <c r="F16" s="122">
        <f>'Thu NSH'!U20</f>
        <v>10</v>
      </c>
      <c r="G16" s="122">
        <v>100</v>
      </c>
      <c r="H16" s="122">
        <f t="shared" si="2"/>
        <v>10</v>
      </c>
      <c r="I16" s="122">
        <f>'Thu NSH'!AG20</f>
        <v>200</v>
      </c>
      <c r="J16" s="122">
        <v>100</v>
      </c>
      <c r="K16" s="122">
        <f t="shared" si="15"/>
        <v>200</v>
      </c>
      <c r="L16" s="122">
        <f>'Thu NSH'!AS20</f>
        <v>150</v>
      </c>
      <c r="M16" s="122">
        <v>100</v>
      </c>
      <c r="N16" s="122">
        <f t="shared" si="3"/>
        <v>150</v>
      </c>
      <c r="O16" s="122">
        <f>'Thu NSH'!BE20</f>
        <v>200</v>
      </c>
      <c r="P16" s="122">
        <v>100</v>
      </c>
      <c r="Q16" s="122">
        <f t="shared" si="4"/>
        <v>200</v>
      </c>
      <c r="R16" s="122">
        <f>'Thu NSH'!BQ20</f>
        <v>600</v>
      </c>
      <c r="S16" s="122">
        <v>100</v>
      </c>
      <c r="T16" s="122">
        <f t="shared" si="5"/>
        <v>600</v>
      </c>
      <c r="U16" s="122">
        <f>'Thu NSH'!CC20</f>
        <v>1890</v>
      </c>
      <c r="V16" s="122">
        <v>100</v>
      </c>
      <c r="W16" s="122">
        <f t="shared" si="13"/>
        <v>1890</v>
      </c>
      <c r="X16" s="122">
        <f>'Thu NSH'!CO20</f>
        <v>850</v>
      </c>
      <c r="Y16" s="122">
        <v>100</v>
      </c>
      <c r="Z16" s="122">
        <f t="shared" si="6"/>
        <v>850</v>
      </c>
      <c r="AA16" s="122">
        <f>'Thu NSH'!DA20</f>
        <v>750</v>
      </c>
      <c r="AB16" s="122">
        <v>100</v>
      </c>
      <c r="AC16" s="122">
        <f t="shared" si="7"/>
        <v>750</v>
      </c>
      <c r="AD16" s="122">
        <f>'Thu NSH'!DM20</f>
        <v>510</v>
      </c>
      <c r="AE16" s="122">
        <v>100</v>
      </c>
      <c r="AF16" s="122">
        <f t="shared" si="8"/>
        <v>510</v>
      </c>
      <c r="AG16" s="122">
        <f>'Thu NSH'!DY20</f>
        <v>540</v>
      </c>
      <c r="AH16" s="122">
        <v>100</v>
      </c>
      <c r="AI16" s="122">
        <f t="shared" si="9"/>
        <v>540</v>
      </c>
      <c r="AJ16" s="122">
        <f>'Thu NSH'!EK20</f>
        <v>1700</v>
      </c>
      <c r="AK16" s="122">
        <v>100</v>
      </c>
      <c r="AL16" s="122">
        <f t="shared" si="14"/>
        <v>1700</v>
      </c>
      <c r="AM16" s="122">
        <f>'Thu NSH'!EW20</f>
        <v>600</v>
      </c>
      <c r="AN16" s="122">
        <v>100</v>
      </c>
      <c r="AO16" s="122">
        <f t="shared" si="10"/>
        <v>600</v>
      </c>
    </row>
    <row r="17" spans="1:41" s="112" customFormat="1" ht="20.100000000000001" customHeight="1">
      <c r="A17" s="99">
        <v>6</v>
      </c>
      <c r="B17" s="97" t="s">
        <v>853</v>
      </c>
      <c r="C17" s="122">
        <f>SUM(F17,L17,O17,R17,U17,X17,AA17,AD17,AG17,AJ17,AM17,I17)</f>
        <v>78000</v>
      </c>
      <c r="D17" s="123"/>
      <c r="E17" s="122">
        <f t="shared" ref="E17:E33" si="16">SUM(H17,N17,Q17,T17,W17,Z17,AC17,AF17,AI17,AL17,AO17,K17)</f>
        <v>78000</v>
      </c>
      <c r="F17" s="122">
        <f>'Thu NSH'!U21</f>
        <v>10000</v>
      </c>
      <c r="G17" s="122">
        <v>100</v>
      </c>
      <c r="H17" s="122">
        <f>F17*G17/100</f>
        <v>10000</v>
      </c>
      <c r="I17" s="122">
        <f>'Thu NSH'!AG21</f>
        <v>1000</v>
      </c>
      <c r="J17" s="122">
        <v>100</v>
      </c>
      <c r="K17" s="122">
        <f>I17*J17/100</f>
        <v>1000</v>
      </c>
      <c r="L17" s="122">
        <f>'Thu NSH'!AS21</f>
        <v>2000</v>
      </c>
      <c r="M17" s="122">
        <v>100</v>
      </c>
      <c r="N17" s="122">
        <f>L17*M17/100</f>
        <v>2000</v>
      </c>
      <c r="O17" s="122">
        <v>5000</v>
      </c>
      <c r="P17" s="532">
        <v>100</v>
      </c>
      <c r="Q17" s="122">
        <f>O17*P17/100</f>
        <v>5000</v>
      </c>
      <c r="R17" s="122">
        <f>'Thu NSH'!BQ21</f>
        <v>12000</v>
      </c>
      <c r="S17" s="532">
        <v>100</v>
      </c>
      <c r="T17" s="122">
        <f>R17*S17/100</f>
        <v>12000</v>
      </c>
      <c r="U17" s="122">
        <v>9000</v>
      </c>
      <c r="V17" s="532">
        <v>100</v>
      </c>
      <c r="W17" s="122">
        <f>U17*V17/100</f>
        <v>9000</v>
      </c>
      <c r="X17" s="122">
        <f>'Thu NSH'!CO21</f>
        <v>9000</v>
      </c>
      <c r="Y17" s="122">
        <v>100</v>
      </c>
      <c r="Z17" s="122">
        <f>X17*Y17/100</f>
        <v>9000</v>
      </c>
      <c r="AA17" s="122">
        <f>'Thu NSH'!DA21</f>
        <v>6000</v>
      </c>
      <c r="AB17" s="122">
        <v>100</v>
      </c>
      <c r="AC17" s="122">
        <f>AA17*AB17/100</f>
        <v>6000</v>
      </c>
      <c r="AD17" s="122">
        <f>'Thu NSH'!DM21</f>
        <v>7000</v>
      </c>
      <c r="AE17" s="122">
        <v>100</v>
      </c>
      <c r="AF17" s="122">
        <f>AD17*AE17/100</f>
        <v>7000</v>
      </c>
      <c r="AG17" s="122">
        <f>'Thu NSH'!DY21</f>
        <v>6000</v>
      </c>
      <c r="AH17" s="122">
        <v>100</v>
      </c>
      <c r="AI17" s="122">
        <f>AG17*AH17/100</f>
        <v>6000</v>
      </c>
      <c r="AJ17" s="122">
        <f>'Thu NSH'!EK21</f>
        <v>5000</v>
      </c>
      <c r="AK17" s="122">
        <v>100</v>
      </c>
      <c r="AL17" s="122">
        <f>AJ17*AK17/100</f>
        <v>5000</v>
      </c>
      <c r="AM17" s="122">
        <f>'Thu NSH'!EW21</f>
        <v>6000</v>
      </c>
      <c r="AN17" s="122">
        <v>100</v>
      </c>
      <c r="AO17" s="122">
        <f>AM17*AN17/100</f>
        <v>6000</v>
      </c>
    </row>
    <row r="18" spans="1:41" s="112" customFormat="1" ht="20.100000000000001" customHeight="1">
      <c r="A18" s="99">
        <v>7</v>
      </c>
      <c r="B18" s="97" t="s">
        <v>790</v>
      </c>
      <c r="C18" s="122">
        <f>SUM(F18,L18,O18,R18,U18,X18,AA18,AD18,AG18,AJ18,AM18,I18)</f>
        <v>22000</v>
      </c>
      <c r="D18" s="123">
        <f>IF(E18=0,"",E18/C18*100)</f>
        <v>100</v>
      </c>
      <c r="E18" s="122">
        <f t="shared" si="16"/>
        <v>22000</v>
      </c>
      <c r="F18" s="122">
        <f>'Thu NSH'!U22</f>
        <v>2500</v>
      </c>
      <c r="G18" s="122">
        <v>100</v>
      </c>
      <c r="H18" s="122">
        <f>F18*G18/100</f>
        <v>2500</v>
      </c>
      <c r="I18" s="122">
        <f>'Thu NSH'!AG22</f>
        <v>200</v>
      </c>
      <c r="J18" s="122">
        <v>100</v>
      </c>
      <c r="K18" s="122">
        <f>I18*J18/100</f>
        <v>200</v>
      </c>
      <c r="L18" s="122">
        <f>'Thu NSH'!AS22</f>
        <v>440</v>
      </c>
      <c r="M18" s="122">
        <v>100</v>
      </c>
      <c r="N18" s="122">
        <f>L18*M18/100</f>
        <v>440</v>
      </c>
      <c r="O18" s="122">
        <f>'Thu NSH'!BE22</f>
        <v>320</v>
      </c>
      <c r="P18" s="122">
        <v>100</v>
      </c>
      <c r="Q18" s="122">
        <f>O18*P18/100</f>
        <v>320</v>
      </c>
      <c r="R18" s="122">
        <f>'Thu NSH'!BQ22</f>
        <v>4600</v>
      </c>
      <c r="S18" s="122">
        <v>100</v>
      </c>
      <c r="T18" s="122">
        <f>R18*S18/100</f>
        <v>4600</v>
      </c>
      <c r="U18" s="122">
        <f>'Thu NSH'!CC22</f>
        <v>6700</v>
      </c>
      <c r="V18" s="122">
        <v>100</v>
      </c>
      <c r="W18" s="122">
        <f>U18*V18/100</f>
        <v>6700</v>
      </c>
      <c r="X18" s="122">
        <f>'Thu NSH'!CO22</f>
        <v>1500</v>
      </c>
      <c r="Y18" s="122">
        <v>100</v>
      </c>
      <c r="Z18" s="122">
        <f>X18*Y18/100</f>
        <v>1500</v>
      </c>
      <c r="AA18" s="122">
        <f>'Thu NSH'!DA22</f>
        <v>200</v>
      </c>
      <c r="AB18" s="122">
        <v>100</v>
      </c>
      <c r="AC18" s="122">
        <f>AA18*AB18/100</f>
        <v>200</v>
      </c>
      <c r="AD18" s="122">
        <f>'Thu NSH'!DM22</f>
        <v>1000</v>
      </c>
      <c r="AE18" s="122">
        <v>100</v>
      </c>
      <c r="AF18" s="122">
        <f>AD18*AE18/100</f>
        <v>1000</v>
      </c>
      <c r="AG18" s="122">
        <f>'Thu NSH'!DY22</f>
        <v>900</v>
      </c>
      <c r="AH18" s="122">
        <v>100</v>
      </c>
      <c r="AI18" s="122">
        <f>AG18*AH18/100</f>
        <v>900</v>
      </c>
      <c r="AJ18" s="122">
        <f>'Thu NSH'!EK22</f>
        <v>2750</v>
      </c>
      <c r="AK18" s="122">
        <v>100</v>
      </c>
      <c r="AL18" s="122">
        <f>AJ18*AK18/100</f>
        <v>2750</v>
      </c>
      <c r="AM18" s="122">
        <f>'Thu NSH'!EW22</f>
        <v>890</v>
      </c>
      <c r="AN18" s="122">
        <v>100</v>
      </c>
      <c r="AO18" s="122">
        <f>AM18*AN18/100</f>
        <v>890</v>
      </c>
    </row>
    <row r="19" spans="1:41" s="112" customFormat="1" ht="20.100000000000001" customHeight="1">
      <c r="A19" s="99">
        <v>8</v>
      </c>
      <c r="B19" s="97" t="s">
        <v>854</v>
      </c>
      <c r="C19" s="122">
        <f>SUM(F19,L19,O19,R19,U19,X19,AA19,AD19,AG19,AJ19,AM19,I19)</f>
        <v>250000</v>
      </c>
      <c r="D19" s="123">
        <f>IF(E19=0,"",E19/C19*100)</f>
        <v>100</v>
      </c>
      <c r="E19" s="122">
        <f t="shared" si="16"/>
        <v>250000</v>
      </c>
      <c r="F19" s="122">
        <f>'Thu NSH'!U23</f>
        <v>5000</v>
      </c>
      <c r="G19" s="122">
        <v>100</v>
      </c>
      <c r="H19" s="122">
        <f>F19*G19/100</f>
        <v>5000</v>
      </c>
      <c r="I19" s="122">
        <f>'Thu NSH'!AG23</f>
        <v>40000</v>
      </c>
      <c r="J19" s="122">
        <v>100</v>
      </c>
      <c r="K19" s="122">
        <f>I19*J19/100</f>
        <v>40000</v>
      </c>
      <c r="L19" s="122">
        <f>'Thu NSH'!AS23</f>
        <v>5000</v>
      </c>
      <c r="M19" s="122">
        <v>100</v>
      </c>
      <c r="N19" s="122">
        <f>L19*M19/100</f>
        <v>5000</v>
      </c>
      <c r="O19" s="122">
        <f>'Thu NSH'!BE23</f>
        <v>9000</v>
      </c>
      <c r="P19" s="122">
        <v>100</v>
      </c>
      <c r="Q19" s="122">
        <f>O19*P19/100</f>
        <v>9000</v>
      </c>
      <c r="R19" s="122">
        <f>'Thu NSH'!BQ23</f>
        <v>14000</v>
      </c>
      <c r="S19" s="122">
        <v>100</v>
      </c>
      <c r="T19" s="122">
        <f>R19*S19/100</f>
        <v>14000</v>
      </c>
      <c r="U19" s="122">
        <f>'Thu NSH'!CC23</f>
        <v>30000</v>
      </c>
      <c r="V19" s="122">
        <v>100</v>
      </c>
      <c r="W19" s="122">
        <f>U19*V19/100</f>
        <v>30000</v>
      </c>
      <c r="X19" s="122">
        <f>'Thu NSH'!CO23</f>
        <v>30000</v>
      </c>
      <c r="Y19" s="122">
        <v>100</v>
      </c>
      <c r="Z19" s="122">
        <f>X19*Y19/100</f>
        <v>30000</v>
      </c>
      <c r="AA19" s="122">
        <f>'Thu NSH'!DA23</f>
        <v>35000</v>
      </c>
      <c r="AB19" s="122">
        <v>100</v>
      </c>
      <c r="AC19" s="122">
        <f>AA19*AB19/100</f>
        <v>35000</v>
      </c>
      <c r="AD19" s="122">
        <f>'Thu NSH'!DM23</f>
        <v>20000</v>
      </c>
      <c r="AE19" s="122">
        <v>100</v>
      </c>
      <c r="AF19" s="122">
        <f>AD19*AE19/100</f>
        <v>20000</v>
      </c>
      <c r="AG19" s="122">
        <f>'Thu NSH'!DY23</f>
        <v>7000</v>
      </c>
      <c r="AH19" s="122">
        <v>100</v>
      </c>
      <c r="AI19" s="122">
        <f>AG19*AH19/100</f>
        <v>7000</v>
      </c>
      <c r="AJ19" s="122">
        <f>'Thu NSH'!EK23</f>
        <v>40000</v>
      </c>
      <c r="AK19" s="122">
        <v>100</v>
      </c>
      <c r="AL19" s="122">
        <f>AJ19*AK19/100</f>
        <v>40000</v>
      </c>
      <c r="AM19" s="122">
        <f>'Thu NSH'!EW23</f>
        <v>15000</v>
      </c>
      <c r="AN19" s="122">
        <v>100</v>
      </c>
      <c r="AO19" s="122">
        <f>AM19*AN19/100</f>
        <v>15000</v>
      </c>
    </row>
    <row r="20" spans="1:41" s="112" customFormat="1" ht="20.100000000000001" customHeight="1">
      <c r="A20" s="99">
        <v>9</v>
      </c>
      <c r="B20" s="97" t="s">
        <v>652</v>
      </c>
      <c r="C20" s="122">
        <f>SUM(F20,L20,O20,R20,U20,X20,AA20,AD20,AG20,AJ20,AM20,I20)</f>
        <v>31000</v>
      </c>
      <c r="D20" s="123"/>
      <c r="E20" s="122">
        <f t="shared" si="16"/>
        <v>31000</v>
      </c>
      <c r="F20" s="122">
        <f>'Thu NSH'!U24</f>
        <v>2000</v>
      </c>
      <c r="G20" s="122">
        <v>100</v>
      </c>
      <c r="H20" s="122">
        <f>F20*G20/100</f>
        <v>2000</v>
      </c>
      <c r="I20" s="122">
        <f>'Thu NSH'!AG24</f>
        <v>2000</v>
      </c>
      <c r="J20" s="122">
        <v>100</v>
      </c>
      <c r="K20" s="122">
        <f>I20*J20/100</f>
        <v>2000</v>
      </c>
      <c r="L20" s="122">
        <f>'Thu NSH'!AS24</f>
        <v>2000</v>
      </c>
      <c r="M20" s="122">
        <v>100</v>
      </c>
      <c r="N20" s="122">
        <f>L20*M20/100</f>
        <v>2000</v>
      </c>
      <c r="O20" s="122">
        <f>'Thu NSH'!BE24</f>
        <v>1000</v>
      </c>
      <c r="P20" s="122">
        <v>100</v>
      </c>
      <c r="Q20" s="122">
        <f>O20*P20/100</f>
        <v>1000</v>
      </c>
      <c r="R20" s="122">
        <f>'Thu NSH'!BQ24</f>
        <v>3000</v>
      </c>
      <c r="S20" s="122">
        <v>100</v>
      </c>
      <c r="T20" s="122">
        <f>R20*S20/100</f>
        <v>3000</v>
      </c>
      <c r="U20" s="122">
        <f>'Thu NSH'!CC24</f>
        <v>4000</v>
      </c>
      <c r="V20" s="122">
        <v>100</v>
      </c>
      <c r="W20" s="122">
        <f>U20*V20/100</f>
        <v>4000</v>
      </c>
      <c r="X20" s="122">
        <f>'Thu NSH'!CO24</f>
        <v>3000</v>
      </c>
      <c r="Y20" s="122">
        <v>100</v>
      </c>
      <c r="Z20" s="122">
        <f>X20*Y20/100</f>
        <v>3000</v>
      </c>
      <c r="AA20" s="122">
        <f>'Thu NSH'!DA24</f>
        <v>2000</v>
      </c>
      <c r="AB20" s="122">
        <v>100</v>
      </c>
      <c r="AC20" s="122">
        <f>AA20*AB20/100</f>
        <v>2000</v>
      </c>
      <c r="AD20" s="122">
        <f>'Thu NSH'!DM24</f>
        <v>3000</v>
      </c>
      <c r="AE20" s="122">
        <v>100</v>
      </c>
      <c r="AF20" s="122">
        <f>AD20*AE20/100</f>
        <v>3000</v>
      </c>
      <c r="AG20" s="122">
        <f>'Thu NSH'!DY24</f>
        <v>2000</v>
      </c>
      <c r="AH20" s="122">
        <v>100</v>
      </c>
      <c r="AI20" s="122">
        <f>AG20*AH20/100</f>
        <v>2000</v>
      </c>
      <c r="AJ20" s="122">
        <f>'Thu NSH'!EK24</f>
        <v>4000</v>
      </c>
      <c r="AK20" s="122">
        <v>100</v>
      </c>
      <c r="AL20" s="122">
        <f>AJ20*AK20/100</f>
        <v>4000</v>
      </c>
      <c r="AM20" s="122">
        <f>'Thu NSH'!EW24</f>
        <v>3000</v>
      </c>
      <c r="AN20" s="122">
        <v>100</v>
      </c>
      <c r="AO20" s="122">
        <f>AM20*AN20/100</f>
        <v>3000</v>
      </c>
    </row>
    <row r="21" spans="1:41" s="114" customFormat="1" ht="20.100000000000001" customHeight="1">
      <c r="A21" s="99">
        <v>10</v>
      </c>
      <c r="B21" s="97" t="s">
        <v>653</v>
      </c>
      <c r="C21" s="122">
        <f>SUM(F21,L21,O21,R21,U21,X21,AA21,AD21,AG21,AJ21,AM21,I21)</f>
        <v>12000</v>
      </c>
      <c r="D21" s="123">
        <f>IF(E21=0,"",E21/C21*100)</f>
        <v>100</v>
      </c>
      <c r="E21" s="122">
        <f t="shared" si="16"/>
        <v>12000</v>
      </c>
      <c r="F21" s="122">
        <f>'Thu NSH'!U25</f>
        <v>2000</v>
      </c>
      <c r="G21" s="122">
        <v>100</v>
      </c>
      <c r="H21" s="122">
        <f>F21*G21/100</f>
        <v>2000</v>
      </c>
      <c r="I21" s="122">
        <f>'Thu NSH'!AG25</f>
        <v>500</v>
      </c>
      <c r="J21" s="122">
        <v>100</v>
      </c>
      <c r="K21" s="122">
        <f>I21*J21/100</f>
        <v>500</v>
      </c>
      <c r="L21" s="122">
        <f>'Thu NSH'!AS25</f>
        <v>1000</v>
      </c>
      <c r="M21" s="122">
        <v>100</v>
      </c>
      <c r="N21" s="122">
        <f>L21*M21/100</f>
        <v>1000</v>
      </c>
      <c r="O21" s="122">
        <f>'Thu NSH'!BE25</f>
        <v>600</v>
      </c>
      <c r="P21" s="122">
        <v>100</v>
      </c>
      <c r="Q21" s="122">
        <f>O21*P21/100</f>
        <v>600</v>
      </c>
      <c r="R21" s="122">
        <f>'Thu NSH'!BQ25</f>
        <v>1400</v>
      </c>
      <c r="S21" s="122">
        <v>100</v>
      </c>
      <c r="T21" s="122">
        <f>R21*S21/100</f>
        <v>1400</v>
      </c>
      <c r="U21" s="122">
        <f>'Thu NSH'!CC25</f>
        <v>1000</v>
      </c>
      <c r="V21" s="122">
        <v>100</v>
      </c>
      <c r="W21" s="122">
        <f>U21*V21/100</f>
        <v>1000</v>
      </c>
      <c r="X21" s="122">
        <f>'Thu NSH'!CO25</f>
        <v>1000</v>
      </c>
      <c r="Y21" s="122">
        <v>100</v>
      </c>
      <c r="Z21" s="122">
        <f>X21*Y21/100</f>
        <v>1000</v>
      </c>
      <c r="AA21" s="122">
        <f>'Thu NSH'!DA25</f>
        <v>1000</v>
      </c>
      <c r="AB21" s="122">
        <v>100</v>
      </c>
      <c r="AC21" s="122">
        <f>AA21*AB21/100</f>
        <v>1000</v>
      </c>
      <c r="AD21" s="122">
        <f>'Thu NSH'!DM25</f>
        <v>1000</v>
      </c>
      <c r="AE21" s="122">
        <v>100</v>
      </c>
      <c r="AF21" s="122">
        <f>AD21*AE21/100</f>
        <v>1000</v>
      </c>
      <c r="AG21" s="122">
        <f>'Thu NSH'!DY25</f>
        <v>1000</v>
      </c>
      <c r="AH21" s="122">
        <v>100</v>
      </c>
      <c r="AI21" s="122">
        <f>AG21*AH21/100</f>
        <v>1000</v>
      </c>
      <c r="AJ21" s="122">
        <f>'Thu NSH'!EK25</f>
        <v>1000</v>
      </c>
      <c r="AK21" s="122">
        <v>100</v>
      </c>
      <c r="AL21" s="122">
        <f>AJ21*AK21/100</f>
        <v>1000</v>
      </c>
      <c r="AM21" s="122">
        <f>'Thu NSH'!EW25</f>
        <v>500</v>
      </c>
      <c r="AN21" s="122">
        <v>100</v>
      </c>
      <c r="AO21" s="122">
        <f>AM21*AN21/100</f>
        <v>500</v>
      </c>
    </row>
    <row r="22" spans="1:41" s="112" customFormat="1" ht="20.100000000000001" customHeight="1">
      <c r="A22" s="99" t="s">
        <v>654</v>
      </c>
      <c r="B22" s="97" t="s">
        <v>855</v>
      </c>
      <c r="C22" s="122">
        <f t="shared" ref="C22:C32" si="17">SUM(F22,L22,O22,R22,U22,X22,AA22,AD22,AG22,AJ22,AM22,I22)</f>
        <v>3263161</v>
      </c>
      <c r="D22" s="123"/>
      <c r="E22" s="122">
        <f t="shared" si="16"/>
        <v>3263161</v>
      </c>
      <c r="F22" s="122">
        <f>F23+F24</f>
        <v>297855</v>
      </c>
      <c r="G22" s="122"/>
      <c r="H22" s="122">
        <f t="shared" ref="H22:H32" si="18">F22</f>
        <v>297855</v>
      </c>
      <c r="I22" s="122">
        <f>I23+I24</f>
        <v>182280</v>
      </c>
      <c r="J22" s="122"/>
      <c r="K22" s="122">
        <f t="shared" ref="K22:K32" si="19">I22</f>
        <v>182280</v>
      </c>
      <c r="L22" s="122">
        <f>L23+L24</f>
        <v>287675</v>
      </c>
      <c r="M22" s="122"/>
      <c r="N22" s="122">
        <f t="shared" ref="N22:N32" si="20">L22</f>
        <v>287675</v>
      </c>
      <c r="O22" s="122">
        <f>O23+O24</f>
        <v>270640</v>
      </c>
      <c r="P22" s="122"/>
      <c r="Q22" s="122">
        <f t="shared" ref="Q22:Q32" si="21">O22</f>
        <v>270640</v>
      </c>
      <c r="R22" s="122">
        <f>R23+R24</f>
        <v>252575</v>
      </c>
      <c r="S22" s="122"/>
      <c r="T22" s="122">
        <f t="shared" ref="T22:T32" si="22">R22</f>
        <v>252575</v>
      </c>
      <c r="U22" s="122">
        <f>U23+U24</f>
        <v>147110</v>
      </c>
      <c r="V22" s="122"/>
      <c r="W22" s="122">
        <f t="shared" ref="W22:W32" si="23">U22</f>
        <v>147110</v>
      </c>
      <c r="X22" s="122">
        <f>X23+X24</f>
        <v>398058</v>
      </c>
      <c r="Y22" s="122"/>
      <c r="Z22" s="122">
        <f t="shared" ref="Z22:Z31" si="24">X22</f>
        <v>398058</v>
      </c>
      <c r="AA22" s="122">
        <f>AA23+AA24</f>
        <v>312929</v>
      </c>
      <c r="AB22" s="122"/>
      <c r="AC22" s="122">
        <f t="shared" ref="AC22:AC31" si="25">AA22</f>
        <v>312929</v>
      </c>
      <c r="AD22" s="122">
        <f>AD23+AD24</f>
        <v>338310</v>
      </c>
      <c r="AE22" s="122"/>
      <c r="AF22" s="122">
        <f t="shared" ref="AF22:AF31" si="26">AD22</f>
        <v>338310</v>
      </c>
      <c r="AG22" s="122">
        <f>AG23+AG24</f>
        <v>275074</v>
      </c>
      <c r="AH22" s="122"/>
      <c r="AI22" s="122">
        <f t="shared" ref="AI22:AI31" si="27">AG22</f>
        <v>275074</v>
      </c>
      <c r="AJ22" s="122">
        <f>AJ23+AJ24</f>
        <v>214565</v>
      </c>
      <c r="AK22" s="122"/>
      <c r="AL22" s="122">
        <f t="shared" ref="AL22:AL31" si="28">AJ22</f>
        <v>214565</v>
      </c>
      <c r="AM22" s="122">
        <f>AM23+AM24</f>
        <v>286090</v>
      </c>
      <c r="AN22" s="122"/>
      <c r="AO22" s="122">
        <f t="shared" ref="AO22:AO31" si="29">AM22</f>
        <v>286090</v>
      </c>
    </row>
    <row r="23" spans="1:41" s="114" customFormat="1" ht="20.100000000000001" customHeight="1">
      <c r="A23" s="99">
        <v>1</v>
      </c>
      <c r="B23" s="97" t="s">
        <v>856</v>
      </c>
      <c r="C23" s="122">
        <f t="shared" si="17"/>
        <v>1153620</v>
      </c>
      <c r="D23" s="122"/>
      <c r="E23" s="122">
        <f t="shared" si="16"/>
        <v>1153620</v>
      </c>
      <c r="F23" s="122">
        <f>'Chi NSH'!P9</f>
        <v>138230</v>
      </c>
      <c r="G23" s="122"/>
      <c r="H23" s="122">
        <f t="shared" si="18"/>
        <v>138230</v>
      </c>
      <c r="I23" s="122">
        <f>'Chi NSH'!X9</f>
        <v>72140</v>
      </c>
      <c r="J23" s="122"/>
      <c r="K23" s="122">
        <f t="shared" si="19"/>
        <v>72140</v>
      </c>
      <c r="L23" s="122">
        <f>'Chi NSH'!AF9</f>
        <v>135930</v>
      </c>
      <c r="M23" s="122"/>
      <c r="N23" s="122">
        <f t="shared" si="20"/>
        <v>135930</v>
      </c>
      <c r="O23" s="122">
        <f>'Chi NSH'!AN9</f>
        <v>113580</v>
      </c>
      <c r="P23" s="122"/>
      <c r="Q23" s="122">
        <f t="shared" si="21"/>
        <v>113580</v>
      </c>
      <c r="R23" s="122">
        <f>'Chi NSH'!AV9</f>
        <v>140800</v>
      </c>
      <c r="S23" s="122"/>
      <c r="T23" s="122">
        <f t="shared" si="22"/>
        <v>140800</v>
      </c>
      <c r="U23" s="122">
        <f>'Chi NSH'!BD9</f>
        <v>0</v>
      </c>
      <c r="V23" s="122"/>
      <c r="W23" s="122">
        <f t="shared" si="23"/>
        <v>0</v>
      </c>
      <c r="X23" s="122">
        <f>'Chi NSH'!BL9</f>
        <v>181315</v>
      </c>
      <c r="Y23" s="122"/>
      <c r="Z23" s="122">
        <f t="shared" si="24"/>
        <v>181315</v>
      </c>
      <c r="AA23" s="122">
        <f>'Chi NSH'!BT9</f>
        <v>144865</v>
      </c>
      <c r="AB23" s="122"/>
      <c r="AC23" s="122">
        <f t="shared" si="25"/>
        <v>144865</v>
      </c>
      <c r="AD23" s="122">
        <f>'Chi NSH'!CB9</f>
        <v>15490</v>
      </c>
      <c r="AE23" s="122"/>
      <c r="AF23" s="122">
        <f t="shared" si="26"/>
        <v>15490</v>
      </c>
      <c r="AG23" s="122">
        <f>'Chi NSH'!CJ9</f>
        <v>137020</v>
      </c>
      <c r="AH23" s="122"/>
      <c r="AI23" s="122">
        <f t="shared" si="27"/>
        <v>137020</v>
      </c>
      <c r="AJ23" s="122">
        <f>'Chi NSH'!CR9</f>
        <v>0</v>
      </c>
      <c r="AK23" s="122"/>
      <c r="AL23" s="122">
        <f t="shared" si="28"/>
        <v>0</v>
      </c>
      <c r="AM23" s="122">
        <f>'Chi NSH'!CZ9</f>
        <v>74250</v>
      </c>
      <c r="AN23" s="122"/>
      <c r="AO23" s="122">
        <f t="shared" si="29"/>
        <v>74250</v>
      </c>
    </row>
    <row r="24" spans="1:41" s="114" customFormat="1" ht="20.100000000000001" customHeight="1">
      <c r="A24" s="99">
        <v>2</v>
      </c>
      <c r="B24" s="97" t="s">
        <v>857</v>
      </c>
      <c r="C24" s="122">
        <f t="shared" si="17"/>
        <v>2109541</v>
      </c>
      <c r="D24" s="122"/>
      <c r="E24" s="122">
        <f t="shared" si="16"/>
        <v>2109541</v>
      </c>
      <c r="F24" s="122">
        <f>SUM(F25:F31)</f>
        <v>159625</v>
      </c>
      <c r="G24" s="122"/>
      <c r="H24" s="122">
        <f t="shared" si="18"/>
        <v>159625</v>
      </c>
      <c r="I24" s="122">
        <f>SUM(I25:I31)</f>
        <v>110140</v>
      </c>
      <c r="J24" s="122"/>
      <c r="K24" s="122">
        <f t="shared" si="19"/>
        <v>110140</v>
      </c>
      <c r="L24" s="122">
        <f>SUM(L25:L31)</f>
        <v>151745</v>
      </c>
      <c r="M24" s="122"/>
      <c r="N24" s="122">
        <f t="shared" si="20"/>
        <v>151745</v>
      </c>
      <c r="O24" s="122">
        <f>SUM(O25:O31)</f>
        <v>157060</v>
      </c>
      <c r="P24" s="122"/>
      <c r="Q24" s="122">
        <f t="shared" si="21"/>
        <v>157060</v>
      </c>
      <c r="R24" s="122">
        <f>SUM(R25:R31)</f>
        <v>111775</v>
      </c>
      <c r="S24" s="122"/>
      <c r="T24" s="122">
        <f t="shared" si="22"/>
        <v>111775</v>
      </c>
      <c r="U24" s="122">
        <f>SUM(U25:U31)</f>
        <v>147110</v>
      </c>
      <c r="V24" s="122"/>
      <c r="W24" s="122">
        <f t="shared" si="23"/>
        <v>147110</v>
      </c>
      <c r="X24" s="122">
        <f>SUM(X25:X31)</f>
        <v>216743</v>
      </c>
      <c r="Y24" s="122"/>
      <c r="Z24" s="122">
        <f t="shared" si="24"/>
        <v>216743</v>
      </c>
      <c r="AA24" s="122">
        <f>SUM(AA25:AA31)</f>
        <v>168064</v>
      </c>
      <c r="AB24" s="122"/>
      <c r="AC24" s="122">
        <f t="shared" si="25"/>
        <v>168064</v>
      </c>
      <c r="AD24" s="122">
        <f>SUM(AD25:AD31)</f>
        <v>322820</v>
      </c>
      <c r="AE24" s="122"/>
      <c r="AF24" s="122">
        <f t="shared" si="26"/>
        <v>322820</v>
      </c>
      <c r="AG24" s="122">
        <f>SUM(AG25:AG31)</f>
        <v>138054</v>
      </c>
      <c r="AH24" s="122"/>
      <c r="AI24" s="122">
        <f t="shared" si="27"/>
        <v>138054</v>
      </c>
      <c r="AJ24" s="122">
        <f>SUM(AJ25:AJ31)</f>
        <v>214565</v>
      </c>
      <c r="AK24" s="122"/>
      <c r="AL24" s="122">
        <f t="shared" si="28"/>
        <v>214565</v>
      </c>
      <c r="AM24" s="122">
        <f>SUM(AM25:AM31)</f>
        <v>211840</v>
      </c>
      <c r="AN24" s="122"/>
      <c r="AO24" s="122">
        <f t="shared" si="29"/>
        <v>211840</v>
      </c>
    </row>
    <row r="25" spans="1:41" ht="38.25">
      <c r="A25" s="113" t="s">
        <v>847</v>
      </c>
      <c r="B25" s="602" t="s">
        <v>962</v>
      </c>
      <c r="C25" s="601">
        <f t="shared" si="17"/>
        <v>312228</v>
      </c>
      <c r="D25" s="601"/>
      <c r="E25" s="601">
        <f t="shared" si="16"/>
        <v>312228</v>
      </c>
      <c r="F25" s="601">
        <f>'Chi NSH'!P10</f>
        <v>21210</v>
      </c>
      <c r="G25" s="601"/>
      <c r="H25" s="601">
        <f t="shared" si="18"/>
        <v>21210</v>
      </c>
      <c r="I25" s="601">
        <f>'Chi NSH'!X10</f>
        <v>12580</v>
      </c>
      <c r="J25" s="601"/>
      <c r="K25" s="601">
        <f t="shared" si="19"/>
        <v>12580</v>
      </c>
      <c r="L25" s="601">
        <f>'Chi NSH'!AF10</f>
        <v>30675</v>
      </c>
      <c r="M25" s="601"/>
      <c r="N25" s="601">
        <f t="shared" si="20"/>
        <v>30675</v>
      </c>
      <c r="O25" s="601">
        <f>'Chi NSH'!AN10</f>
        <v>41660</v>
      </c>
      <c r="P25" s="601"/>
      <c r="Q25" s="601">
        <f t="shared" si="21"/>
        <v>41660</v>
      </c>
      <c r="R25" s="601">
        <f>'Chi NSH'!AV10</f>
        <v>29650</v>
      </c>
      <c r="S25" s="601"/>
      <c r="T25" s="601">
        <f t="shared" si="22"/>
        <v>29650</v>
      </c>
      <c r="U25" s="601">
        <f>'Chi NSH'!BD10</f>
        <v>9650</v>
      </c>
      <c r="V25" s="601"/>
      <c r="W25" s="601">
        <f t="shared" si="23"/>
        <v>9650</v>
      </c>
      <c r="X25" s="601">
        <f>'Chi NSH'!BL10</f>
        <v>43950</v>
      </c>
      <c r="Y25" s="601"/>
      <c r="Z25" s="601">
        <f t="shared" si="24"/>
        <v>43950</v>
      </c>
      <c r="AA25" s="601">
        <f>'Chi NSH'!BT10</f>
        <v>47824</v>
      </c>
      <c r="AB25" s="601"/>
      <c r="AC25" s="601">
        <f t="shared" si="25"/>
        <v>47824</v>
      </c>
      <c r="AD25" s="601">
        <f>'Chi NSH'!CB10</f>
        <v>23850</v>
      </c>
      <c r="AE25" s="601"/>
      <c r="AF25" s="601">
        <f t="shared" si="26"/>
        <v>23850</v>
      </c>
      <c r="AG25" s="601">
        <f>'Chi NSH'!CJ10</f>
        <v>23249</v>
      </c>
      <c r="AH25" s="601"/>
      <c r="AI25" s="601">
        <f t="shared" si="27"/>
        <v>23249</v>
      </c>
      <c r="AJ25" s="601">
        <f>'Chi NSH'!CR10</f>
        <v>5300</v>
      </c>
      <c r="AK25" s="601"/>
      <c r="AL25" s="601">
        <f t="shared" si="28"/>
        <v>5300</v>
      </c>
      <c r="AM25" s="601">
        <f>'Chi NSH'!CZ10</f>
        <v>22630</v>
      </c>
      <c r="AN25" s="601"/>
      <c r="AO25" s="601">
        <f t="shared" si="29"/>
        <v>22630</v>
      </c>
    </row>
    <row r="26" spans="1:41" ht="25.5">
      <c r="A26" s="113" t="s">
        <v>847</v>
      </c>
      <c r="B26" s="602" t="s">
        <v>539</v>
      </c>
      <c r="C26" s="601">
        <f t="shared" si="17"/>
        <v>244063</v>
      </c>
      <c r="D26" s="601"/>
      <c r="E26" s="601">
        <f t="shared" si="16"/>
        <v>244063</v>
      </c>
      <c r="F26" s="601">
        <f>'Chi NSH'!P11</f>
        <v>27955</v>
      </c>
      <c r="G26" s="601"/>
      <c r="H26" s="601">
        <f t="shared" si="18"/>
        <v>27955</v>
      </c>
      <c r="I26" s="601">
        <f>'Chi NSH'!X11</f>
        <v>15810</v>
      </c>
      <c r="J26" s="601"/>
      <c r="K26" s="601">
        <f t="shared" si="19"/>
        <v>15810</v>
      </c>
      <c r="L26" s="601">
        <f>'Chi NSH'!AF11</f>
        <v>21640</v>
      </c>
      <c r="M26" s="601"/>
      <c r="N26" s="601">
        <f t="shared" si="20"/>
        <v>21640</v>
      </c>
      <c r="O26" s="601">
        <f>'Chi NSH'!AN11</f>
        <v>15215</v>
      </c>
      <c r="P26" s="601"/>
      <c r="Q26" s="601">
        <f t="shared" si="21"/>
        <v>15215</v>
      </c>
      <c r="R26" s="601">
        <f>'Chi NSH'!AV11</f>
        <v>23275</v>
      </c>
      <c r="S26" s="601"/>
      <c r="T26" s="601">
        <f t="shared" si="22"/>
        <v>23275</v>
      </c>
      <c r="U26" s="601">
        <f>'Chi NSH'!BD11</f>
        <v>16640</v>
      </c>
      <c r="V26" s="601"/>
      <c r="W26" s="601">
        <f t="shared" si="23"/>
        <v>16640</v>
      </c>
      <c r="X26" s="601">
        <f>'Chi NSH'!BL11</f>
        <v>31153</v>
      </c>
      <c r="Y26" s="601"/>
      <c r="Z26" s="601">
        <f t="shared" si="24"/>
        <v>31153</v>
      </c>
      <c r="AA26" s="601">
        <f>'Chi NSH'!BT11</f>
        <v>13870</v>
      </c>
      <c r="AB26" s="601"/>
      <c r="AC26" s="601">
        <f t="shared" si="25"/>
        <v>13870</v>
      </c>
      <c r="AD26" s="601">
        <f>'Chi NSH'!CB11</f>
        <v>27740</v>
      </c>
      <c r="AE26" s="601"/>
      <c r="AF26" s="601">
        <f t="shared" si="26"/>
        <v>27740</v>
      </c>
      <c r="AG26" s="601">
        <f>'Chi NSH'!CJ11</f>
        <v>18660</v>
      </c>
      <c r="AH26" s="601"/>
      <c r="AI26" s="601">
        <f t="shared" si="27"/>
        <v>18660</v>
      </c>
      <c r="AJ26" s="601">
        <f>'Chi NSH'!CR11</f>
        <v>11865</v>
      </c>
      <c r="AK26" s="601"/>
      <c r="AL26" s="601">
        <f t="shared" si="28"/>
        <v>11865</v>
      </c>
      <c r="AM26" s="601">
        <f>'Chi NSH'!CZ11</f>
        <v>20240</v>
      </c>
      <c r="AN26" s="601"/>
      <c r="AO26" s="601">
        <f t="shared" si="29"/>
        <v>20240</v>
      </c>
    </row>
    <row r="27" spans="1:41" ht="25.5">
      <c r="A27" s="113" t="s">
        <v>847</v>
      </c>
      <c r="B27" s="602" t="s">
        <v>908</v>
      </c>
      <c r="C27" s="601">
        <f t="shared" si="17"/>
        <v>1085290</v>
      </c>
      <c r="D27" s="601"/>
      <c r="E27" s="601">
        <f t="shared" si="16"/>
        <v>1085290</v>
      </c>
      <c r="F27" s="601">
        <f>'Chi NSH'!P12</f>
        <v>96930</v>
      </c>
      <c r="G27" s="601"/>
      <c r="H27" s="601">
        <f t="shared" si="18"/>
        <v>96930</v>
      </c>
      <c r="I27" s="601">
        <f>'Chi NSH'!X12</f>
        <v>56840</v>
      </c>
      <c r="J27" s="601"/>
      <c r="K27" s="601">
        <f t="shared" si="19"/>
        <v>56840</v>
      </c>
      <c r="L27" s="601">
        <f>'Chi NSH'!AF12</f>
        <v>82130</v>
      </c>
      <c r="M27" s="601"/>
      <c r="N27" s="601">
        <f t="shared" si="20"/>
        <v>82130</v>
      </c>
      <c r="O27" s="601">
        <f>'Chi NSH'!AN12</f>
        <v>71055</v>
      </c>
      <c r="P27" s="601"/>
      <c r="Q27" s="601">
        <f t="shared" si="21"/>
        <v>71055</v>
      </c>
      <c r="R27" s="601">
        <f>'Chi NSH'!AV12</f>
        <v>52350</v>
      </c>
      <c r="S27" s="601"/>
      <c r="T27" s="601">
        <f t="shared" si="22"/>
        <v>52350</v>
      </c>
      <c r="U27" s="601">
        <f>'Chi NSH'!BD12</f>
        <v>96620</v>
      </c>
      <c r="V27" s="601"/>
      <c r="W27" s="601">
        <f t="shared" si="23"/>
        <v>96620</v>
      </c>
      <c r="X27" s="601">
        <f>'Chi NSH'!BL12</f>
        <v>103470</v>
      </c>
      <c r="Y27" s="601"/>
      <c r="Z27" s="601">
        <f t="shared" si="24"/>
        <v>103470</v>
      </c>
      <c r="AA27" s="601">
        <f>'Chi NSH'!BT12</f>
        <v>83570</v>
      </c>
      <c r="AB27" s="601"/>
      <c r="AC27" s="601">
        <f t="shared" si="25"/>
        <v>83570</v>
      </c>
      <c r="AD27" s="601">
        <f>'Chi NSH'!CB12</f>
        <v>165500</v>
      </c>
      <c r="AE27" s="601"/>
      <c r="AF27" s="601">
        <f t="shared" si="26"/>
        <v>165500</v>
      </c>
      <c r="AG27" s="601">
        <f>'Chi NSH'!CJ12</f>
        <v>65995</v>
      </c>
      <c r="AH27" s="601"/>
      <c r="AI27" s="601">
        <f t="shared" si="27"/>
        <v>65995</v>
      </c>
      <c r="AJ27" s="601">
        <f>'Chi NSH'!CR12</f>
        <v>113440</v>
      </c>
      <c r="AK27" s="601"/>
      <c r="AL27" s="601">
        <f t="shared" si="28"/>
        <v>113440</v>
      </c>
      <c r="AM27" s="601">
        <f>'Chi NSH'!CZ12</f>
        <v>97390</v>
      </c>
      <c r="AN27" s="601"/>
      <c r="AO27" s="601">
        <f t="shared" si="29"/>
        <v>97390</v>
      </c>
    </row>
    <row r="28" spans="1:41">
      <c r="A28" s="113" t="s">
        <v>847</v>
      </c>
      <c r="B28" s="602" t="s">
        <v>929</v>
      </c>
      <c r="C28" s="601">
        <f t="shared" si="17"/>
        <v>290270</v>
      </c>
      <c r="D28" s="601"/>
      <c r="E28" s="601">
        <f t="shared" si="16"/>
        <v>290270</v>
      </c>
      <c r="F28" s="601">
        <f>'Chi NSH'!P13</f>
        <v>9530</v>
      </c>
      <c r="G28" s="601"/>
      <c r="H28" s="601">
        <f t="shared" si="18"/>
        <v>9530</v>
      </c>
      <c r="I28" s="601">
        <f>'Chi NSH'!X13</f>
        <v>5010</v>
      </c>
      <c r="J28" s="601"/>
      <c r="K28" s="601">
        <f t="shared" si="19"/>
        <v>5010</v>
      </c>
      <c r="L28" s="601">
        <f>'Chi NSH'!AF13</f>
        <v>9500</v>
      </c>
      <c r="M28" s="601"/>
      <c r="N28" s="601">
        <f t="shared" si="20"/>
        <v>9500</v>
      </c>
      <c r="O28" s="601">
        <f>'Chi NSH'!AN13</f>
        <v>7240</v>
      </c>
      <c r="P28" s="601"/>
      <c r="Q28" s="601">
        <f t="shared" si="21"/>
        <v>7240</v>
      </c>
      <c r="R28" s="601">
        <f>'Chi NSH'!AV13</f>
        <v>0</v>
      </c>
      <c r="S28" s="601"/>
      <c r="T28" s="601">
        <f t="shared" si="22"/>
        <v>0</v>
      </c>
      <c r="U28" s="601">
        <f>'Chi NSH'!BD13</f>
        <v>17000</v>
      </c>
      <c r="V28" s="601"/>
      <c r="W28" s="601">
        <f t="shared" si="23"/>
        <v>17000</v>
      </c>
      <c r="X28" s="601">
        <f>'Chi NSH'!BL13</f>
        <v>13370</v>
      </c>
      <c r="Y28" s="601"/>
      <c r="Z28" s="601">
        <f t="shared" si="24"/>
        <v>13370</v>
      </c>
      <c r="AA28" s="601">
        <f>'Chi NSH'!BT13</f>
        <v>12000</v>
      </c>
      <c r="AB28" s="601"/>
      <c r="AC28" s="601">
        <f t="shared" si="25"/>
        <v>12000</v>
      </c>
      <c r="AD28" s="601">
        <f>'Chi NSH'!CB13</f>
        <v>86730</v>
      </c>
      <c r="AE28" s="601"/>
      <c r="AF28" s="601">
        <f t="shared" si="26"/>
        <v>86730</v>
      </c>
      <c r="AG28" s="601">
        <f>'Chi NSH'!CJ13</f>
        <v>3850</v>
      </c>
      <c r="AH28" s="601"/>
      <c r="AI28" s="601">
        <f t="shared" si="27"/>
        <v>3850</v>
      </c>
      <c r="AJ28" s="601">
        <f>'Chi NSH'!CR13</f>
        <v>81460</v>
      </c>
      <c r="AK28" s="601"/>
      <c r="AL28" s="601">
        <f t="shared" si="28"/>
        <v>81460</v>
      </c>
      <c r="AM28" s="601">
        <f>'Chi NSH'!CZ13</f>
        <v>44580</v>
      </c>
      <c r="AN28" s="601"/>
      <c r="AO28" s="601">
        <f t="shared" si="29"/>
        <v>44580</v>
      </c>
    </row>
    <row r="29" spans="1:41" ht="25.5">
      <c r="A29" s="113" t="s">
        <v>847</v>
      </c>
      <c r="B29" s="602" t="s">
        <v>601</v>
      </c>
      <c r="C29" s="601">
        <f t="shared" si="17"/>
        <v>0</v>
      </c>
      <c r="D29" s="601"/>
      <c r="E29" s="601">
        <f t="shared" si="16"/>
        <v>0</v>
      </c>
      <c r="F29" s="601">
        <f>'[1]HỒNG NGỰ '!$B$97</f>
        <v>0</v>
      </c>
      <c r="G29" s="601"/>
      <c r="H29" s="601">
        <f t="shared" si="18"/>
        <v>0</v>
      </c>
      <c r="I29" s="601">
        <f>'[1]TX.HỒNG NGỰ'!$B$97</f>
        <v>0</v>
      </c>
      <c r="J29" s="601"/>
      <c r="K29" s="601">
        <f t="shared" si="19"/>
        <v>0</v>
      </c>
      <c r="L29" s="601">
        <f>'[1]TÂN HỒNG'!$B$97</f>
        <v>0</v>
      </c>
      <c r="M29" s="601"/>
      <c r="N29" s="601">
        <f t="shared" si="20"/>
        <v>0</v>
      </c>
      <c r="O29" s="601">
        <f>'[1]TAM NÔNG'!$B$97</f>
        <v>0</v>
      </c>
      <c r="P29" s="601"/>
      <c r="Q29" s="601">
        <f t="shared" si="21"/>
        <v>0</v>
      </c>
      <c r="R29" s="601">
        <f>'[1]THANH BÌNH'!$B$97</f>
        <v>0</v>
      </c>
      <c r="S29" s="601"/>
      <c r="T29" s="601">
        <f t="shared" si="22"/>
        <v>0</v>
      </c>
      <c r="U29" s="601">
        <f>'[1]TP CAO LÃNH'!$B$97</f>
        <v>0</v>
      </c>
      <c r="V29" s="601"/>
      <c r="W29" s="601">
        <f t="shared" si="23"/>
        <v>0</v>
      </c>
      <c r="X29" s="601">
        <f>'[1]H. CAO LÃNH'!$B$97</f>
        <v>0</v>
      </c>
      <c r="Y29" s="601"/>
      <c r="Z29" s="601">
        <f t="shared" si="24"/>
        <v>0</v>
      </c>
      <c r="AA29" s="601">
        <f>'[1]THÁP MƯỜI'!$B$97</f>
        <v>0</v>
      </c>
      <c r="AB29" s="601"/>
      <c r="AC29" s="601">
        <f t="shared" si="25"/>
        <v>0</v>
      </c>
      <c r="AD29" s="601">
        <f>'[1]LẤP VÒ'!$B$97</f>
        <v>0</v>
      </c>
      <c r="AE29" s="601"/>
      <c r="AF29" s="601">
        <f t="shared" si="26"/>
        <v>0</v>
      </c>
      <c r="AG29" s="601">
        <f>'[1]LAI VUNG'!$B$97</f>
        <v>0</v>
      </c>
      <c r="AH29" s="601"/>
      <c r="AI29" s="601">
        <f t="shared" si="27"/>
        <v>0</v>
      </c>
      <c r="AJ29" s="601">
        <f>'[1]TP SA ĐÉC'!$B$97</f>
        <v>0</v>
      </c>
      <c r="AK29" s="601"/>
      <c r="AL29" s="601">
        <f t="shared" si="28"/>
        <v>0</v>
      </c>
      <c r="AM29" s="601">
        <f>'[1]CHÂU THÀNH'!$B$97</f>
        <v>0</v>
      </c>
      <c r="AN29" s="601"/>
      <c r="AO29" s="601">
        <f t="shared" si="29"/>
        <v>0</v>
      </c>
    </row>
    <row r="30" spans="1:41" ht="25.5">
      <c r="A30" s="113" t="s">
        <v>847</v>
      </c>
      <c r="B30" s="602" t="s">
        <v>600</v>
      </c>
      <c r="C30" s="601">
        <f t="shared" si="17"/>
        <v>177690</v>
      </c>
      <c r="D30" s="601"/>
      <c r="E30" s="601">
        <f t="shared" si="16"/>
        <v>177690</v>
      </c>
      <c r="F30" s="601">
        <f>'[1]HỒNG NGỰ '!$B$100</f>
        <v>4000</v>
      </c>
      <c r="G30" s="601"/>
      <c r="H30" s="601">
        <f t="shared" si="18"/>
        <v>4000</v>
      </c>
      <c r="I30" s="601">
        <f>'[1]TX.HỒNG NGỰ'!$B$100</f>
        <v>19900</v>
      </c>
      <c r="J30" s="601"/>
      <c r="K30" s="601">
        <f t="shared" si="19"/>
        <v>19900</v>
      </c>
      <c r="L30" s="601">
        <f>'[1]TÂN HỒNG'!$B$100</f>
        <v>7800</v>
      </c>
      <c r="M30" s="601"/>
      <c r="N30" s="601">
        <f t="shared" si="20"/>
        <v>7800</v>
      </c>
      <c r="O30" s="601">
        <f>'[1]TAM NÔNG'!$B$100</f>
        <v>21890</v>
      </c>
      <c r="P30" s="601"/>
      <c r="Q30" s="601">
        <f t="shared" si="21"/>
        <v>21890</v>
      </c>
      <c r="R30" s="601">
        <f>'[1]THANH BÌNH'!$B$100</f>
        <v>6500</v>
      </c>
      <c r="S30" s="601"/>
      <c r="T30" s="601">
        <f t="shared" si="22"/>
        <v>6500</v>
      </c>
      <c r="U30" s="601">
        <f>'[1]TP CAO LÃNH'!$B$100</f>
        <v>7200</v>
      </c>
      <c r="V30" s="601"/>
      <c r="W30" s="601">
        <f t="shared" si="23"/>
        <v>7200</v>
      </c>
      <c r="X30" s="601">
        <f>'[1]H. CAO LÃNH'!$B$100</f>
        <v>24800</v>
      </c>
      <c r="Y30" s="601"/>
      <c r="Z30" s="601">
        <f t="shared" si="24"/>
        <v>24800</v>
      </c>
      <c r="AA30" s="601">
        <f>'[1]THÁP MƯỜI'!$B$100</f>
        <v>10800</v>
      </c>
      <c r="AB30" s="601"/>
      <c r="AC30" s="601">
        <f t="shared" si="25"/>
        <v>10800</v>
      </c>
      <c r="AD30" s="601">
        <f>'[1]LẤP VÒ'!$B$100</f>
        <v>19000</v>
      </c>
      <c r="AE30" s="601"/>
      <c r="AF30" s="601">
        <f t="shared" si="26"/>
        <v>19000</v>
      </c>
      <c r="AG30" s="601">
        <f>'[1]LAI VUNG'!$B$100</f>
        <v>26300</v>
      </c>
      <c r="AH30" s="601"/>
      <c r="AI30" s="601">
        <f t="shared" si="27"/>
        <v>26300</v>
      </c>
      <c r="AJ30" s="601">
        <f>'[1]TP SA ĐÉC'!$B$100</f>
        <v>2500</v>
      </c>
      <c r="AK30" s="601"/>
      <c r="AL30" s="601">
        <f t="shared" si="28"/>
        <v>2500</v>
      </c>
      <c r="AM30" s="601">
        <f>'[1]CHÂU THÀNH'!$B$100</f>
        <v>27000</v>
      </c>
      <c r="AN30" s="601"/>
      <c r="AO30" s="601">
        <f t="shared" si="29"/>
        <v>27000</v>
      </c>
    </row>
    <row r="31" spans="1:41" s="112" customFormat="1" ht="35.25" hidden="1" customHeight="1">
      <c r="A31" s="113" t="s">
        <v>847</v>
      </c>
      <c r="B31" s="602" t="s">
        <v>574</v>
      </c>
      <c r="C31" s="601">
        <f t="shared" si="17"/>
        <v>0</v>
      </c>
      <c r="D31" s="601"/>
      <c r="E31" s="601">
        <f t="shared" si="16"/>
        <v>0</v>
      </c>
      <c r="F31" s="601"/>
      <c r="G31" s="601"/>
      <c r="H31" s="601">
        <f t="shared" si="18"/>
        <v>0</v>
      </c>
      <c r="I31" s="601"/>
      <c r="J31" s="601"/>
      <c r="K31" s="601">
        <f t="shared" si="19"/>
        <v>0</v>
      </c>
      <c r="L31" s="601"/>
      <c r="M31" s="601"/>
      <c r="N31" s="601">
        <f t="shared" si="20"/>
        <v>0</v>
      </c>
      <c r="O31" s="601"/>
      <c r="P31" s="601"/>
      <c r="Q31" s="601">
        <f t="shared" si="21"/>
        <v>0</v>
      </c>
      <c r="R31" s="601"/>
      <c r="S31" s="601"/>
      <c r="T31" s="601">
        <f t="shared" si="22"/>
        <v>0</v>
      </c>
      <c r="U31" s="601"/>
      <c r="V31" s="601"/>
      <c r="W31" s="601">
        <f t="shared" si="23"/>
        <v>0</v>
      </c>
      <c r="X31" s="601"/>
      <c r="Y31" s="601"/>
      <c r="Z31" s="601">
        <f t="shared" si="24"/>
        <v>0</v>
      </c>
      <c r="AA31" s="601"/>
      <c r="AB31" s="601"/>
      <c r="AC31" s="601">
        <f t="shared" si="25"/>
        <v>0</v>
      </c>
      <c r="AD31" s="601"/>
      <c r="AE31" s="601"/>
      <c r="AF31" s="601">
        <f t="shared" si="26"/>
        <v>0</v>
      </c>
      <c r="AG31" s="601"/>
      <c r="AH31" s="601"/>
      <c r="AI31" s="601">
        <f t="shared" si="27"/>
        <v>0</v>
      </c>
      <c r="AJ31" s="601"/>
      <c r="AK31" s="601"/>
      <c r="AL31" s="601">
        <f t="shared" si="28"/>
        <v>0</v>
      </c>
      <c r="AM31" s="601"/>
      <c r="AN31" s="601"/>
      <c r="AO31" s="601">
        <f t="shared" si="29"/>
        <v>0</v>
      </c>
    </row>
    <row r="32" spans="1:41" s="114" customFormat="1" ht="30.75" customHeight="1">
      <c r="A32" s="410" t="s">
        <v>685</v>
      </c>
      <c r="B32" s="603" t="s">
        <v>548</v>
      </c>
      <c r="C32" s="122">
        <f t="shared" si="17"/>
        <v>68750</v>
      </c>
      <c r="D32" s="411"/>
      <c r="E32" s="122">
        <f t="shared" si="16"/>
        <v>68750</v>
      </c>
      <c r="F32" s="411">
        <f>'Chi NSH'!P14</f>
        <v>4110</v>
      </c>
      <c r="G32" s="411"/>
      <c r="H32" s="122">
        <f t="shared" si="18"/>
        <v>4110</v>
      </c>
      <c r="I32" s="411"/>
      <c r="J32" s="411"/>
      <c r="K32" s="122">
        <f t="shared" si="19"/>
        <v>0</v>
      </c>
      <c r="L32" s="411">
        <f>'Chi NSH'!AF14</f>
        <v>430</v>
      </c>
      <c r="M32" s="411"/>
      <c r="N32" s="122">
        <f t="shared" si="20"/>
        <v>430</v>
      </c>
      <c r="O32" s="411">
        <f>'Chi NSH'!AN14</f>
        <v>1130</v>
      </c>
      <c r="P32" s="411"/>
      <c r="Q32" s="122">
        <f t="shared" si="21"/>
        <v>1130</v>
      </c>
      <c r="R32" s="411">
        <f>'Chi NSH'!AV14</f>
        <v>14870</v>
      </c>
      <c r="S32" s="411"/>
      <c r="T32" s="122">
        <f t="shared" si="22"/>
        <v>14870</v>
      </c>
      <c r="U32" s="411">
        <f>'Chi NSH'!BD14</f>
        <v>0</v>
      </c>
      <c r="V32" s="411"/>
      <c r="W32" s="122">
        <f t="shared" si="23"/>
        <v>0</v>
      </c>
      <c r="X32" s="411">
        <f>'Chi NSH'!BL14</f>
        <v>6250</v>
      </c>
      <c r="Y32" s="411"/>
      <c r="Z32" s="411">
        <f>X32</f>
        <v>6250</v>
      </c>
      <c r="AA32" s="411">
        <f>'Chi NSH'!BT14</f>
        <v>5540</v>
      </c>
      <c r="AB32" s="411"/>
      <c r="AC32" s="411">
        <f>AA32</f>
        <v>5540</v>
      </c>
      <c r="AD32" s="411">
        <f>'Chi NSH'!CB14</f>
        <v>0</v>
      </c>
      <c r="AE32" s="411"/>
      <c r="AF32" s="411">
        <f>AD32</f>
        <v>0</v>
      </c>
      <c r="AG32" s="411">
        <f>'Chi NSH'!CJ14</f>
        <v>9350</v>
      </c>
      <c r="AH32" s="411"/>
      <c r="AI32" s="411">
        <f>AG32</f>
        <v>9350</v>
      </c>
      <c r="AJ32" s="411">
        <f>'Chi NSH'!CR14</f>
        <v>21940</v>
      </c>
      <c r="AK32" s="411"/>
      <c r="AL32" s="411">
        <f>AJ32</f>
        <v>21940</v>
      </c>
      <c r="AM32" s="411">
        <f>'Chi NSH'!CZ14</f>
        <v>5130</v>
      </c>
      <c r="AN32" s="411"/>
      <c r="AO32" s="411">
        <f>AM32</f>
        <v>5130</v>
      </c>
    </row>
    <row r="33" spans="1:41">
      <c r="A33" s="115"/>
      <c r="B33" s="115" t="s">
        <v>830</v>
      </c>
      <c r="C33" s="125"/>
      <c r="D33" s="125"/>
      <c r="E33" s="125">
        <f t="shared" si="16"/>
        <v>4355211</v>
      </c>
      <c r="F33" s="125"/>
      <c r="G33" s="125"/>
      <c r="H33" s="125">
        <f>SUM(H5,H22,H32)</f>
        <v>332855</v>
      </c>
      <c r="I33" s="125"/>
      <c r="J33" s="125"/>
      <c r="K33" s="125">
        <f>SUM(K5,K22,K32)</f>
        <v>256580</v>
      </c>
      <c r="L33" s="125"/>
      <c r="M33" s="125"/>
      <c r="N33" s="125">
        <f>SUM(N5,N22,N32)</f>
        <v>309955</v>
      </c>
      <c r="O33" s="125"/>
      <c r="P33" s="125"/>
      <c r="Q33" s="125">
        <f>SUM(Q5,Q22,Q32)</f>
        <v>305360</v>
      </c>
      <c r="R33" s="125"/>
      <c r="S33" s="125"/>
      <c r="T33" s="125">
        <f>SUM(T5,T22,T32)</f>
        <v>364735</v>
      </c>
      <c r="U33" s="125"/>
      <c r="V33" s="125"/>
      <c r="W33" s="125">
        <f>SUM(W5,W22,W32)</f>
        <v>369990</v>
      </c>
      <c r="X33" s="125"/>
      <c r="Y33" s="125"/>
      <c r="Z33" s="125">
        <f>SUM(Z5,Z22,Z32)</f>
        <v>485528</v>
      </c>
      <c r="AA33" s="125"/>
      <c r="AB33" s="125"/>
      <c r="AC33" s="125">
        <f>SUM(AC5,AC22,AC32)</f>
        <v>392969</v>
      </c>
      <c r="AD33" s="125"/>
      <c r="AE33" s="125"/>
      <c r="AF33" s="125">
        <f>SUM(AF5,AF22,AF32)</f>
        <v>431180</v>
      </c>
      <c r="AG33" s="125"/>
      <c r="AH33" s="125"/>
      <c r="AI33" s="125">
        <f>SUM(AI5,AI22,AI32)</f>
        <v>355514</v>
      </c>
      <c r="AJ33" s="125"/>
      <c r="AK33" s="125"/>
      <c r="AL33" s="125">
        <f>SUM(AL5,AL22,AL32)</f>
        <v>393945</v>
      </c>
      <c r="AM33" s="125"/>
      <c r="AN33" s="125"/>
      <c r="AO33" s="125">
        <f>SUM(AO5,AO22,AO32)</f>
        <v>356600</v>
      </c>
    </row>
    <row r="35" spans="1:41">
      <c r="E35" s="60">
        <f>+E5/C5%</f>
        <v>83.616604020264745</v>
      </c>
    </row>
  </sheetData>
  <mergeCells count="17">
    <mergeCell ref="L3:N3"/>
    <mergeCell ref="O3:Q3"/>
    <mergeCell ref="R3:T3"/>
    <mergeCell ref="AG3:AI3"/>
    <mergeCell ref="AJ3:AL3"/>
    <mergeCell ref="U3:W3"/>
    <mergeCell ref="X3:Z3"/>
    <mergeCell ref="A3:A4"/>
    <mergeCell ref="B3:B4"/>
    <mergeCell ref="C3:E3"/>
    <mergeCell ref="F3:H3"/>
    <mergeCell ref="I3:K3"/>
    <mergeCell ref="AA3:AC3"/>
    <mergeCell ref="AD3:AF3"/>
    <mergeCell ref="U2:W2"/>
    <mergeCell ref="AM2:AO2"/>
    <mergeCell ref="AM3:AO3"/>
  </mergeCells>
  <phoneticPr fontId="2" type="noConversion"/>
  <printOptions horizontalCentered="1"/>
  <pageMargins left="0" right="0" top="0.39370078740157483" bottom="0.39370078740157483" header="0.19685039370078741" footer="0.19685039370078741"/>
  <pageSetup paperSize="9" scale="70" orientation="landscape" r:id="rId1"/>
  <headerFooter alignWithMargins="0">
    <oddHeader>&amp;R&amp;A</oddHeader>
  </headerFooter>
  <ignoredErrors>
    <ignoredError sqref="AM6 I6 L6 R6 X6 AA6 AD6 AG6" formulaRange="1"/>
    <ignoredError sqref="D9:D21" formula="1"/>
  </ignoredErrors>
  <legacyDrawing r:id="rId2"/>
</worksheet>
</file>

<file path=xl/worksheets/sheet5.xml><?xml version="1.0" encoding="utf-8"?>
<worksheet xmlns="http://schemas.openxmlformats.org/spreadsheetml/2006/main" xmlns:r="http://schemas.openxmlformats.org/officeDocument/2006/relationships">
  <sheetPr codeName="Sheet3">
    <tabColor theme="1"/>
    <pageSetUpPr fitToPage="1"/>
  </sheetPr>
  <dimension ref="A1:S76"/>
  <sheetViews>
    <sheetView zoomScale="80" workbookViewId="0">
      <pane xSplit="3" ySplit="6" topLeftCell="D1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6.5"/>
  <cols>
    <col min="1" max="1" width="4.25" style="68" customWidth="1"/>
    <col min="2" max="2" width="33.25" style="64" customWidth="1"/>
    <col min="3" max="3" width="10.625" style="64" customWidth="1"/>
    <col min="4" max="5" width="9.625" style="64" customWidth="1"/>
    <col min="6" max="6" width="9.375" style="64" customWidth="1"/>
    <col min="7" max="7" width="10.375" style="64" customWidth="1"/>
    <col min="8" max="8" width="9.25" style="64" customWidth="1"/>
    <col min="9" max="9" width="9.75" style="64" customWidth="1"/>
    <col min="10" max="10" width="9.625" style="64" customWidth="1"/>
    <col min="11" max="11" width="9.125" style="64" customWidth="1"/>
    <col min="12" max="12" width="17.5" style="64" customWidth="1"/>
    <col min="13" max="13" width="16.375" style="64" customWidth="1"/>
    <col min="14" max="14" width="13.875" style="64" customWidth="1"/>
    <col min="15" max="15" width="16.625" style="64" customWidth="1"/>
    <col min="16" max="16" width="17" style="64" customWidth="1"/>
    <col min="17" max="17" width="16.75" style="64" customWidth="1"/>
    <col min="18" max="16384" width="9" style="64"/>
  </cols>
  <sheetData>
    <row r="1" spans="1:19" ht="34.5" customHeight="1">
      <c r="A1" s="681" t="s">
        <v>959</v>
      </c>
      <c r="B1" s="682"/>
      <c r="C1" s="682"/>
      <c r="D1" s="682"/>
      <c r="E1" s="682"/>
      <c r="F1" s="682"/>
      <c r="G1" s="682"/>
      <c r="H1" s="682"/>
      <c r="I1" s="682"/>
      <c r="J1" s="682"/>
      <c r="K1" s="682"/>
      <c r="L1" s="61"/>
      <c r="M1" s="61"/>
      <c r="N1" s="61"/>
      <c r="O1" s="61"/>
      <c r="P1" s="61"/>
      <c r="Q1" s="61"/>
    </row>
    <row r="2" spans="1:19">
      <c r="A2" s="18"/>
      <c r="B2" s="18"/>
      <c r="C2" s="18"/>
      <c r="D2" s="18"/>
      <c r="E2" s="18"/>
      <c r="F2" s="18"/>
      <c r="G2" s="61"/>
      <c r="H2" s="5"/>
      <c r="I2" s="683" t="s">
        <v>728</v>
      </c>
      <c r="J2" s="683"/>
      <c r="K2" s="683"/>
      <c r="L2" s="61"/>
      <c r="M2" s="61"/>
      <c r="N2" s="61"/>
      <c r="O2" s="61"/>
      <c r="P2" s="61"/>
      <c r="Q2" s="61"/>
    </row>
    <row r="3" spans="1:19" s="65" customFormat="1" ht="17.25" customHeight="1">
      <c r="A3" s="684" t="s">
        <v>689</v>
      </c>
      <c r="B3" s="684" t="s">
        <v>690</v>
      </c>
      <c r="C3" s="686" t="s">
        <v>620</v>
      </c>
      <c r="D3" s="686"/>
      <c r="E3" s="686"/>
      <c r="F3" s="678" t="s">
        <v>868</v>
      </c>
      <c r="G3" s="679"/>
      <c r="H3" s="680"/>
      <c r="I3" s="678" t="s">
        <v>869</v>
      </c>
      <c r="J3" s="679"/>
      <c r="K3" s="680"/>
      <c r="L3" s="678" t="s">
        <v>870</v>
      </c>
      <c r="M3" s="679"/>
      <c r="N3" s="680"/>
      <c r="O3" s="678" t="s">
        <v>871</v>
      </c>
      <c r="P3" s="679"/>
      <c r="Q3" s="680"/>
    </row>
    <row r="4" spans="1:19" s="65" customFormat="1">
      <c r="A4" s="685"/>
      <c r="B4" s="685"/>
      <c r="C4" s="62" t="s">
        <v>691</v>
      </c>
      <c r="D4" s="71" t="s">
        <v>741</v>
      </c>
      <c r="E4" s="71" t="s">
        <v>742</v>
      </c>
      <c r="F4" s="62" t="s">
        <v>691</v>
      </c>
      <c r="G4" s="71" t="s">
        <v>741</v>
      </c>
      <c r="H4" s="71" t="s">
        <v>742</v>
      </c>
      <c r="I4" s="62" t="s">
        <v>691</v>
      </c>
      <c r="J4" s="71" t="s">
        <v>741</v>
      </c>
      <c r="K4" s="71" t="s">
        <v>742</v>
      </c>
      <c r="L4" s="62" t="s">
        <v>691</v>
      </c>
      <c r="M4" s="70" t="s">
        <v>692</v>
      </c>
      <c r="N4" s="70" t="s">
        <v>693</v>
      </c>
      <c r="O4" s="62" t="s">
        <v>691</v>
      </c>
      <c r="P4" s="70" t="s">
        <v>692</v>
      </c>
      <c r="Q4" s="70" t="s">
        <v>693</v>
      </c>
    </row>
    <row r="5" spans="1:19" s="65" customFormat="1" hidden="1">
      <c r="A5" s="72" t="s">
        <v>639</v>
      </c>
      <c r="B5" s="76" t="s">
        <v>642</v>
      </c>
      <c r="C5" s="77">
        <f>'Phụ lục số 1'!C13</f>
        <v>3345220</v>
      </c>
      <c r="D5" s="77" t="e">
        <f>C5-E5</f>
        <v>#REF!</v>
      </c>
      <c r="E5" s="77" t="e">
        <f>#REF!</f>
        <v>#REF!</v>
      </c>
      <c r="F5" s="77">
        <f>'Phụ lục số 1'!H13</f>
        <v>2597700</v>
      </c>
      <c r="G5" s="77" t="e">
        <f>F5-H5</f>
        <v>#REF!</v>
      </c>
      <c r="H5" s="77" t="e">
        <f>#REF!</f>
        <v>#REF!</v>
      </c>
      <c r="I5" s="77">
        <f>'Phụ lục số 1'!N13</f>
        <v>2873000</v>
      </c>
      <c r="J5" s="77" t="e">
        <f>I5-K5</f>
        <v>#REF!</v>
      </c>
      <c r="K5" s="77" t="e">
        <f>#REF!</f>
        <v>#REF!</v>
      </c>
      <c r="L5" s="77"/>
      <c r="M5" s="77"/>
      <c r="N5" s="77"/>
      <c r="O5" s="77"/>
      <c r="P5" s="77"/>
      <c r="Q5" s="77"/>
    </row>
    <row r="6" spans="1:19" s="65" customFormat="1">
      <c r="A6" s="72" t="s">
        <v>639</v>
      </c>
      <c r="B6" s="76" t="s">
        <v>729</v>
      </c>
      <c r="C6" s="388">
        <f t="shared" ref="C6:C16" si="0">SUM(D6:E6)</f>
        <v>7049292</v>
      </c>
      <c r="D6" s="388">
        <f t="shared" ref="D6:K6" si="1">SUM(D7,D10,D14,D15,D16)</f>
        <v>5470502</v>
      </c>
      <c r="E6" s="388">
        <f t="shared" si="1"/>
        <v>1578790</v>
      </c>
      <c r="F6" s="388">
        <f t="shared" si="1"/>
        <v>6685772</v>
      </c>
      <c r="G6" s="388">
        <f t="shared" si="1"/>
        <v>5697607</v>
      </c>
      <c r="H6" s="388">
        <f t="shared" si="1"/>
        <v>988165</v>
      </c>
      <c r="I6" s="388">
        <f t="shared" si="1"/>
        <v>7506934</v>
      </c>
      <c r="J6" s="388">
        <f t="shared" si="1"/>
        <v>6414884</v>
      </c>
      <c r="K6" s="388">
        <f t="shared" si="1"/>
        <v>1092050</v>
      </c>
      <c r="L6" s="389" t="s">
        <v>873</v>
      </c>
      <c r="M6" s="390"/>
      <c r="N6" s="391"/>
      <c r="O6" s="389" t="s">
        <v>872</v>
      </c>
      <c r="P6" s="390"/>
      <c r="Q6" s="391"/>
    </row>
    <row r="7" spans="1:19" s="65" customFormat="1">
      <c r="A7" s="81" t="s">
        <v>641</v>
      </c>
      <c r="B7" s="82" t="s">
        <v>694</v>
      </c>
      <c r="C7" s="392">
        <f t="shared" si="0"/>
        <v>3251820</v>
      </c>
      <c r="D7" s="392">
        <f>'Phụ lục số 1'!F13</f>
        <v>1735230</v>
      </c>
      <c r="E7" s="392">
        <f>'Phụ lục số 1'!G12</f>
        <v>1516590</v>
      </c>
      <c r="F7" s="392">
        <f t="shared" ref="F7:F16" si="2">SUM(G7:H7)</f>
        <v>2488300</v>
      </c>
      <c r="G7" s="392">
        <f>'Phụ lục số 1'!L13</f>
        <v>1562335</v>
      </c>
      <c r="H7" s="392">
        <f>'Phụ lục số 1'!M13</f>
        <v>925965</v>
      </c>
      <c r="I7" s="392">
        <f t="shared" ref="I7:I16" si="3">SUM(J7:K7)</f>
        <v>2754600</v>
      </c>
      <c r="J7" s="392">
        <f>'Phụ lục số 1'!R13</f>
        <v>1731300</v>
      </c>
      <c r="K7" s="392">
        <f>'Phụ lục số 1'!S13</f>
        <v>1023300</v>
      </c>
      <c r="L7" s="388">
        <f>M7+N7</f>
        <v>-763520</v>
      </c>
      <c r="M7" s="388">
        <f>G7-D7</f>
        <v>-172895</v>
      </c>
      <c r="N7" s="388">
        <f>H7-E7</f>
        <v>-590625</v>
      </c>
      <c r="O7" s="388">
        <f>I7-C7</f>
        <v>-497220</v>
      </c>
      <c r="P7" s="388">
        <f>J7-D7</f>
        <v>-3930</v>
      </c>
      <c r="Q7" s="388">
        <f>K7-E7</f>
        <v>-493290</v>
      </c>
    </row>
    <row r="8" spans="1:19" s="65" customFormat="1">
      <c r="A8" s="81"/>
      <c r="B8" s="82" t="s">
        <v>730</v>
      </c>
      <c r="C8" s="392">
        <f t="shared" si="0"/>
        <v>350000</v>
      </c>
      <c r="D8" s="392">
        <f>'Phụ lục số 1'!F48</f>
        <v>0</v>
      </c>
      <c r="E8" s="392">
        <f>'Phụ lục số 1'!G48</f>
        <v>350000</v>
      </c>
      <c r="F8" s="392">
        <f t="shared" si="2"/>
        <v>200000</v>
      </c>
      <c r="G8" s="392">
        <f>'Phụ lục số 1'!L48</f>
        <v>0</v>
      </c>
      <c r="H8" s="392">
        <f>'Phụ lục số 1'!M48</f>
        <v>200000</v>
      </c>
      <c r="I8" s="392">
        <f t="shared" si="3"/>
        <v>250000</v>
      </c>
      <c r="J8" s="392">
        <f>'Phụ lục số 1'!R48</f>
        <v>0</v>
      </c>
      <c r="K8" s="392">
        <f>'Phụ lục số 1'!S48</f>
        <v>250000</v>
      </c>
      <c r="L8" s="389" t="s">
        <v>737</v>
      </c>
      <c r="M8" s="390"/>
      <c r="N8" s="391"/>
      <c r="O8" s="389" t="s">
        <v>737</v>
      </c>
      <c r="P8" s="390"/>
      <c r="Q8" s="391"/>
    </row>
    <row r="9" spans="1:19" s="65" customFormat="1">
      <c r="A9" s="81"/>
      <c r="B9" s="82" t="s">
        <v>731</v>
      </c>
      <c r="C9" s="392">
        <f t="shared" si="0"/>
        <v>2901820</v>
      </c>
      <c r="D9" s="392">
        <f>D7-D8</f>
        <v>1735230</v>
      </c>
      <c r="E9" s="392">
        <f>E7-E8</f>
        <v>1166590</v>
      </c>
      <c r="F9" s="392">
        <f t="shared" si="2"/>
        <v>2288300</v>
      </c>
      <c r="G9" s="392">
        <f>G7-G8</f>
        <v>1562335</v>
      </c>
      <c r="H9" s="392">
        <f>H7-H8</f>
        <v>725965</v>
      </c>
      <c r="I9" s="392">
        <f t="shared" si="3"/>
        <v>2504600</v>
      </c>
      <c r="J9" s="392">
        <f>J7-J8</f>
        <v>1731300</v>
      </c>
      <c r="K9" s="392">
        <f>K7-K8</f>
        <v>773300</v>
      </c>
      <c r="L9" s="388">
        <f>M9+N9</f>
        <v>-150000</v>
      </c>
      <c r="M9" s="388">
        <f>G8-D8</f>
        <v>0</v>
      </c>
      <c r="N9" s="388">
        <f>H8-E8</f>
        <v>-150000</v>
      </c>
      <c r="O9" s="388">
        <f>P9+Q9</f>
        <v>-100000</v>
      </c>
      <c r="P9" s="388">
        <f>J8-D8</f>
        <v>0</v>
      </c>
      <c r="Q9" s="388">
        <f>K8-E8</f>
        <v>-100000</v>
      </c>
    </row>
    <row r="10" spans="1:19" s="65" customFormat="1">
      <c r="A10" s="81" t="s">
        <v>654</v>
      </c>
      <c r="B10" s="82" t="s">
        <v>695</v>
      </c>
      <c r="C10" s="392">
        <f t="shared" si="0"/>
        <v>3335272</v>
      </c>
      <c r="D10" s="392">
        <f>'Phụ lục số 1'!F56</f>
        <v>3335272</v>
      </c>
      <c r="E10" s="392"/>
      <c r="F10" s="392">
        <f t="shared" si="2"/>
        <v>3335272</v>
      </c>
      <c r="G10" s="392">
        <f>'Phụ lục số 1'!L56</f>
        <v>3335272</v>
      </c>
      <c r="H10" s="392"/>
      <c r="I10" s="392">
        <f t="shared" si="3"/>
        <v>3995484</v>
      </c>
      <c r="J10" s="392">
        <f>J11+J12</f>
        <v>3995484</v>
      </c>
      <c r="K10" s="392"/>
      <c r="L10" s="389" t="s">
        <v>735</v>
      </c>
      <c r="M10" s="390"/>
      <c r="N10" s="391"/>
      <c r="O10" s="389" t="s">
        <v>735</v>
      </c>
      <c r="P10" s="390"/>
      <c r="Q10" s="391"/>
    </row>
    <row r="11" spans="1:19" s="65" customFormat="1">
      <c r="A11" s="81">
        <v>1</v>
      </c>
      <c r="B11" s="82" t="s">
        <v>808</v>
      </c>
      <c r="C11" s="392">
        <f t="shared" si="0"/>
        <v>1174152</v>
      </c>
      <c r="D11" s="392">
        <f>'Phụ lục số 1'!C57</f>
        <v>1174152</v>
      </c>
      <c r="E11" s="392">
        <f>'Phụ lục số 1'!M57</f>
        <v>0</v>
      </c>
      <c r="F11" s="392">
        <f t="shared" si="2"/>
        <v>1174152</v>
      </c>
      <c r="G11" s="392">
        <f>'Phụ lục số 1'!L57</f>
        <v>1174152</v>
      </c>
      <c r="H11" s="392">
        <f>'Phụ lục số 1'!M57</f>
        <v>0</v>
      </c>
      <c r="I11" s="392">
        <f t="shared" si="3"/>
        <v>1174152</v>
      </c>
      <c r="J11" s="392">
        <f>'Phụ lục số 1'!R57</f>
        <v>1174152</v>
      </c>
      <c r="K11" s="392">
        <f>'Phụ lục số 1'!S57</f>
        <v>0</v>
      </c>
      <c r="L11" s="389"/>
      <c r="M11" s="390"/>
      <c r="N11" s="391"/>
      <c r="O11" s="389"/>
      <c r="P11" s="390"/>
      <c r="Q11" s="391"/>
    </row>
    <row r="12" spans="1:19" s="65" customFormat="1">
      <c r="A12" s="81">
        <v>2</v>
      </c>
      <c r="B12" s="82" t="s">
        <v>809</v>
      </c>
      <c r="C12" s="392">
        <f t="shared" si="0"/>
        <v>2161120</v>
      </c>
      <c r="D12" s="392">
        <f>'Phụ lục số 1'!C58</f>
        <v>2161120</v>
      </c>
      <c r="E12" s="392">
        <f>'Phụ lục số 1'!M58</f>
        <v>0</v>
      </c>
      <c r="F12" s="392">
        <f t="shared" si="2"/>
        <v>2161120</v>
      </c>
      <c r="G12" s="392">
        <f>'Phụ lục số 1'!L58</f>
        <v>2161120</v>
      </c>
      <c r="H12" s="392">
        <f>'Phụ lục số 1'!M58</f>
        <v>0</v>
      </c>
      <c r="I12" s="392">
        <f t="shared" si="3"/>
        <v>2821332</v>
      </c>
      <c r="J12" s="392">
        <f>'Phụ lục số 1'!R58</f>
        <v>2821332</v>
      </c>
      <c r="K12" s="392">
        <f>'Phụ lục số 1'!S58</f>
        <v>0</v>
      </c>
      <c r="L12" s="389"/>
      <c r="M12" s="390"/>
      <c r="N12" s="391"/>
      <c r="O12" s="389"/>
      <c r="P12" s="390"/>
      <c r="Q12" s="391"/>
    </row>
    <row r="13" spans="1:19" s="65" customFormat="1">
      <c r="A13" s="81"/>
      <c r="B13" s="82" t="s">
        <v>810</v>
      </c>
      <c r="C13" s="392">
        <f t="shared" si="0"/>
        <v>0</v>
      </c>
      <c r="D13" s="392"/>
      <c r="E13" s="392">
        <v>0</v>
      </c>
      <c r="F13" s="392">
        <f t="shared" si="2"/>
        <v>0</v>
      </c>
      <c r="G13" s="392"/>
      <c r="H13" s="392">
        <v>0</v>
      </c>
      <c r="I13" s="392">
        <f t="shared" si="3"/>
        <v>0</v>
      </c>
      <c r="J13" s="392">
        <v>0</v>
      </c>
      <c r="K13" s="392">
        <v>0</v>
      </c>
      <c r="L13" s="389"/>
      <c r="M13" s="390"/>
      <c r="N13" s="391"/>
      <c r="O13" s="389"/>
      <c r="P13" s="390"/>
      <c r="Q13" s="391"/>
    </row>
    <row r="14" spans="1:19" s="65" customFormat="1">
      <c r="A14" s="81" t="s">
        <v>685</v>
      </c>
      <c r="B14" s="82" t="s">
        <v>749</v>
      </c>
      <c r="C14" s="392">
        <f t="shared" si="0"/>
        <v>400000</v>
      </c>
      <c r="D14" s="392">
        <f>'Phụ lục số 1'!F63</f>
        <v>400000</v>
      </c>
      <c r="E14" s="392">
        <v>0</v>
      </c>
      <c r="F14" s="392">
        <f t="shared" si="2"/>
        <v>800000</v>
      </c>
      <c r="G14" s="392">
        <f>'Phụ lục số 1'!L63</f>
        <v>800000</v>
      </c>
      <c r="H14" s="392">
        <f>'Phụ lục số 1'!M63</f>
        <v>0</v>
      </c>
      <c r="I14" s="392">
        <f t="shared" si="3"/>
        <v>600000</v>
      </c>
      <c r="J14" s="392">
        <f>'Phụ lục số 1'!R63</f>
        <v>600000</v>
      </c>
      <c r="K14" s="392">
        <f>'Phụ lục số 1'!S63</f>
        <v>0</v>
      </c>
      <c r="L14" s="388">
        <f>M14+N14</f>
        <v>-613520</v>
      </c>
      <c r="M14" s="388">
        <f>G9-D9</f>
        <v>-172895</v>
      </c>
      <c r="N14" s="388">
        <f>N7-N9</f>
        <v>-440625</v>
      </c>
      <c r="O14" s="388">
        <f>P14+Q14</f>
        <v>-397220</v>
      </c>
      <c r="P14" s="388">
        <f>J9-D9</f>
        <v>-3930</v>
      </c>
      <c r="Q14" s="388">
        <f>K9-E9</f>
        <v>-393290</v>
      </c>
      <c r="S14" s="542"/>
    </row>
    <row r="15" spans="1:19" s="66" customFormat="1">
      <c r="A15" s="81" t="s">
        <v>686</v>
      </c>
      <c r="B15" s="82" t="s">
        <v>765</v>
      </c>
      <c r="C15" s="392">
        <f t="shared" si="0"/>
        <v>62200</v>
      </c>
      <c r="D15" s="392">
        <f>'Phụ lục số 1'!F64</f>
        <v>0</v>
      </c>
      <c r="E15" s="392">
        <f>'Phụ lục số 1'!G64</f>
        <v>62200</v>
      </c>
      <c r="F15" s="392">
        <f t="shared" si="2"/>
        <v>62200</v>
      </c>
      <c r="G15" s="392">
        <f>'Phụ lục số 1'!L64</f>
        <v>0</v>
      </c>
      <c r="H15" s="392">
        <f>'Phụ lục số 1'!M64</f>
        <v>62200</v>
      </c>
      <c r="I15" s="392">
        <f t="shared" si="3"/>
        <v>156850</v>
      </c>
      <c r="J15" s="392">
        <f>'Phụ lục số 1'!R64</f>
        <v>88100</v>
      </c>
      <c r="K15" s="392">
        <f>'Phụ lục số 1'!S64</f>
        <v>68750</v>
      </c>
      <c r="L15" s="389" t="s">
        <v>736</v>
      </c>
      <c r="M15" s="390"/>
      <c r="N15" s="391"/>
      <c r="O15" s="389" t="s">
        <v>736</v>
      </c>
      <c r="P15" s="390"/>
      <c r="Q15" s="391"/>
    </row>
    <row r="16" spans="1:19" s="66" customFormat="1">
      <c r="A16" s="81" t="s">
        <v>711</v>
      </c>
      <c r="B16" s="75" t="s">
        <v>583</v>
      </c>
      <c r="C16" s="392">
        <f t="shared" si="0"/>
        <v>0</v>
      </c>
      <c r="D16" s="392">
        <f>'Phụ lục số 1'!F65</f>
        <v>0</v>
      </c>
      <c r="E16" s="392">
        <f>'Phụ lục số 1'!G65</f>
        <v>0</v>
      </c>
      <c r="F16" s="392">
        <f t="shared" si="2"/>
        <v>0</v>
      </c>
      <c r="G16" s="392">
        <f>'Phụ lục số 1'!L65</f>
        <v>0</v>
      </c>
      <c r="H16" s="392">
        <f>'Phụ lục số 1'!M65</f>
        <v>0</v>
      </c>
      <c r="I16" s="392">
        <f t="shared" si="3"/>
        <v>0</v>
      </c>
      <c r="J16" s="392">
        <f>'Phụ lục số 1'!R65</f>
        <v>0</v>
      </c>
      <c r="K16" s="392">
        <f>'Phụ lục số 1'!S65</f>
        <v>0</v>
      </c>
      <c r="L16" s="388">
        <f>M16+N16</f>
        <v>0</v>
      </c>
      <c r="M16" s="388"/>
      <c r="N16" s="388"/>
      <c r="O16" s="388"/>
      <c r="P16" s="388"/>
      <c r="Q16" s="388"/>
      <c r="S16" s="587"/>
    </row>
    <row r="17" spans="1:17" s="65" customFormat="1">
      <c r="A17" s="72" t="s">
        <v>657</v>
      </c>
      <c r="B17" s="76" t="s">
        <v>761</v>
      </c>
      <c r="C17" s="388">
        <f t="shared" ref="C17:K17" si="4">SUM(C18:C22,C27:C35)</f>
        <v>7049292.2653913042</v>
      </c>
      <c r="D17" s="388">
        <f t="shared" si="4"/>
        <v>2789696.2653913042</v>
      </c>
      <c r="E17" s="388">
        <f t="shared" si="4"/>
        <v>4259596</v>
      </c>
      <c r="F17" s="388">
        <f t="shared" si="4"/>
        <v>7206472.1349565219</v>
      </c>
      <c r="G17" s="388">
        <f t="shared" si="4"/>
        <v>3155736.1349565219</v>
      </c>
      <c r="H17" s="388">
        <f t="shared" si="4"/>
        <v>4050736</v>
      </c>
      <c r="I17" s="388">
        <f t="shared" si="4"/>
        <v>7506934</v>
      </c>
      <c r="J17" s="388">
        <f t="shared" si="4"/>
        <v>3151723</v>
      </c>
      <c r="K17" s="388">
        <f t="shared" si="4"/>
        <v>4355211</v>
      </c>
      <c r="L17" s="388"/>
      <c r="M17" s="388"/>
      <c r="N17" s="388"/>
      <c r="O17" s="520"/>
      <c r="P17" s="388"/>
      <c r="Q17" s="388"/>
    </row>
    <row r="18" spans="1:17" s="65" customFormat="1">
      <c r="A18" s="81" t="s">
        <v>641</v>
      </c>
      <c r="B18" s="82" t="s">
        <v>667</v>
      </c>
      <c r="C18" s="392">
        <f t="shared" ref="C18:C35" si="5">SUM(D18:E18)</f>
        <v>423000</v>
      </c>
      <c r="D18" s="392">
        <f>'Phụ lục số 2'!D14</f>
        <v>208000</v>
      </c>
      <c r="E18" s="392">
        <f>'Phụ lục số 2'!E14</f>
        <v>215000</v>
      </c>
      <c r="F18" s="392">
        <f t="shared" ref="F18:F35" si="6">SUM(G18:H18)</f>
        <v>423000</v>
      </c>
      <c r="G18" s="392">
        <f>'Phụ lục số 2'!I14</f>
        <v>208000</v>
      </c>
      <c r="H18" s="392">
        <f>'Phụ lục số 2'!J14</f>
        <v>215000</v>
      </c>
      <c r="I18" s="392">
        <f t="shared" ref="I18:I35" si="7">SUM(J18:K18)</f>
        <v>423000</v>
      </c>
      <c r="J18" s="392">
        <f>'Phụ lục số 2'!N14</f>
        <v>210000</v>
      </c>
      <c r="K18" s="392">
        <f>'Phụ lục số 2'!O14</f>
        <v>213000</v>
      </c>
      <c r="L18" s="388"/>
      <c r="M18" s="388"/>
      <c r="N18" s="388"/>
      <c r="O18" s="520"/>
      <c r="P18" s="388"/>
      <c r="Q18" s="388"/>
    </row>
    <row r="19" spans="1:17" s="65" customFormat="1">
      <c r="A19" s="81" t="s">
        <v>654</v>
      </c>
      <c r="B19" s="82" t="s">
        <v>696</v>
      </c>
      <c r="C19" s="392">
        <f t="shared" si="5"/>
        <v>350000</v>
      </c>
      <c r="D19" s="392">
        <f>'Phụ lục số 2'!D15</f>
        <v>0</v>
      </c>
      <c r="E19" s="392">
        <f>E8</f>
        <v>350000</v>
      </c>
      <c r="F19" s="392">
        <f t="shared" si="6"/>
        <v>200000</v>
      </c>
      <c r="G19" s="392">
        <f>'Phụ lục số 2'!I15</f>
        <v>0</v>
      </c>
      <c r="H19" s="392">
        <f>H8</f>
        <v>200000</v>
      </c>
      <c r="I19" s="392">
        <f t="shared" si="7"/>
        <v>250000</v>
      </c>
      <c r="J19" s="392">
        <f>'Phụ lục số 2'!N15</f>
        <v>0</v>
      </c>
      <c r="K19" s="392">
        <f>K8</f>
        <v>250000</v>
      </c>
      <c r="L19" s="388"/>
      <c r="M19" s="388"/>
      <c r="N19" s="388"/>
      <c r="O19" s="520"/>
      <c r="P19" s="388"/>
      <c r="Q19" s="388"/>
    </row>
    <row r="20" spans="1:17" s="65" customFormat="1">
      <c r="A20" s="81" t="s">
        <v>685</v>
      </c>
      <c r="B20" s="82" t="s">
        <v>806</v>
      </c>
      <c r="C20" s="392">
        <f t="shared" si="5"/>
        <v>0</v>
      </c>
      <c r="D20" s="392">
        <f>'Phụ lục số 2'!D16</f>
        <v>0</v>
      </c>
      <c r="E20" s="392">
        <f>'Phụ lục số 2'!E16</f>
        <v>0</v>
      </c>
      <c r="F20" s="392">
        <f t="shared" si="6"/>
        <v>0</v>
      </c>
      <c r="G20" s="392">
        <f>'Phụ lục số 2'!I16</f>
        <v>0</v>
      </c>
      <c r="H20" s="392">
        <f>'Phụ lục số 2'!J16</f>
        <v>0</v>
      </c>
      <c r="I20" s="392">
        <f t="shared" si="7"/>
        <v>0</v>
      </c>
      <c r="J20" s="392">
        <f>'Phụ lục số 2'!N16</f>
        <v>0</v>
      </c>
      <c r="K20" s="392">
        <f>'Phụ lục số 2'!O16</f>
        <v>0</v>
      </c>
      <c r="L20" s="389"/>
      <c r="M20" s="388"/>
      <c r="N20" s="388"/>
      <c r="O20" s="520"/>
      <c r="P20" s="388"/>
      <c r="Q20" s="388"/>
    </row>
    <row r="21" spans="1:17" s="65" customFormat="1">
      <c r="A21" s="81" t="s">
        <v>686</v>
      </c>
      <c r="B21" s="82" t="s">
        <v>668</v>
      </c>
      <c r="C21" s="392">
        <f t="shared" si="5"/>
        <v>0</v>
      </c>
      <c r="D21" s="392">
        <f>'Phụ lục số 2'!D17</f>
        <v>0</v>
      </c>
      <c r="E21" s="392">
        <f>'Phụ lục số 2'!E17</f>
        <v>0</v>
      </c>
      <c r="F21" s="392">
        <f t="shared" si="6"/>
        <v>0</v>
      </c>
      <c r="G21" s="392">
        <f>'Phụ lục số 2'!I17</f>
        <v>0</v>
      </c>
      <c r="H21" s="392">
        <f>'Phụ lục số 2'!J17</f>
        <v>0</v>
      </c>
      <c r="I21" s="392">
        <f t="shared" si="7"/>
        <v>0</v>
      </c>
      <c r="J21" s="392">
        <f>'Phụ lục số 2'!N17</f>
        <v>0</v>
      </c>
      <c r="K21" s="392">
        <f>'Phụ lục số 2'!O17</f>
        <v>0</v>
      </c>
      <c r="L21" s="388"/>
      <c r="M21" s="388"/>
      <c r="N21" s="388"/>
      <c r="O21" s="520"/>
      <c r="P21" s="388"/>
      <c r="Q21" s="388"/>
    </row>
    <row r="22" spans="1:17" s="65" customFormat="1">
      <c r="A22" s="85" t="s">
        <v>711</v>
      </c>
      <c r="B22" s="86" t="s">
        <v>697</v>
      </c>
      <c r="C22" s="393">
        <f t="shared" si="5"/>
        <v>5227960.2653913042</v>
      </c>
      <c r="D22" s="393">
        <f>'Phụ lục số 2'!D18</f>
        <v>1746850.2653913044</v>
      </c>
      <c r="E22" s="393">
        <f>'Phụ lục số 2'!E18</f>
        <v>3481110</v>
      </c>
      <c r="F22" s="393">
        <f t="shared" si="6"/>
        <v>5249960.1349565219</v>
      </c>
      <c r="G22" s="393">
        <f>'Phụ lục số 2'!I18</f>
        <v>1768850.1349565217</v>
      </c>
      <c r="H22" s="393">
        <f>'Phụ lục số 2'!J18</f>
        <v>3481110</v>
      </c>
      <c r="I22" s="393">
        <f t="shared" si="7"/>
        <v>5584855</v>
      </c>
      <c r="J22" s="393">
        <f>'Phụ lục số 2'!N18</f>
        <v>1926824</v>
      </c>
      <c r="K22" s="393">
        <f>'Phụ lục số 2'!O18</f>
        <v>3658031</v>
      </c>
      <c r="L22" s="388"/>
      <c r="M22" s="388"/>
      <c r="N22" s="388"/>
      <c r="O22" s="520"/>
      <c r="P22" s="520"/>
      <c r="Q22" s="520"/>
    </row>
    <row r="23" spans="1:17" s="65" customFormat="1">
      <c r="A23" s="81"/>
      <c r="B23" s="82" t="s">
        <v>732</v>
      </c>
      <c r="C23" s="392">
        <f t="shared" si="5"/>
        <v>2442615</v>
      </c>
      <c r="D23" s="392">
        <f>'Phụ lục số 2'!D23</f>
        <v>525000</v>
      </c>
      <c r="E23" s="392">
        <f>'Phụ lục số 2'!E23</f>
        <v>1917615</v>
      </c>
      <c r="F23" s="392">
        <f t="shared" si="6"/>
        <v>2442615</v>
      </c>
      <c r="G23" s="392">
        <f>'Phụ lục số 2'!I23</f>
        <v>525000</v>
      </c>
      <c r="H23" s="392">
        <f>'Phụ lục số 2'!J23</f>
        <v>1917615</v>
      </c>
      <c r="I23" s="392">
        <f t="shared" si="7"/>
        <v>2458715</v>
      </c>
      <c r="J23" s="392">
        <f>'Phụ lục số 2'!N23</f>
        <v>522780</v>
      </c>
      <c r="K23" s="392">
        <f>'Phụ lục số 2'!O23</f>
        <v>1935935</v>
      </c>
      <c r="L23" s="388"/>
      <c r="M23" s="388"/>
      <c r="N23" s="388"/>
      <c r="O23" s="520"/>
      <c r="P23" s="520"/>
      <c r="Q23" s="520"/>
    </row>
    <row r="24" spans="1:17" s="65" customFormat="1">
      <c r="A24" s="81"/>
      <c r="B24" s="82" t="s">
        <v>733</v>
      </c>
      <c r="C24" s="392">
        <f t="shared" si="5"/>
        <v>26000</v>
      </c>
      <c r="D24" s="392">
        <f>'Phụ lục số 2'!D22</f>
        <v>24000</v>
      </c>
      <c r="E24" s="392">
        <f>'Phụ lục số 2'!E22</f>
        <v>2000</v>
      </c>
      <c r="F24" s="392">
        <f t="shared" si="6"/>
        <v>26000</v>
      </c>
      <c r="G24" s="392">
        <f>'Phụ lục số 2'!I22</f>
        <v>24000</v>
      </c>
      <c r="H24" s="392">
        <f>'Phụ lục số 2'!J22</f>
        <v>2000</v>
      </c>
      <c r="I24" s="392">
        <f t="shared" si="7"/>
        <v>26000</v>
      </c>
      <c r="J24" s="392">
        <f>'Phụ lục số 2'!N22</f>
        <v>24000</v>
      </c>
      <c r="K24" s="392">
        <f>'Phụ lục số 2'!O22</f>
        <v>2000</v>
      </c>
      <c r="L24" s="388"/>
      <c r="M24" s="388"/>
      <c r="N24" s="388"/>
      <c r="O24" s="520"/>
      <c r="P24" s="520"/>
      <c r="Q24" s="520"/>
    </row>
    <row r="25" spans="1:17" s="65" customFormat="1">
      <c r="A25" s="81"/>
      <c r="B25" s="82" t="s">
        <v>450</v>
      </c>
      <c r="C25" s="392">
        <f t="shared" si="5"/>
        <v>60200.17391304348</v>
      </c>
      <c r="D25" s="392">
        <f>'Phụ lục số 2'!D20</f>
        <v>28380.17391304348</v>
      </c>
      <c r="E25" s="392">
        <f>'Phụ lục số 2'!E20</f>
        <v>31820</v>
      </c>
      <c r="F25" s="392">
        <f t="shared" si="6"/>
        <v>60200</v>
      </c>
      <c r="G25" s="392">
        <f>'Phụ lục số 2'!I20</f>
        <v>28380</v>
      </c>
      <c r="H25" s="392">
        <f>'Phụ lục số 2'!J20</f>
        <v>31820</v>
      </c>
      <c r="I25" s="392">
        <f t="shared" si="7"/>
        <v>60200</v>
      </c>
      <c r="J25" s="392">
        <f>'Phụ lục số 2'!N20</f>
        <v>27167</v>
      </c>
      <c r="K25" s="392">
        <f>'Phụ lục số 2'!O20</f>
        <v>33033</v>
      </c>
      <c r="L25" s="388"/>
      <c r="M25" s="388"/>
      <c r="N25" s="388"/>
      <c r="O25" s="520"/>
      <c r="P25" s="520"/>
      <c r="Q25" s="520"/>
    </row>
    <row r="26" spans="1:17" s="65" customFormat="1">
      <c r="A26" s="81"/>
      <c r="B26" s="82" t="s">
        <v>731</v>
      </c>
      <c r="C26" s="392">
        <f t="shared" si="5"/>
        <v>2699145.0914782612</v>
      </c>
      <c r="D26" s="392">
        <f>D22-D23-D24-D25</f>
        <v>1169470.0914782609</v>
      </c>
      <c r="E26" s="392">
        <f>E22-E23-E24-E25</f>
        <v>1529675</v>
      </c>
      <c r="F26" s="392">
        <f t="shared" si="6"/>
        <v>2721145.1349565219</v>
      </c>
      <c r="G26" s="392">
        <f>G22-G23-G24-G25</f>
        <v>1191470.1349565217</v>
      </c>
      <c r="H26" s="392">
        <f>H22-H23-H24-H25</f>
        <v>1529675</v>
      </c>
      <c r="I26" s="392">
        <f t="shared" si="7"/>
        <v>3039940</v>
      </c>
      <c r="J26" s="392">
        <f>J22-J23-J24-J25</f>
        <v>1352877</v>
      </c>
      <c r="K26" s="392">
        <f>K22-K23-K24-K25</f>
        <v>1687063</v>
      </c>
      <c r="L26" s="388"/>
      <c r="M26" s="388"/>
      <c r="N26" s="388"/>
      <c r="O26" s="520"/>
      <c r="P26" s="520"/>
      <c r="Q26" s="520"/>
    </row>
    <row r="27" spans="1:17" s="66" customFormat="1">
      <c r="A27" s="81" t="s">
        <v>762</v>
      </c>
      <c r="B27" s="83" t="s">
        <v>108</v>
      </c>
      <c r="C27" s="392">
        <f>SUM(D27:E27)</f>
        <v>0</v>
      </c>
      <c r="D27" s="392">
        <f>'Phụ lục số 2'!D35</f>
        <v>0</v>
      </c>
      <c r="E27" s="392">
        <f>'Phụ lục số 2'!E35</f>
        <v>0</v>
      </c>
      <c r="F27" s="392">
        <f>SUM(G27:H27)</f>
        <v>0</v>
      </c>
      <c r="G27" s="392">
        <f>'Phụ lục số 2'!I35</f>
        <v>0</v>
      </c>
      <c r="H27" s="392">
        <f>'Phụ lục số 2'!J35</f>
        <v>0</v>
      </c>
      <c r="I27" s="392">
        <f>SUM(J27:K27)</f>
        <v>0</v>
      </c>
      <c r="J27" s="392">
        <f>'Phụ lục số 2'!N35</f>
        <v>0</v>
      </c>
      <c r="K27" s="392">
        <f>'Phụ lục số 2'!O35</f>
        <v>0</v>
      </c>
      <c r="L27" s="388"/>
      <c r="M27" s="388"/>
      <c r="N27" s="388"/>
      <c r="O27" s="520"/>
      <c r="P27" s="520"/>
      <c r="Q27" s="520"/>
    </row>
    <row r="28" spans="1:17" s="65" customFormat="1">
      <c r="A28" s="81" t="s">
        <v>712</v>
      </c>
      <c r="B28" s="260" t="s">
        <v>787</v>
      </c>
      <c r="C28" s="392">
        <f>SUM(D28:E28)</f>
        <v>0</v>
      </c>
      <c r="D28" s="392">
        <f>'Phụ lục số 2'!D34</f>
        <v>0</v>
      </c>
      <c r="E28" s="392">
        <f>'Phụ lục số 2'!E34</f>
        <v>0</v>
      </c>
      <c r="F28" s="392">
        <f>SUM(G28:H28)</f>
        <v>0</v>
      </c>
      <c r="G28" s="392">
        <f>'Phụ lục số 2'!I34</f>
        <v>0</v>
      </c>
      <c r="H28" s="392">
        <f>'Phụ lục số 2'!J34</f>
        <v>0</v>
      </c>
      <c r="I28" s="392">
        <f>SUM(J28:K28)</f>
        <v>0</v>
      </c>
      <c r="J28" s="392">
        <f>'Phụ lục số 2'!N34</f>
        <v>0</v>
      </c>
      <c r="K28" s="392">
        <f>'Phụ lục số 2'!O34</f>
        <v>0</v>
      </c>
      <c r="L28" s="388"/>
      <c r="M28" s="388"/>
      <c r="N28" s="388"/>
      <c r="O28" s="520"/>
      <c r="P28" s="520"/>
      <c r="Q28" s="520"/>
    </row>
    <row r="29" spans="1:17" s="65" customFormat="1">
      <c r="A29" s="81" t="s">
        <v>763</v>
      </c>
      <c r="B29" s="82" t="s">
        <v>785</v>
      </c>
      <c r="C29" s="392">
        <f t="shared" si="5"/>
        <v>0</v>
      </c>
      <c r="D29" s="392">
        <f>'Phụ lục số 2'!D36</f>
        <v>0</v>
      </c>
      <c r="E29" s="392">
        <f>'Phụ lục số 2'!E36</f>
        <v>0</v>
      </c>
      <c r="F29" s="392">
        <f t="shared" si="6"/>
        <v>0</v>
      </c>
      <c r="G29" s="392">
        <f>'Phụ lục số 2'!I36</f>
        <v>0</v>
      </c>
      <c r="H29" s="392">
        <f>'Phụ lục số 2'!J36</f>
        <v>0</v>
      </c>
      <c r="I29" s="392">
        <f t="shared" si="7"/>
        <v>0</v>
      </c>
      <c r="J29" s="392">
        <f>'Phụ lục số 2'!N36</f>
        <v>0</v>
      </c>
      <c r="K29" s="392">
        <f>'Phụ lục số 2'!O36</f>
        <v>0</v>
      </c>
      <c r="L29" s="388"/>
      <c r="M29" s="388"/>
      <c r="N29" s="388"/>
      <c r="O29" s="520"/>
      <c r="P29" s="520"/>
      <c r="Q29" s="520"/>
    </row>
    <row r="30" spans="1:17" s="65" customFormat="1">
      <c r="A30" s="81" t="s">
        <v>764</v>
      </c>
      <c r="B30" s="82" t="s">
        <v>699</v>
      </c>
      <c r="C30" s="392">
        <f t="shared" si="5"/>
        <v>2000</v>
      </c>
      <c r="D30" s="392">
        <f>'Phụ lục số 2'!D32</f>
        <v>2000</v>
      </c>
      <c r="E30" s="392">
        <f>'Phụ lục số 2'!E32</f>
        <v>0</v>
      </c>
      <c r="F30" s="392">
        <f t="shared" si="6"/>
        <v>2000</v>
      </c>
      <c r="G30" s="392">
        <f>'Phụ lục số 2'!I32</f>
        <v>2000</v>
      </c>
      <c r="H30" s="392">
        <f>'Phụ lục số 2'!J32</f>
        <v>0</v>
      </c>
      <c r="I30" s="392">
        <f t="shared" si="7"/>
        <v>2000</v>
      </c>
      <c r="J30" s="392">
        <f>'Phụ lục số 2'!N32</f>
        <v>2000</v>
      </c>
      <c r="K30" s="392">
        <f>'Phụ lục số 2'!O32</f>
        <v>0</v>
      </c>
      <c r="L30" s="388"/>
      <c r="M30" s="388"/>
      <c r="N30" s="388"/>
      <c r="O30" s="520"/>
      <c r="P30" s="520"/>
      <c r="Q30" s="520"/>
    </row>
    <row r="31" spans="1:17" s="65" customFormat="1">
      <c r="A31" s="87" t="s">
        <v>781</v>
      </c>
      <c r="B31" s="82" t="s">
        <v>726</v>
      </c>
      <c r="C31" s="392">
        <f t="shared" si="5"/>
        <v>114820</v>
      </c>
      <c r="D31" s="392">
        <f>'Phụ lục số 2'!D33</f>
        <v>55960</v>
      </c>
      <c r="E31" s="392">
        <f>'Phụ lục số 2'!E33</f>
        <v>58860</v>
      </c>
      <c r="F31" s="392">
        <f t="shared" si="6"/>
        <v>0</v>
      </c>
      <c r="G31" s="392">
        <f>'Phụ lục số 2'!I33</f>
        <v>0</v>
      </c>
      <c r="H31" s="392">
        <f>'Phụ lục số 2'!J33</f>
        <v>0</v>
      </c>
      <c r="I31" s="392">
        <f t="shared" si="7"/>
        <v>109200</v>
      </c>
      <c r="J31" s="392">
        <f>'Phụ lục số 2'!N33</f>
        <v>52710</v>
      </c>
      <c r="K31" s="392">
        <f>'Phụ lục số 2'!O33</f>
        <v>56490</v>
      </c>
      <c r="L31" s="388"/>
      <c r="M31" s="388"/>
      <c r="N31" s="388"/>
      <c r="O31" s="520"/>
      <c r="P31" s="520"/>
      <c r="Q31" s="520"/>
    </row>
    <row r="32" spans="1:17" s="65" customFormat="1">
      <c r="A32" s="81" t="s">
        <v>782</v>
      </c>
      <c r="B32" s="82" t="s">
        <v>698</v>
      </c>
      <c r="C32" s="392">
        <f t="shared" si="5"/>
        <v>531512</v>
      </c>
      <c r="D32" s="392">
        <f>'Phụ lục số 2'!D37</f>
        <v>495286</v>
      </c>
      <c r="E32" s="392">
        <f>'Phụ lục số 2'!E37</f>
        <v>36226</v>
      </c>
      <c r="F32" s="392">
        <f t="shared" si="6"/>
        <v>531512</v>
      </c>
      <c r="G32" s="392">
        <f>'Phụ lục số 2'!I37</f>
        <v>495286</v>
      </c>
      <c r="H32" s="392">
        <f>'Phụ lục số 2'!J37</f>
        <v>36226</v>
      </c>
      <c r="I32" s="392">
        <f t="shared" si="7"/>
        <v>537879</v>
      </c>
      <c r="J32" s="392">
        <f>'Phụ lục số 2'!N37</f>
        <v>537879</v>
      </c>
      <c r="K32" s="392">
        <f>'Phụ lục số 2'!O37</f>
        <v>0</v>
      </c>
      <c r="L32" s="388"/>
      <c r="M32" s="388"/>
      <c r="N32" s="388"/>
      <c r="O32" s="520"/>
      <c r="P32" s="388"/>
      <c r="Q32" s="388"/>
    </row>
    <row r="33" spans="1:17" s="65" customFormat="1">
      <c r="A33" s="81" t="s">
        <v>784</v>
      </c>
      <c r="B33" s="82" t="s">
        <v>743</v>
      </c>
      <c r="C33" s="392">
        <f t="shared" si="5"/>
        <v>400000</v>
      </c>
      <c r="D33" s="392">
        <f>'Phụ lục số 2'!D42</f>
        <v>281600</v>
      </c>
      <c r="E33" s="392">
        <f>'Phụ lục số 2'!E42</f>
        <v>118400</v>
      </c>
      <c r="F33" s="392">
        <f t="shared" si="6"/>
        <v>800000</v>
      </c>
      <c r="G33" s="392">
        <f>'Phụ lục số 2'!I42</f>
        <v>681600</v>
      </c>
      <c r="H33" s="392">
        <f>'Phụ lục số 2'!J42</f>
        <v>118400</v>
      </c>
      <c r="I33" s="392">
        <f t="shared" si="7"/>
        <v>600000</v>
      </c>
      <c r="J33" s="392">
        <f>'Phụ lục số 2'!N42</f>
        <v>422310</v>
      </c>
      <c r="K33" s="392">
        <f>'Phụ lục số 2'!O42</f>
        <v>177690</v>
      </c>
      <c r="L33" s="388"/>
      <c r="M33" s="388"/>
      <c r="N33" s="388"/>
      <c r="O33" s="520"/>
      <c r="P33" s="388"/>
      <c r="Q33" s="388"/>
    </row>
    <row r="34" spans="1:17" s="65" customFormat="1">
      <c r="A34" s="81" t="s">
        <v>786</v>
      </c>
      <c r="B34" s="75" t="s">
        <v>628</v>
      </c>
      <c r="C34" s="392">
        <f t="shared" si="5"/>
        <v>0</v>
      </c>
      <c r="D34" s="392">
        <f>'Phụ lục số 2'!D43</f>
        <v>0</v>
      </c>
      <c r="E34" s="392">
        <f>'Phụ lục số 2'!E43</f>
        <v>0</v>
      </c>
      <c r="F34" s="392">
        <f t="shared" si="6"/>
        <v>0</v>
      </c>
      <c r="G34" s="392">
        <f>'Phụ lục số 2'!I43</f>
        <v>0</v>
      </c>
      <c r="H34" s="392">
        <f>'Phụ lục số 2'!J43</f>
        <v>0</v>
      </c>
      <c r="I34" s="392">
        <f t="shared" si="7"/>
        <v>0</v>
      </c>
      <c r="J34" s="392">
        <f>'Phụ lục số 2'!N43</f>
        <v>0</v>
      </c>
      <c r="K34" s="392">
        <f>'Phụ lục số 2'!O43</f>
        <v>0</v>
      </c>
      <c r="L34" s="388"/>
      <c r="M34" s="388"/>
      <c r="N34" s="388"/>
      <c r="O34" s="520"/>
      <c r="P34" s="388"/>
      <c r="Q34" s="388"/>
    </row>
    <row r="35" spans="1:17" s="67" customFormat="1">
      <c r="A35" s="81" t="s">
        <v>807</v>
      </c>
      <c r="B35" s="82" t="s">
        <v>783</v>
      </c>
      <c r="C35" s="392">
        <f t="shared" si="5"/>
        <v>0</v>
      </c>
      <c r="D35" s="392">
        <f>E10</f>
        <v>0</v>
      </c>
      <c r="E35" s="392"/>
      <c r="F35" s="392">
        <f t="shared" si="6"/>
        <v>0</v>
      </c>
      <c r="G35" s="392">
        <f>H10</f>
        <v>0</v>
      </c>
      <c r="H35" s="392"/>
      <c r="I35" s="392">
        <f t="shared" si="7"/>
        <v>0</v>
      </c>
      <c r="J35" s="392">
        <f>K10</f>
        <v>0</v>
      </c>
      <c r="K35" s="392"/>
      <c r="L35" s="388"/>
      <c r="M35" s="388"/>
      <c r="N35" s="388"/>
      <c r="O35" s="520"/>
      <c r="P35" s="388"/>
      <c r="Q35" s="388"/>
    </row>
    <row r="36" spans="1:17">
      <c r="A36" s="72" t="s">
        <v>661</v>
      </c>
      <c r="B36" s="76" t="s">
        <v>734</v>
      </c>
      <c r="C36" s="388">
        <f>C6-C17</f>
        <v>-0.26539130415767431</v>
      </c>
      <c r="D36" s="388">
        <f>D6-D17</f>
        <v>2680805.7346086958</v>
      </c>
      <c r="E36" s="388">
        <f>E6-E17</f>
        <v>-2680806</v>
      </c>
      <c r="F36" s="388">
        <f>G36+H36</f>
        <v>-520700.13495652191</v>
      </c>
      <c r="G36" s="388">
        <f>G6-G17</f>
        <v>2541870.8650434781</v>
      </c>
      <c r="H36" s="388">
        <f>H6-H17</f>
        <v>-3062571</v>
      </c>
      <c r="I36" s="388">
        <f>I6-I17</f>
        <v>0</v>
      </c>
      <c r="J36" s="388">
        <f>J6-J17</f>
        <v>3263161</v>
      </c>
      <c r="K36" s="388">
        <f>K6-K17</f>
        <v>-3263161</v>
      </c>
      <c r="L36" s="388"/>
      <c r="M36" s="388"/>
      <c r="N36" s="388"/>
      <c r="O36" s="520"/>
      <c r="P36" s="388"/>
      <c r="Q36" s="388"/>
    </row>
    <row r="37" spans="1:17" hidden="1">
      <c r="G37" s="88"/>
      <c r="I37" s="69"/>
      <c r="J37" s="69"/>
    </row>
    <row r="38" spans="1:17" hidden="1">
      <c r="H38" s="83">
        <f>398590+27000+(2440+132370)+(1800+5592+10800)+50060+6400+31910+(85570+93835)+106747+10000</f>
        <v>963114</v>
      </c>
      <c r="I38" s="69"/>
      <c r="J38" s="69"/>
    </row>
    <row r="39" spans="1:17" hidden="1">
      <c r="I39" s="69"/>
      <c r="J39" s="69"/>
    </row>
    <row r="40" spans="1:17" hidden="1">
      <c r="I40" s="69"/>
    </row>
    <row r="41" spans="1:17" hidden="1">
      <c r="F41" s="89">
        <v>1766377</v>
      </c>
      <c r="I41" s="69"/>
    </row>
    <row r="42" spans="1:17" hidden="1">
      <c r="F42" s="89">
        <v>143760</v>
      </c>
      <c r="I42" s="69"/>
    </row>
    <row r="43" spans="1:17" hidden="1">
      <c r="F43" s="89">
        <f>+F41-F42</f>
        <v>1622617</v>
      </c>
      <c r="G43" s="64">
        <v>1434430</v>
      </c>
      <c r="I43" s="69"/>
    </row>
    <row r="44" spans="1:17" hidden="1">
      <c r="G44" s="64">
        <f>+F43/G43%</f>
        <v>113.11928780072921</v>
      </c>
      <c r="I44" s="69"/>
    </row>
    <row r="45" spans="1:17" hidden="1">
      <c r="G45" s="90">
        <f>+G43/F43%</f>
        <v>88.402253889858173</v>
      </c>
      <c r="I45" s="69"/>
    </row>
    <row r="46" spans="1:17" hidden="1">
      <c r="I46" s="69"/>
    </row>
    <row r="47" spans="1:17" hidden="1">
      <c r="I47" s="69"/>
    </row>
    <row r="48" spans="1:17" hidden="1">
      <c r="F48" s="64">
        <v>430000</v>
      </c>
      <c r="G48" s="88">
        <f>G36+14000</f>
        <v>2555870.8650434781</v>
      </c>
    </row>
    <row r="49" spans="3:12" hidden="1">
      <c r="F49" s="88">
        <f>+F48-G36</f>
        <v>-2111870.8650434781</v>
      </c>
      <c r="G49" s="88">
        <f>400000+M21</f>
        <v>400000</v>
      </c>
    </row>
    <row r="50" spans="3:12" hidden="1">
      <c r="G50" s="88">
        <f>+G49-G48</f>
        <v>-2155870.8650434781</v>
      </c>
      <c r="H50" s="64">
        <f>(877430)-398590</f>
        <v>478840</v>
      </c>
      <c r="I50" s="64">
        <f>(877430)</f>
        <v>877430</v>
      </c>
      <c r="L50" s="64">
        <v>35</v>
      </c>
    </row>
    <row r="51" spans="3:12" hidden="1">
      <c r="H51" s="88">
        <f>+H10-398590</f>
        <v>-398590</v>
      </c>
      <c r="J51" s="64">
        <v>35000</v>
      </c>
      <c r="L51" s="64">
        <v>50</v>
      </c>
    </row>
    <row r="52" spans="3:12" hidden="1">
      <c r="H52" s="88">
        <f>+H51-H50</f>
        <v>-877430</v>
      </c>
      <c r="J52" s="64">
        <v>50000</v>
      </c>
      <c r="L52" s="64">
        <v>15</v>
      </c>
    </row>
    <row r="53" spans="3:12" hidden="1">
      <c r="H53" s="64">
        <f>(142264+32321+24170)+77295</f>
        <v>276050</v>
      </c>
      <c r="J53" s="64">
        <v>30000</v>
      </c>
      <c r="L53" s="64">
        <v>30</v>
      </c>
    </row>
    <row r="54" spans="3:12" hidden="1">
      <c r="H54" s="103">
        <f>+H53+I50</f>
        <v>1153480</v>
      </c>
      <c r="L54" s="64">
        <v>300</v>
      </c>
    </row>
    <row r="55" spans="3:12" hidden="1">
      <c r="J55" s="64">
        <f>SUM(J51:J54)</f>
        <v>115000</v>
      </c>
      <c r="L55" s="64">
        <f>SUM(L50:L54)</f>
        <v>430</v>
      </c>
    </row>
    <row r="56" spans="3:12" hidden="1"/>
    <row r="57" spans="3:12" hidden="1"/>
    <row r="58" spans="3:12" hidden="1">
      <c r="J58" s="88">
        <f>+G36-J55</f>
        <v>2426870.8650434781</v>
      </c>
    </row>
    <row r="61" spans="3:12">
      <c r="C61" s="64">
        <v>2652080</v>
      </c>
      <c r="D61" s="64">
        <v>3196450</v>
      </c>
      <c r="F61" s="519"/>
      <c r="G61" s="519">
        <f>+-E36-G36</f>
        <v>138935.13495652191</v>
      </c>
      <c r="I61" s="519">
        <f>+I17-I32-I33</f>
        <v>6369055</v>
      </c>
    </row>
    <row r="62" spans="3:12">
      <c r="C62" s="519">
        <f>+C7-C61</f>
        <v>599740</v>
      </c>
      <c r="D62" s="64">
        <f>+D61-C61</f>
        <v>544370</v>
      </c>
    </row>
    <row r="63" spans="3:12">
      <c r="C63" s="519">
        <f>C61-200000</f>
        <v>2452080</v>
      </c>
    </row>
    <row r="64" spans="3:12">
      <c r="C64" s="519">
        <f>+C9-C63</f>
        <v>449740</v>
      </c>
      <c r="I64" s="64">
        <f>165+70</f>
        <v>235</v>
      </c>
    </row>
    <row r="65" spans="9:10">
      <c r="I65" s="64">
        <v>350</v>
      </c>
    </row>
    <row r="66" spans="9:10">
      <c r="I66" s="64">
        <f>+I65-I64</f>
        <v>115</v>
      </c>
    </row>
    <row r="67" spans="9:10">
      <c r="J67" s="64">
        <v>226372</v>
      </c>
    </row>
    <row r="68" spans="9:10">
      <c r="I68" s="64">
        <v>384602</v>
      </c>
      <c r="J68" s="64">
        <f>+J67/2</f>
        <v>113186</v>
      </c>
    </row>
    <row r="69" spans="9:10">
      <c r="I69" s="64">
        <v>142260</v>
      </c>
      <c r="J69" s="519"/>
    </row>
    <row r="70" spans="9:10">
      <c r="I70" s="64">
        <v>112611</v>
      </c>
    </row>
    <row r="71" spans="9:10">
      <c r="I71" s="64">
        <f>+I68-I69-I70</f>
        <v>129731</v>
      </c>
      <c r="J71" s="519"/>
    </row>
    <row r="73" spans="9:10">
      <c r="I73" s="64">
        <v>733</v>
      </c>
    </row>
    <row r="74" spans="9:10">
      <c r="I74" s="64">
        <v>375</v>
      </c>
    </row>
    <row r="75" spans="9:10">
      <c r="I75" s="64">
        <f>+I73-I74</f>
        <v>358</v>
      </c>
      <c r="J75" s="64">
        <f>+I75/2</f>
        <v>179</v>
      </c>
    </row>
    <row r="76" spans="9:10">
      <c r="I76" s="64">
        <f>+I75/2</f>
        <v>179</v>
      </c>
    </row>
  </sheetData>
  <mergeCells count="9">
    <mergeCell ref="O3:Q3"/>
    <mergeCell ref="L3:N3"/>
    <mergeCell ref="A1:K1"/>
    <mergeCell ref="I2:K2"/>
    <mergeCell ref="A3:A4"/>
    <mergeCell ref="B3:B4"/>
    <mergeCell ref="C3:E3"/>
    <mergeCell ref="F3:H3"/>
    <mergeCell ref="I3:K3"/>
  </mergeCells>
  <phoneticPr fontId="2" type="noConversion"/>
  <printOptions horizontalCentered="1"/>
  <pageMargins left="0" right="0" top="0.19685039370078741" bottom="0.19685039370078741" header="0.19685039370078741" footer="0.11811023622047245"/>
  <pageSetup paperSize="9" scale="98" orientation="landscape" r:id="rId1"/>
  <headerFooter alignWithMargins="0">
    <oddHeader>&amp;R&amp;"Times New Roman,Bold"&amp;10Phụ lục số 3</oddHeader>
  </headerFooter>
  <ignoredErrors>
    <ignoredError sqref="I9 F26:I26 F36 F9" formula="1"/>
  </ignoredErrors>
  <legacyDrawing r:id="rId2"/>
</worksheet>
</file>

<file path=xl/worksheets/sheet6.xml><?xml version="1.0" encoding="utf-8"?>
<worksheet xmlns="http://schemas.openxmlformats.org/spreadsheetml/2006/main" xmlns:r="http://schemas.openxmlformats.org/officeDocument/2006/relationships">
  <sheetPr codeName="Sheet5">
    <tabColor rgb="FFFF0000"/>
    <pageSetUpPr fitToPage="1"/>
  </sheetPr>
  <dimension ref="A1:AF112"/>
  <sheetViews>
    <sheetView zoomScale="85" zoomScaleNormal="85" workbookViewId="0">
      <pane xSplit="10" ySplit="10" topLeftCell="L92"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95" customHeight="1"/>
  <cols>
    <col min="1" max="1" width="4.875" style="592" customWidth="1"/>
    <col min="2" max="2" width="35" style="160" customWidth="1"/>
    <col min="3" max="3" width="10.625" style="160" customWidth="1"/>
    <col min="4" max="4" width="8.375" style="160" hidden="1" customWidth="1"/>
    <col min="5" max="6" width="7.75" style="160" hidden="1" customWidth="1"/>
    <col min="7" max="7" width="8.125" style="160" hidden="1" customWidth="1"/>
    <col min="8" max="8" width="8.75" style="160" hidden="1" customWidth="1"/>
    <col min="9" max="9" width="3.375" style="160" hidden="1" customWidth="1"/>
    <col min="10" max="10" width="9.5" style="159" customWidth="1"/>
    <col min="11" max="22" width="9.625" style="160" customWidth="1"/>
    <col min="23" max="23" width="8.125" style="160" customWidth="1"/>
    <col min="24" max="24" width="9.375" style="160" customWidth="1"/>
    <col min="25" max="25" width="9.625" style="159" customWidth="1"/>
    <col min="26" max="16384" width="9" style="160"/>
  </cols>
  <sheetData>
    <row r="1" spans="1:27" ht="12.75">
      <c r="A1" s="697" t="s">
        <v>874</v>
      </c>
      <c r="B1" s="697"/>
      <c r="C1" s="697"/>
      <c r="D1" s="697"/>
      <c r="E1" s="697"/>
      <c r="F1" s="697"/>
      <c r="G1" s="697"/>
      <c r="H1" s="697"/>
      <c r="I1" s="697"/>
      <c r="J1" s="697"/>
      <c r="K1" s="697"/>
      <c r="L1" s="697"/>
      <c r="M1" s="697"/>
      <c r="N1" s="697"/>
      <c r="O1" s="697"/>
      <c r="P1" s="697"/>
      <c r="Q1" s="697"/>
      <c r="R1" s="697"/>
      <c r="S1" s="697"/>
      <c r="T1" s="697"/>
      <c r="U1" s="697"/>
      <c r="V1" s="697"/>
      <c r="W1" s="697"/>
      <c r="X1" s="697"/>
      <c r="Y1" s="697"/>
    </row>
    <row r="3" spans="1:27" ht="12.75">
      <c r="A3" s="698" t="s">
        <v>769</v>
      </c>
      <c r="B3" s="699" t="s">
        <v>818</v>
      </c>
      <c r="C3" s="699" t="s">
        <v>859</v>
      </c>
      <c r="D3" s="699"/>
      <c r="E3" s="699"/>
      <c r="F3" s="699"/>
      <c r="G3" s="699"/>
      <c r="H3" s="699"/>
      <c r="I3" s="699"/>
      <c r="J3" s="699"/>
      <c r="K3" s="699"/>
      <c r="L3" s="699"/>
      <c r="M3" s="699"/>
      <c r="N3" s="699"/>
      <c r="O3" s="699"/>
      <c r="P3" s="699"/>
      <c r="Q3" s="699"/>
      <c r="R3" s="699"/>
      <c r="S3" s="699"/>
      <c r="T3" s="699"/>
      <c r="U3" s="699"/>
      <c r="V3" s="699"/>
      <c r="W3" s="699"/>
      <c r="X3" s="699"/>
      <c r="Y3" s="699"/>
    </row>
    <row r="4" spans="1:27" ht="12.75" customHeight="1">
      <c r="A4" s="698"/>
      <c r="B4" s="699"/>
      <c r="C4" s="699" t="s">
        <v>745</v>
      </c>
      <c r="D4" s="691" t="s">
        <v>541</v>
      </c>
      <c r="E4" s="692"/>
      <c r="F4" s="692"/>
      <c r="G4" s="692"/>
      <c r="H4" s="692"/>
      <c r="I4" s="693"/>
      <c r="J4" s="700" t="s">
        <v>819</v>
      </c>
      <c r="K4" s="700"/>
      <c r="L4" s="700"/>
      <c r="M4" s="700"/>
      <c r="N4" s="700"/>
      <c r="O4" s="700"/>
      <c r="P4" s="700"/>
      <c r="Q4" s="700"/>
      <c r="R4" s="700"/>
      <c r="S4" s="700"/>
      <c r="T4" s="700"/>
      <c r="U4" s="700"/>
      <c r="V4" s="700"/>
      <c r="W4" s="699" t="s">
        <v>820</v>
      </c>
      <c r="X4" s="699" t="s">
        <v>296</v>
      </c>
      <c r="Y4" s="699" t="s">
        <v>297</v>
      </c>
    </row>
    <row r="5" spans="1:27" ht="12.75" customHeight="1">
      <c r="A5" s="698"/>
      <c r="B5" s="699"/>
      <c r="C5" s="699"/>
      <c r="D5" s="694" t="s">
        <v>770</v>
      </c>
      <c r="E5" s="691" t="s">
        <v>542</v>
      </c>
      <c r="F5" s="692"/>
      <c r="G5" s="693"/>
      <c r="H5" s="691" t="s">
        <v>543</v>
      </c>
      <c r="I5" s="693"/>
      <c r="J5" s="699" t="s">
        <v>300</v>
      </c>
      <c r="K5" s="700"/>
      <c r="L5" s="700"/>
      <c r="M5" s="700"/>
      <c r="N5" s="700"/>
      <c r="O5" s="700"/>
      <c r="P5" s="700"/>
      <c r="Q5" s="700"/>
      <c r="R5" s="700"/>
      <c r="S5" s="700"/>
      <c r="T5" s="700"/>
      <c r="U5" s="700"/>
      <c r="V5" s="700"/>
      <c r="W5" s="699"/>
      <c r="X5" s="699"/>
      <c r="Y5" s="699"/>
    </row>
    <row r="6" spans="1:27" ht="21.75" customHeight="1">
      <c r="A6" s="698"/>
      <c r="B6" s="699"/>
      <c r="C6" s="699"/>
      <c r="D6" s="695"/>
      <c r="E6" s="694" t="s">
        <v>634</v>
      </c>
      <c r="F6" s="694" t="s">
        <v>544</v>
      </c>
      <c r="G6" s="694" t="s">
        <v>545</v>
      </c>
      <c r="H6" s="694" t="s">
        <v>546</v>
      </c>
      <c r="I6" s="694" t="s">
        <v>801</v>
      </c>
      <c r="J6" s="699"/>
      <c r="K6" s="699" t="s">
        <v>948</v>
      </c>
      <c r="L6" s="699" t="s">
        <v>949</v>
      </c>
      <c r="M6" s="699" t="s">
        <v>947</v>
      </c>
      <c r="N6" s="699" t="s">
        <v>946</v>
      </c>
      <c r="O6" s="699" t="s">
        <v>945</v>
      </c>
      <c r="P6" s="699" t="s">
        <v>944</v>
      </c>
      <c r="Q6" s="699" t="s">
        <v>943</v>
      </c>
      <c r="R6" s="699" t="s">
        <v>939</v>
      </c>
      <c r="S6" s="699" t="s">
        <v>940</v>
      </c>
      <c r="T6" s="699" t="s">
        <v>941</v>
      </c>
      <c r="U6" s="699" t="s">
        <v>942</v>
      </c>
      <c r="V6" s="699" t="s">
        <v>757</v>
      </c>
      <c r="W6" s="699"/>
      <c r="X6" s="699"/>
      <c r="Y6" s="699"/>
    </row>
    <row r="7" spans="1:27" ht="75" customHeight="1">
      <c r="A7" s="698"/>
      <c r="B7" s="699"/>
      <c r="C7" s="699"/>
      <c r="D7" s="696"/>
      <c r="E7" s="696"/>
      <c r="F7" s="696"/>
      <c r="G7" s="696"/>
      <c r="H7" s="696"/>
      <c r="I7" s="696"/>
      <c r="J7" s="701"/>
      <c r="K7" s="699"/>
      <c r="L7" s="699"/>
      <c r="M7" s="699"/>
      <c r="N7" s="699"/>
      <c r="O7" s="699"/>
      <c r="P7" s="699"/>
      <c r="Q7" s="699"/>
      <c r="R7" s="699"/>
      <c r="S7" s="699"/>
      <c r="T7" s="699"/>
      <c r="U7" s="699"/>
      <c r="V7" s="699"/>
      <c r="W7" s="699"/>
      <c r="X7" s="699"/>
      <c r="Y7" s="699"/>
    </row>
    <row r="8" spans="1:27" s="323" customFormat="1" ht="12.75">
      <c r="A8" s="415" t="s">
        <v>639</v>
      </c>
      <c r="B8" s="416" t="s">
        <v>657</v>
      </c>
      <c r="C8" s="416" t="s">
        <v>298</v>
      </c>
      <c r="D8" s="416">
        <v>54</v>
      </c>
      <c r="E8" s="416">
        <v>55</v>
      </c>
      <c r="F8" s="416">
        <v>56</v>
      </c>
      <c r="G8" s="416">
        <v>57</v>
      </c>
      <c r="H8" s="416">
        <v>58</v>
      </c>
      <c r="I8" s="416">
        <v>59</v>
      </c>
      <c r="J8" s="416" t="s">
        <v>299</v>
      </c>
      <c r="K8" s="416">
        <v>3</v>
      </c>
      <c r="L8" s="416">
        <v>4</v>
      </c>
      <c r="M8" s="416">
        <v>5</v>
      </c>
      <c r="N8" s="416">
        <v>6</v>
      </c>
      <c r="O8" s="416">
        <v>8</v>
      </c>
      <c r="P8" s="416">
        <v>9</v>
      </c>
      <c r="Q8" s="416">
        <v>10</v>
      </c>
      <c r="R8" s="416">
        <v>11</v>
      </c>
      <c r="S8" s="416">
        <v>7</v>
      </c>
      <c r="T8" s="416">
        <v>2</v>
      </c>
      <c r="U8" s="416">
        <v>12</v>
      </c>
      <c r="V8" s="416">
        <v>15</v>
      </c>
      <c r="W8" s="416">
        <v>16</v>
      </c>
      <c r="X8" s="416">
        <v>17</v>
      </c>
      <c r="Y8" s="416">
        <v>18</v>
      </c>
    </row>
    <row r="9" spans="1:27" ht="18.95" customHeight="1">
      <c r="A9" s="588"/>
      <c r="B9" s="359" t="s">
        <v>770</v>
      </c>
      <c r="C9" s="533">
        <f t="shared" ref="C9:Y9" si="0">SUM(C10,C45,C60,C64)</f>
        <v>2464703</v>
      </c>
      <c r="D9" s="533" t="e">
        <f t="shared" si="0"/>
        <v>#REF!</v>
      </c>
      <c r="E9" s="533" t="e">
        <f t="shared" si="0"/>
        <v>#REF!</v>
      </c>
      <c r="F9" s="533" t="e">
        <f t="shared" si="0"/>
        <v>#REF!</v>
      </c>
      <c r="G9" s="533" t="e">
        <f t="shared" si="0"/>
        <v>#REF!</v>
      </c>
      <c r="H9" s="533" t="e">
        <f t="shared" si="0"/>
        <v>#REF!</v>
      </c>
      <c r="I9" s="533" t="e">
        <f t="shared" si="0"/>
        <v>#REF!</v>
      </c>
      <c r="J9" s="533">
        <f t="shared" si="0"/>
        <v>1926824</v>
      </c>
      <c r="K9" s="533">
        <f t="shared" si="0"/>
        <v>266130</v>
      </c>
      <c r="L9" s="533">
        <f t="shared" si="0"/>
        <v>27167</v>
      </c>
      <c r="M9" s="533">
        <f t="shared" si="0"/>
        <v>24000</v>
      </c>
      <c r="N9" s="533">
        <f t="shared" si="0"/>
        <v>522780</v>
      </c>
      <c r="O9" s="533">
        <f t="shared" si="0"/>
        <v>526072</v>
      </c>
      <c r="P9" s="533">
        <f t="shared" si="0"/>
        <v>31305</v>
      </c>
      <c r="Q9" s="533">
        <f t="shared" si="0"/>
        <v>4400</v>
      </c>
      <c r="R9" s="533">
        <f t="shared" si="0"/>
        <v>15000</v>
      </c>
      <c r="S9" s="533">
        <f>SUM(S10,S45,S60,S64)</f>
        <v>44400</v>
      </c>
      <c r="T9" s="533">
        <f>SUM(T10,T45,T60,T64)</f>
        <v>361451</v>
      </c>
      <c r="U9" s="533">
        <f t="shared" si="0"/>
        <v>49845</v>
      </c>
      <c r="V9" s="533">
        <f t="shared" si="0"/>
        <v>54274</v>
      </c>
      <c r="W9" s="533">
        <f t="shared" si="0"/>
        <v>76245</v>
      </c>
      <c r="X9" s="533">
        <f t="shared" si="0"/>
        <v>372200</v>
      </c>
      <c r="Y9" s="533">
        <f t="shared" si="0"/>
        <v>89434</v>
      </c>
    </row>
    <row r="10" spans="1:27" s="159" customFormat="1" ht="18.95" customHeight="1">
      <c r="A10" s="360" t="s">
        <v>639</v>
      </c>
      <c r="B10" s="361" t="s">
        <v>821</v>
      </c>
      <c r="C10" s="534">
        <f>SUM(C11:C43)</f>
        <v>1820704</v>
      </c>
      <c r="D10" s="534" t="e">
        <f t="shared" ref="D10:I10" si="1">SUM(D11:D43)</f>
        <v>#REF!</v>
      </c>
      <c r="E10" s="534" t="e">
        <f t="shared" si="1"/>
        <v>#REF!</v>
      </c>
      <c r="F10" s="534" t="e">
        <f t="shared" si="1"/>
        <v>#REF!</v>
      </c>
      <c r="G10" s="534" t="e">
        <f t="shared" si="1"/>
        <v>#REF!</v>
      </c>
      <c r="H10" s="534" t="e">
        <f t="shared" si="1"/>
        <v>#REF!</v>
      </c>
      <c r="I10" s="534" t="e">
        <f t="shared" si="1"/>
        <v>#REF!</v>
      </c>
      <c r="J10" s="534">
        <f>SUM(J11:J43)</f>
        <v>1807013</v>
      </c>
      <c r="K10" s="534">
        <f t="shared" ref="K10:Y10" si="2">SUM(K11:K43)</f>
        <v>265740</v>
      </c>
      <c r="L10" s="534">
        <f t="shared" si="2"/>
        <v>26350</v>
      </c>
      <c r="M10" s="534">
        <f t="shared" si="2"/>
        <v>23100</v>
      </c>
      <c r="N10" s="534">
        <f t="shared" si="2"/>
        <v>511690</v>
      </c>
      <c r="O10" s="534">
        <f t="shared" si="2"/>
        <v>525972</v>
      </c>
      <c r="P10" s="534">
        <f t="shared" si="2"/>
        <v>31305</v>
      </c>
      <c r="Q10" s="534">
        <f t="shared" si="2"/>
        <v>4400</v>
      </c>
      <c r="R10" s="534">
        <f t="shared" si="2"/>
        <v>15000</v>
      </c>
      <c r="S10" s="534">
        <f>SUM(S11:S43)</f>
        <v>44400</v>
      </c>
      <c r="T10" s="534">
        <f>SUM(T11:T43)</f>
        <v>328737</v>
      </c>
      <c r="U10" s="534">
        <f t="shared" si="2"/>
        <v>4026</v>
      </c>
      <c r="V10" s="534">
        <f t="shared" si="2"/>
        <v>26293</v>
      </c>
      <c r="W10" s="534">
        <f t="shared" si="2"/>
        <v>0</v>
      </c>
      <c r="X10" s="534">
        <f t="shared" si="2"/>
        <v>0</v>
      </c>
      <c r="Y10" s="534">
        <f t="shared" si="2"/>
        <v>13691</v>
      </c>
    </row>
    <row r="11" spans="1:27" s="159" customFormat="1" ht="18.95" customHeight="1">
      <c r="A11" s="360">
        <v>1</v>
      </c>
      <c r="B11" s="362" t="s">
        <v>107</v>
      </c>
      <c r="C11" s="535">
        <f t="shared" ref="C11:C42" si="3">J11+Y11+W11+X11</f>
        <v>6691</v>
      </c>
      <c r="D11" s="535"/>
      <c r="E11" s="535"/>
      <c r="F11" s="535"/>
      <c r="G11" s="535"/>
      <c r="H11" s="535"/>
      <c r="I11" s="535"/>
      <c r="J11" s="535">
        <f t="shared" ref="J11:J44" si="4">SUM(K11:V11)</f>
        <v>6691</v>
      </c>
      <c r="K11" s="536">
        <v>0</v>
      </c>
      <c r="L11" s="536">
        <v>0</v>
      </c>
      <c r="M11" s="536">
        <v>0</v>
      </c>
      <c r="N11" s="536">
        <v>350</v>
      </c>
      <c r="O11" s="536">
        <v>0</v>
      </c>
      <c r="P11" s="536">
        <v>0</v>
      </c>
      <c r="Q11" s="536">
        <v>0</v>
      </c>
      <c r="R11" s="536">
        <v>0</v>
      </c>
      <c r="S11" s="536">
        <v>0</v>
      </c>
      <c r="T11" s="536">
        <f>7141-800</f>
        <v>6341</v>
      </c>
      <c r="U11" s="536">
        <v>0</v>
      </c>
      <c r="V11" s="536">
        <v>0</v>
      </c>
      <c r="W11" s="536">
        <v>0</v>
      </c>
      <c r="X11" s="536">
        <v>0</v>
      </c>
      <c r="Y11" s="535">
        <v>0</v>
      </c>
    </row>
    <row r="12" spans="1:27" s="159" customFormat="1" ht="18.95" customHeight="1">
      <c r="A12" s="360">
        <v>2</v>
      </c>
      <c r="B12" s="362" t="s">
        <v>310</v>
      </c>
      <c r="C12" s="535">
        <f t="shared" si="3"/>
        <v>20405</v>
      </c>
      <c r="D12" s="535" t="e">
        <f>SUM(#REF!)</f>
        <v>#REF!</v>
      </c>
      <c r="E12" s="535" t="e">
        <f>SUM(#REF!)</f>
        <v>#REF!</v>
      </c>
      <c r="F12" s="535" t="e">
        <f>SUM(#REF!)</f>
        <v>#REF!</v>
      </c>
      <c r="G12" s="535" t="e">
        <f>SUM(#REF!)</f>
        <v>#REF!</v>
      </c>
      <c r="H12" s="535" t="e">
        <f>SUM(#REF!)</f>
        <v>#REF!</v>
      </c>
      <c r="I12" s="535" t="e">
        <f>SUM(#REF!)</f>
        <v>#REF!</v>
      </c>
      <c r="J12" s="535">
        <f t="shared" si="4"/>
        <v>16358</v>
      </c>
      <c r="K12" s="536">
        <v>840</v>
      </c>
      <c r="L12" s="536">
        <v>0</v>
      </c>
      <c r="M12" s="536">
        <v>0</v>
      </c>
      <c r="N12" s="536">
        <v>600</v>
      </c>
      <c r="O12" s="536">
        <v>0</v>
      </c>
      <c r="P12" s="536">
        <v>0</v>
      </c>
      <c r="Q12" s="536">
        <v>0</v>
      </c>
      <c r="R12" s="536">
        <v>0</v>
      </c>
      <c r="S12" s="536">
        <v>0</v>
      </c>
      <c r="T12" s="536">
        <v>14918</v>
      </c>
      <c r="U12" s="536">
        <v>0</v>
      </c>
      <c r="V12" s="536">
        <v>0</v>
      </c>
      <c r="W12" s="536">
        <v>0</v>
      </c>
      <c r="X12" s="536">
        <v>0</v>
      </c>
      <c r="Y12" s="535">
        <f>'Phụ lục số 8'!E60</f>
        <v>4047</v>
      </c>
    </row>
    <row r="13" spans="1:27" s="159" customFormat="1" ht="18.95" customHeight="1">
      <c r="A13" s="360">
        <v>3</v>
      </c>
      <c r="B13" s="362" t="s">
        <v>355</v>
      </c>
      <c r="C13" s="535">
        <f t="shared" si="3"/>
        <v>186053</v>
      </c>
      <c r="D13" s="535" t="e">
        <f>SUM(#REF!)</f>
        <v>#REF!</v>
      </c>
      <c r="E13" s="535" t="e">
        <f>SUM(#REF!)</f>
        <v>#REF!</v>
      </c>
      <c r="F13" s="535" t="e">
        <f>SUM(#REF!)</f>
        <v>#REF!</v>
      </c>
      <c r="G13" s="535" t="e">
        <f>SUM(#REF!)</f>
        <v>#REF!</v>
      </c>
      <c r="H13" s="535" t="e">
        <f>SUM(#REF!)</f>
        <v>#REF!</v>
      </c>
      <c r="I13" s="535" t="e">
        <f>SUM(#REF!)</f>
        <v>#REF!</v>
      </c>
      <c r="J13" s="535">
        <f t="shared" si="4"/>
        <v>181053</v>
      </c>
      <c r="K13" s="536">
        <f>67635+71130+30000</f>
        <v>168765</v>
      </c>
      <c r="L13" s="536">
        <v>6035</v>
      </c>
      <c r="M13" s="536">
        <v>0</v>
      </c>
      <c r="N13" s="536">
        <v>250</v>
      </c>
      <c r="O13" s="536">
        <v>0</v>
      </c>
      <c r="P13" s="536">
        <v>0</v>
      </c>
      <c r="Q13" s="536">
        <v>0</v>
      </c>
      <c r="R13" s="536">
        <v>0</v>
      </c>
      <c r="S13" s="536">
        <v>0</v>
      </c>
      <c r="T13" s="536">
        <v>6003</v>
      </c>
      <c r="U13" s="536">
        <v>0</v>
      </c>
      <c r="V13" s="536">
        <v>0</v>
      </c>
      <c r="W13" s="535">
        <v>0</v>
      </c>
      <c r="X13" s="535">
        <v>0</v>
      </c>
      <c r="Y13" s="535">
        <v>5000</v>
      </c>
      <c r="AA13" s="541"/>
    </row>
    <row r="14" spans="1:27" s="159" customFormat="1" ht="18.95" customHeight="1">
      <c r="A14" s="360">
        <v>4</v>
      </c>
      <c r="B14" s="362" t="s">
        <v>354</v>
      </c>
      <c r="C14" s="535">
        <f t="shared" si="3"/>
        <v>5914</v>
      </c>
      <c r="D14" s="535"/>
      <c r="E14" s="535"/>
      <c r="F14" s="535"/>
      <c r="G14" s="535"/>
      <c r="H14" s="535"/>
      <c r="I14" s="535"/>
      <c r="J14" s="535">
        <f t="shared" si="4"/>
        <v>5914</v>
      </c>
      <c r="K14" s="536">
        <v>0</v>
      </c>
      <c r="L14" s="536">
        <v>0</v>
      </c>
      <c r="M14" s="536">
        <v>0</v>
      </c>
      <c r="N14" s="536">
        <v>360</v>
      </c>
      <c r="O14" s="536">
        <v>0</v>
      </c>
      <c r="P14" s="536">
        <v>0</v>
      </c>
      <c r="Q14" s="536">
        <v>0</v>
      </c>
      <c r="R14" s="536">
        <v>0</v>
      </c>
      <c r="S14" s="536">
        <v>0</v>
      </c>
      <c r="T14" s="536">
        <f>6354-800</f>
        <v>5554</v>
      </c>
      <c r="U14" s="536">
        <v>0</v>
      </c>
      <c r="V14" s="536">
        <v>0</v>
      </c>
      <c r="W14" s="536">
        <v>0</v>
      </c>
      <c r="X14" s="536">
        <v>0</v>
      </c>
      <c r="Y14" s="535">
        <v>0</v>
      </c>
    </row>
    <row r="15" spans="1:27" s="159" customFormat="1" ht="18.95" customHeight="1">
      <c r="A15" s="360">
        <v>5</v>
      </c>
      <c r="B15" s="362" t="s">
        <v>353</v>
      </c>
      <c r="C15" s="535">
        <f t="shared" si="3"/>
        <v>11153</v>
      </c>
      <c r="D15" s="535" t="e">
        <f>SUM(#REF!)</f>
        <v>#REF!</v>
      </c>
      <c r="E15" s="535" t="e">
        <f>SUM(#REF!)</f>
        <v>#REF!</v>
      </c>
      <c r="F15" s="535" t="e">
        <f>SUM(#REF!)</f>
        <v>#REF!</v>
      </c>
      <c r="G15" s="535" t="e">
        <f>SUM(#REF!)</f>
        <v>#REF!</v>
      </c>
      <c r="H15" s="535" t="e">
        <f>SUM(#REF!)</f>
        <v>#REF!</v>
      </c>
      <c r="I15" s="535" t="e">
        <f>SUM(#REF!)</f>
        <v>#REF!</v>
      </c>
      <c r="J15" s="535">
        <f t="shared" si="4"/>
        <v>11153</v>
      </c>
      <c r="K15" s="536">
        <v>4380</v>
      </c>
      <c r="L15" s="536">
        <v>0</v>
      </c>
      <c r="M15" s="536">
        <v>0</v>
      </c>
      <c r="N15" s="536">
        <v>2600</v>
      </c>
      <c r="O15" s="536">
        <v>0</v>
      </c>
      <c r="P15" s="536">
        <v>0</v>
      </c>
      <c r="Q15" s="536">
        <v>0</v>
      </c>
      <c r="R15" s="536">
        <v>0</v>
      </c>
      <c r="S15" s="536">
        <v>0</v>
      </c>
      <c r="T15" s="536">
        <v>4173</v>
      </c>
      <c r="U15" s="536">
        <v>0</v>
      </c>
      <c r="V15" s="536">
        <v>0</v>
      </c>
      <c r="W15" s="536">
        <v>0</v>
      </c>
      <c r="X15" s="536">
        <v>0</v>
      </c>
      <c r="Y15" s="535">
        <v>0</v>
      </c>
    </row>
    <row r="16" spans="1:27" s="159" customFormat="1" ht="18.95" customHeight="1">
      <c r="A16" s="360">
        <v>6</v>
      </c>
      <c r="B16" s="362" t="s">
        <v>352</v>
      </c>
      <c r="C16" s="535">
        <f t="shared" si="3"/>
        <v>19126</v>
      </c>
      <c r="D16" s="535" t="e">
        <f>SUM(#REF!)</f>
        <v>#REF!</v>
      </c>
      <c r="E16" s="535" t="e">
        <f>SUM(#REF!)</f>
        <v>#REF!</v>
      </c>
      <c r="F16" s="535" t="e">
        <f>SUM(#REF!)</f>
        <v>#REF!</v>
      </c>
      <c r="G16" s="535" t="e">
        <f>SUM(#REF!)</f>
        <v>#REF!</v>
      </c>
      <c r="H16" s="535" t="e">
        <f>SUM(#REF!)</f>
        <v>#REF!</v>
      </c>
      <c r="I16" s="535" t="e">
        <f>SUM(#REF!)</f>
        <v>#REF!</v>
      </c>
      <c r="J16" s="535">
        <f t="shared" si="4"/>
        <v>19126</v>
      </c>
      <c r="K16" s="536">
        <v>3373</v>
      </c>
      <c r="L16" s="536">
        <v>85</v>
      </c>
      <c r="M16" s="536">
        <v>0</v>
      </c>
      <c r="N16" s="536">
        <v>646</v>
      </c>
      <c r="O16" s="536">
        <v>0</v>
      </c>
      <c r="P16" s="536">
        <v>0</v>
      </c>
      <c r="Q16" s="536">
        <v>0</v>
      </c>
      <c r="R16" s="536">
        <v>0</v>
      </c>
      <c r="S16" s="536">
        <v>0</v>
      </c>
      <c r="T16" s="536">
        <v>15022</v>
      </c>
      <c r="U16" s="536">
        <v>0</v>
      </c>
      <c r="V16" s="536">
        <v>0</v>
      </c>
      <c r="W16" s="536">
        <v>0</v>
      </c>
      <c r="X16" s="536">
        <v>0</v>
      </c>
      <c r="Y16" s="535">
        <v>0</v>
      </c>
    </row>
    <row r="17" spans="1:27" s="159" customFormat="1" ht="18.95" customHeight="1">
      <c r="A17" s="360">
        <v>7</v>
      </c>
      <c r="B17" s="362" t="s">
        <v>351</v>
      </c>
      <c r="C17" s="535">
        <f t="shared" si="3"/>
        <v>22252</v>
      </c>
      <c r="D17" s="535" t="e">
        <f>SUM(#REF!)</f>
        <v>#REF!</v>
      </c>
      <c r="E17" s="535" t="e">
        <f>SUM(#REF!)</f>
        <v>#REF!</v>
      </c>
      <c r="F17" s="535" t="e">
        <f>SUM(#REF!)</f>
        <v>#REF!</v>
      </c>
      <c r="G17" s="535" t="e">
        <f>SUM(#REF!)</f>
        <v>#REF!</v>
      </c>
      <c r="H17" s="535" t="e">
        <f>SUM(#REF!)</f>
        <v>#REF!</v>
      </c>
      <c r="I17" s="535" t="e">
        <f>SUM(#REF!)</f>
        <v>#REF!</v>
      </c>
      <c r="J17" s="535">
        <f t="shared" si="4"/>
        <v>22252</v>
      </c>
      <c r="K17" s="536">
        <v>0</v>
      </c>
      <c r="L17" s="536">
        <v>0</v>
      </c>
      <c r="M17" s="536">
        <v>16992</v>
      </c>
      <c r="N17" s="536">
        <v>0</v>
      </c>
      <c r="O17" s="536">
        <v>0</v>
      </c>
      <c r="P17" s="536">
        <v>0</v>
      </c>
      <c r="Q17" s="536">
        <v>0</v>
      </c>
      <c r="R17" s="536">
        <v>0</v>
      </c>
      <c r="S17" s="536">
        <v>0</v>
      </c>
      <c r="T17" s="536">
        <v>5260</v>
      </c>
      <c r="U17" s="536">
        <v>0</v>
      </c>
      <c r="V17" s="536">
        <v>0</v>
      </c>
      <c r="W17" s="536">
        <v>0</v>
      </c>
      <c r="X17" s="536">
        <v>0</v>
      </c>
      <c r="Y17" s="535">
        <v>0</v>
      </c>
    </row>
    <row r="18" spans="1:27" s="159" customFormat="1" ht="18.95" customHeight="1">
      <c r="A18" s="360">
        <v>8</v>
      </c>
      <c r="B18" s="362" t="s">
        <v>349</v>
      </c>
      <c r="C18" s="535">
        <f t="shared" si="3"/>
        <v>17544</v>
      </c>
      <c r="D18" s="535" t="e">
        <f>SUM(#REF!)</f>
        <v>#REF!</v>
      </c>
      <c r="E18" s="535" t="e">
        <f>SUM(#REF!)</f>
        <v>#REF!</v>
      </c>
      <c r="F18" s="535" t="e">
        <f>SUM(#REF!)</f>
        <v>#REF!</v>
      </c>
      <c r="G18" s="535" t="e">
        <f>SUM(#REF!)</f>
        <v>#REF!</v>
      </c>
      <c r="H18" s="535" t="e">
        <f>SUM(#REF!)</f>
        <v>#REF!</v>
      </c>
      <c r="I18" s="535" t="e">
        <f>SUM(#REF!)</f>
        <v>#REF!</v>
      </c>
      <c r="J18" s="535">
        <f t="shared" si="4"/>
        <v>17544</v>
      </c>
      <c r="K18" s="536">
        <v>385</v>
      </c>
      <c r="L18" s="536">
        <v>0</v>
      </c>
      <c r="M18" s="536">
        <v>0</v>
      </c>
      <c r="N18" s="536">
        <v>7000</v>
      </c>
      <c r="O18" s="536">
        <v>0</v>
      </c>
      <c r="P18" s="536">
        <v>0</v>
      </c>
      <c r="Q18" s="536">
        <v>0</v>
      </c>
      <c r="R18" s="536">
        <v>0</v>
      </c>
      <c r="S18" s="536">
        <v>0</v>
      </c>
      <c r="T18" s="536">
        <f>10999-840</f>
        <v>10159</v>
      </c>
      <c r="U18" s="536">
        <v>0</v>
      </c>
      <c r="V18" s="536">
        <v>0</v>
      </c>
      <c r="W18" s="535">
        <v>0</v>
      </c>
      <c r="X18" s="536">
        <v>0</v>
      </c>
      <c r="Y18" s="535">
        <v>0</v>
      </c>
    </row>
    <row r="19" spans="1:27" s="159" customFormat="1" ht="18.95" customHeight="1">
      <c r="A19" s="360">
        <v>9</v>
      </c>
      <c r="B19" s="362" t="s">
        <v>348</v>
      </c>
      <c r="C19" s="535">
        <f t="shared" si="3"/>
        <v>6844</v>
      </c>
      <c r="D19" s="535" t="e">
        <f>SUM(#REF!)</f>
        <v>#REF!</v>
      </c>
      <c r="E19" s="535" t="e">
        <f>SUM(#REF!)</f>
        <v>#REF!</v>
      </c>
      <c r="F19" s="535" t="e">
        <f>SUM(#REF!)</f>
        <v>#REF!</v>
      </c>
      <c r="G19" s="535" t="e">
        <f>SUM(#REF!)</f>
        <v>#REF!</v>
      </c>
      <c r="H19" s="535" t="e">
        <f>SUM(#REF!)</f>
        <v>#REF!</v>
      </c>
      <c r="I19" s="535" t="e">
        <f>SUM(#REF!)</f>
        <v>#REF!</v>
      </c>
      <c r="J19" s="535">
        <f t="shared" si="4"/>
        <v>6844</v>
      </c>
      <c r="K19" s="536">
        <v>600</v>
      </c>
      <c r="L19" s="536">
        <v>0</v>
      </c>
      <c r="M19" s="536">
        <v>0</v>
      </c>
      <c r="N19" s="536">
        <v>130</v>
      </c>
      <c r="O19" s="536">
        <v>0</v>
      </c>
      <c r="P19" s="536">
        <v>0</v>
      </c>
      <c r="Q19" s="536">
        <v>0</v>
      </c>
      <c r="R19" s="536">
        <v>0</v>
      </c>
      <c r="S19" s="536">
        <v>0</v>
      </c>
      <c r="T19" s="536">
        <f>6914-800</f>
        <v>6114</v>
      </c>
      <c r="U19" s="536">
        <v>0</v>
      </c>
      <c r="V19" s="536">
        <v>0</v>
      </c>
      <c r="W19" s="536">
        <v>0</v>
      </c>
      <c r="X19" s="536">
        <v>0</v>
      </c>
      <c r="Y19" s="535">
        <v>0</v>
      </c>
    </row>
    <row r="20" spans="1:27" s="159" customFormat="1" ht="18.95" customHeight="1">
      <c r="A20" s="360">
        <v>10</v>
      </c>
      <c r="B20" s="362" t="s">
        <v>347</v>
      </c>
      <c r="C20" s="535">
        <f t="shared" si="3"/>
        <v>24082</v>
      </c>
      <c r="D20" s="535" t="e">
        <f>SUM(#REF!)</f>
        <v>#REF!</v>
      </c>
      <c r="E20" s="535" t="e">
        <f>SUM(#REF!)</f>
        <v>#REF!</v>
      </c>
      <c r="F20" s="535" t="e">
        <f>SUM(#REF!)</f>
        <v>#REF!</v>
      </c>
      <c r="G20" s="535" t="e">
        <f>SUM(#REF!)</f>
        <v>#REF!</v>
      </c>
      <c r="H20" s="535" t="e">
        <f>SUM(#REF!)</f>
        <v>#REF!</v>
      </c>
      <c r="I20" s="535" t="e">
        <f>SUM(#REF!)</f>
        <v>#REF!</v>
      </c>
      <c r="J20" s="535">
        <f t="shared" si="4"/>
        <v>24082</v>
      </c>
      <c r="K20" s="536">
        <v>15954</v>
      </c>
      <c r="L20" s="536">
        <v>0</v>
      </c>
      <c r="M20" s="536">
        <v>0</v>
      </c>
      <c r="N20" s="536">
        <v>950</v>
      </c>
      <c r="O20" s="536">
        <v>0</v>
      </c>
      <c r="P20" s="536">
        <v>0</v>
      </c>
      <c r="Q20" s="536">
        <v>0</v>
      </c>
      <c r="R20" s="536">
        <v>0</v>
      </c>
      <c r="S20" s="536">
        <v>0</v>
      </c>
      <c r="T20" s="536">
        <f>7978-800</f>
        <v>7178</v>
      </c>
      <c r="U20" s="536">
        <v>0</v>
      </c>
      <c r="V20" s="536">
        <v>0</v>
      </c>
      <c r="W20" s="536">
        <v>0</v>
      </c>
      <c r="X20" s="535">
        <v>0</v>
      </c>
      <c r="Y20" s="535">
        <v>0</v>
      </c>
    </row>
    <row r="21" spans="1:27" s="159" customFormat="1" ht="18.95" customHeight="1">
      <c r="A21" s="360">
        <v>11</v>
      </c>
      <c r="B21" s="362" t="s">
        <v>346</v>
      </c>
      <c r="C21" s="535">
        <f t="shared" si="3"/>
        <v>341332</v>
      </c>
      <c r="D21" s="535" t="e">
        <f>SUM(#REF!)</f>
        <v>#REF!</v>
      </c>
      <c r="E21" s="535" t="e">
        <f>SUM(#REF!)</f>
        <v>#REF!</v>
      </c>
      <c r="F21" s="535" t="e">
        <f>SUM(#REF!)</f>
        <v>#REF!</v>
      </c>
      <c r="G21" s="535" t="e">
        <f>SUM(#REF!)</f>
        <v>#REF!</v>
      </c>
      <c r="H21" s="535" t="e">
        <f>SUM(#REF!)</f>
        <v>#REF!</v>
      </c>
      <c r="I21" s="535" t="e">
        <f>SUM(#REF!)</f>
        <v>#REF!</v>
      </c>
      <c r="J21" s="535">
        <f t="shared" si="4"/>
        <v>339681</v>
      </c>
      <c r="K21" s="536">
        <v>0</v>
      </c>
      <c r="L21" s="536">
        <v>99</v>
      </c>
      <c r="M21" s="536">
        <v>0</v>
      </c>
      <c r="N21" s="536">
        <v>331872</v>
      </c>
      <c r="O21" s="536">
        <v>0</v>
      </c>
      <c r="P21" s="536">
        <v>0</v>
      </c>
      <c r="Q21" s="536">
        <v>0</v>
      </c>
      <c r="R21" s="536">
        <v>0</v>
      </c>
      <c r="S21" s="536">
        <v>0</v>
      </c>
      <c r="T21" s="536">
        <v>7710</v>
      </c>
      <c r="U21" s="536">
        <v>0</v>
      </c>
      <c r="V21" s="536">
        <v>0</v>
      </c>
      <c r="W21" s="535">
        <v>0</v>
      </c>
      <c r="X21" s="536">
        <v>0</v>
      </c>
      <c r="Y21" s="535">
        <v>1651</v>
      </c>
    </row>
    <row r="22" spans="1:27" s="159" customFormat="1" ht="18.95" customHeight="1">
      <c r="A22" s="360">
        <v>12</v>
      </c>
      <c r="B22" s="362" t="s">
        <v>345</v>
      </c>
      <c r="C22" s="535">
        <f t="shared" si="3"/>
        <v>546896</v>
      </c>
      <c r="D22" s="535" t="e">
        <f>SUM(#REF!)-#REF!-#REF!-#REF!-#REF!-#REF!</f>
        <v>#REF!</v>
      </c>
      <c r="E22" s="535" t="e">
        <f>SUM(#REF!)-#REF!-#REF!-#REF!-#REF!-#REF!</f>
        <v>#REF!</v>
      </c>
      <c r="F22" s="535" t="e">
        <f>SUM(#REF!)-#REF!-#REF!-#REF!-#REF!-#REF!</f>
        <v>#REF!</v>
      </c>
      <c r="G22" s="535" t="e">
        <f>SUM(#REF!)-#REF!-#REF!-#REF!-#REF!-#REF!</f>
        <v>#REF!</v>
      </c>
      <c r="H22" s="535" t="e">
        <f>SUM(#REF!)-#REF!-#REF!-#REF!-#REF!-#REF!</f>
        <v>#REF!</v>
      </c>
      <c r="I22" s="535" t="e">
        <f>SUM(#REF!)-#REF!-#REF!-#REF!-#REF!-#REF!</f>
        <v>#REF!</v>
      </c>
      <c r="J22" s="535">
        <f t="shared" si="4"/>
        <v>546896</v>
      </c>
      <c r="K22" s="536">
        <v>0</v>
      </c>
      <c r="L22" s="536">
        <v>0</v>
      </c>
      <c r="M22" s="536">
        <v>0</v>
      </c>
      <c r="N22" s="536">
        <v>12900</v>
      </c>
      <c r="O22" s="536">
        <v>525972</v>
      </c>
      <c r="P22" s="536">
        <v>0</v>
      </c>
      <c r="Q22" s="536">
        <v>0</v>
      </c>
      <c r="R22" s="536">
        <v>0</v>
      </c>
      <c r="S22" s="536">
        <v>0</v>
      </c>
      <c r="T22" s="536">
        <v>8024</v>
      </c>
      <c r="U22" s="536">
        <v>0</v>
      </c>
      <c r="V22" s="536">
        <v>0</v>
      </c>
      <c r="W22" s="535">
        <v>0</v>
      </c>
      <c r="X22" s="535">
        <v>0</v>
      </c>
      <c r="Y22" s="535">
        <v>0</v>
      </c>
    </row>
    <row r="23" spans="1:27" s="159" customFormat="1" ht="18.95" customHeight="1">
      <c r="A23" s="360">
        <v>13</v>
      </c>
      <c r="B23" s="362" t="s">
        <v>344</v>
      </c>
      <c r="C23" s="535">
        <f t="shared" si="3"/>
        <v>76587</v>
      </c>
      <c r="D23" s="535" t="e">
        <f>SUM(#REF!)</f>
        <v>#REF!</v>
      </c>
      <c r="E23" s="535" t="e">
        <f>SUM(#REF!)</f>
        <v>#REF!</v>
      </c>
      <c r="F23" s="535" t="e">
        <f>SUM(#REF!)</f>
        <v>#REF!</v>
      </c>
      <c r="G23" s="535" t="e">
        <f>SUM(#REF!)</f>
        <v>#REF!</v>
      </c>
      <c r="H23" s="535" t="e">
        <f>SUM(#REF!)</f>
        <v>#REF!</v>
      </c>
      <c r="I23" s="535" t="e">
        <f>SUM(#REF!)</f>
        <v>#REF!</v>
      </c>
      <c r="J23" s="535">
        <f t="shared" si="4"/>
        <v>75094</v>
      </c>
      <c r="K23" s="536">
        <v>0</v>
      </c>
      <c r="L23" s="536">
        <v>0</v>
      </c>
      <c r="M23" s="536">
        <v>0</v>
      </c>
      <c r="N23" s="536">
        <v>32807</v>
      </c>
      <c r="O23" s="536">
        <v>0</v>
      </c>
      <c r="P23" s="536">
        <v>0</v>
      </c>
      <c r="Q23" s="536">
        <v>0</v>
      </c>
      <c r="R23" s="536">
        <v>0</v>
      </c>
      <c r="S23" s="536">
        <v>35000</v>
      </c>
      <c r="T23" s="536">
        <v>7287</v>
      </c>
      <c r="U23" s="536">
        <v>0</v>
      </c>
      <c r="V23" s="536">
        <v>0</v>
      </c>
      <c r="W23" s="535">
        <v>0</v>
      </c>
      <c r="X23" s="535">
        <v>0</v>
      </c>
      <c r="Y23" s="535">
        <f>360+80+240+813</f>
        <v>1493</v>
      </c>
    </row>
    <row r="24" spans="1:27" s="159" customFormat="1" ht="18.95" customHeight="1">
      <c r="A24" s="360">
        <v>14</v>
      </c>
      <c r="B24" s="362" t="s">
        <v>343</v>
      </c>
      <c r="C24" s="535">
        <f t="shared" si="3"/>
        <v>75804</v>
      </c>
      <c r="D24" s="535" t="e">
        <f>SUM(#REF!)</f>
        <v>#REF!</v>
      </c>
      <c r="E24" s="535" t="e">
        <f>SUM(#REF!)</f>
        <v>#REF!</v>
      </c>
      <c r="F24" s="535" t="e">
        <f>SUM(#REF!)</f>
        <v>#REF!</v>
      </c>
      <c r="G24" s="535" t="e">
        <f>SUM(#REF!)</f>
        <v>#REF!</v>
      </c>
      <c r="H24" s="535" t="e">
        <f>SUM(#REF!)</f>
        <v>#REF!</v>
      </c>
      <c r="I24" s="535" t="e">
        <f>SUM(#REF!)</f>
        <v>#REF!</v>
      </c>
      <c r="J24" s="535">
        <f t="shared" si="4"/>
        <v>75804</v>
      </c>
      <c r="K24" s="536">
        <v>0</v>
      </c>
      <c r="L24" s="536">
        <v>0</v>
      </c>
      <c r="M24" s="536">
        <v>0</v>
      </c>
      <c r="N24" s="536">
        <v>31922</v>
      </c>
      <c r="O24" s="536">
        <v>0</v>
      </c>
      <c r="P24" s="536">
        <v>24100</v>
      </c>
      <c r="Q24" s="536">
        <v>0</v>
      </c>
      <c r="R24" s="536">
        <v>13000</v>
      </c>
      <c r="S24" s="536">
        <v>0</v>
      </c>
      <c r="T24" s="536">
        <v>6782</v>
      </c>
      <c r="U24" s="536">
        <v>0</v>
      </c>
      <c r="V24" s="536">
        <v>0</v>
      </c>
      <c r="W24" s="535">
        <v>0</v>
      </c>
      <c r="X24" s="535">
        <v>0</v>
      </c>
      <c r="Y24" s="535">
        <v>0</v>
      </c>
    </row>
    <row r="25" spans="1:27" s="159" customFormat="1" ht="18.95" customHeight="1">
      <c r="A25" s="360">
        <v>15</v>
      </c>
      <c r="B25" s="362" t="s">
        <v>342</v>
      </c>
      <c r="C25" s="535">
        <f t="shared" si="3"/>
        <v>22890</v>
      </c>
      <c r="D25" s="535" t="e">
        <f>SUM(#REF!)</f>
        <v>#REF!</v>
      </c>
      <c r="E25" s="535" t="e">
        <f>SUM(#REF!)</f>
        <v>#REF!</v>
      </c>
      <c r="F25" s="535" t="e">
        <f>SUM(#REF!)</f>
        <v>#REF!</v>
      </c>
      <c r="G25" s="535" t="e">
        <f>SUM(#REF!)</f>
        <v>#REF!</v>
      </c>
      <c r="H25" s="535" t="e">
        <f>SUM(#REF!)</f>
        <v>#REF!</v>
      </c>
      <c r="I25" s="535" t="e">
        <f>SUM(#REF!)</f>
        <v>#REF!</v>
      </c>
      <c r="J25" s="535">
        <f t="shared" si="4"/>
        <v>22890</v>
      </c>
      <c r="K25" s="536">
        <v>10231</v>
      </c>
      <c r="L25" s="536">
        <v>6000</v>
      </c>
      <c r="M25" s="536">
        <v>0</v>
      </c>
      <c r="N25" s="536">
        <v>0</v>
      </c>
      <c r="O25" s="536">
        <v>0</v>
      </c>
      <c r="P25" s="536">
        <v>0</v>
      </c>
      <c r="Q25" s="536">
        <v>0</v>
      </c>
      <c r="R25" s="536">
        <v>0</v>
      </c>
      <c r="S25" s="536">
        <v>0</v>
      </c>
      <c r="T25" s="536">
        <v>6659</v>
      </c>
      <c r="U25" s="536">
        <v>0</v>
      </c>
      <c r="V25" s="536">
        <v>0</v>
      </c>
      <c r="W25" s="536">
        <v>0</v>
      </c>
      <c r="X25" s="536">
        <v>0</v>
      </c>
      <c r="Y25" s="535">
        <v>0</v>
      </c>
    </row>
    <row r="26" spans="1:27" s="159" customFormat="1" ht="18.95" customHeight="1">
      <c r="A26" s="360">
        <v>16</v>
      </c>
      <c r="B26" s="362" t="s">
        <v>309</v>
      </c>
      <c r="C26" s="535">
        <f t="shared" si="3"/>
        <v>6756</v>
      </c>
      <c r="D26" s="535" t="e">
        <f>SUM(#REF!)</f>
        <v>#REF!</v>
      </c>
      <c r="E26" s="535" t="e">
        <f>SUM(#REF!)</f>
        <v>#REF!</v>
      </c>
      <c r="F26" s="535" t="e">
        <f>SUM(#REF!)</f>
        <v>#REF!</v>
      </c>
      <c r="G26" s="535" t="e">
        <f>SUM(#REF!)</f>
        <v>#REF!</v>
      </c>
      <c r="H26" s="535" t="e">
        <f>SUM(#REF!)</f>
        <v>#REF!</v>
      </c>
      <c r="I26" s="535" t="e">
        <f>SUM(#REF!)</f>
        <v>#REF!</v>
      </c>
      <c r="J26" s="535">
        <f t="shared" si="4"/>
        <v>6756</v>
      </c>
      <c r="K26" s="536">
        <v>0</v>
      </c>
      <c r="L26" s="536">
        <v>0</v>
      </c>
      <c r="M26" s="536">
        <v>1050</v>
      </c>
      <c r="N26" s="536">
        <v>1028</v>
      </c>
      <c r="O26" s="536">
        <v>0</v>
      </c>
      <c r="P26" s="536">
        <v>0</v>
      </c>
      <c r="Q26" s="536">
        <v>0</v>
      </c>
      <c r="R26" s="536">
        <v>0</v>
      </c>
      <c r="S26" s="536">
        <v>0</v>
      </c>
      <c r="T26" s="536">
        <v>4678</v>
      </c>
      <c r="U26" s="536">
        <v>0</v>
      </c>
      <c r="V26" s="536">
        <v>0</v>
      </c>
      <c r="W26" s="536">
        <v>0</v>
      </c>
      <c r="X26" s="536">
        <v>0</v>
      </c>
      <c r="Y26" s="535">
        <v>0</v>
      </c>
    </row>
    <row r="27" spans="1:27" s="159" customFormat="1" ht="18.95" customHeight="1">
      <c r="A27" s="360">
        <v>17</v>
      </c>
      <c r="B27" s="362" t="s">
        <v>483</v>
      </c>
      <c r="C27" s="535">
        <f t="shared" si="3"/>
        <v>31620</v>
      </c>
      <c r="D27" s="535" t="e">
        <f>SUM(#REF!)</f>
        <v>#REF!</v>
      </c>
      <c r="E27" s="535" t="e">
        <f>SUM(#REF!)</f>
        <v>#REF!</v>
      </c>
      <c r="F27" s="535" t="e">
        <f>SUM(#REF!)</f>
        <v>#REF!</v>
      </c>
      <c r="G27" s="535" t="e">
        <f>SUM(#REF!)</f>
        <v>#REF!</v>
      </c>
      <c r="H27" s="535" t="e">
        <f>SUM(#REF!)</f>
        <v>#REF!</v>
      </c>
      <c r="I27" s="535" t="e">
        <f>SUM(#REF!)</f>
        <v>#REF!</v>
      </c>
      <c r="J27" s="535">
        <f t="shared" si="4"/>
        <v>30120</v>
      </c>
      <c r="K27" s="536">
        <v>667</v>
      </c>
      <c r="L27" s="536">
        <v>0</v>
      </c>
      <c r="M27" s="536">
        <v>0</v>
      </c>
      <c r="N27" s="536">
        <v>4440</v>
      </c>
      <c r="O27" s="536">
        <v>0</v>
      </c>
      <c r="P27" s="536">
        <v>0</v>
      </c>
      <c r="Q27" s="536">
        <v>0</v>
      </c>
      <c r="R27" s="536">
        <v>0</v>
      </c>
      <c r="S27" s="536">
        <v>0</v>
      </c>
      <c r="T27" s="536">
        <v>25013</v>
      </c>
      <c r="U27" s="536">
        <v>0</v>
      </c>
      <c r="V27" s="536">
        <v>0</v>
      </c>
      <c r="W27" s="536">
        <v>0</v>
      </c>
      <c r="X27" s="536">
        <v>0</v>
      </c>
      <c r="Y27" s="535">
        <f>1500</f>
        <v>1500</v>
      </c>
    </row>
    <row r="28" spans="1:27" s="159" customFormat="1" ht="18.95" customHeight="1">
      <c r="A28" s="360">
        <v>18</v>
      </c>
      <c r="B28" s="362" t="s">
        <v>468</v>
      </c>
      <c r="C28" s="535">
        <f t="shared" si="3"/>
        <v>12407</v>
      </c>
      <c r="D28" s="535"/>
      <c r="E28" s="535"/>
      <c r="F28" s="535"/>
      <c r="G28" s="535"/>
      <c r="H28" s="535"/>
      <c r="I28" s="535"/>
      <c r="J28" s="535">
        <f t="shared" si="4"/>
        <v>12407</v>
      </c>
      <c r="K28" s="536">
        <v>0</v>
      </c>
      <c r="L28" s="536">
        <v>0</v>
      </c>
      <c r="M28" s="536">
        <v>0</v>
      </c>
      <c r="N28" s="536">
        <v>135</v>
      </c>
      <c r="O28" s="536">
        <v>0</v>
      </c>
      <c r="P28" s="536">
        <v>0</v>
      </c>
      <c r="Q28" s="536">
        <v>0</v>
      </c>
      <c r="R28" s="536">
        <v>0</v>
      </c>
      <c r="S28" s="536">
        <v>0</v>
      </c>
      <c r="T28" s="536">
        <f>13072-800</f>
        <v>12272</v>
      </c>
      <c r="U28" s="536">
        <v>0</v>
      </c>
      <c r="V28" s="536">
        <v>0</v>
      </c>
      <c r="W28" s="536">
        <v>0</v>
      </c>
      <c r="X28" s="536">
        <v>0</v>
      </c>
      <c r="Y28" s="535">
        <v>0</v>
      </c>
    </row>
    <row r="29" spans="1:27" s="159" customFormat="1" ht="18.95" customHeight="1">
      <c r="A29" s="360">
        <v>19</v>
      </c>
      <c r="B29" s="362" t="s">
        <v>341</v>
      </c>
      <c r="C29" s="535">
        <f t="shared" si="3"/>
        <v>6463</v>
      </c>
      <c r="D29" s="535"/>
      <c r="E29" s="535"/>
      <c r="F29" s="535"/>
      <c r="G29" s="535"/>
      <c r="H29" s="535"/>
      <c r="I29" s="535"/>
      <c r="J29" s="535">
        <f t="shared" si="4"/>
        <v>6463</v>
      </c>
      <c r="K29" s="536">
        <v>0</v>
      </c>
      <c r="L29" s="536">
        <v>0</v>
      </c>
      <c r="M29" s="536">
        <v>0</v>
      </c>
      <c r="N29" s="536">
        <v>0</v>
      </c>
      <c r="O29" s="536">
        <v>0</v>
      </c>
      <c r="P29" s="536">
        <v>0</v>
      </c>
      <c r="Q29" s="536">
        <v>0</v>
      </c>
      <c r="R29" s="536">
        <v>0</v>
      </c>
      <c r="S29" s="536">
        <v>0</v>
      </c>
      <c r="T29" s="536">
        <v>6463</v>
      </c>
      <c r="U29" s="536">
        <v>0</v>
      </c>
      <c r="V29" s="536">
        <v>0</v>
      </c>
      <c r="W29" s="536">
        <v>0</v>
      </c>
      <c r="X29" s="536">
        <v>0</v>
      </c>
      <c r="Y29" s="535">
        <v>0</v>
      </c>
    </row>
    <row r="30" spans="1:27" s="159" customFormat="1" ht="18.95" customHeight="1">
      <c r="A30" s="360">
        <v>20</v>
      </c>
      <c r="B30" s="362" t="s">
        <v>340</v>
      </c>
      <c r="C30" s="535">
        <f t="shared" si="3"/>
        <v>4400</v>
      </c>
      <c r="D30" s="535"/>
      <c r="E30" s="535"/>
      <c r="F30" s="535"/>
      <c r="G30" s="535"/>
      <c r="H30" s="535"/>
      <c r="I30" s="535"/>
      <c r="J30" s="535">
        <f t="shared" si="4"/>
        <v>4400</v>
      </c>
      <c r="K30" s="536">
        <v>0</v>
      </c>
      <c r="L30" s="536">
        <v>0</v>
      </c>
      <c r="M30" s="536">
        <v>0</v>
      </c>
      <c r="N30" s="536">
        <v>0</v>
      </c>
      <c r="O30" s="536">
        <v>0</v>
      </c>
      <c r="P30" s="536">
        <v>0</v>
      </c>
      <c r="Q30" s="536">
        <v>4400</v>
      </c>
      <c r="R30" s="536">
        <v>0</v>
      </c>
      <c r="S30" s="536">
        <v>0</v>
      </c>
      <c r="T30" s="536">
        <v>0</v>
      </c>
      <c r="U30" s="536">
        <v>0</v>
      </c>
      <c r="V30" s="536">
        <v>0</v>
      </c>
      <c r="W30" s="536">
        <v>0</v>
      </c>
      <c r="X30" s="536">
        <v>0</v>
      </c>
      <c r="Y30" s="535">
        <v>0</v>
      </c>
    </row>
    <row r="31" spans="1:27" s="159" customFormat="1" ht="18.95" customHeight="1">
      <c r="A31" s="360">
        <v>21</v>
      </c>
      <c r="B31" s="362" t="s">
        <v>339</v>
      </c>
      <c r="C31" s="535">
        <f t="shared" si="3"/>
        <v>3589</v>
      </c>
      <c r="D31" s="535"/>
      <c r="E31" s="535"/>
      <c r="F31" s="535"/>
      <c r="G31" s="535"/>
      <c r="H31" s="535"/>
      <c r="I31" s="535"/>
      <c r="J31" s="535">
        <f t="shared" si="4"/>
        <v>3589</v>
      </c>
      <c r="K31" s="536">
        <v>502</v>
      </c>
      <c r="L31" s="536">
        <v>31</v>
      </c>
      <c r="M31" s="536">
        <v>0</v>
      </c>
      <c r="N31" s="536">
        <v>0</v>
      </c>
      <c r="O31" s="536">
        <v>0</v>
      </c>
      <c r="P31" s="536">
        <v>0</v>
      </c>
      <c r="Q31" s="536">
        <v>0</v>
      </c>
      <c r="R31" s="536">
        <v>0</v>
      </c>
      <c r="S31" s="536">
        <v>0</v>
      </c>
      <c r="T31" s="536">
        <v>3056</v>
      </c>
      <c r="U31" s="536">
        <v>0</v>
      </c>
      <c r="V31" s="536">
        <v>0</v>
      </c>
      <c r="W31" s="535">
        <v>0</v>
      </c>
      <c r="X31" s="535">
        <v>0</v>
      </c>
      <c r="Y31" s="535">
        <v>0</v>
      </c>
    </row>
    <row r="32" spans="1:27" s="159" customFormat="1" ht="18.95" customHeight="1">
      <c r="A32" s="360">
        <v>22</v>
      </c>
      <c r="B32" s="362" t="s">
        <v>335</v>
      </c>
      <c r="C32" s="535">
        <f t="shared" si="3"/>
        <v>150195</v>
      </c>
      <c r="D32" s="535" t="e">
        <f>SUM(#REF!)</f>
        <v>#REF!</v>
      </c>
      <c r="E32" s="535" t="e">
        <f>SUM(#REF!)</f>
        <v>#REF!</v>
      </c>
      <c r="F32" s="535" t="e">
        <f>SUM(#REF!)</f>
        <v>#REF!</v>
      </c>
      <c r="G32" s="535" t="e">
        <f>SUM(#REF!)</f>
        <v>#REF!</v>
      </c>
      <c r="H32" s="535" t="e">
        <f>SUM(#REF!)</f>
        <v>#REF!</v>
      </c>
      <c r="I32" s="535" t="e">
        <f>SUM(#REF!)</f>
        <v>#REF!</v>
      </c>
      <c r="J32" s="535">
        <f t="shared" si="4"/>
        <v>150195</v>
      </c>
      <c r="K32" s="536">
        <v>0</v>
      </c>
      <c r="L32" s="536">
        <v>14</v>
      </c>
      <c r="M32" s="536">
        <v>0</v>
      </c>
      <c r="N32" s="536">
        <v>2211</v>
      </c>
      <c r="O32" s="536">
        <v>0</v>
      </c>
      <c r="P32" s="536">
        <v>0</v>
      </c>
      <c r="Q32" s="536">
        <v>0</v>
      </c>
      <c r="R32" s="536">
        <v>0</v>
      </c>
      <c r="S32" s="536">
        <v>0</v>
      </c>
      <c r="T32" s="536">
        <f>150260+800+110-4*800</f>
        <v>147970</v>
      </c>
      <c r="U32" s="536">
        <v>0</v>
      </c>
      <c r="V32" s="536">
        <v>0</v>
      </c>
      <c r="W32" s="535">
        <v>0</v>
      </c>
      <c r="X32" s="535">
        <v>0</v>
      </c>
      <c r="Y32" s="535">
        <v>0</v>
      </c>
      <c r="Z32" s="159">
        <v>25819</v>
      </c>
      <c r="AA32" s="541">
        <f>+Z32+V9</f>
        <v>80093</v>
      </c>
    </row>
    <row r="33" spans="1:32" s="159" customFormat="1" ht="18.95" customHeight="1">
      <c r="A33" s="360">
        <v>23</v>
      </c>
      <c r="B33" s="362" t="s">
        <v>336</v>
      </c>
      <c r="C33" s="535">
        <f t="shared" si="3"/>
        <v>21341</v>
      </c>
      <c r="D33" s="535"/>
      <c r="E33" s="535"/>
      <c r="F33" s="535"/>
      <c r="G33" s="535"/>
      <c r="H33" s="535"/>
      <c r="I33" s="535"/>
      <c r="J33" s="535">
        <f t="shared" si="4"/>
        <v>21341</v>
      </c>
      <c r="K33" s="536">
        <v>0</v>
      </c>
      <c r="L33" s="536">
        <v>0</v>
      </c>
      <c r="M33" s="536">
        <v>0</v>
      </c>
      <c r="N33" s="536">
        <v>21341</v>
      </c>
      <c r="O33" s="536">
        <v>0</v>
      </c>
      <c r="P33" s="536">
        <v>0</v>
      </c>
      <c r="Q33" s="536">
        <v>0</v>
      </c>
      <c r="R33" s="536">
        <v>0</v>
      </c>
      <c r="S33" s="536">
        <v>0</v>
      </c>
      <c r="T33" s="536">
        <v>0</v>
      </c>
      <c r="U33" s="536">
        <v>0</v>
      </c>
      <c r="V33" s="536">
        <v>0</v>
      </c>
      <c r="W33" s="535">
        <v>0</v>
      </c>
      <c r="X33" s="535">
        <v>0</v>
      </c>
      <c r="Y33" s="535">
        <v>0</v>
      </c>
    </row>
    <row r="34" spans="1:32" s="159" customFormat="1" ht="18.95" customHeight="1">
      <c r="A34" s="360">
        <v>24</v>
      </c>
      <c r="B34" s="362" t="s">
        <v>337</v>
      </c>
      <c r="C34" s="535">
        <f t="shared" si="3"/>
        <v>11057</v>
      </c>
      <c r="D34" s="535" t="e">
        <f>SUM(#REF!)</f>
        <v>#REF!</v>
      </c>
      <c r="E34" s="535" t="e">
        <f>SUM(#REF!)</f>
        <v>#REF!</v>
      </c>
      <c r="F34" s="535" t="e">
        <f>SUM(#REF!)</f>
        <v>#REF!</v>
      </c>
      <c r="G34" s="535" t="e">
        <f>SUM(#REF!)</f>
        <v>#REF!</v>
      </c>
      <c r="H34" s="535" t="e">
        <f>SUM(#REF!)</f>
        <v>#REF!</v>
      </c>
      <c r="I34" s="535" t="e">
        <f>SUM(#REF!)</f>
        <v>#REF!</v>
      </c>
      <c r="J34" s="535">
        <f t="shared" si="4"/>
        <v>11057</v>
      </c>
      <c r="K34" s="536">
        <v>0</v>
      </c>
      <c r="L34" s="536">
        <v>11057</v>
      </c>
      <c r="M34" s="536">
        <v>0</v>
      </c>
      <c r="N34" s="536">
        <v>0</v>
      </c>
      <c r="O34" s="536">
        <v>0</v>
      </c>
      <c r="P34" s="536">
        <v>0</v>
      </c>
      <c r="Q34" s="536">
        <v>0</v>
      </c>
      <c r="R34" s="536">
        <v>0</v>
      </c>
      <c r="S34" s="536">
        <v>0</v>
      </c>
      <c r="T34" s="536">
        <v>0</v>
      </c>
      <c r="U34" s="536">
        <v>0</v>
      </c>
      <c r="V34" s="536">
        <v>0</v>
      </c>
      <c r="W34" s="535">
        <v>0</v>
      </c>
      <c r="X34" s="535">
        <v>0</v>
      </c>
      <c r="Y34" s="535">
        <v>0</v>
      </c>
    </row>
    <row r="35" spans="1:32" s="159" customFormat="1" ht="18.95" customHeight="1">
      <c r="A35" s="360">
        <v>25</v>
      </c>
      <c r="B35" s="362" t="s">
        <v>338</v>
      </c>
      <c r="C35" s="535">
        <f t="shared" si="3"/>
        <v>17807</v>
      </c>
      <c r="D35" s="535"/>
      <c r="E35" s="535"/>
      <c r="F35" s="535"/>
      <c r="G35" s="535"/>
      <c r="H35" s="535"/>
      <c r="I35" s="535"/>
      <c r="J35" s="535">
        <f t="shared" si="4"/>
        <v>17807</v>
      </c>
      <c r="K35" s="536">
        <v>0</v>
      </c>
      <c r="L35" s="536">
        <v>0</v>
      </c>
      <c r="M35" s="536">
        <v>0</v>
      </c>
      <c r="N35" s="536">
        <v>17807</v>
      </c>
      <c r="O35" s="536">
        <v>0</v>
      </c>
      <c r="P35" s="536">
        <v>0</v>
      </c>
      <c r="Q35" s="536">
        <v>0</v>
      </c>
      <c r="R35" s="536">
        <v>0</v>
      </c>
      <c r="S35" s="536">
        <v>0</v>
      </c>
      <c r="T35" s="536">
        <v>0</v>
      </c>
      <c r="U35" s="536">
        <v>0</v>
      </c>
      <c r="V35" s="536">
        <v>0</v>
      </c>
      <c r="W35" s="535">
        <v>0</v>
      </c>
      <c r="X35" s="535">
        <v>0</v>
      </c>
      <c r="Y35" s="535">
        <v>0</v>
      </c>
    </row>
    <row r="36" spans="1:32" s="159" customFormat="1" ht="18.95" customHeight="1">
      <c r="A36" s="360">
        <v>26</v>
      </c>
      <c r="B36" s="362" t="s">
        <v>356</v>
      </c>
      <c r="C36" s="535">
        <f t="shared" si="3"/>
        <v>13345</v>
      </c>
      <c r="D36" s="535"/>
      <c r="E36" s="535"/>
      <c r="F36" s="535"/>
      <c r="G36" s="535"/>
      <c r="H36" s="535"/>
      <c r="I36" s="535"/>
      <c r="J36" s="535">
        <f t="shared" si="4"/>
        <v>13345</v>
      </c>
      <c r="K36" s="536">
        <v>0</v>
      </c>
      <c r="L36" s="536">
        <v>0</v>
      </c>
      <c r="M36" s="536">
        <v>0</v>
      </c>
      <c r="N36" s="536">
        <v>13345</v>
      </c>
      <c r="O36" s="536">
        <v>0</v>
      </c>
      <c r="P36" s="536">
        <v>0</v>
      </c>
      <c r="Q36" s="536">
        <v>0</v>
      </c>
      <c r="R36" s="536">
        <v>0</v>
      </c>
      <c r="S36" s="536">
        <v>0</v>
      </c>
      <c r="T36" s="536">
        <v>0</v>
      </c>
      <c r="U36" s="536">
        <v>0</v>
      </c>
      <c r="V36" s="536">
        <v>0</v>
      </c>
      <c r="W36" s="535">
        <v>0</v>
      </c>
      <c r="X36" s="535">
        <v>0</v>
      </c>
      <c r="Y36" s="535">
        <v>0</v>
      </c>
    </row>
    <row r="37" spans="1:32" s="159" customFormat="1" ht="18.95" customHeight="1">
      <c r="A37" s="360">
        <v>27</v>
      </c>
      <c r="B37" s="362" t="s">
        <v>357</v>
      </c>
      <c r="C37" s="535">
        <f t="shared" si="3"/>
        <v>9142</v>
      </c>
      <c r="D37" s="535"/>
      <c r="E37" s="535"/>
      <c r="F37" s="535"/>
      <c r="G37" s="535"/>
      <c r="H37" s="535"/>
      <c r="I37" s="535"/>
      <c r="J37" s="535">
        <f t="shared" si="4"/>
        <v>9142</v>
      </c>
      <c r="K37" s="536">
        <v>0</v>
      </c>
      <c r="L37" s="536">
        <v>0</v>
      </c>
      <c r="M37" s="536">
        <v>0</v>
      </c>
      <c r="N37" s="536">
        <v>9142</v>
      </c>
      <c r="O37" s="536">
        <v>0</v>
      </c>
      <c r="P37" s="536">
        <v>0</v>
      </c>
      <c r="Q37" s="536">
        <v>0</v>
      </c>
      <c r="R37" s="536">
        <v>0</v>
      </c>
      <c r="S37" s="536">
        <v>0</v>
      </c>
      <c r="T37" s="536">
        <v>0</v>
      </c>
      <c r="U37" s="536">
        <v>0</v>
      </c>
      <c r="V37" s="536">
        <v>0</v>
      </c>
      <c r="W37" s="535">
        <v>0</v>
      </c>
      <c r="X37" s="535">
        <v>0</v>
      </c>
      <c r="Y37" s="535">
        <v>0</v>
      </c>
    </row>
    <row r="38" spans="1:32" s="159" customFormat="1" ht="18.95" customHeight="1">
      <c r="A38" s="360">
        <v>28</v>
      </c>
      <c r="B38" s="362" t="s">
        <v>358</v>
      </c>
      <c r="C38" s="535">
        <f t="shared" si="3"/>
        <v>3305</v>
      </c>
      <c r="D38" s="535"/>
      <c r="E38" s="535"/>
      <c r="F38" s="535"/>
      <c r="G38" s="535"/>
      <c r="H38" s="535"/>
      <c r="I38" s="535"/>
      <c r="J38" s="535">
        <f t="shared" si="4"/>
        <v>3305</v>
      </c>
      <c r="K38" s="536">
        <v>0</v>
      </c>
      <c r="L38" s="536">
        <v>1100</v>
      </c>
      <c r="M38" s="536">
        <v>0</v>
      </c>
      <c r="N38" s="536">
        <v>0</v>
      </c>
      <c r="O38" s="536">
        <v>0</v>
      </c>
      <c r="P38" s="536">
        <v>2205</v>
      </c>
      <c r="Q38" s="536">
        <v>0</v>
      </c>
      <c r="R38" s="536">
        <v>0</v>
      </c>
      <c r="S38" s="536">
        <v>0</v>
      </c>
      <c r="T38" s="536">
        <v>0</v>
      </c>
      <c r="U38" s="536">
        <v>0</v>
      </c>
      <c r="V38" s="536">
        <v>0</v>
      </c>
      <c r="W38" s="535">
        <v>0</v>
      </c>
      <c r="X38" s="536">
        <v>0</v>
      </c>
      <c r="Y38" s="535">
        <v>0</v>
      </c>
    </row>
    <row r="39" spans="1:32" s="159" customFormat="1" ht="18.95" customHeight="1">
      <c r="A39" s="360">
        <v>29</v>
      </c>
      <c r="B39" s="362" t="s">
        <v>291</v>
      </c>
      <c r="C39" s="535">
        <f t="shared" si="3"/>
        <v>3891</v>
      </c>
      <c r="D39" s="535"/>
      <c r="E39" s="535"/>
      <c r="F39" s="535"/>
      <c r="G39" s="535"/>
      <c r="H39" s="535"/>
      <c r="I39" s="535"/>
      <c r="J39" s="535">
        <f t="shared" si="4"/>
        <v>3891</v>
      </c>
      <c r="K39" s="536">
        <f>4208-800</f>
        <v>3408</v>
      </c>
      <c r="L39" s="536">
        <v>0</v>
      </c>
      <c r="M39" s="536">
        <v>0</v>
      </c>
      <c r="N39" s="536">
        <v>483</v>
      </c>
      <c r="O39" s="536">
        <v>0</v>
      </c>
      <c r="P39" s="536">
        <v>0</v>
      </c>
      <c r="Q39" s="536">
        <v>0</v>
      </c>
      <c r="R39" s="536">
        <v>0</v>
      </c>
      <c r="S39" s="536">
        <v>0</v>
      </c>
      <c r="T39" s="536">
        <v>0</v>
      </c>
      <c r="U39" s="536">
        <v>0</v>
      </c>
      <c r="V39" s="536">
        <v>0</v>
      </c>
      <c r="W39" s="536">
        <v>0</v>
      </c>
      <c r="X39" s="536">
        <v>0</v>
      </c>
      <c r="Y39" s="535">
        <v>0</v>
      </c>
    </row>
    <row r="40" spans="1:32" s="159" customFormat="1" ht="18.95" customHeight="1">
      <c r="A40" s="360">
        <v>30</v>
      </c>
      <c r="B40" s="362" t="s">
        <v>359</v>
      </c>
      <c r="C40" s="535">
        <f t="shared" si="3"/>
        <v>10011</v>
      </c>
      <c r="D40" s="535"/>
      <c r="E40" s="535"/>
      <c r="F40" s="535"/>
      <c r="G40" s="535"/>
      <c r="H40" s="535"/>
      <c r="I40" s="535"/>
      <c r="J40" s="535">
        <f t="shared" si="4"/>
        <v>10011</v>
      </c>
      <c r="K40" s="536">
        <v>10011</v>
      </c>
      <c r="L40" s="536">
        <v>0</v>
      </c>
      <c r="M40" s="536">
        <v>0</v>
      </c>
      <c r="N40" s="536">
        <v>0</v>
      </c>
      <c r="O40" s="536">
        <v>0</v>
      </c>
      <c r="P40" s="536">
        <v>0</v>
      </c>
      <c r="Q40" s="536">
        <v>0</v>
      </c>
      <c r="R40" s="536">
        <v>0</v>
      </c>
      <c r="S40" s="536">
        <v>0</v>
      </c>
      <c r="T40" s="536">
        <v>0</v>
      </c>
      <c r="U40" s="536">
        <v>0</v>
      </c>
      <c r="V40" s="536">
        <v>0</v>
      </c>
      <c r="W40" s="536">
        <v>0</v>
      </c>
      <c r="X40" s="536">
        <v>0</v>
      </c>
      <c r="Y40" s="535">
        <v>0</v>
      </c>
    </row>
    <row r="41" spans="1:32" s="159" customFormat="1" ht="18.95" customHeight="1">
      <c r="A41" s="360">
        <v>31</v>
      </c>
      <c r="B41" s="362" t="s">
        <v>933</v>
      </c>
      <c r="C41" s="535">
        <f t="shared" si="3"/>
        <v>3000</v>
      </c>
      <c r="D41" s="535"/>
      <c r="E41" s="535"/>
      <c r="F41" s="535"/>
      <c r="G41" s="535"/>
      <c r="H41" s="535"/>
      <c r="I41" s="535"/>
      <c r="J41" s="535">
        <f t="shared" si="4"/>
        <v>3000</v>
      </c>
      <c r="K41" s="536">
        <v>0</v>
      </c>
      <c r="L41" s="536">
        <v>0</v>
      </c>
      <c r="M41" s="536">
        <v>0</v>
      </c>
      <c r="N41" s="536">
        <v>0</v>
      </c>
      <c r="O41" s="536">
        <v>0</v>
      </c>
      <c r="P41" s="536">
        <v>0</v>
      </c>
      <c r="Q41" s="536">
        <v>0</v>
      </c>
      <c r="R41" s="536">
        <v>0</v>
      </c>
      <c r="S41" s="536">
        <v>3000</v>
      </c>
      <c r="T41" s="536">
        <v>0</v>
      </c>
      <c r="U41" s="536">
        <v>0</v>
      </c>
      <c r="V41" s="536">
        <v>0</v>
      </c>
      <c r="W41" s="536">
        <v>0</v>
      </c>
      <c r="X41" s="536">
        <v>0</v>
      </c>
      <c r="Y41" s="535">
        <v>0</v>
      </c>
    </row>
    <row r="42" spans="1:32" s="159" customFormat="1" ht="18.95" customHeight="1">
      <c r="A42" s="360">
        <v>32</v>
      </c>
      <c r="B42" s="362" t="s">
        <v>934</v>
      </c>
      <c r="C42" s="535">
        <f t="shared" si="3"/>
        <v>100</v>
      </c>
      <c r="D42" s="535"/>
      <c r="E42" s="535"/>
      <c r="F42" s="535"/>
      <c r="G42" s="535"/>
      <c r="H42" s="535"/>
      <c r="I42" s="535"/>
      <c r="J42" s="535">
        <f t="shared" si="4"/>
        <v>100</v>
      </c>
      <c r="K42" s="536">
        <v>100</v>
      </c>
      <c r="L42" s="536">
        <v>0</v>
      </c>
      <c r="M42" s="536">
        <v>0</v>
      </c>
      <c r="N42" s="536">
        <v>0</v>
      </c>
      <c r="O42" s="536">
        <v>0</v>
      </c>
      <c r="P42" s="536">
        <v>0</v>
      </c>
      <c r="Q42" s="536">
        <v>0</v>
      </c>
      <c r="R42" s="536">
        <v>0</v>
      </c>
      <c r="S42" s="536">
        <v>0</v>
      </c>
      <c r="T42" s="536">
        <v>0</v>
      </c>
      <c r="U42" s="536">
        <v>0</v>
      </c>
      <c r="V42" s="536">
        <v>0</v>
      </c>
      <c r="W42" s="536">
        <v>0</v>
      </c>
      <c r="X42" s="536">
        <v>0</v>
      </c>
      <c r="Y42" s="535">
        <v>0</v>
      </c>
    </row>
    <row r="43" spans="1:32" s="159" customFormat="1" ht="18.95" customHeight="1">
      <c r="A43" s="360">
        <v>33</v>
      </c>
      <c r="B43" s="362" t="s">
        <v>301</v>
      </c>
      <c r="C43" s="535">
        <f>J43+Y43</f>
        <v>128702</v>
      </c>
      <c r="D43" s="535">
        <f t="shared" ref="D43:I43" si="5">SUM(D44:D44)</f>
        <v>0</v>
      </c>
      <c r="E43" s="535">
        <f t="shared" si="5"/>
        <v>0</v>
      </c>
      <c r="F43" s="535">
        <f t="shared" si="5"/>
        <v>0</v>
      </c>
      <c r="G43" s="535">
        <f t="shared" si="5"/>
        <v>0</v>
      </c>
      <c r="H43" s="535">
        <f t="shared" si="5"/>
        <v>0</v>
      </c>
      <c r="I43" s="535">
        <f t="shared" si="5"/>
        <v>0</v>
      </c>
      <c r="J43" s="535">
        <f t="shared" si="4"/>
        <v>128702</v>
      </c>
      <c r="K43" s="535">
        <f t="shared" ref="K43:Y43" si="6">SUM(K44:K44)</f>
        <v>46524</v>
      </c>
      <c r="L43" s="535">
        <f t="shared" si="6"/>
        <v>1929</v>
      </c>
      <c r="M43" s="535">
        <f t="shared" si="6"/>
        <v>5058</v>
      </c>
      <c r="N43" s="535">
        <f t="shared" si="6"/>
        <v>19371</v>
      </c>
      <c r="O43" s="535">
        <f t="shared" si="6"/>
        <v>0</v>
      </c>
      <c r="P43" s="535">
        <f t="shared" si="6"/>
        <v>5000</v>
      </c>
      <c r="Q43" s="535">
        <f t="shared" si="6"/>
        <v>0</v>
      </c>
      <c r="R43" s="535">
        <f t="shared" si="6"/>
        <v>2000</v>
      </c>
      <c r="S43" s="535">
        <f t="shared" si="6"/>
        <v>6400</v>
      </c>
      <c r="T43" s="535">
        <f t="shared" si="6"/>
        <v>12101</v>
      </c>
      <c r="U43" s="535">
        <f t="shared" si="6"/>
        <v>4026</v>
      </c>
      <c r="V43" s="535">
        <f t="shared" si="6"/>
        <v>26293</v>
      </c>
      <c r="W43" s="535">
        <f t="shared" si="6"/>
        <v>0</v>
      </c>
      <c r="X43" s="535">
        <f t="shared" si="6"/>
        <v>0</v>
      </c>
      <c r="Y43" s="535">
        <f t="shared" si="6"/>
        <v>0</v>
      </c>
    </row>
    <row r="44" spans="1:32" s="518" customFormat="1" ht="18.95" hidden="1" customHeight="1">
      <c r="A44" s="589"/>
      <c r="B44" s="517" t="s">
        <v>822</v>
      </c>
      <c r="C44" s="536">
        <f>J44+Y44+W44+X44</f>
        <v>128702</v>
      </c>
      <c r="D44" s="536"/>
      <c r="E44" s="536"/>
      <c r="F44" s="536"/>
      <c r="G44" s="536"/>
      <c r="H44" s="536"/>
      <c r="I44" s="536"/>
      <c r="J44" s="536">
        <f t="shared" si="4"/>
        <v>128702</v>
      </c>
      <c r="K44" s="536">
        <f>165000-SUM(K11:K42)-K45-K60-K64+71130+30000</f>
        <v>46524</v>
      </c>
      <c r="L44" s="536">
        <f>28380-SUM(L11:L42)-L45-L60-L64-713-500</f>
        <v>1929</v>
      </c>
      <c r="M44" s="536">
        <f>24000-SUM(M11:M42)-M45-M60-M64</f>
        <v>5058</v>
      </c>
      <c r="N44" s="536">
        <f>525000-SUM(N11:N42)-N45-N60-N64-2220</f>
        <v>19371</v>
      </c>
      <c r="O44" s="536">
        <f>526072-SUM(O11:O42)-O45-O60-O64</f>
        <v>0</v>
      </c>
      <c r="P44" s="536">
        <f>31305-SUM(P11:P42)-P45-P60-P64</f>
        <v>5000</v>
      </c>
      <c r="Q44" s="536">
        <f>4400-SUM(Q11:Q42)-Q45-Q60-Q64</f>
        <v>0</v>
      </c>
      <c r="R44" s="536">
        <f>15000-SUM(R11:R42)-R45-R60-R64</f>
        <v>2000</v>
      </c>
      <c r="S44" s="536">
        <f>44400-SUM(S11:S42)-S45-S60-S64</f>
        <v>6400</v>
      </c>
      <c r="T44" s="536">
        <f>357276-SUM(T11:T42)-T45-T60-T64+4175</f>
        <v>12101</v>
      </c>
      <c r="U44" s="536">
        <f>49845-SUM(U11:U42)-U45-U60-U64</f>
        <v>4026</v>
      </c>
      <c r="V44" s="536">
        <f>53204-SUM(V11:V42)-V45-V60-V64+1070</f>
        <v>26293</v>
      </c>
      <c r="W44" s="536">
        <v>0</v>
      </c>
      <c r="X44" s="536">
        <v>0</v>
      </c>
      <c r="Y44" s="536">
        <v>0</v>
      </c>
      <c r="Z44" s="518">
        <v>2370</v>
      </c>
      <c r="AA44" s="518">
        <v>56314</v>
      </c>
      <c r="AB44" s="518">
        <f>+AA44-Z44</f>
        <v>53944</v>
      </c>
      <c r="AC44" s="518">
        <v>740</v>
      </c>
      <c r="AD44" s="518">
        <f>+AB44-AC44</f>
        <v>53204</v>
      </c>
      <c r="AF44" s="518">
        <v>525000</v>
      </c>
    </row>
    <row r="45" spans="1:32" s="254" customFormat="1" ht="18.95" customHeight="1">
      <c r="A45" s="364" t="s">
        <v>657</v>
      </c>
      <c r="B45" s="361" t="s">
        <v>382</v>
      </c>
      <c r="C45" s="534">
        <f>SUM(C46,C52)</f>
        <v>37171</v>
      </c>
      <c r="D45" s="534" t="e">
        <f t="shared" ref="D45:Y45" si="7">SUM(D46,D52)</f>
        <v>#REF!</v>
      </c>
      <c r="E45" s="534" t="e">
        <f t="shared" si="7"/>
        <v>#REF!</v>
      </c>
      <c r="F45" s="534" t="e">
        <f t="shared" si="7"/>
        <v>#REF!</v>
      </c>
      <c r="G45" s="534" t="e">
        <f t="shared" si="7"/>
        <v>#REF!</v>
      </c>
      <c r="H45" s="534" t="e">
        <f t="shared" si="7"/>
        <v>#REF!</v>
      </c>
      <c r="I45" s="534" t="e">
        <f t="shared" si="7"/>
        <v>#REF!</v>
      </c>
      <c r="J45" s="534">
        <f t="shared" si="7"/>
        <v>36885</v>
      </c>
      <c r="K45" s="534">
        <f t="shared" si="7"/>
        <v>390</v>
      </c>
      <c r="L45" s="534">
        <f t="shared" si="7"/>
        <v>691</v>
      </c>
      <c r="M45" s="534">
        <f t="shared" si="7"/>
        <v>900</v>
      </c>
      <c r="N45" s="534">
        <f t="shared" si="7"/>
        <v>2090</v>
      </c>
      <c r="O45" s="534">
        <f t="shared" si="7"/>
        <v>100</v>
      </c>
      <c r="P45" s="534">
        <f t="shared" si="7"/>
        <v>0</v>
      </c>
      <c r="Q45" s="534">
        <f t="shared" si="7"/>
        <v>0</v>
      </c>
      <c r="R45" s="534">
        <f t="shared" si="7"/>
        <v>0</v>
      </c>
      <c r="S45" s="534">
        <f>SUM(S46,S52)</f>
        <v>0</v>
      </c>
      <c r="T45" s="534">
        <f>SUM(T46,T52)</f>
        <v>32714</v>
      </c>
      <c r="U45" s="534">
        <f t="shared" si="7"/>
        <v>0</v>
      </c>
      <c r="V45" s="534">
        <f t="shared" si="7"/>
        <v>0</v>
      </c>
      <c r="W45" s="534">
        <f t="shared" si="7"/>
        <v>0</v>
      </c>
      <c r="X45" s="534">
        <f t="shared" si="7"/>
        <v>0</v>
      </c>
      <c r="Y45" s="534">
        <f t="shared" si="7"/>
        <v>286</v>
      </c>
      <c r="AD45" s="254">
        <v>15819</v>
      </c>
      <c r="AF45" s="254">
        <v>8160</v>
      </c>
    </row>
    <row r="46" spans="1:32" s="159" customFormat="1" ht="18.95" customHeight="1">
      <c r="A46" s="414" t="s">
        <v>641</v>
      </c>
      <c r="B46" s="362" t="s">
        <v>823</v>
      </c>
      <c r="C46" s="535">
        <f>SUM(C47:C51)</f>
        <v>21100</v>
      </c>
      <c r="D46" s="535" t="e">
        <f t="shared" ref="D46:J46" si="8">SUM(D47:D51)</f>
        <v>#REF!</v>
      </c>
      <c r="E46" s="535" t="e">
        <f t="shared" si="8"/>
        <v>#REF!</v>
      </c>
      <c r="F46" s="535" t="e">
        <f t="shared" si="8"/>
        <v>#REF!</v>
      </c>
      <c r="G46" s="535" t="e">
        <f t="shared" si="8"/>
        <v>#REF!</v>
      </c>
      <c r="H46" s="535" t="e">
        <f t="shared" si="8"/>
        <v>#REF!</v>
      </c>
      <c r="I46" s="535" t="e">
        <f t="shared" si="8"/>
        <v>#REF!</v>
      </c>
      <c r="J46" s="535">
        <f t="shared" si="8"/>
        <v>21100</v>
      </c>
      <c r="K46" s="535">
        <f t="shared" ref="K46:Y46" si="9">SUM(K47:K51)</f>
        <v>390</v>
      </c>
      <c r="L46" s="535">
        <f t="shared" si="9"/>
        <v>649</v>
      </c>
      <c r="M46" s="535">
        <f t="shared" si="9"/>
        <v>0</v>
      </c>
      <c r="N46" s="535">
        <f t="shared" si="9"/>
        <v>680</v>
      </c>
      <c r="O46" s="535">
        <f t="shared" si="9"/>
        <v>0</v>
      </c>
      <c r="P46" s="535">
        <f t="shared" si="9"/>
        <v>0</v>
      </c>
      <c r="Q46" s="535">
        <f t="shared" si="9"/>
        <v>0</v>
      </c>
      <c r="R46" s="535">
        <f t="shared" si="9"/>
        <v>0</v>
      </c>
      <c r="S46" s="535">
        <f>SUM(S47:S51)</f>
        <v>0</v>
      </c>
      <c r="T46" s="535">
        <f>SUM(T47:T51)</f>
        <v>19381</v>
      </c>
      <c r="U46" s="535">
        <f t="shared" si="9"/>
        <v>0</v>
      </c>
      <c r="V46" s="535">
        <f t="shared" si="9"/>
        <v>0</v>
      </c>
      <c r="W46" s="535">
        <f t="shared" si="9"/>
        <v>0</v>
      </c>
      <c r="X46" s="535">
        <f t="shared" si="9"/>
        <v>0</v>
      </c>
      <c r="Y46" s="535">
        <f t="shared" si="9"/>
        <v>0</v>
      </c>
      <c r="AD46" s="159">
        <f>+AD44-AD45</f>
        <v>37385</v>
      </c>
      <c r="AF46" s="159">
        <f>+AF44-AF45</f>
        <v>516840</v>
      </c>
    </row>
    <row r="47" spans="1:32" ht="18.95" customHeight="1">
      <c r="A47" s="360">
        <v>34</v>
      </c>
      <c r="B47" s="363" t="s">
        <v>360</v>
      </c>
      <c r="C47" s="535">
        <f>J47+Y47+W47+X47</f>
        <v>4506</v>
      </c>
      <c r="D47" s="536"/>
      <c r="E47" s="536"/>
      <c r="F47" s="536"/>
      <c r="G47" s="536"/>
      <c r="H47" s="536"/>
      <c r="I47" s="536"/>
      <c r="J47" s="535">
        <f>SUM(K47:V47)</f>
        <v>4506</v>
      </c>
      <c r="K47" s="536">
        <v>0</v>
      </c>
      <c r="L47" s="536">
        <v>173</v>
      </c>
      <c r="M47" s="536">
        <v>0</v>
      </c>
      <c r="N47" s="536">
        <v>160</v>
      </c>
      <c r="O47" s="536">
        <v>0</v>
      </c>
      <c r="P47" s="536">
        <v>0</v>
      </c>
      <c r="Q47" s="536">
        <v>0</v>
      </c>
      <c r="R47" s="536">
        <v>0</v>
      </c>
      <c r="S47" s="536">
        <v>0</v>
      </c>
      <c r="T47" s="536">
        <v>4173</v>
      </c>
      <c r="U47" s="536">
        <v>0</v>
      </c>
      <c r="V47" s="536">
        <v>0</v>
      </c>
      <c r="W47" s="536">
        <v>0</v>
      </c>
      <c r="X47" s="536">
        <v>0</v>
      </c>
      <c r="Y47" s="535">
        <v>0</v>
      </c>
    </row>
    <row r="48" spans="1:32" ht="18.95" customHeight="1">
      <c r="A48" s="360">
        <v>35</v>
      </c>
      <c r="B48" s="363" t="s">
        <v>361</v>
      </c>
      <c r="C48" s="535">
        <f>J48+Y48+W48+X48</f>
        <v>5774</v>
      </c>
      <c r="D48" s="536" t="e">
        <f>SUM(#REF!)</f>
        <v>#REF!</v>
      </c>
      <c r="E48" s="536" t="e">
        <f>SUM(#REF!)</f>
        <v>#REF!</v>
      </c>
      <c r="F48" s="536" t="e">
        <f>SUM(#REF!)</f>
        <v>#REF!</v>
      </c>
      <c r="G48" s="536" t="e">
        <f>SUM(#REF!)</f>
        <v>#REF!</v>
      </c>
      <c r="H48" s="536" t="e">
        <f>SUM(#REF!)</f>
        <v>#REF!</v>
      </c>
      <c r="I48" s="536" t="e">
        <f>SUM(#REF!)</f>
        <v>#REF!</v>
      </c>
      <c r="J48" s="535">
        <f>SUM(K48:V48)</f>
        <v>5774</v>
      </c>
      <c r="K48" s="536">
        <v>390</v>
      </c>
      <c r="L48" s="536">
        <v>138</v>
      </c>
      <c r="M48" s="536">
        <v>0</v>
      </c>
      <c r="N48" s="536">
        <v>365</v>
      </c>
      <c r="O48" s="536">
        <v>0</v>
      </c>
      <c r="P48" s="536">
        <v>0</v>
      </c>
      <c r="Q48" s="536">
        <v>0</v>
      </c>
      <c r="R48" s="536">
        <v>0</v>
      </c>
      <c r="S48" s="536">
        <v>0</v>
      </c>
      <c r="T48" s="536">
        <v>4881</v>
      </c>
      <c r="U48" s="536">
        <v>0</v>
      </c>
      <c r="V48" s="536">
        <v>0</v>
      </c>
      <c r="W48" s="536">
        <v>0</v>
      </c>
      <c r="X48" s="536">
        <v>0</v>
      </c>
      <c r="Y48" s="535">
        <v>0</v>
      </c>
    </row>
    <row r="49" spans="1:25" ht="18.95" customHeight="1">
      <c r="A49" s="360">
        <v>36</v>
      </c>
      <c r="B49" s="363" t="s">
        <v>362</v>
      </c>
      <c r="C49" s="535">
        <f>J49+Y49+W49+X49</f>
        <v>3589</v>
      </c>
      <c r="D49" s="536"/>
      <c r="E49" s="536"/>
      <c r="F49" s="536"/>
      <c r="G49" s="536"/>
      <c r="H49" s="536"/>
      <c r="I49" s="536"/>
      <c r="J49" s="535">
        <f>SUM(K49:V49)</f>
        <v>3589</v>
      </c>
      <c r="K49" s="536">
        <v>0</v>
      </c>
      <c r="L49" s="536">
        <v>142</v>
      </c>
      <c r="M49" s="536">
        <v>0</v>
      </c>
      <c r="N49" s="536">
        <v>0</v>
      </c>
      <c r="O49" s="536">
        <v>0</v>
      </c>
      <c r="P49" s="536">
        <v>0</v>
      </c>
      <c r="Q49" s="536">
        <v>0</v>
      </c>
      <c r="R49" s="536">
        <v>0</v>
      </c>
      <c r="S49" s="536">
        <v>0</v>
      </c>
      <c r="T49" s="536">
        <v>3447</v>
      </c>
      <c r="U49" s="536">
        <v>0</v>
      </c>
      <c r="V49" s="536">
        <v>0</v>
      </c>
      <c r="W49" s="536">
        <v>0</v>
      </c>
      <c r="X49" s="536">
        <v>0</v>
      </c>
      <c r="Y49" s="535">
        <v>0</v>
      </c>
    </row>
    <row r="50" spans="1:25" ht="18.95" customHeight="1">
      <c r="A50" s="360">
        <v>37</v>
      </c>
      <c r="B50" s="363" t="s">
        <v>363</v>
      </c>
      <c r="C50" s="535">
        <f>J50+Y50+W50+X50</f>
        <v>3950</v>
      </c>
      <c r="D50" s="536"/>
      <c r="E50" s="536"/>
      <c r="F50" s="536"/>
      <c r="G50" s="536"/>
      <c r="H50" s="536"/>
      <c r="I50" s="536"/>
      <c r="J50" s="535">
        <f>SUM(K50:V50)</f>
        <v>3950</v>
      </c>
      <c r="K50" s="536">
        <v>0</v>
      </c>
      <c r="L50" s="536">
        <v>149</v>
      </c>
      <c r="M50" s="536">
        <v>0</v>
      </c>
      <c r="N50" s="536">
        <v>110</v>
      </c>
      <c r="O50" s="536">
        <v>0</v>
      </c>
      <c r="P50" s="536">
        <v>0</v>
      </c>
      <c r="Q50" s="536">
        <v>0</v>
      </c>
      <c r="R50" s="536">
        <v>0</v>
      </c>
      <c r="S50" s="536">
        <v>0</v>
      </c>
      <c r="T50" s="536">
        <v>3691</v>
      </c>
      <c r="U50" s="536">
        <v>0</v>
      </c>
      <c r="V50" s="536">
        <v>0</v>
      </c>
      <c r="W50" s="536">
        <v>0</v>
      </c>
      <c r="X50" s="536">
        <v>0</v>
      </c>
      <c r="Y50" s="535">
        <v>0</v>
      </c>
    </row>
    <row r="51" spans="1:25" ht="18.95" customHeight="1">
      <c r="A51" s="360">
        <v>38</v>
      </c>
      <c r="B51" s="363" t="s">
        <v>364</v>
      </c>
      <c r="C51" s="535">
        <f>J51+Y51+W51+X51</f>
        <v>3281</v>
      </c>
      <c r="D51" s="536"/>
      <c r="E51" s="536"/>
      <c r="F51" s="536"/>
      <c r="G51" s="536"/>
      <c r="H51" s="536"/>
      <c r="I51" s="536"/>
      <c r="J51" s="535">
        <f>SUM(K51:V51)</f>
        <v>3281</v>
      </c>
      <c r="K51" s="536">
        <v>0</v>
      </c>
      <c r="L51" s="536">
        <v>47</v>
      </c>
      <c r="M51" s="536">
        <v>0</v>
      </c>
      <c r="N51" s="536">
        <v>45</v>
      </c>
      <c r="O51" s="536">
        <v>0</v>
      </c>
      <c r="P51" s="536">
        <v>0</v>
      </c>
      <c r="Q51" s="536">
        <v>0</v>
      </c>
      <c r="R51" s="536">
        <v>0</v>
      </c>
      <c r="S51" s="536">
        <v>0</v>
      </c>
      <c r="T51" s="536">
        <v>3189</v>
      </c>
      <c r="U51" s="536">
        <v>0</v>
      </c>
      <c r="V51" s="536">
        <v>0</v>
      </c>
      <c r="W51" s="536">
        <v>0</v>
      </c>
      <c r="X51" s="536">
        <v>0</v>
      </c>
      <c r="Y51" s="535">
        <v>0</v>
      </c>
    </row>
    <row r="52" spans="1:25" s="159" customFormat="1" ht="18.95" customHeight="1">
      <c r="A52" s="414" t="s">
        <v>654</v>
      </c>
      <c r="B52" s="362" t="s">
        <v>295</v>
      </c>
      <c r="C52" s="535">
        <f>SUM(C53:C59)</f>
        <v>16071</v>
      </c>
      <c r="D52" s="535">
        <f t="shared" ref="D52:J52" si="10">SUM(D53:D59)</f>
        <v>0</v>
      </c>
      <c r="E52" s="535">
        <f t="shared" si="10"/>
        <v>0</v>
      </c>
      <c r="F52" s="535">
        <f t="shared" si="10"/>
        <v>0</v>
      </c>
      <c r="G52" s="535">
        <f t="shared" si="10"/>
        <v>0</v>
      </c>
      <c r="H52" s="535">
        <f t="shared" si="10"/>
        <v>0</v>
      </c>
      <c r="I52" s="535">
        <f t="shared" si="10"/>
        <v>0</v>
      </c>
      <c r="J52" s="535">
        <f t="shared" si="10"/>
        <v>15785</v>
      </c>
      <c r="K52" s="535">
        <f t="shared" ref="K52:Y52" si="11">SUM(K53:K59)</f>
        <v>0</v>
      </c>
      <c r="L52" s="535">
        <f t="shared" si="11"/>
        <v>42</v>
      </c>
      <c r="M52" s="535">
        <f t="shared" si="11"/>
        <v>900</v>
      </c>
      <c r="N52" s="535">
        <f t="shared" si="11"/>
        <v>1410</v>
      </c>
      <c r="O52" s="535">
        <f t="shared" si="11"/>
        <v>100</v>
      </c>
      <c r="P52" s="535">
        <f t="shared" si="11"/>
        <v>0</v>
      </c>
      <c r="Q52" s="535">
        <f t="shared" si="11"/>
        <v>0</v>
      </c>
      <c r="R52" s="535">
        <f t="shared" si="11"/>
        <v>0</v>
      </c>
      <c r="S52" s="535">
        <f>SUM(S53:S59)</f>
        <v>0</v>
      </c>
      <c r="T52" s="535">
        <f>SUM(T53:T59)</f>
        <v>13333</v>
      </c>
      <c r="U52" s="535">
        <f t="shared" si="11"/>
        <v>0</v>
      </c>
      <c r="V52" s="535">
        <f t="shared" si="11"/>
        <v>0</v>
      </c>
      <c r="W52" s="535">
        <f t="shared" si="11"/>
        <v>0</v>
      </c>
      <c r="X52" s="535">
        <f t="shared" si="11"/>
        <v>0</v>
      </c>
      <c r="Y52" s="535">
        <f t="shared" si="11"/>
        <v>286</v>
      </c>
    </row>
    <row r="53" spans="1:25" ht="18.95" customHeight="1">
      <c r="A53" s="360">
        <v>39</v>
      </c>
      <c r="B53" s="363" t="s">
        <v>365</v>
      </c>
      <c r="C53" s="535">
        <f t="shared" ref="C53:C59" si="12">J53+Y53+W53+X53</f>
        <v>2985</v>
      </c>
      <c r="D53" s="536"/>
      <c r="E53" s="536"/>
      <c r="F53" s="536"/>
      <c r="G53" s="536"/>
      <c r="H53" s="536"/>
      <c r="I53" s="536"/>
      <c r="J53" s="535">
        <f t="shared" ref="J53:J59" si="13">SUM(K53:V53)</f>
        <v>2985</v>
      </c>
      <c r="K53" s="536">
        <v>0</v>
      </c>
      <c r="L53" s="536">
        <v>18</v>
      </c>
      <c r="M53" s="536">
        <v>900</v>
      </c>
      <c r="N53" s="536">
        <v>150</v>
      </c>
      <c r="O53" s="536">
        <v>0</v>
      </c>
      <c r="P53" s="536">
        <v>0</v>
      </c>
      <c r="Q53" s="536">
        <v>0</v>
      </c>
      <c r="R53" s="536">
        <v>0</v>
      </c>
      <c r="S53" s="536">
        <v>0</v>
      </c>
      <c r="T53" s="536">
        <v>1917</v>
      </c>
      <c r="U53" s="536">
        <v>0</v>
      </c>
      <c r="V53" s="536">
        <v>0</v>
      </c>
      <c r="W53" s="536">
        <v>0</v>
      </c>
      <c r="X53" s="536">
        <v>0</v>
      </c>
      <c r="Y53" s="535">
        <v>0</v>
      </c>
    </row>
    <row r="54" spans="1:25" ht="18.95" customHeight="1">
      <c r="A54" s="360">
        <v>40</v>
      </c>
      <c r="B54" s="363" t="s">
        <v>366</v>
      </c>
      <c r="C54" s="535">
        <f t="shared" si="12"/>
        <v>3322</v>
      </c>
      <c r="D54" s="536"/>
      <c r="E54" s="536"/>
      <c r="F54" s="536"/>
      <c r="G54" s="536"/>
      <c r="H54" s="536"/>
      <c r="I54" s="536"/>
      <c r="J54" s="535">
        <f t="shared" si="13"/>
        <v>3036</v>
      </c>
      <c r="K54" s="536">
        <v>0</v>
      </c>
      <c r="L54" s="536">
        <v>24</v>
      </c>
      <c r="M54" s="536">
        <v>0</v>
      </c>
      <c r="N54" s="536">
        <v>1100</v>
      </c>
      <c r="O54" s="536">
        <v>0</v>
      </c>
      <c r="P54" s="536">
        <v>0</v>
      </c>
      <c r="Q54" s="536">
        <v>0</v>
      </c>
      <c r="R54" s="536">
        <v>0</v>
      </c>
      <c r="S54" s="536">
        <v>0</v>
      </c>
      <c r="T54" s="536">
        <v>1912</v>
      </c>
      <c r="U54" s="536">
        <v>0</v>
      </c>
      <c r="V54" s="536"/>
      <c r="W54" s="536">
        <v>0</v>
      </c>
      <c r="X54" s="536">
        <v>0</v>
      </c>
      <c r="Y54" s="535">
        <f>286</f>
        <v>286</v>
      </c>
    </row>
    <row r="55" spans="1:25" ht="18.95" customHeight="1">
      <c r="A55" s="360">
        <v>41</v>
      </c>
      <c r="B55" s="363" t="s">
        <v>367</v>
      </c>
      <c r="C55" s="535">
        <f t="shared" si="12"/>
        <v>1820</v>
      </c>
      <c r="D55" s="536"/>
      <c r="E55" s="536"/>
      <c r="F55" s="536"/>
      <c r="G55" s="536"/>
      <c r="H55" s="536"/>
      <c r="I55" s="536"/>
      <c r="J55" s="535">
        <f t="shared" si="13"/>
        <v>1820</v>
      </c>
      <c r="K55" s="536">
        <v>0</v>
      </c>
      <c r="L55" s="536">
        <v>0</v>
      </c>
      <c r="M55" s="536">
        <v>0</v>
      </c>
      <c r="N55" s="536">
        <v>0</v>
      </c>
      <c r="O55" s="536">
        <v>0</v>
      </c>
      <c r="P55" s="536">
        <v>0</v>
      </c>
      <c r="Q55" s="536">
        <v>0</v>
      </c>
      <c r="R55" s="536">
        <v>0</v>
      </c>
      <c r="S55" s="536">
        <v>0</v>
      </c>
      <c r="T55" s="536">
        <f>2620-800</f>
        <v>1820</v>
      </c>
      <c r="U55" s="536">
        <v>0</v>
      </c>
      <c r="V55" s="536"/>
      <c r="W55" s="536">
        <v>0</v>
      </c>
      <c r="X55" s="536">
        <v>0</v>
      </c>
      <c r="Y55" s="535">
        <v>0</v>
      </c>
    </row>
    <row r="56" spans="1:25" ht="18.95" customHeight="1">
      <c r="A56" s="360">
        <v>42</v>
      </c>
      <c r="B56" s="363" t="s">
        <v>368</v>
      </c>
      <c r="C56" s="535">
        <f t="shared" si="12"/>
        <v>2618</v>
      </c>
      <c r="D56" s="536"/>
      <c r="E56" s="536"/>
      <c r="F56" s="536"/>
      <c r="G56" s="536"/>
      <c r="H56" s="536"/>
      <c r="I56" s="536"/>
      <c r="J56" s="535">
        <f t="shared" si="13"/>
        <v>2618</v>
      </c>
      <c r="K56" s="536">
        <v>0</v>
      </c>
      <c r="L56" s="536">
        <v>0</v>
      </c>
      <c r="M56" s="536">
        <v>0</v>
      </c>
      <c r="N56" s="536">
        <v>160</v>
      </c>
      <c r="O56" s="536">
        <v>0</v>
      </c>
      <c r="P56" s="536">
        <v>0</v>
      </c>
      <c r="Q56" s="536">
        <v>0</v>
      </c>
      <c r="R56" s="536">
        <v>0</v>
      </c>
      <c r="S56" s="536">
        <v>0</v>
      </c>
      <c r="T56" s="536">
        <v>2458</v>
      </c>
      <c r="U56" s="536">
        <v>0</v>
      </c>
      <c r="V56" s="536"/>
      <c r="W56" s="536">
        <v>0</v>
      </c>
      <c r="X56" s="536">
        <v>0</v>
      </c>
      <c r="Y56" s="535">
        <v>0</v>
      </c>
    </row>
    <row r="57" spans="1:25" ht="18.95" customHeight="1">
      <c r="A57" s="360">
        <v>43</v>
      </c>
      <c r="B57" s="363" t="s">
        <v>369</v>
      </c>
      <c r="C57" s="535">
        <f t="shared" si="12"/>
        <v>3832</v>
      </c>
      <c r="D57" s="536"/>
      <c r="E57" s="536"/>
      <c r="F57" s="536"/>
      <c r="G57" s="536"/>
      <c r="H57" s="536"/>
      <c r="I57" s="536"/>
      <c r="J57" s="535">
        <f t="shared" si="13"/>
        <v>3832</v>
      </c>
      <c r="K57" s="536">
        <v>0</v>
      </c>
      <c r="L57" s="536">
        <v>0</v>
      </c>
      <c r="M57" s="536">
        <v>0</v>
      </c>
      <c r="N57" s="536">
        <v>0</v>
      </c>
      <c r="O57" s="536">
        <v>0</v>
      </c>
      <c r="P57" s="536">
        <v>0</v>
      </c>
      <c r="Q57" s="536">
        <v>0</v>
      </c>
      <c r="R57" s="536">
        <v>0</v>
      </c>
      <c r="S57" s="536">
        <v>0</v>
      </c>
      <c r="T57" s="536">
        <v>3832</v>
      </c>
      <c r="U57" s="536">
        <v>0</v>
      </c>
      <c r="V57" s="536"/>
      <c r="W57" s="536">
        <v>0</v>
      </c>
      <c r="X57" s="536">
        <v>0</v>
      </c>
      <c r="Y57" s="535">
        <v>0</v>
      </c>
    </row>
    <row r="58" spans="1:25" ht="18.95" customHeight="1">
      <c r="A58" s="360">
        <v>44</v>
      </c>
      <c r="B58" s="363" t="s">
        <v>370</v>
      </c>
      <c r="C58" s="535">
        <f t="shared" si="12"/>
        <v>724</v>
      </c>
      <c r="D58" s="536"/>
      <c r="E58" s="536"/>
      <c r="F58" s="536"/>
      <c r="G58" s="536"/>
      <c r="H58" s="536"/>
      <c r="I58" s="536"/>
      <c r="J58" s="535">
        <f t="shared" si="13"/>
        <v>724</v>
      </c>
      <c r="K58" s="536">
        <v>0</v>
      </c>
      <c r="L58" s="536">
        <v>0</v>
      </c>
      <c r="M58" s="536">
        <v>0</v>
      </c>
      <c r="N58" s="536">
        <v>0</v>
      </c>
      <c r="O58" s="536">
        <v>100</v>
      </c>
      <c r="P58" s="536">
        <v>0</v>
      </c>
      <c r="Q58" s="536">
        <v>0</v>
      </c>
      <c r="R58" s="536">
        <v>0</v>
      </c>
      <c r="S58" s="536">
        <v>0</v>
      </c>
      <c r="T58" s="536">
        <v>624</v>
      </c>
      <c r="U58" s="536">
        <v>0</v>
      </c>
      <c r="V58" s="536"/>
      <c r="W58" s="536">
        <v>0</v>
      </c>
      <c r="X58" s="536">
        <v>0</v>
      </c>
      <c r="Y58" s="535">
        <v>0</v>
      </c>
    </row>
    <row r="59" spans="1:25" ht="18.95" customHeight="1">
      <c r="A59" s="360">
        <v>45</v>
      </c>
      <c r="B59" s="363" t="s">
        <v>371</v>
      </c>
      <c r="C59" s="535">
        <f t="shared" si="12"/>
        <v>770</v>
      </c>
      <c r="D59" s="536"/>
      <c r="E59" s="536"/>
      <c r="F59" s="536"/>
      <c r="G59" s="536"/>
      <c r="H59" s="536"/>
      <c r="I59" s="536"/>
      <c r="J59" s="535">
        <f t="shared" si="13"/>
        <v>770</v>
      </c>
      <c r="K59" s="536">
        <v>0</v>
      </c>
      <c r="L59" s="536">
        <v>0</v>
      </c>
      <c r="M59" s="536">
        <v>0</v>
      </c>
      <c r="N59" s="536">
        <v>0</v>
      </c>
      <c r="O59" s="536">
        <v>0</v>
      </c>
      <c r="P59" s="536">
        <v>0</v>
      </c>
      <c r="Q59" s="536">
        <v>0</v>
      </c>
      <c r="R59" s="536">
        <v>0</v>
      </c>
      <c r="S59" s="536">
        <v>0</v>
      </c>
      <c r="T59" s="536">
        <v>770</v>
      </c>
      <c r="U59" s="536">
        <v>0</v>
      </c>
      <c r="V59" s="536"/>
      <c r="W59" s="536">
        <v>0</v>
      </c>
      <c r="X59" s="536">
        <v>0</v>
      </c>
      <c r="Y59" s="535">
        <v>0</v>
      </c>
    </row>
    <row r="60" spans="1:25" s="254" customFormat="1" ht="18.95" customHeight="1">
      <c r="A60" s="364" t="s">
        <v>661</v>
      </c>
      <c r="B60" s="361" t="s">
        <v>824</v>
      </c>
      <c r="C60" s="534">
        <f>SUM(C61:C63)</f>
        <v>67876</v>
      </c>
      <c r="D60" s="534">
        <f t="shared" ref="D60:I60" si="14">SUM(D61:D63)</f>
        <v>0</v>
      </c>
      <c r="E60" s="534">
        <f t="shared" si="14"/>
        <v>0</v>
      </c>
      <c r="F60" s="534">
        <f t="shared" si="14"/>
        <v>0</v>
      </c>
      <c r="G60" s="534">
        <f t="shared" si="14"/>
        <v>0</v>
      </c>
      <c r="H60" s="534">
        <f t="shared" si="14"/>
        <v>0</v>
      </c>
      <c r="I60" s="534">
        <f t="shared" si="14"/>
        <v>0</v>
      </c>
      <c r="J60" s="534">
        <f>SUM(J61:J63)</f>
        <v>54926</v>
      </c>
      <c r="K60" s="534">
        <f t="shared" ref="K60:Y60" si="15">SUM(K61:K63)</f>
        <v>0</v>
      </c>
      <c r="L60" s="534">
        <f t="shared" si="15"/>
        <v>107</v>
      </c>
      <c r="M60" s="534">
        <f t="shared" si="15"/>
        <v>0</v>
      </c>
      <c r="N60" s="534">
        <f t="shared" si="15"/>
        <v>9000</v>
      </c>
      <c r="O60" s="534">
        <f t="shared" si="15"/>
        <v>0</v>
      </c>
      <c r="P60" s="534">
        <f t="shared" si="15"/>
        <v>0</v>
      </c>
      <c r="Q60" s="534">
        <f t="shared" si="15"/>
        <v>0</v>
      </c>
      <c r="R60" s="534">
        <f t="shared" si="15"/>
        <v>0</v>
      </c>
      <c r="S60" s="534">
        <f>SUM(S61:S63)</f>
        <v>0</v>
      </c>
      <c r="T60" s="534">
        <f>SUM(T61:T63)</f>
        <v>0</v>
      </c>
      <c r="U60" s="534">
        <f t="shared" si="15"/>
        <v>45819</v>
      </c>
      <c r="V60" s="534">
        <f t="shared" si="15"/>
        <v>0</v>
      </c>
      <c r="W60" s="534">
        <f t="shared" si="15"/>
        <v>1250</v>
      </c>
      <c r="X60" s="534">
        <f t="shared" si="15"/>
        <v>0</v>
      </c>
      <c r="Y60" s="534">
        <f t="shared" si="15"/>
        <v>11700</v>
      </c>
    </row>
    <row r="61" spans="1:25" ht="18.95" customHeight="1">
      <c r="A61" s="360">
        <v>46</v>
      </c>
      <c r="B61" s="363" t="s">
        <v>825</v>
      </c>
      <c r="C61" s="536">
        <f>J61+Y61+W61+X61</f>
        <v>24341</v>
      </c>
      <c r="D61" s="536"/>
      <c r="E61" s="536"/>
      <c r="F61" s="536"/>
      <c r="G61" s="536"/>
      <c r="H61" s="536"/>
      <c r="I61" s="536"/>
      <c r="J61" s="536">
        <f>SUM(K61:V61)</f>
        <v>22091</v>
      </c>
      <c r="K61" s="536">
        <v>0</v>
      </c>
      <c r="L61" s="536">
        <v>107</v>
      </c>
      <c r="M61" s="536">
        <v>0</v>
      </c>
      <c r="N61" s="536">
        <v>3000</v>
      </c>
      <c r="O61" s="536">
        <v>0</v>
      </c>
      <c r="P61" s="536">
        <v>0</v>
      </c>
      <c r="Q61" s="536">
        <v>0</v>
      </c>
      <c r="R61" s="536">
        <v>0</v>
      </c>
      <c r="S61" s="536">
        <v>0</v>
      </c>
      <c r="T61" s="536">
        <v>0</v>
      </c>
      <c r="U61" s="536">
        <f>19984-1000</f>
        <v>18984</v>
      </c>
      <c r="V61" s="536">
        <v>0</v>
      </c>
      <c r="W61" s="536">
        <f>1020+230</f>
        <v>1250</v>
      </c>
      <c r="X61" s="536">
        <v>0</v>
      </c>
      <c r="Y61" s="536">
        <v>1000</v>
      </c>
    </row>
    <row r="62" spans="1:25" ht="18.95" customHeight="1">
      <c r="A62" s="360">
        <v>47</v>
      </c>
      <c r="B62" s="363" t="s">
        <v>826</v>
      </c>
      <c r="C62" s="536">
        <f>J62+Y62+W62+X62</f>
        <v>40025</v>
      </c>
      <c r="D62" s="536"/>
      <c r="E62" s="536"/>
      <c r="F62" s="536"/>
      <c r="G62" s="536"/>
      <c r="H62" s="536"/>
      <c r="I62" s="536"/>
      <c r="J62" s="536">
        <f>SUM(K62:V62)</f>
        <v>29325</v>
      </c>
      <c r="K62" s="536">
        <v>0</v>
      </c>
      <c r="L62" s="536">
        <v>0</v>
      </c>
      <c r="M62" s="536">
        <v>0</v>
      </c>
      <c r="N62" s="536">
        <v>6000</v>
      </c>
      <c r="O62" s="536">
        <v>0</v>
      </c>
      <c r="P62" s="536">
        <v>0</v>
      </c>
      <c r="Q62" s="536">
        <v>0</v>
      </c>
      <c r="R62" s="536">
        <v>0</v>
      </c>
      <c r="S62" s="536">
        <v>0</v>
      </c>
      <c r="T62" s="536">
        <v>0</v>
      </c>
      <c r="U62" s="536">
        <f>38051-10700-4026</f>
        <v>23325</v>
      </c>
      <c r="V62" s="536">
        <v>0</v>
      </c>
      <c r="W62" s="536">
        <v>0</v>
      </c>
      <c r="X62" s="536">
        <v>0</v>
      </c>
      <c r="Y62" s="536">
        <v>10700</v>
      </c>
    </row>
    <row r="63" spans="1:25" ht="18.95" customHeight="1">
      <c r="A63" s="360">
        <v>48</v>
      </c>
      <c r="B63" s="363" t="s">
        <v>827</v>
      </c>
      <c r="C63" s="536">
        <f>J63+Y63+W63+X63</f>
        <v>3510</v>
      </c>
      <c r="D63" s="536"/>
      <c r="E63" s="536"/>
      <c r="F63" s="536"/>
      <c r="G63" s="536"/>
      <c r="H63" s="536"/>
      <c r="I63" s="536"/>
      <c r="J63" s="536">
        <f>SUM(K63:V63)</f>
        <v>3510</v>
      </c>
      <c r="K63" s="536">
        <v>0</v>
      </c>
      <c r="L63" s="536">
        <v>0</v>
      </c>
      <c r="M63" s="536">
        <v>0</v>
      </c>
      <c r="N63" s="536">
        <v>0</v>
      </c>
      <c r="O63" s="536">
        <v>0</v>
      </c>
      <c r="P63" s="536">
        <v>0</v>
      </c>
      <c r="Q63" s="536">
        <v>0</v>
      </c>
      <c r="R63" s="536">
        <v>0</v>
      </c>
      <c r="S63" s="536">
        <v>0</v>
      </c>
      <c r="T63" s="536">
        <v>0</v>
      </c>
      <c r="U63" s="536">
        <f>3000+150+360</f>
        <v>3510</v>
      </c>
      <c r="V63" s="536">
        <v>0</v>
      </c>
      <c r="W63" s="536">
        <v>0</v>
      </c>
      <c r="X63" s="536">
        <v>0</v>
      </c>
      <c r="Y63" s="536">
        <v>0</v>
      </c>
    </row>
    <row r="64" spans="1:25" s="254" customFormat="1" ht="18.95" customHeight="1">
      <c r="A64" s="597" t="s">
        <v>701</v>
      </c>
      <c r="B64" s="598" t="s">
        <v>550</v>
      </c>
      <c r="C64" s="599">
        <f>SUM(C65:C95)</f>
        <v>538952</v>
      </c>
      <c r="D64" s="599">
        <f t="shared" ref="D64:Y64" si="16">SUM(D65:D95)</f>
        <v>0</v>
      </c>
      <c r="E64" s="599">
        <f t="shared" si="16"/>
        <v>0</v>
      </c>
      <c r="F64" s="599">
        <f t="shared" si="16"/>
        <v>0</v>
      </c>
      <c r="G64" s="599">
        <f t="shared" si="16"/>
        <v>0</v>
      </c>
      <c r="H64" s="599">
        <f t="shared" si="16"/>
        <v>0</v>
      </c>
      <c r="I64" s="599">
        <f t="shared" si="16"/>
        <v>0</v>
      </c>
      <c r="J64" s="599">
        <f t="shared" si="16"/>
        <v>28000</v>
      </c>
      <c r="K64" s="599">
        <f t="shared" si="16"/>
        <v>0</v>
      </c>
      <c r="L64" s="599">
        <f t="shared" si="16"/>
        <v>19</v>
      </c>
      <c r="M64" s="599">
        <f t="shared" si="16"/>
        <v>0</v>
      </c>
      <c r="N64" s="599">
        <f t="shared" si="16"/>
        <v>0</v>
      </c>
      <c r="O64" s="599">
        <f t="shared" si="16"/>
        <v>0</v>
      </c>
      <c r="P64" s="599">
        <f t="shared" si="16"/>
        <v>0</v>
      </c>
      <c r="Q64" s="599">
        <f t="shared" si="16"/>
        <v>0</v>
      </c>
      <c r="R64" s="599">
        <f t="shared" si="16"/>
        <v>0</v>
      </c>
      <c r="S64" s="599">
        <f>SUM(S65:S95)</f>
        <v>0</v>
      </c>
      <c r="T64" s="599">
        <f>SUM(T65:T95)</f>
        <v>0</v>
      </c>
      <c r="U64" s="599">
        <f t="shared" si="16"/>
        <v>0</v>
      </c>
      <c r="V64" s="599">
        <f>SUM(V65:V95)</f>
        <v>27981</v>
      </c>
      <c r="W64" s="599">
        <f t="shared" si="16"/>
        <v>74995</v>
      </c>
      <c r="X64" s="599">
        <f t="shared" si="16"/>
        <v>372200</v>
      </c>
      <c r="Y64" s="599">
        <f t="shared" si="16"/>
        <v>63757</v>
      </c>
    </row>
    <row r="65" spans="1:26" ht="18.95" customHeight="1">
      <c r="A65" s="593"/>
      <c r="B65" s="594" t="s">
        <v>481</v>
      </c>
      <c r="C65" s="595">
        <f t="shared" ref="C65:C95" si="17">J65+Y65+W65+X65</f>
        <v>370</v>
      </c>
      <c r="D65" s="596"/>
      <c r="E65" s="596"/>
      <c r="F65" s="596"/>
      <c r="G65" s="596"/>
      <c r="H65" s="596"/>
      <c r="I65" s="596"/>
      <c r="J65" s="595">
        <f t="shared" ref="J65:J95" si="18">SUM(K65:V65)</f>
        <v>370</v>
      </c>
      <c r="K65" s="596">
        <v>0</v>
      </c>
      <c r="L65" s="596">
        <v>0</v>
      </c>
      <c r="M65" s="596">
        <v>0</v>
      </c>
      <c r="N65" s="596">
        <v>0</v>
      </c>
      <c r="O65" s="596">
        <v>0</v>
      </c>
      <c r="P65" s="596">
        <v>0</v>
      </c>
      <c r="Q65" s="596">
        <v>0</v>
      </c>
      <c r="R65" s="596">
        <v>0</v>
      </c>
      <c r="S65" s="596">
        <v>0</v>
      </c>
      <c r="T65" s="596">
        <v>0</v>
      </c>
      <c r="U65" s="596">
        <v>0</v>
      </c>
      <c r="V65" s="596">
        <v>370</v>
      </c>
      <c r="W65" s="596">
        <v>0</v>
      </c>
      <c r="X65" s="596">
        <v>0</v>
      </c>
      <c r="Y65" s="596">
        <v>0</v>
      </c>
      <c r="Z65" s="540"/>
    </row>
    <row r="66" spans="1:26" ht="18.95" customHeight="1">
      <c r="A66" s="360"/>
      <c r="B66" s="418" t="s">
        <v>482</v>
      </c>
      <c r="C66" s="535">
        <f t="shared" si="17"/>
        <v>314</v>
      </c>
      <c r="D66" s="536"/>
      <c r="E66" s="536"/>
      <c r="F66" s="536"/>
      <c r="G66" s="536"/>
      <c r="H66" s="536"/>
      <c r="I66" s="536"/>
      <c r="J66" s="535">
        <f t="shared" si="18"/>
        <v>314</v>
      </c>
      <c r="K66" s="536">
        <v>0</v>
      </c>
      <c r="L66" s="536">
        <v>0</v>
      </c>
      <c r="M66" s="536">
        <v>0</v>
      </c>
      <c r="N66" s="536">
        <v>0</v>
      </c>
      <c r="O66" s="536">
        <v>0</v>
      </c>
      <c r="P66" s="536">
        <v>0</v>
      </c>
      <c r="Q66" s="536">
        <v>0</v>
      </c>
      <c r="R66" s="536">
        <v>0</v>
      </c>
      <c r="S66" s="536">
        <v>0</v>
      </c>
      <c r="T66" s="536">
        <v>0</v>
      </c>
      <c r="U66" s="536">
        <v>0</v>
      </c>
      <c r="V66" s="536">
        <v>314</v>
      </c>
      <c r="W66" s="536">
        <v>0</v>
      </c>
      <c r="X66" s="536">
        <v>0</v>
      </c>
      <c r="Y66" s="536">
        <v>0</v>
      </c>
    </row>
    <row r="67" spans="1:26" ht="18.95" customHeight="1">
      <c r="A67" s="360"/>
      <c r="B67" s="418" t="s">
        <v>471</v>
      </c>
      <c r="C67" s="535">
        <f t="shared" si="17"/>
        <v>293</v>
      </c>
      <c r="D67" s="536"/>
      <c r="E67" s="536"/>
      <c r="F67" s="536"/>
      <c r="G67" s="536"/>
      <c r="H67" s="536"/>
      <c r="I67" s="536"/>
      <c r="J67" s="535">
        <f t="shared" si="18"/>
        <v>293</v>
      </c>
      <c r="K67" s="536">
        <v>0</v>
      </c>
      <c r="L67" s="536">
        <v>0</v>
      </c>
      <c r="M67" s="536">
        <v>0</v>
      </c>
      <c r="N67" s="536">
        <v>0</v>
      </c>
      <c r="O67" s="536">
        <v>0</v>
      </c>
      <c r="P67" s="536">
        <v>0</v>
      </c>
      <c r="Q67" s="536">
        <v>0</v>
      </c>
      <c r="R67" s="536">
        <v>0</v>
      </c>
      <c r="S67" s="536">
        <v>0</v>
      </c>
      <c r="T67" s="536">
        <v>0</v>
      </c>
      <c r="U67" s="536">
        <v>0</v>
      </c>
      <c r="V67" s="536">
        <v>293</v>
      </c>
      <c r="W67" s="536">
        <v>0</v>
      </c>
      <c r="X67" s="536">
        <v>0</v>
      </c>
      <c r="Y67" s="536">
        <v>0</v>
      </c>
    </row>
    <row r="68" spans="1:26" ht="18.95" customHeight="1">
      <c r="A68" s="360"/>
      <c r="B68" s="418" t="s">
        <v>472</v>
      </c>
      <c r="C68" s="535">
        <f t="shared" si="17"/>
        <v>314</v>
      </c>
      <c r="D68" s="536"/>
      <c r="E68" s="536"/>
      <c r="F68" s="536"/>
      <c r="G68" s="536"/>
      <c r="H68" s="536"/>
      <c r="I68" s="536"/>
      <c r="J68" s="535">
        <f t="shared" si="18"/>
        <v>314</v>
      </c>
      <c r="K68" s="536">
        <v>0</v>
      </c>
      <c r="L68" s="536">
        <v>0</v>
      </c>
      <c r="M68" s="536">
        <v>0</v>
      </c>
      <c r="N68" s="536">
        <v>0</v>
      </c>
      <c r="O68" s="536">
        <v>0</v>
      </c>
      <c r="P68" s="536">
        <v>0</v>
      </c>
      <c r="Q68" s="536">
        <v>0</v>
      </c>
      <c r="R68" s="536">
        <v>0</v>
      </c>
      <c r="S68" s="536">
        <v>0</v>
      </c>
      <c r="T68" s="536">
        <v>0</v>
      </c>
      <c r="U68" s="536">
        <v>0</v>
      </c>
      <c r="V68" s="536">
        <v>314</v>
      </c>
      <c r="W68" s="536">
        <v>0</v>
      </c>
      <c r="X68" s="536">
        <v>0</v>
      </c>
      <c r="Y68" s="536">
        <v>0</v>
      </c>
    </row>
    <row r="69" spans="1:26" ht="18.95" customHeight="1">
      <c r="A69" s="360"/>
      <c r="B69" s="418" t="s">
        <v>470</v>
      </c>
      <c r="C69" s="535">
        <f t="shared" si="17"/>
        <v>309</v>
      </c>
      <c r="D69" s="536"/>
      <c r="E69" s="536"/>
      <c r="F69" s="536"/>
      <c r="G69" s="536"/>
      <c r="H69" s="536"/>
      <c r="I69" s="536"/>
      <c r="J69" s="535">
        <f t="shared" si="18"/>
        <v>309</v>
      </c>
      <c r="K69" s="536">
        <v>0</v>
      </c>
      <c r="L69" s="536">
        <v>0</v>
      </c>
      <c r="M69" s="536">
        <v>0</v>
      </c>
      <c r="N69" s="536">
        <v>0</v>
      </c>
      <c r="O69" s="536">
        <v>0</v>
      </c>
      <c r="P69" s="536">
        <v>0</v>
      </c>
      <c r="Q69" s="536">
        <v>0</v>
      </c>
      <c r="R69" s="536">
        <v>0</v>
      </c>
      <c r="S69" s="536">
        <v>0</v>
      </c>
      <c r="T69" s="536">
        <v>0</v>
      </c>
      <c r="U69" s="536">
        <v>0</v>
      </c>
      <c r="V69" s="536">
        <v>309</v>
      </c>
      <c r="W69" s="536">
        <v>0</v>
      </c>
      <c r="X69" s="536">
        <v>0</v>
      </c>
      <c r="Y69" s="536">
        <v>0</v>
      </c>
    </row>
    <row r="70" spans="1:26" ht="18.95" customHeight="1">
      <c r="A70" s="360"/>
      <c r="B70" s="418" t="s">
        <v>473</v>
      </c>
      <c r="C70" s="535">
        <f t="shared" si="17"/>
        <v>293</v>
      </c>
      <c r="D70" s="536"/>
      <c r="E70" s="536"/>
      <c r="F70" s="536"/>
      <c r="G70" s="536"/>
      <c r="H70" s="536"/>
      <c r="I70" s="536"/>
      <c r="J70" s="535">
        <f t="shared" si="18"/>
        <v>293</v>
      </c>
      <c r="K70" s="536">
        <v>0</v>
      </c>
      <c r="L70" s="536">
        <v>0</v>
      </c>
      <c r="M70" s="536">
        <v>0</v>
      </c>
      <c r="N70" s="536">
        <v>0</v>
      </c>
      <c r="O70" s="536">
        <v>0</v>
      </c>
      <c r="P70" s="536">
        <v>0</v>
      </c>
      <c r="Q70" s="536">
        <v>0</v>
      </c>
      <c r="R70" s="536">
        <v>0</v>
      </c>
      <c r="S70" s="536">
        <v>0</v>
      </c>
      <c r="T70" s="536">
        <v>0</v>
      </c>
      <c r="U70" s="536">
        <v>0</v>
      </c>
      <c r="V70" s="536">
        <v>293</v>
      </c>
      <c r="W70" s="536">
        <v>0</v>
      </c>
      <c r="X70" s="536">
        <v>0</v>
      </c>
      <c r="Y70" s="536">
        <v>0</v>
      </c>
    </row>
    <row r="71" spans="1:26" ht="18.95" customHeight="1">
      <c r="A71" s="360"/>
      <c r="B71" s="418" t="s">
        <v>746</v>
      </c>
      <c r="C71" s="535">
        <f t="shared" si="17"/>
        <v>319</v>
      </c>
      <c r="D71" s="536"/>
      <c r="E71" s="536"/>
      <c r="F71" s="536"/>
      <c r="G71" s="536"/>
      <c r="H71" s="536"/>
      <c r="I71" s="536"/>
      <c r="J71" s="535">
        <f t="shared" si="18"/>
        <v>319</v>
      </c>
      <c r="K71" s="536">
        <v>0</v>
      </c>
      <c r="L71" s="536">
        <v>0</v>
      </c>
      <c r="M71" s="536">
        <v>0</v>
      </c>
      <c r="N71" s="536">
        <v>0</v>
      </c>
      <c r="O71" s="536">
        <v>0</v>
      </c>
      <c r="P71" s="536">
        <v>0</v>
      </c>
      <c r="Q71" s="536">
        <v>0</v>
      </c>
      <c r="R71" s="536">
        <v>0</v>
      </c>
      <c r="S71" s="536">
        <v>0</v>
      </c>
      <c r="T71" s="536">
        <v>0</v>
      </c>
      <c r="U71" s="536">
        <v>0</v>
      </c>
      <c r="V71" s="536">
        <v>319</v>
      </c>
      <c r="W71" s="536">
        <v>0</v>
      </c>
      <c r="X71" s="536">
        <v>0</v>
      </c>
      <c r="Y71" s="536">
        <v>0</v>
      </c>
    </row>
    <row r="72" spans="1:26" ht="18.95" customHeight="1">
      <c r="A72" s="360"/>
      <c r="B72" s="418" t="s">
        <v>474</v>
      </c>
      <c r="C72" s="535">
        <f t="shared" si="17"/>
        <v>293</v>
      </c>
      <c r="D72" s="536"/>
      <c r="E72" s="536"/>
      <c r="F72" s="536"/>
      <c r="G72" s="536"/>
      <c r="H72" s="536"/>
      <c r="I72" s="536"/>
      <c r="J72" s="535">
        <f t="shared" si="18"/>
        <v>293</v>
      </c>
      <c r="K72" s="536">
        <v>0</v>
      </c>
      <c r="L72" s="536">
        <v>0</v>
      </c>
      <c r="M72" s="536">
        <v>0</v>
      </c>
      <c r="N72" s="536">
        <v>0</v>
      </c>
      <c r="O72" s="536">
        <v>0</v>
      </c>
      <c r="P72" s="536">
        <v>0</v>
      </c>
      <c r="Q72" s="536">
        <v>0</v>
      </c>
      <c r="R72" s="536">
        <v>0</v>
      </c>
      <c r="S72" s="536">
        <v>0</v>
      </c>
      <c r="T72" s="536">
        <v>0</v>
      </c>
      <c r="U72" s="536">
        <v>0</v>
      </c>
      <c r="V72" s="536">
        <v>293</v>
      </c>
      <c r="W72" s="536">
        <v>0</v>
      </c>
      <c r="X72" s="536">
        <v>0</v>
      </c>
      <c r="Y72" s="536">
        <v>0</v>
      </c>
    </row>
    <row r="73" spans="1:26" ht="18.95" customHeight="1">
      <c r="A73" s="360"/>
      <c r="B73" s="502" t="s">
        <v>748</v>
      </c>
      <c r="C73" s="535">
        <f t="shared" si="17"/>
        <v>70</v>
      </c>
      <c r="D73" s="536"/>
      <c r="E73" s="536"/>
      <c r="F73" s="536"/>
      <c r="G73" s="536"/>
      <c r="H73" s="536"/>
      <c r="I73" s="536"/>
      <c r="J73" s="535">
        <f t="shared" si="18"/>
        <v>70</v>
      </c>
      <c r="K73" s="536">
        <v>0</v>
      </c>
      <c r="L73" s="536">
        <v>0</v>
      </c>
      <c r="M73" s="536">
        <v>0</v>
      </c>
      <c r="N73" s="536">
        <v>0</v>
      </c>
      <c r="O73" s="536">
        <v>0</v>
      </c>
      <c r="P73" s="536">
        <v>0</v>
      </c>
      <c r="Q73" s="536">
        <v>0</v>
      </c>
      <c r="R73" s="536">
        <v>0</v>
      </c>
      <c r="S73" s="536">
        <v>0</v>
      </c>
      <c r="T73" s="536">
        <v>0</v>
      </c>
      <c r="U73" s="536">
        <v>0</v>
      </c>
      <c r="V73" s="536">
        <v>70</v>
      </c>
      <c r="W73" s="536">
        <v>0</v>
      </c>
      <c r="X73" s="536">
        <v>0</v>
      </c>
      <c r="Y73" s="536">
        <v>0</v>
      </c>
    </row>
    <row r="74" spans="1:26" ht="18.95" customHeight="1">
      <c r="A74" s="360"/>
      <c r="B74" s="418" t="s">
        <v>476</v>
      </c>
      <c r="C74" s="535">
        <f t="shared" si="17"/>
        <v>308</v>
      </c>
      <c r="D74" s="536"/>
      <c r="E74" s="536"/>
      <c r="F74" s="536"/>
      <c r="G74" s="536"/>
      <c r="H74" s="536"/>
      <c r="I74" s="536"/>
      <c r="J74" s="535">
        <f t="shared" si="18"/>
        <v>308</v>
      </c>
      <c r="K74" s="536">
        <v>0</v>
      </c>
      <c r="L74" s="536">
        <v>0</v>
      </c>
      <c r="M74" s="536">
        <v>0</v>
      </c>
      <c r="N74" s="536">
        <v>0</v>
      </c>
      <c r="O74" s="536">
        <v>0</v>
      </c>
      <c r="P74" s="536">
        <v>0</v>
      </c>
      <c r="Q74" s="536">
        <v>0</v>
      </c>
      <c r="R74" s="536">
        <v>0</v>
      </c>
      <c r="S74" s="536">
        <v>0</v>
      </c>
      <c r="T74" s="536">
        <v>0</v>
      </c>
      <c r="U74" s="536">
        <v>0</v>
      </c>
      <c r="V74" s="536">
        <v>308</v>
      </c>
      <c r="W74" s="536">
        <v>0</v>
      </c>
      <c r="X74" s="536">
        <v>0</v>
      </c>
      <c r="Y74" s="536">
        <v>0</v>
      </c>
    </row>
    <row r="75" spans="1:26" ht="18.95" customHeight="1">
      <c r="A75" s="360"/>
      <c r="B75" s="418" t="s">
        <v>477</v>
      </c>
      <c r="C75" s="535">
        <f t="shared" si="17"/>
        <v>293</v>
      </c>
      <c r="D75" s="536"/>
      <c r="E75" s="536"/>
      <c r="F75" s="536"/>
      <c r="G75" s="536"/>
      <c r="H75" s="536"/>
      <c r="I75" s="536"/>
      <c r="J75" s="535">
        <f t="shared" si="18"/>
        <v>293</v>
      </c>
      <c r="K75" s="536">
        <v>0</v>
      </c>
      <c r="L75" s="536">
        <v>0</v>
      </c>
      <c r="M75" s="536">
        <v>0</v>
      </c>
      <c r="N75" s="536">
        <v>0</v>
      </c>
      <c r="O75" s="536">
        <v>0</v>
      </c>
      <c r="P75" s="536">
        <v>0</v>
      </c>
      <c r="Q75" s="536">
        <v>0</v>
      </c>
      <c r="R75" s="536">
        <v>0</v>
      </c>
      <c r="S75" s="536">
        <v>0</v>
      </c>
      <c r="T75" s="536">
        <v>0</v>
      </c>
      <c r="U75" s="536">
        <v>0</v>
      </c>
      <c r="V75" s="536">
        <v>293</v>
      </c>
      <c r="W75" s="536">
        <v>0</v>
      </c>
      <c r="X75" s="536">
        <v>0</v>
      </c>
      <c r="Y75" s="536">
        <v>0</v>
      </c>
    </row>
    <row r="76" spans="1:26" ht="18.95" customHeight="1">
      <c r="A76" s="360"/>
      <c r="B76" s="418" t="s">
        <v>478</v>
      </c>
      <c r="C76" s="535">
        <f t="shared" si="17"/>
        <v>332</v>
      </c>
      <c r="D76" s="536"/>
      <c r="E76" s="536"/>
      <c r="F76" s="536"/>
      <c r="G76" s="536"/>
      <c r="H76" s="536"/>
      <c r="I76" s="536"/>
      <c r="J76" s="535">
        <f t="shared" si="18"/>
        <v>332</v>
      </c>
      <c r="K76" s="536">
        <v>0</v>
      </c>
      <c r="L76" s="536">
        <v>0</v>
      </c>
      <c r="M76" s="536">
        <v>0</v>
      </c>
      <c r="N76" s="536">
        <v>0</v>
      </c>
      <c r="O76" s="536">
        <v>0</v>
      </c>
      <c r="P76" s="536">
        <v>0</v>
      </c>
      <c r="Q76" s="536">
        <v>0</v>
      </c>
      <c r="R76" s="536">
        <v>0</v>
      </c>
      <c r="S76" s="536">
        <v>0</v>
      </c>
      <c r="T76" s="536">
        <v>0</v>
      </c>
      <c r="U76" s="536">
        <v>0</v>
      </c>
      <c r="V76" s="536">
        <v>332</v>
      </c>
      <c r="W76" s="536">
        <v>0</v>
      </c>
      <c r="X76" s="536">
        <v>0</v>
      </c>
      <c r="Y76" s="536">
        <v>0</v>
      </c>
    </row>
    <row r="77" spans="1:26" ht="18.95" customHeight="1">
      <c r="A77" s="360"/>
      <c r="B77" s="418" t="s">
        <v>747</v>
      </c>
      <c r="C77" s="535">
        <f t="shared" si="17"/>
        <v>293</v>
      </c>
      <c r="D77" s="536"/>
      <c r="E77" s="536"/>
      <c r="F77" s="536"/>
      <c r="G77" s="536"/>
      <c r="H77" s="536"/>
      <c r="I77" s="536"/>
      <c r="J77" s="535">
        <f t="shared" si="18"/>
        <v>293</v>
      </c>
      <c r="K77" s="536">
        <v>0</v>
      </c>
      <c r="L77" s="536">
        <v>0</v>
      </c>
      <c r="M77" s="536">
        <v>0</v>
      </c>
      <c r="N77" s="536">
        <v>0</v>
      </c>
      <c r="O77" s="536">
        <v>0</v>
      </c>
      <c r="P77" s="536">
        <v>0</v>
      </c>
      <c r="Q77" s="536">
        <v>0</v>
      </c>
      <c r="R77" s="536">
        <v>0</v>
      </c>
      <c r="S77" s="536">
        <v>0</v>
      </c>
      <c r="T77" s="536">
        <v>0</v>
      </c>
      <c r="U77" s="536">
        <v>0</v>
      </c>
      <c r="V77" s="536">
        <v>293</v>
      </c>
      <c r="W77" s="536">
        <v>0</v>
      </c>
      <c r="X77" s="536">
        <v>0</v>
      </c>
      <c r="Y77" s="536">
        <v>0</v>
      </c>
    </row>
    <row r="78" spans="1:26" ht="18.95" customHeight="1">
      <c r="A78" s="360"/>
      <c r="B78" s="418" t="s">
        <v>330</v>
      </c>
      <c r="C78" s="535">
        <f t="shared" si="17"/>
        <v>316</v>
      </c>
      <c r="D78" s="536"/>
      <c r="E78" s="536"/>
      <c r="F78" s="536"/>
      <c r="G78" s="536"/>
      <c r="H78" s="536"/>
      <c r="I78" s="536"/>
      <c r="J78" s="535">
        <f t="shared" si="18"/>
        <v>316</v>
      </c>
      <c r="K78" s="536">
        <v>0</v>
      </c>
      <c r="L78" s="536">
        <v>0</v>
      </c>
      <c r="M78" s="536">
        <v>0</v>
      </c>
      <c r="N78" s="536">
        <v>0</v>
      </c>
      <c r="O78" s="536">
        <v>0</v>
      </c>
      <c r="P78" s="536">
        <v>0</v>
      </c>
      <c r="Q78" s="536">
        <v>0</v>
      </c>
      <c r="R78" s="536">
        <v>0</v>
      </c>
      <c r="S78" s="536">
        <v>0</v>
      </c>
      <c r="T78" s="536">
        <v>0</v>
      </c>
      <c r="U78" s="536">
        <v>0</v>
      </c>
      <c r="V78" s="536">
        <v>316</v>
      </c>
      <c r="W78" s="536">
        <v>0</v>
      </c>
      <c r="X78" s="536">
        <v>0</v>
      </c>
      <c r="Y78" s="536">
        <v>0</v>
      </c>
    </row>
    <row r="79" spans="1:26" ht="18.95" customHeight="1">
      <c r="A79" s="360"/>
      <c r="B79" s="418" t="s">
        <v>45</v>
      </c>
      <c r="C79" s="535">
        <f t="shared" si="17"/>
        <v>343</v>
      </c>
      <c r="D79" s="536"/>
      <c r="E79" s="536"/>
      <c r="F79" s="536"/>
      <c r="G79" s="536"/>
      <c r="H79" s="536"/>
      <c r="I79" s="536"/>
      <c r="J79" s="535">
        <f t="shared" si="18"/>
        <v>343</v>
      </c>
      <c r="K79" s="536">
        <v>0</v>
      </c>
      <c r="L79" s="536">
        <v>0</v>
      </c>
      <c r="M79" s="536">
        <v>0</v>
      </c>
      <c r="N79" s="536">
        <v>0</v>
      </c>
      <c r="O79" s="536">
        <v>0</v>
      </c>
      <c r="P79" s="536">
        <v>0</v>
      </c>
      <c r="Q79" s="536">
        <v>0</v>
      </c>
      <c r="R79" s="536">
        <v>0</v>
      </c>
      <c r="S79" s="536">
        <v>0</v>
      </c>
      <c r="T79" s="536">
        <v>0</v>
      </c>
      <c r="U79" s="536">
        <v>0</v>
      </c>
      <c r="V79" s="536">
        <v>343</v>
      </c>
      <c r="W79" s="536">
        <v>0</v>
      </c>
      <c r="X79" s="536">
        <v>0</v>
      </c>
      <c r="Y79" s="536">
        <v>0</v>
      </c>
    </row>
    <row r="80" spans="1:26" ht="18.95" customHeight="1">
      <c r="A80" s="360"/>
      <c r="B80" s="418" t="s">
        <v>479</v>
      </c>
      <c r="C80" s="535">
        <f t="shared" si="17"/>
        <v>180</v>
      </c>
      <c r="D80" s="536"/>
      <c r="E80" s="536"/>
      <c r="F80" s="536"/>
      <c r="G80" s="536"/>
      <c r="H80" s="536"/>
      <c r="I80" s="536"/>
      <c r="J80" s="535">
        <f t="shared" si="18"/>
        <v>180</v>
      </c>
      <c r="K80" s="536">
        <v>0</v>
      </c>
      <c r="L80" s="536">
        <v>0</v>
      </c>
      <c r="M80" s="536">
        <v>0</v>
      </c>
      <c r="N80" s="536">
        <v>0</v>
      </c>
      <c r="O80" s="536">
        <v>0</v>
      </c>
      <c r="P80" s="536">
        <v>0</v>
      </c>
      <c r="Q80" s="536">
        <v>0</v>
      </c>
      <c r="R80" s="536">
        <v>0</v>
      </c>
      <c r="S80" s="536">
        <v>0</v>
      </c>
      <c r="T80" s="536">
        <v>0</v>
      </c>
      <c r="U80" s="536">
        <v>0</v>
      </c>
      <c r="V80" s="536">
        <v>180</v>
      </c>
      <c r="W80" s="536">
        <v>0</v>
      </c>
      <c r="X80" s="536">
        <v>0</v>
      </c>
      <c r="Y80" s="536">
        <v>0</v>
      </c>
    </row>
    <row r="81" spans="1:25" ht="18.95" customHeight="1">
      <c r="A81" s="360"/>
      <c r="B81" s="418" t="s">
        <v>480</v>
      </c>
      <c r="C81" s="535">
        <f t="shared" si="17"/>
        <v>70</v>
      </c>
      <c r="D81" s="536"/>
      <c r="E81" s="536"/>
      <c r="F81" s="536"/>
      <c r="G81" s="536"/>
      <c r="H81" s="536"/>
      <c r="I81" s="536"/>
      <c r="J81" s="535">
        <f t="shared" si="18"/>
        <v>70</v>
      </c>
      <c r="K81" s="536">
        <v>0</v>
      </c>
      <c r="L81" s="536">
        <v>0</v>
      </c>
      <c r="M81" s="536">
        <v>0</v>
      </c>
      <c r="N81" s="536">
        <v>0</v>
      </c>
      <c r="O81" s="536">
        <v>0</v>
      </c>
      <c r="P81" s="536">
        <v>0</v>
      </c>
      <c r="Q81" s="536">
        <v>0</v>
      </c>
      <c r="R81" s="536">
        <v>0</v>
      </c>
      <c r="S81" s="536">
        <v>0</v>
      </c>
      <c r="T81" s="536">
        <v>0</v>
      </c>
      <c r="U81" s="536">
        <v>0</v>
      </c>
      <c r="V81" s="536">
        <v>70</v>
      </c>
      <c r="W81" s="536">
        <v>0</v>
      </c>
      <c r="X81" s="536">
        <v>0</v>
      </c>
      <c r="Y81" s="536">
        <v>0</v>
      </c>
    </row>
    <row r="82" spans="1:25" ht="18.95" customHeight="1">
      <c r="A82" s="360"/>
      <c r="B82" s="418" t="s">
        <v>293</v>
      </c>
      <c r="C82" s="535">
        <f t="shared" si="17"/>
        <v>70</v>
      </c>
      <c r="D82" s="536"/>
      <c r="E82" s="536"/>
      <c r="F82" s="536"/>
      <c r="G82" s="536"/>
      <c r="H82" s="536"/>
      <c r="I82" s="536"/>
      <c r="J82" s="535">
        <f t="shared" si="18"/>
        <v>70</v>
      </c>
      <c r="K82" s="536">
        <v>0</v>
      </c>
      <c r="L82" s="536">
        <v>0</v>
      </c>
      <c r="M82" s="536">
        <v>0</v>
      </c>
      <c r="N82" s="536">
        <v>0</v>
      </c>
      <c r="O82" s="536">
        <v>0</v>
      </c>
      <c r="P82" s="536">
        <v>0</v>
      </c>
      <c r="Q82" s="536">
        <v>0</v>
      </c>
      <c r="R82" s="536">
        <v>0</v>
      </c>
      <c r="S82" s="536">
        <v>0</v>
      </c>
      <c r="T82" s="536">
        <v>0</v>
      </c>
      <c r="U82" s="536">
        <v>0</v>
      </c>
      <c r="V82" s="536">
        <v>70</v>
      </c>
      <c r="W82" s="536">
        <v>0</v>
      </c>
      <c r="X82" s="536">
        <v>0</v>
      </c>
      <c r="Y82" s="536">
        <v>0</v>
      </c>
    </row>
    <row r="83" spans="1:25" ht="18.95" customHeight="1">
      <c r="A83" s="360"/>
      <c r="B83" s="418" t="s">
        <v>547</v>
      </c>
      <c r="C83" s="535">
        <f t="shared" si="17"/>
        <v>300</v>
      </c>
      <c r="D83" s="536"/>
      <c r="E83" s="536"/>
      <c r="F83" s="536"/>
      <c r="G83" s="536"/>
      <c r="H83" s="536"/>
      <c r="I83" s="536"/>
      <c r="J83" s="535">
        <f t="shared" si="18"/>
        <v>300</v>
      </c>
      <c r="K83" s="536">
        <v>0</v>
      </c>
      <c r="L83" s="536">
        <v>0</v>
      </c>
      <c r="M83" s="536">
        <v>0</v>
      </c>
      <c r="N83" s="536">
        <v>0</v>
      </c>
      <c r="O83" s="536">
        <v>0</v>
      </c>
      <c r="P83" s="536">
        <v>0</v>
      </c>
      <c r="Q83" s="536">
        <v>0</v>
      </c>
      <c r="R83" s="536">
        <v>0</v>
      </c>
      <c r="S83" s="536">
        <v>0</v>
      </c>
      <c r="T83" s="536">
        <v>0</v>
      </c>
      <c r="U83" s="536">
        <v>0</v>
      </c>
      <c r="V83" s="536">
        <v>300</v>
      </c>
      <c r="W83" s="536">
        <v>0</v>
      </c>
      <c r="X83" s="536">
        <v>0</v>
      </c>
      <c r="Y83" s="536">
        <v>0</v>
      </c>
    </row>
    <row r="84" spans="1:25" ht="18.95" customHeight="1">
      <c r="A84" s="360"/>
      <c r="B84" s="418" t="s">
        <v>475</v>
      </c>
      <c r="C84" s="535">
        <f t="shared" si="17"/>
        <v>339</v>
      </c>
      <c r="D84" s="536"/>
      <c r="E84" s="536"/>
      <c r="F84" s="536"/>
      <c r="G84" s="536"/>
      <c r="H84" s="536"/>
      <c r="I84" s="536"/>
      <c r="J84" s="535">
        <f t="shared" si="18"/>
        <v>339</v>
      </c>
      <c r="K84" s="536">
        <v>0</v>
      </c>
      <c r="L84" s="536">
        <v>0</v>
      </c>
      <c r="M84" s="536">
        <v>0</v>
      </c>
      <c r="N84" s="536">
        <v>0</v>
      </c>
      <c r="O84" s="536">
        <v>0</v>
      </c>
      <c r="P84" s="536">
        <v>0</v>
      </c>
      <c r="Q84" s="536">
        <v>0</v>
      </c>
      <c r="R84" s="536">
        <v>0</v>
      </c>
      <c r="S84" s="536">
        <v>0</v>
      </c>
      <c r="T84" s="536">
        <v>0</v>
      </c>
      <c r="U84" s="536">
        <v>0</v>
      </c>
      <c r="V84" s="536">
        <v>339</v>
      </c>
      <c r="W84" s="536">
        <v>0</v>
      </c>
      <c r="X84" s="536">
        <v>0</v>
      </c>
      <c r="Y84" s="536">
        <v>0</v>
      </c>
    </row>
    <row r="85" spans="1:25" ht="18.95" customHeight="1">
      <c r="A85" s="360"/>
      <c r="B85" s="418" t="s">
        <v>469</v>
      </c>
      <c r="C85" s="535">
        <f t="shared" si="17"/>
        <v>400</v>
      </c>
      <c r="D85" s="536"/>
      <c r="E85" s="536"/>
      <c r="F85" s="536"/>
      <c r="G85" s="536"/>
      <c r="H85" s="536"/>
      <c r="I85" s="536"/>
      <c r="J85" s="535">
        <f t="shared" si="18"/>
        <v>400</v>
      </c>
      <c r="K85" s="536">
        <v>0</v>
      </c>
      <c r="L85" s="536">
        <v>0</v>
      </c>
      <c r="M85" s="536">
        <v>0</v>
      </c>
      <c r="N85" s="536">
        <v>0</v>
      </c>
      <c r="O85" s="536">
        <v>0</v>
      </c>
      <c r="P85" s="536">
        <v>0</v>
      </c>
      <c r="Q85" s="536">
        <v>0</v>
      </c>
      <c r="R85" s="536">
        <v>0</v>
      </c>
      <c r="S85" s="536">
        <v>0</v>
      </c>
      <c r="T85" s="536">
        <v>0</v>
      </c>
      <c r="U85" s="536">
        <v>0</v>
      </c>
      <c r="V85" s="536">
        <v>400</v>
      </c>
      <c r="W85" s="536">
        <v>0</v>
      </c>
      <c r="X85" s="536">
        <v>0</v>
      </c>
      <c r="Y85" s="536">
        <v>0</v>
      </c>
    </row>
    <row r="86" spans="1:25" ht="18.95" customHeight="1">
      <c r="A86" s="360"/>
      <c r="B86" s="418" t="s">
        <v>294</v>
      </c>
      <c r="C86" s="535">
        <f t="shared" si="17"/>
        <v>300</v>
      </c>
      <c r="D86" s="536"/>
      <c r="E86" s="536"/>
      <c r="F86" s="536"/>
      <c r="G86" s="536"/>
      <c r="H86" s="536"/>
      <c r="I86" s="536"/>
      <c r="J86" s="535">
        <f t="shared" si="18"/>
        <v>300</v>
      </c>
      <c r="K86" s="536">
        <v>0</v>
      </c>
      <c r="L86" s="536">
        <v>0</v>
      </c>
      <c r="M86" s="536">
        <v>0</v>
      </c>
      <c r="N86" s="536">
        <v>0</v>
      </c>
      <c r="O86" s="536">
        <v>0</v>
      </c>
      <c r="P86" s="536">
        <v>0</v>
      </c>
      <c r="Q86" s="536">
        <v>0</v>
      </c>
      <c r="R86" s="536">
        <v>0</v>
      </c>
      <c r="S86" s="536">
        <v>0</v>
      </c>
      <c r="T86" s="536">
        <v>0</v>
      </c>
      <c r="U86" s="536">
        <v>0</v>
      </c>
      <c r="V86" s="536">
        <v>300</v>
      </c>
      <c r="W86" s="536">
        <v>0</v>
      </c>
      <c r="X86" s="536">
        <v>0</v>
      </c>
      <c r="Y86" s="536">
        <v>0</v>
      </c>
    </row>
    <row r="87" spans="1:25" ht="18.95" customHeight="1">
      <c r="A87" s="360"/>
      <c r="B87" s="418" t="s">
        <v>308</v>
      </c>
      <c r="C87" s="535">
        <f t="shared" si="17"/>
        <v>200</v>
      </c>
      <c r="D87" s="536"/>
      <c r="E87" s="536"/>
      <c r="F87" s="536"/>
      <c r="G87" s="536"/>
      <c r="H87" s="536"/>
      <c r="I87" s="536"/>
      <c r="J87" s="535">
        <f t="shared" si="18"/>
        <v>200</v>
      </c>
      <c r="K87" s="536">
        <v>0</v>
      </c>
      <c r="L87" s="536">
        <v>0</v>
      </c>
      <c r="M87" s="536">
        <v>0</v>
      </c>
      <c r="N87" s="536">
        <v>0</v>
      </c>
      <c r="O87" s="536">
        <v>0</v>
      </c>
      <c r="P87" s="536">
        <v>0</v>
      </c>
      <c r="Q87" s="536">
        <v>0</v>
      </c>
      <c r="R87" s="536">
        <v>0</v>
      </c>
      <c r="S87" s="536">
        <v>0</v>
      </c>
      <c r="T87" s="536">
        <v>0</v>
      </c>
      <c r="U87" s="536">
        <v>0</v>
      </c>
      <c r="V87" s="536">
        <v>200</v>
      </c>
      <c r="W87" s="536">
        <v>0</v>
      </c>
      <c r="X87" s="536">
        <v>0</v>
      </c>
      <c r="Y87" s="536">
        <v>0</v>
      </c>
    </row>
    <row r="88" spans="1:25" ht="18.95" customHeight="1">
      <c r="A88" s="360"/>
      <c r="B88" s="418" t="s">
        <v>46</v>
      </c>
      <c r="C88" s="535">
        <f t="shared" si="17"/>
        <v>300</v>
      </c>
      <c r="D88" s="536"/>
      <c r="E88" s="536"/>
      <c r="F88" s="536"/>
      <c r="G88" s="536"/>
      <c r="H88" s="536"/>
      <c r="I88" s="536"/>
      <c r="J88" s="535">
        <f t="shared" si="18"/>
        <v>300</v>
      </c>
      <c r="K88" s="536">
        <v>0</v>
      </c>
      <c r="L88" s="536">
        <v>0</v>
      </c>
      <c r="M88" s="536">
        <v>0</v>
      </c>
      <c r="N88" s="536">
        <v>0</v>
      </c>
      <c r="O88" s="536">
        <v>0</v>
      </c>
      <c r="P88" s="536">
        <v>0</v>
      </c>
      <c r="Q88" s="536">
        <v>0</v>
      </c>
      <c r="R88" s="536">
        <v>0</v>
      </c>
      <c r="S88" s="536">
        <v>0</v>
      </c>
      <c r="T88" s="536">
        <v>0</v>
      </c>
      <c r="U88" s="536">
        <v>0</v>
      </c>
      <c r="V88" s="536">
        <v>300</v>
      </c>
      <c r="W88" s="536">
        <v>0</v>
      </c>
      <c r="X88" s="536">
        <v>0</v>
      </c>
      <c r="Y88" s="536">
        <v>0</v>
      </c>
    </row>
    <row r="89" spans="1:25" ht="18.95" customHeight="1">
      <c r="A89" s="590"/>
      <c r="B89" s="466" t="s">
        <v>568</v>
      </c>
      <c r="C89" s="535">
        <f t="shared" si="17"/>
        <v>19</v>
      </c>
      <c r="D89" s="537"/>
      <c r="E89" s="537"/>
      <c r="F89" s="537"/>
      <c r="G89" s="537"/>
      <c r="H89" s="537"/>
      <c r="I89" s="537"/>
      <c r="J89" s="535">
        <f t="shared" si="18"/>
        <v>19</v>
      </c>
      <c r="K89" s="536">
        <v>0</v>
      </c>
      <c r="L89" s="536">
        <v>19</v>
      </c>
      <c r="M89" s="536">
        <v>0</v>
      </c>
      <c r="N89" s="536">
        <v>0</v>
      </c>
      <c r="O89" s="536">
        <v>0</v>
      </c>
      <c r="P89" s="536">
        <v>0</v>
      </c>
      <c r="Q89" s="536">
        <v>0</v>
      </c>
      <c r="R89" s="536">
        <v>0</v>
      </c>
      <c r="S89" s="536">
        <v>0</v>
      </c>
      <c r="T89" s="536">
        <v>0</v>
      </c>
      <c r="U89" s="536">
        <v>0</v>
      </c>
      <c r="V89" s="536">
        <v>0</v>
      </c>
      <c r="W89" s="536">
        <v>0</v>
      </c>
      <c r="X89" s="536">
        <v>0</v>
      </c>
      <c r="Y89" s="536">
        <v>0</v>
      </c>
    </row>
    <row r="90" spans="1:25" ht="18.95" customHeight="1">
      <c r="A90" s="590"/>
      <c r="B90" s="503" t="s">
        <v>569</v>
      </c>
      <c r="C90" s="535">
        <f t="shared" si="17"/>
        <v>120</v>
      </c>
      <c r="D90" s="537"/>
      <c r="E90" s="537"/>
      <c r="F90" s="537"/>
      <c r="G90" s="537"/>
      <c r="H90" s="537"/>
      <c r="I90" s="537"/>
      <c r="J90" s="535">
        <f t="shared" si="18"/>
        <v>120</v>
      </c>
      <c r="K90" s="536">
        <v>0</v>
      </c>
      <c r="L90" s="536">
        <v>0</v>
      </c>
      <c r="M90" s="536">
        <v>0</v>
      </c>
      <c r="N90" s="536">
        <v>0</v>
      </c>
      <c r="O90" s="536">
        <v>0</v>
      </c>
      <c r="P90" s="536">
        <v>0</v>
      </c>
      <c r="Q90" s="536">
        <v>0</v>
      </c>
      <c r="R90" s="536">
        <v>0</v>
      </c>
      <c r="S90" s="536">
        <v>0</v>
      </c>
      <c r="T90" s="536">
        <v>0</v>
      </c>
      <c r="U90" s="536">
        <v>0</v>
      </c>
      <c r="V90" s="536">
        <v>120</v>
      </c>
      <c r="W90" s="536">
        <v>0</v>
      </c>
      <c r="X90" s="536">
        <v>0</v>
      </c>
      <c r="Y90" s="536">
        <v>0</v>
      </c>
    </row>
    <row r="91" spans="1:25" ht="18.95" customHeight="1">
      <c r="A91" s="590"/>
      <c r="B91" s="503" t="s">
        <v>935</v>
      </c>
      <c r="C91" s="535">
        <f t="shared" si="17"/>
        <v>20860</v>
      </c>
      <c r="D91" s="537"/>
      <c r="E91" s="537"/>
      <c r="F91" s="537"/>
      <c r="G91" s="537"/>
      <c r="H91" s="537"/>
      <c r="I91" s="537"/>
      <c r="J91" s="535">
        <f t="shared" si="18"/>
        <v>20860</v>
      </c>
      <c r="K91" s="536">
        <v>0</v>
      </c>
      <c r="L91" s="536">
        <v>0</v>
      </c>
      <c r="M91" s="536">
        <v>0</v>
      </c>
      <c r="N91" s="536">
        <v>0</v>
      </c>
      <c r="O91" s="536">
        <v>0</v>
      </c>
      <c r="P91" s="536">
        <v>0</v>
      </c>
      <c r="Q91" s="536">
        <v>0</v>
      </c>
      <c r="R91" s="536">
        <v>0</v>
      </c>
      <c r="S91" s="536">
        <v>0</v>
      </c>
      <c r="T91" s="536">
        <v>0</v>
      </c>
      <c r="U91" s="536">
        <v>0</v>
      </c>
      <c r="V91" s="536">
        <f>20860</f>
        <v>20860</v>
      </c>
      <c r="W91" s="536">
        <v>0</v>
      </c>
      <c r="X91" s="536">
        <v>0</v>
      </c>
      <c r="Y91" s="536">
        <v>0</v>
      </c>
    </row>
    <row r="92" spans="1:25" ht="18.95" customHeight="1">
      <c r="A92" s="590"/>
      <c r="B92" s="503" t="s">
        <v>954</v>
      </c>
      <c r="C92" s="535">
        <f t="shared" si="17"/>
        <v>200</v>
      </c>
      <c r="D92" s="537"/>
      <c r="E92" s="537"/>
      <c r="F92" s="537"/>
      <c r="G92" s="537"/>
      <c r="H92" s="537"/>
      <c r="I92" s="537"/>
      <c r="J92" s="535">
        <f t="shared" si="18"/>
        <v>200</v>
      </c>
      <c r="K92" s="536"/>
      <c r="L92" s="536"/>
      <c r="M92" s="536"/>
      <c r="N92" s="536"/>
      <c r="O92" s="536"/>
      <c r="P92" s="536"/>
      <c r="Q92" s="536"/>
      <c r="R92" s="536"/>
      <c r="S92" s="536"/>
      <c r="T92" s="536"/>
      <c r="U92" s="536"/>
      <c r="V92" s="537">
        <v>200</v>
      </c>
      <c r="W92" s="537"/>
      <c r="X92" s="537"/>
      <c r="Y92" s="537"/>
    </row>
    <row r="93" spans="1:25" ht="18.95" customHeight="1">
      <c r="A93" s="590"/>
      <c r="B93" s="503" t="s">
        <v>960</v>
      </c>
      <c r="C93" s="535">
        <f>J93+Y93+W93+X93</f>
        <v>182</v>
      </c>
      <c r="D93" s="537"/>
      <c r="E93" s="537"/>
      <c r="F93" s="537"/>
      <c r="G93" s="537"/>
      <c r="H93" s="537"/>
      <c r="I93" s="537"/>
      <c r="J93" s="535">
        <f>SUM(K93:V93)</f>
        <v>182</v>
      </c>
      <c r="K93" s="536"/>
      <c r="L93" s="536"/>
      <c r="M93" s="536"/>
      <c r="N93" s="536"/>
      <c r="O93" s="536"/>
      <c r="P93" s="536"/>
      <c r="Q93" s="536"/>
      <c r="R93" s="536"/>
      <c r="S93" s="536"/>
      <c r="T93" s="536"/>
      <c r="U93" s="536"/>
      <c r="V93" s="537">
        <v>182</v>
      </c>
      <c r="W93" s="537"/>
      <c r="X93" s="537"/>
      <c r="Y93" s="537"/>
    </row>
    <row r="94" spans="1:25" ht="18.95" customHeight="1">
      <c r="A94" s="590"/>
      <c r="B94" s="466" t="s">
        <v>744</v>
      </c>
      <c r="C94" s="535">
        <f t="shared" si="17"/>
        <v>0</v>
      </c>
      <c r="D94" s="537"/>
      <c r="E94" s="537"/>
      <c r="F94" s="537"/>
      <c r="G94" s="537"/>
      <c r="H94" s="537"/>
      <c r="I94" s="537"/>
      <c r="J94" s="535">
        <f t="shared" si="18"/>
        <v>0</v>
      </c>
      <c r="K94" s="536"/>
      <c r="L94" s="536"/>
      <c r="M94" s="536"/>
      <c r="N94" s="536"/>
      <c r="O94" s="536"/>
      <c r="P94" s="536"/>
      <c r="Q94" s="536"/>
      <c r="R94" s="536"/>
      <c r="S94" s="536"/>
      <c r="T94" s="536"/>
      <c r="U94" s="536"/>
      <c r="V94" s="537">
        <v>0</v>
      </c>
      <c r="W94" s="537">
        <v>0</v>
      </c>
      <c r="X94" s="537">
        <v>0</v>
      </c>
      <c r="Y94" s="537">
        <v>0</v>
      </c>
    </row>
    <row r="95" spans="1:25" ht="18.95" customHeight="1">
      <c r="A95" s="591"/>
      <c r="B95" s="419" t="s">
        <v>774</v>
      </c>
      <c r="C95" s="538">
        <f t="shared" si="17"/>
        <v>510952</v>
      </c>
      <c r="D95" s="539"/>
      <c r="E95" s="539"/>
      <c r="F95" s="539"/>
      <c r="G95" s="539"/>
      <c r="H95" s="539"/>
      <c r="I95" s="539"/>
      <c r="J95" s="538">
        <f t="shared" si="18"/>
        <v>0</v>
      </c>
      <c r="K95" s="539">
        <v>0</v>
      </c>
      <c r="L95" s="539">
        <v>0</v>
      </c>
      <c r="M95" s="539">
        <v>0</v>
      </c>
      <c r="N95" s="539">
        <v>0</v>
      </c>
      <c r="O95" s="539">
        <v>0</v>
      </c>
      <c r="P95" s="539">
        <v>0</v>
      </c>
      <c r="Q95" s="539">
        <v>0</v>
      </c>
      <c r="R95" s="539">
        <v>0</v>
      </c>
      <c r="S95" s="539">
        <v>0</v>
      </c>
      <c r="T95" s="539">
        <v>0</v>
      </c>
      <c r="U95" s="539">
        <v>0</v>
      </c>
      <c r="V95" s="539"/>
      <c r="W95" s="539">
        <f>'Phụ lục số 2'!K38-SUM(W10,W45,W60,W65:W88)</f>
        <v>74995</v>
      </c>
      <c r="X95" s="539">
        <f>'Phụ lục số 2'!K39-SUM(X10,X45,X60,X65:X88)</f>
        <v>372200</v>
      </c>
      <c r="Y95" s="539">
        <f>'Phụ lục số 2'!K40-SUM(Y10,Y45,Y60,Y65:Y88)</f>
        <v>63757</v>
      </c>
    </row>
    <row r="97" spans="11:25" ht="15.95" customHeight="1">
      <c r="K97" s="160">
        <f t="shared" ref="K97:U97" si="19">IF(K43&lt;0,-K43,0)</f>
        <v>0</v>
      </c>
      <c r="L97" s="160">
        <f t="shared" si="19"/>
        <v>0</v>
      </c>
      <c r="M97" s="160">
        <f t="shared" si="19"/>
        <v>0</v>
      </c>
      <c r="N97" s="160">
        <f t="shared" si="19"/>
        <v>0</v>
      </c>
      <c r="O97" s="160">
        <f t="shared" si="19"/>
        <v>0</v>
      </c>
      <c r="P97" s="160">
        <f t="shared" si="19"/>
        <v>0</v>
      </c>
      <c r="Q97" s="160">
        <f t="shared" si="19"/>
        <v>0</v>
      </c>
      <c r="R97" s="160">
        <f t="shared" si="19"/>
        <v>0</v>
      </c>
      <c r="U97" s="160">
        <f t="shared" si="19"/>
        <v>0</v>
      </c>
      <c r="V97" s="160">
        <f>IF(V43&lt;0,-V43,0)</f>
        <v>0</v>
      </c>
      <c r="Y97" s="160"/>
    </row>
    <row r="98" spans="11:25" ht="15.95" customHeight="1">
      <c r="K98" s="255">
        <f t="shared" ref="K98:V98" si="20">+K97+K9</f>
        <v>266130</v>
      </c>
      <c r="L98" s="255">
        <f t="shared" si="20"/>
        <v>27167</v>
      </c>
      <c r="M98" s="255">
        <f t="shared" si="20"/>
        <v>24000</v>
      </c>
      <c r="N98" s="255">
        <f t="shared" si="20"/>
        <v>522780</v>
      </c>
      <c r="O98" s="255">
        <f t="shared" si="20"/>
        <v>526072</v>
      </c>
      <c r="P98" s="255">
        <f t="shared" si="20"/>
        <v>31305</v>
      </c>
      <c r="Q98" s="255">
        <f t="shared" si="20"/>
        <v>4400</v>
      </c>
      <c r="R98" s="255">
        <f t="shared" si="20"/>
        <v>15000</v>
      </c>
      <c r="S98" s="255"/>
      <c r="T98" s="255"/>
      <c r="U98" s="255">
        <f t="shared" si="20"/>
        <v>49845</v>
      </c>
      <c r="V98" s="255">
        <f t="shared" si="20"/>
        <v>54274</v>
      </c>
    </row>
    <row r="100" spans="11:25" ht="15.95" customHeight="1">
      <c r="K100" s="255">
        <f>+K99-K98</f>
        <v>-266130</v>
      </c>
      <c r="L100" s="255">
        <f>+L99-L98</f>
        <v>-27167</v>
      </c>
      <c r="M100" s="255">
        <f>+M99-M98</f>
        <v>-24000</v>
      </c>
      <c r="N100" s="255">
        <f>+N99-N98</f>
        <v>-522780</v>
      </c>
      <c r="O100" s="255">
        <f t="shared" ref="O100:V100" si="21">+O99-O98</f>
        <v>-526072</v>
      </c>
      <c r="P100" s="255">
        <f t="shared" si="21"/>
        <v>-31305</v>
      </c>
      <c r="Q100" s="255">
        <f t="shared" si="21"/>
        <v>-4400</v>
      </c>
      <c r="R100" s="255">
        <f t="shared" si="21"/>
        <v>-15000</v>
      </c>
      <c r="S100" s="255"/>
      <c r="T100" s="255"/>
      <c r="U100" s="255">
        <f t="shared" si="21"/>
        <v>-49845</v>
      </c>
      <c r="V100" s="255">
        <f t="shared" si="21"/>
        <v>-54274</v>
      </c>
    </row>
    <row r="106" spans="11:25" ht="15.95" customHeight="1">
      <c r="O106" s="540">
        <f>-O44</f>
        <v>0</v>
      </c>
      <c r="P106" s="540">
        <f t="shared" ref="P106:V106" si="22">-P44</f>
        <v>-5000</v>
      </c>
      <c r="Q106" s="540">
        <f t="shared" si="22"/>
        <v>0</v>
      </c>
      <c r="R106" s="540">
        <f t="shared" si="22"/>
        <v>-2000</v>
      </c>
      <c r="S106" s="540"/>
      <c r="T106" s="540"/>
      <c r="U106" s="540">
        <f t="shared" si="22"/>
        <v>-4026</v>
      </c>
      <c r="V106" s="540">
        <f t="shared" si="22"/>
        <v>-26293</v>
      </c>
    </row>
    <row r="107" spans="11:25" ht="15.95" customHeight="1">
      <c r="O107" s="540">
        <f t="shared" ref="O107:V107" si="23">+O106+O9</f>
        <v>526072</v>
      </c>
      <c r="P107" s="540">
        <f t="shared" si="23"/>
        <v>26305</v>
      </c>
      <c r="Q107" s="540">
        <f t="shared" si="23"/>
        <v>4400</v>
      </c>
      <c r="R107" s="540">
        <f t="shared" si="23"/>
        <v>13000</v>
      </c>
      <c r="S107" s="540"/>
      <c r="T107" s="540"/>
      <c r="U107" s="540">
        <f t="shared" si="23"/>
        <v>45819</v>
      </c>
      <c r="V107" s="540">
        <f t="shared" si="23"/>
        <v>27981</v>
      </c>
    </row>
    <row r="109" spans="11:25" ht="15.95" customHeight="1">
      <c r="V109" s="160">
        <v>11621</v>
      </c>
    </row>
    <row r="110" spans="11:25" ht="15.95" customHeight="1">
      <c r="V110" s="540">
        <f>+V109-V44</f>
        <v>-14672</v>
      </c>
    </row>
    <row r="112" spans="11:25" ht="15.95" customHeight="1">
      <c r="N112" s="160">
        <f>43000+28000</f>
        <v>71000</v>
      </c>
      <c r="V112" s="540">
        <f>+V9-V109</f>
        <v>42653</v>
      </c>
    </row>
  </sheetData>
  <mergeCells count="32">
    <mergeCell ref="T6:T7"/>
    <mergeCell ref="V6:V7"/>
    <mergeCell ref="P6:P7"/>
    <mergeCell ref="Q6:Q7"/>
    <mergeCell ref="R6:R7"/>
    <mergeCell ref="U6:U7"/>
    <mergeCell ref="S6:S7"/>
    <mergeCell ref="F6:F7"/>
    <mergeCell ref="E6:E7"/>
    <mergeCell ref="N6:N7"/>
    <mergeCell ref="O6:O7"/>
    <mergeCell ref="H6:H7"/>
    <mergeCell ref="K6:K7"/>
    <mergeCell ref="L6:L7"/>
    <mergeCell ref="M6:M7"/>
    <mergeCell ref="G6:G7"/>
    <mergeCell ref="E5:G5"/>
    <mergeCell ref="D5:D7"/>
    <mergeCell ref="A1:Y1"/>
    <mergeCell ref="A3:A7"/>
    <mergeCell ref="B3:B7"/>
    <mergeCell ref="C3:Y3"/>
    <mergeCell ref="C4:C7"/>
    <mergeCell ref="D4:I4"/>
    <mergeCell ref="J4:V4"/>
    <mergeCell ref="W4:W7"/>
    <mergeCell ref="X4:X7"/>
    <mergeCell ref="Y4:Y7"/>
    <mergeCell ref="H5:I5"/>
    <mergeCell ref="J5:J7"/>
    <mergeCell ref="K5:V5"/>
    <mergeCell ref="I6:I7"/>
  </mergeCells>
  <phoneticPr fontId="2" type="noConversion"/>
  <printOptions horizontalCentered="1"/>
  <pageMargins left="0" right="0" top="0.39370078740157483" bottom="0.19685039370078741" header="0" footer="0"/>
  <pageSetup paperSize="9" scale="55" fitToHeight="2" orientation="landscape" r:id="rId1"/>
  <headerFooter alignWithMargins="0">
    <oddHeader>&amp;RPhụ lục số 4</oddHeader>
  </headerFooter>
  <ignoredErrors>
    <ignoredError sqref="J95" formula="1"/>
    <ignoredError sqref="J68 J73 J77:J80 J65:J66" formula="1" formulaRange="1"/>
    <ignoredError sqref="J67 J74:J76 J69:J72 J81:J90 J94 W95:Y95" formulaRange="1"/>
  </ignoredErrors>
  <drawing r:id="rId2"/>
  <legacyDrawing r:id="rId3"/>
</worksheet>
</file>

<file path=xl/worksheets/sheet7.xml><?xml version="1.0" encoding="utf-8"?>
<worksheet xmlns="http://schemas.openxmlformats.org/spreadsheetml/2006/main" xmlns:r="http://schemas.openxmlformats.org/officeDocument/2006/relationships">
  <sheetPr codeName="Sheet7">
    <tabColor rgb="FFFF0000"/>
  </sheetPr>
  <dimension ref="A1:O36"/>
  <sheetViews>
    <sheetView zoomScale="87" zoomScaleNormal="87" workbookViewId="0">
      <pane xSplit="3" ySplit="5" topLeftCell="D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8.75" customHeight="1"/>
  <cols>
    <col min="1" max="1" width="4.5" style="21" customWidth="1"/>
    <col min="2" max="2" width="24.25" style="5" customWidth="1"/>
    <col min="3" max="3" width="8.625" style="5" customWidth="1"/>
    <col min="4" max="7" width="8.125" style="5" customWidth="1"/>
    <col min="8" max="8" width="7.625" style="5" customWidth="1"/>
    <col min="9" max="15" width="8.125" style="5" customWidth="1"/>
    <col min="16" max="16384" width="9" style="5"/>
  </cols>
  <sheetData>
    <row r="1" spans="1:15" ht="18.75" customHeight="1">
      <c r="A1" s="670" t="s">
        <v>877</v>
      </c>
      <c r="B1" s="670"/>
      <c r="C1" s="670"/>
      <c r="D1" s="670"/>
      <c r="E1" s="670"/>
      <c r="F1" s="670"/>
      <c r="G1" s="670"/>
      <c r="H1" s="670"/>
      <c r="I1" s="670"/>
      <c r="J1" s="670"/>
      <c r="K1" s="670"/>
      <c r="L1" s="670"/>
      <c r="M1" s="670"/>
      <c r="N1" s="670"/>
      <c r="O1" s="670"/>
    </row>
    <row r="2" spans="1:15" ht="18.75" customHeight="1">
      <c r="A2" s="116"/>
      <c r="B2" s="14"/>
      <c r="C2" s="14"/>
      <c r="D2" s="14"/>
      <c r="E2" s="14"/>
      <c r="F2" s="14"/>
      <c r="G2" s="14"/>
      <c r="H2" s="14"/>
      <c r="I2" s="14"/>
      <c r="J2" s="14"/>
      <c r="K2" s="14"/>
      <c r="L2" s="14"/>
      <c r="M2" s="689" t="s">
        <v>0</v>
      </c>
      <c r="N2" s="689"/>
      <c r="O2" s="689"/>
    </row>
    <row r="3" spans="1:15" ht="47.25">
      <c r="A3" s="11" t="s">
        <v>1</v>
      </c>
      <c r="B3" s="110" t="s">
        <v>2</v>
      </c>
      <c r="C3" s="11" t="s">
        <v>691</v>
      </c>
      <c r="D3" s="11" t="s">
        <v>3</v>
      </c>
      <c r="E3" s="11" t="s">
        <v>4</v>
      </c>
      <c r="F3" s="11" t="s">
        <v>5</v>
      </c>
      <c r="G3" s="11" t="s">
        <v>8</v>
      </c>
      <c r="H3" s="11" t="s">
        <v>9</v>
      </c>
      <c r="I3" s="11" t="s">
        <v>10</v>
      </c>
      <c r="J3" s="11" t="s">
        <v>11</v>
      </c>
      <c r="K3" s="11" t="s">
        <v>12</v>
      </c>
      <c r="L3" s="11" t="s">
        <v>13</v>
      </c>
      <c r="M3" s="11" t="s">
        <v>14</v>
      </c>
      <c r="N3" s="11" t="s">
        <v>198</v>
      </c>
      <c r="O3" s="11" t="s">
        <v>15</v>
      </c>
    </row>
    <row r="4" spans="1:15" s="114" customFormat="1" ht="18.75" customHeight="1">
      <c r="A4" s="27"/>
      <c r="B4" s="111" t="s">
        <v>623</v>
      </c>
      <c r="C4" s="384">
        <f t="shared" ref="C4:O4" si="0">SUM(C5,C10,C23,C24,C25)</f>
        <v>4355211</v>
      </c>
      <c r="D4" s="384">
        <f>SUM(D5,D10,D23,D24,D25)</f>
        <v>332855</v>
      </c>
      <c r="E4" s="384">
        <f t="shared" si="0"/>
        <v>256580</v>
      </c>
      <c r="F4" s="384">
        <f>SUM(F5,F10,F23,F24,F25)</f>
        <v>309955</v>
      </c>
      <c r="G4" s="384">
        <f t="shared" si="0"/>
        <v>305360</v>
      </c>
      <c r="H4" s="384">
        <f t="shared" si="0"/>
        <v>364735</v>
      </c>
      <c r="I4" s="384">
        <f t="shared" si="0"/>
        <v>369990</v>
      </c>
      <c r="J4" s="384">
        <f t="shared" si="0"/>
        <v>485528</v>
      </c>
      <c r="K4" s="384">
        <f t="shared" si="0"/>
        <v>392969</v>
      </c>
      <c r="L4" s="384">
        <f t="shared" si="0"/>
        <v>431180</v>
      </c>
      <c r="M4" s="384">
        <f t="shared" si="0"/>
        <v>355514</v>
      </c>
      <c r="N4" s="384">
        <f t="shared" si="0"/>
        <v>393945</v>
      </c>
      <c r="O4" s="384">
        <f t="shared" si="0"/>
        <v>356600</v>
      </c>
    </row>
    <row r="5" spans="1:15" s="114" customFormat="1" ht="18.75" customHeight="1">
      <c r="A5" s="31" t="s">
        <v>641</v>
      </c>
      <c r="B5" s="97" t="s">
        <v>16</v>
      </c>
      <c r="C5" s="387">
        <f>SUM(C7:C9)</f>
        <v>463000</v>
      </c>
      <c r="D5" s="387">
        <f t="shared" ref="D5:O5" si="1">SUM(D7:D9)</f>
        <v>19000</v>
      </c>
      <c r="E5" s="387">
        <f t="shared" si="1"/>
        <v>54000</v>
      </c>
      <c r="F5" s="387">
        <f t="shared" si="1"/>
        <v>19500</v>
      </c>
      <c r="G5" s="387">
        <f t="shared" si="1"/>
        <v>23000</v>
      </c>
      <c r="H5" s="387">
        <f t="shared" si="1"/>
        <v>28500</v>
      </c>
      <c r="I5" s="387">
        <f t="shared" si="1"/>
        <v>45000</v>
      </c>
      <c r="J5" s="387">
        <f t="shared" si="1"/>
        <v>46000</v>
      </c>
      <c r="K5" s="387">
        <f t="shared" si="1"/>
        <v>48500</v>
      </c>
      <c r="L5" s="387">
        <f t="shared" si="1"/>
        <v>37000</v>
      </c>
      <c r="M5" s="387">
        <f t="shared" si="1"/>
        <v>23500</v>
      </c>
      <c r="N5" s="387">
        <f t="shared" si="1"/>
        <v>88000</v>
      </c>
      <c r="O5" s="387">
        <f t="shared" si="1"/>
        <v>31000</v>
      </c>
    </row>
    <row r="6" spans="1:15" s="118" customFormat="1" ht="18.75" customHeight="1">
      <c r="A6" s="357"/>
      <c r="B6" s="358" t="s">
        <v>577</v>
      </c>
      <c r="C6" s="401">
        <f t="shared" ref="C6:C14" si="2">SUM(D6:O6)</f>
        <v>88000</v>
      </c>
      <c r="D6" s="401">
        <v>3600</v>
      </c>
      <c r="E6" s="401">
        <v>10300</v>
      </c>
      <c r="F6" s="401">
        <v>3700</v>
      </c>
      <c r="G6" s="401">
        <v>4400</v>
      </c>
      <c r="H6" s="401">
        <v>5400</v>
      </c>
      <c r="I6" s="401">
        <v>8600</v>
      </c>
      <c r="J6" s="401">
        <v>8700</v>
      </c>
      <c r="K6" s="401">
        <v>9200</v>
      </c>
      <c r="L6" s="401">
        <v>7000</v>
      </c>
      <c r="M6" s="401">
        <v>4500</v>
      </c>
      <c r="N6" s="401">
        <v>16700</v>
      </c>
      <c r="O6" s="401">
        <v>5900</v>
      </c>
    </row>
    <row r="7" spans="1:15" ht="18.75" customHeight="1">
      <c r="A7" s="30">
        <v>1</v>
      </c>
      <c r="B7" s="98" t="s">
        <v>17</v>
      </c>
      <c r="C7" s="385">
        <f t="shared" si="2"/>
        <v>213000</v>
      </c>
      <c r="D7" s="385">
        <f>'Chi NSH'!P17</f>
        <v>14000</v>
      </c>
      <c r="E7" s="385">
        <f>'Chi NSH'!X17</f>
        <v>14000</v>
      </c>
      <c r="F7" s="385">
        <f>'Chi NSH'!AF17</f>
        <v>14500</v>
      </c>
      <c r="G7" s="385">
        <f>'Chi NSH'!AN17</f>
        <v>14000</v>
      </c>
      <c r="H7" s="385">
        <f>'Chi NSH'!AV17</f>
        <v>14500</v>
      </c>
      <c r="I7" s="385">
        <f>'Chi NSH'!BD17</f>
        <v>15000</v>
      </c>
      <c r="J7" s="385">
        <f>'Chi NSH'!BL17</f>
        <v>16000</v>
      </c>
      <c r="K7" s="385">
        <f>'Chi NSH'!BT17</f>
        <v>13500</v>
      </c>
      <c r="L7" s="385">
        <f>'Chi NSH'!CB17</f>
        <v>17000</v>
      </c>
      <c r="M7" s="385">
        <f>'Chi NSH'!CJ17</f>
        <v>16500</v>
      </c>
      <c r="N7" s="385">
        <f>'Chi NSH'!CR17</f>
        <v>48000</v>
      </c>
      <c r="O7" s="385">
        <f>'Chi NSH'!CZ17</f>
        <v>16000</v>
      </c>
    </row>
    <row r="8" spans="1:15" ht="18.75" customHeight="1">
      <c r="A8" s="30">
        <v>2</v>
      </c>
      <c r="B8" s="98" t="s">
        <v>18</v>
      </c>
      <c r="C8" s="385">
        <f t="shared" si="2"/>
        <v>250000</v>
      </c>
      <c r="D8" s="385">
        <f>'Chi NSH'!P18</f>
        <v>5000</v>
      </c>
      <c r="E8" s="385">
        <f>'Chi NSH'!X18</f>
        <v>40000</v>
      </c>
      <c r="F8" s="385">
        <f>'Chi NSH'!AF18</f>
        <v>5000</v>
      </c>
      <c r="G8" s="385">
        <f>'Chi NSH'!AN18</f>
        <v>9000</v>
      </c>
      <c r="H8" s="385">
        <f>'Chi NSH'!AV18</f>
        <v>14000</v>
      </c>
      <c r="I8" s="385">
        <f>'Chi NSH'!BD18</f>
        <v>30000</v>
      </c>
      <c r="J8" s="385">
        <f>'Chi NSH'!BL18</f>
        <v>30000</v>
      </c>
      <c r="K8" s="385">
        <f>'Chi NSH'!BT18</f>
        <v>35000</v>
      </c>
      <c r="L8" s="385">
        <f>'Chi NSH'!CB18</f>
        <v>20000</v>
      </c>
      <c r="M8" s="385">
        <f>'Chi NSH'!CJ18</f>
        <v>7000</v>
      </c>
      <c r="N8" s="385">
        <f>'Chi NSH'!CR18</f>
        <v>40000</v>
      </c>
      <c r="O8" s="385">
        <f>'Chi NSH'!CZ18</f>
        <v>15000</v>
      </c>
    </row>
    <row r="9" spans="1:15" ht="18.75" hidden="1" customHeight="1">
      <c r="A9" s="30"/>
      <c r="B9" s="98"/>
      <c r="C9" s="385">
        <f t="shared" si="2"/>
        <v>0</v>
      </c>
      <c r="D9" s="385"/>
      <c r="E9" s="385"/>
      <c r="F9" s="385"/>
      <c r="G9" s="385"/>
      <c r="H9" s="385"/>
      <c r="I9" s="385"/>
      <c r="J9" s="385"/>
      <c r="K9" s="385"/>
      <c r="L9" s="385"/>
      <c r="M9" s="385"/>
      <c r="N9" s="385"/>
      <c r="O9" s="385"/>
    </row>
    <row r="10" spans="1:15" s="114" customFormat="1" ht="18.75" customHeight="1">
      <c r="A10" s="31" t="s">
        <v>654</v>
      </c>
      <c r="B10" s="97" t="s">
        <v>19</v>
      </c>
      <c r="C10" s="387">
        <f>SUM(D10:O10)</f>
        <v>3658031</v>
      </c>
      <c r="D10" s="387">
        <f>'Chi NSH'!P19-D28</f>
        <v>304855</v>
      </c>
      <c r="E10" s="387">
        <f>'Chi NSH'!X19-E28</f>
        <v>179480</v>
      </c>
      <c r="F10" s="387">
        <f>'Chi NSH'!AF19-F28</f>
        <v>278255</v>
      </c>
      <c r="G10" s="387">
        <f>'Chi NSH'!AN19-G28</f>
        <v>256470</v>
      </c>
      <c r="H10" s="387">
        <f>'Chi NSH'!AV19-H28</f>
        <v>324405</v>
      </c>
      <c r="I10" s="387">
        <f>'Chi NSH'!BD19-I28</f>
        <v>314560</v>
      </c>
      <c r="J10" s="387">
        <f>'Chi NSH'!BL19-J28</f>
        <v>408428</v>
      </c>
      <c r="K10" s="387">
        <f>'Chi NSH'!BT19-K28</f>
        <v>328469</v>
      </c>
      <c r="L10" s="387">
        <f>'Chi NSH'!CB19-L28</f>
        <v>370350</v>
      </c>
      <c r="M10" s="387">
        <f>'Chi NSH'!CJ19-M28</f>
        <v>300714</v>
      </c>
      <c r="N10" s="387">
        <f>'Chi NSH'!CR19-N28</f>
        <v>298445</v>
      </c>
      <c r="O10" s="387">
        <f>'Chi NSH'!CZ19-O28</f>
        <v>293600</v>
      </c>
    </row>
    <row r="11" spans="1:15" s="118" customFormat="1" ht="18.75" customHeight="1">
      <c r="A11" s="357"/>
      <c r="B11" s="358" t="s">
        <v>428</v>
      </c>
      <c r="C11" s="401"/>
      <c r="D11" s="401"/>
      <c r="E11" s="401"/>
      <c r="F11" s="401"/>
      <c r="G11" s="401"/>
      <c r="H11" s="401"/>
      <c r="I11" s="401"/>
      <c r="J11" s="401"/>
      <c r="K11" s="401"/>
      <c r="L11" s="401"/>
      <c r="M11" s="401"/>
      <c r="N11" s="401"/>
      <c r="O11" s="401"/>
    </row>
    <row r="12" spans="1:15" s="114" customFormat="1" ht="18.75" customHeight="1">
      <c r="A12" s="30">
        <v>1</v>
      </c>
      <c r="B12" s="98" t="s">
        <v>20</v>
      </c>
      <c r="C12" s="385">
        <f t="shared" si="2"/>
        <v>1935935</v>
      </c>
      <c r="D12" s="385">
        <f>'Chi NSH'!P20</f>
        <v>177785</v>
      </c>
      <c r="E12" s="385">
        <f>'Chi NSH'!X20</f>
        <v>86590</v>
      </c>
      <c r="F12" s="385">
        <f>'Chi NSH'!AF20</f>
        <v>154950</v>
      </c>
      <c r="G12" s="385">
        <f>'Chi NSH'!AN20</f>
        <v>121585</v>
      </c>
      <c r="H12" s="385">
        <f>'Chi NSH'!AV20</f>
        <v>176880</v>
      </c>
      <c r="I12" s="385">
        <f>'Chi NSH'!BD20</f>
        <v>173090</v>
      </c>
      <c r="J12" s="385">
        <f>'Chi NSH'!BL20</f>
        <v>226930</v>
      </c>
      <c r="K12" s="385">
        <f>'Chi NSH'!BT20</f>
        <v>180920</v>
      </c>
      <c r="L12" s="385">
        <f>'Chi NSH'!CB20</f>
        <v>194090</v>
      </c>
      <c r="M12" s="385">
        <f>'Chi NSH'!CJ20</f>
        <v>171290</v>
      </c>
      <c r="N12" s="385">
        <f>'Chi NSH'!CR20</f>
        <v>124835</v>
      </c>
      <c r="O12" s="385">
        <f>'Chi NSH'!CZ20</f>
        <v>146990</v>
      </c>
    </row>
    <row r="13" spans="1:15" s="114" customFormat="1" ht="18.75" customHeight="1">
      <c r="A13" s="30">
        <v>2</v>
      </c>
      <c r="B13" s="98" t="s">
        <v>21</v>
      </c>
      <c r="C13" s="385">
        <f t="shared" si="2"/>
        <v>2000</v>
      </c>
      <c r="D13" s="385">
        <f>'Chi NSH'!P21</f>
        <v>150</v>
      </c>
      <c r="E13" s="385">
        <f>'Chi NSH'!X21</f>
        <v>130</v>
      </c>
      <c r="F13" s="385">
        <f>'Chi NSH'!AF21</f>
        <v>70</v>
      </c>
      <c r="G13" s="385">
        <f>'Chi NSH'!AN21</f>
        <v>100</v>
      </c>
      <c r="H13" s="385">
        <f>'Chi NSH'!AV21</f>
        <v>100</v>
      </c>
      <c r="I13" s="385">
        <f>'Chi NSH'!BD21</f>
        <v>190</v>
      </c>
      <c r="J13" s="385">
        <f>'Chi NSH'!BL21</f>
        <v>130</v>
      </c>
      <c r="K13" s="385">
        <f>'Chi NSH'!BT21</f>
        <v>70</v>
      </c>
      <c r="L13" s="385">
        <f>'Chi NSH'!CB21</f>
        <v>300</v>
      </c>
      <c r="M13" s="385">
        <f>'Chi NSH'!CJ21</f>
        <v>100</v>
      </c>
      <c r="N13" s="385">
        <f>'Chi NSH'!CR21</f>
        <v>480</v>
      </c>
      <c r="O13" s="385">
        <f>'Chi NSH'!CZ21</f>
        <v>180</v>
      </c>
    </row>
    <row r="14" spans="1:15" s="114" customFormat="1" ht="18.75" customHeight="1">
      <c r="A14" s="30">
        <v>3</v>
      </c>
      <c r="B14" s="98" t="s">
        <v>752</v>
      </c>
      <c r="C14" s="385">
        <f t="shared" si="2"/>
        <v>33033</v>
      </c>
      <c r="D14" s="385">
        <f>'Chi NSH'!P22</f>
        <v>1900</v>
      </c>
      <c r="E14" s="385">
        <f>'Chi NSH'!X22</f>
        <v>1530</v>
      </c>
      <c r="F14" s="385">
        <f>'Chi NSH'!AF22</f>
        <v>1550</v>
      </c>
      <c r="G14" s="385">
        <f>'Chi NSH'!AN22</f>
        <v>1530</v>
      </c>
      <c r="H14" s="385">
        <f>'Chi NSH'!AV22</f>
        <v>1820</v>
      </c>
      <c r="I14" s="385">
        <f>'Chi NSH'!BD22</f>
        <v>3000</v>
      </c>
      <c r="J14" s="385">
        <f>'Chi NSH'!BL22</f>
        <v>3083</v>
      </c>
      <c r="K14" s="385">
        <f>'Chi NSH'!BT22</f>
        <v>2090</v>
      </c>
      <c r="L14" s="385">
        <f>'Chi NSH'!CB22</f>
        <v>4000</v>
      </c>
      <c r="M14" s="385">
        <f>'Chi NSH'!CJ22</f>
        <v>1840</v>
      </c>
      <c r="N14" s="385">
        <f>'Chi NSH'!CR22</f>
        <v>8840</v>
      </c>
      <c r="O14" s="385">
        <f>'Chi NSH'!CZ22</f>
        <v>1850</v>
      </c>
    </row>
    <row r="15" spans="1:15" ht="18.75" hidden="1" customHeight="1">
      <c r="A15" s="321">
        <v>4</v>
      </c>
      <c r="B15" s="322" t="s">
        <v>817</v>
      </c>
      <c r="C15" s="402"/>
      <c r="D15" s="402"/>
      <c r="E15" s="402"/>
      <c r="F15" s="402"/>
      <c r="G15" s="402"/>
      <c r="H15" s="402"/>
      <c r="I15" s="402"/>
      <c r="J15" s="402"/>
      <c r="K15" s="402"/>
      <c r="L15" s="402"/>
      <c r="M15" s="402"/>
      <c r="N15" s="402"/>
      <c r="O15" s="402"/>
    </row>
    <row r="16" spans="1:15" ht="18.75" hidden="1" customHeight="1">
      <c r="A16" s="321">
        <v>5</v>
      </c>
      <c r="B16" s="322" t="s">
        <v>22</v>
      </c>
      <c r="C16" s="402"/>
      <c r="D16" s="402"/>
      <c r="E16" s="402"/>
      <c r="F16" s="402"/>
      <c r="G16" s="402"/>
      <c r="H16" s="402"/>
      <c r="I16" s="402"/>
      <c r="J16" s="402"/>
      <c r="K16" s="402"/>
      <c r="L16" s="402"/>
      <c r="M16" s="402"/>
      <c r="N16" s="402"/>
      <c r="O16" s="402"/>
    </row>
    <row r="17" spans="1:15" ht="18.75" hidden="1" customHeight="1">
      <c r="A17" s="321">
        <v>6</v>
      </c>
      <c r="B17" s="322" t="s">
        <v>23</v>
      </c>
      <c r="C17" s="402"/>
      <c r="D17" s="402"/>
      <c r="E17" s="402"/>
      <c r="F17" s="402"/>
      <c r="G17" s="402"/>
      <c r="H17" s="402"/>
      <c r="I17" s="402"/>
      <c r="J17" s="402"/>
      <c r="K17" s="402"/>
      <c r="L17" s="402"/>
      <c r="M17" s="402"/>
      <c r="N17" s="402"/>
      <c r="O17" s="402"/>
    </row>
    <row r="18" spans="1:15" ht="18.75" hidden="1" customHeight="1">
      <c r="A18" s="321">
        <v>7</v>
      </c>
      <c r="B18" s="322" t="s">
        <v>24</v>
      </c>
      <c r="C18" s="402"/>
      <c r="D18" s="402"/>
      <c r="E18" s="402"/>
      <c r="F18" s="402"/>
      <c r="G18" s="402"/>
      <c r="H18" s="402"/>
      <c r="I18" s="402"/>
      <c r="J18" s="402"/>
      <c r="K18" s="402"/>
      <c r="L18" s="402"/>
      <c r="M18" s="402"/>
      <c r="N18" s="402"/>
      <c r="O18" s="402"/>
    </row>
    <row r="19" spans="1:15" ht="18.75" hidden="1" customHeight="1">
      <c r="A19" s="321">
        <v>8</v>
      </c>
      <c r="B19" s="322" t="s">
        <v>25</v>
      </c>
      <c r="C19" s="402"/>
      <c r="D19" s="402"/>
      <c r="E19" s="402"/>
      <c r="F19" s="402"/>
      <c r="G19" s="402"/>
      <c r="H19" s="402"/>
      <c r="I19" s="402"/>
      <c r="J19" s="402"/>
      <c r="K19" s="402"/>
      <c r="L19" s="402"/>
      <c r="M19" s="402"/>
      <c r="N19" s="402"/>
      <c r="O19" s="402"/>
    </row>
    <row r="20" spans="1:15" ht="18.75" hidden="1" customHeight="1">
      <c r="A20" s="321">
        <v>9</v>
      </c>
      <c r="B20" s="322" t="s">
        <v>26</v>
      </c>
      <c r="C20" s="402"/>
      <c r="D20" s="402"/>
      <c r="E20" s="402"/>
      <c r="F20" s="402"/>
      <c r="G20" s="402"/>
      <c r="H20" s="402"/>
      <c r="I20" s="402"/>
      <c r="J20" s="402"/>
      <c r="K20" s="402"/>
      <c r="L20" s="402"/>
      <c r="M20" s="402"/>
      <c r="N20" s="402"/>
      <c r="O20" s="402"/>
    </row>
    <row r="21" spans="1:15" ht="18.75" hidden="1" customHeight="1">
      <c r="A21" s="321">
        <v>10</v>
      </c>
      <c r="B21" s="322" t="s">
        <v>27</v>
      </c>
      <c r="C21" s="402"/>
      <c r="D21" s="402"/>
      <c r="E21" s="402"/>
      <c r="F21" s="402"/>
      <c r="G21" s="402"/>
      <c r="H21" s="402"/>
      <c r="I21" s="402"/>
      <c r="J21" s="402"/>
      <c r="K21" s="402"/>
      <c r="L21" s="402"/>
      <c r="M21" s="402"/>
      <c r="N21" s="402"/>
      <c r="O21" s="402"/>
    </row>
    <row r="22" spans="1:15" ht="18.75" hidden="1" customHeight="1">
      <c r="A22" s="321">
        <v>11</v>
      </c>
      <c r="B22" s="322" t="s">
        <v>28</v>
      </c>
      <c r="C22" s="402"/>
      <c r="D22" s="402"/>
      <c r="E22" s="402"/>
      <c r="F22" s="402"/>
      <c r="G22" s="402"/>
      <c r="H22" s="402"/>
      <c r="I22" s="402"/>
      <c r="J22" s="402"/>
      <c r="K22" s="402"/>
      <c r="L22" s="402"/>
      <c r="M22" s="402"/>
      <c r="N22" s="402"/>
      <c r="O22" s="402"/>
    </row>
    <row r="23" spans="1:15" s="114" customFormat="1" ht="18.75" customHeight="1">
      <c r="A23" s="31" t="s">
        <v>685</v>
      </c>
      <c r="B23" s="97" t="s">
        <v>726</v>
      </c>
      <c r="C23" s="387">
        <f t="shared" ref="C23:C30" si="3">SUM(D23:O23)</f>
        <v>56490</v>
      </c>
      <c r="D23" s="387">
        <f>'Chi NSH'!P24</f>
        <v>5000</v>
      </c>
      <c r="E23" s="387">
        <f>'Chi NSH'!X24</f>
        <v>3200</v>
      </c>
      <c r="F23" s="387">
        <f>'Chi NSH'!AF24</f>
        <v>4400</v>
      </c>
      <c r="G23" s="387">
        <f>'Chi NSH'!AN24</f>
        <v>4000</v>
      </c>
      <c r="H23" s="387">
        <f>'Chi NSH'!AV24</f>
        <v>5330</v>
      </c>
      <c r="I23" s="387">
        <f>'Chi NSH'!BD24</f>
        <v>3230</v>
      </c>
      <c r="J23" s="387">
        <f>'Chi NSH'!BL24</f>
        <v>6300</v>
      </c>
      <c r="K23" s="387">
        <f>'Chi NSH'!BT24</f>
        <v>5200</v>
      </c>
      <c r="L23" s="387">
        <f>'Chi NSH'!CB24</f>
        <v>4830</v>
      </c>
      <c r="M23" s="387">
        <f>'Chi NSH'!CJ24</f>
        <v>5000</v>
      </c>
      <c r="N23" s="387">
        <f>'Chi NSH'!CR24</f>
        <v>5000</v>
      </c>
      <c r="O23" s="387">
        <f>'Chi NSH'!CZ24</f>
        <v>5000</v>
      </c>
    </row>
    <row r="24" spans="1:15" s="114" customFormat="1" ht="18.75" hidden="1" customHeight="1">
      <c r="A24" s="31" t="s">
        <v>686</v>
      </c>
      <c r="B24" s="97" t="s">
        <v>787</v>
      </c>
      <c r="C24" s="387">
        <f t="shared" si="3"/>
        <v>0</v>
      </c>
      <c r="D24" s="387">
        <f>'Chi NSH'!P25</f>
        <v>0</v>
      </c>
      <c r="E24" s="387">
        <f>'Chi NSH'!X25</f>
        <v>0</v>
      </c>
      <c r="F24" s="387">
        <f>'Chi NSH'!AF25</f>
        <v>0</v>
      </c>
      <c r="G24" s="387">
        <f>'Chi NSH'!AN25</f>
        <v>0</v>
      </c>
      <c r="H24" s="387">
        <f>'Chi NSH'!AV25</f>
        <v>0</v>
      </c>
      <c r="I24" s="387">
        <f>'Chi NSH'!BD25</f>
        <v>0</v>
      </c>
      <c r="J24" s="387">
        <f>'Chi NSH'!BL25</f>
        <v>0</v>
      </c>
      <c r="K24" s="387">
        <f>'Chi NSH'!BT25</f>
        <v>0</v>
      </c>
      <c r="L24" s="387">
        <f>'Chi NSH'!CB25</f>
        <v>0</v>
      </c>
      <c r="M24" s="387">
        <f>'Chi NSH'!CJ25</f>
        <v>0</v>
      </c>
      <c r="N24" s="387">
        <f>'Chi NSH'!CR25</f>
        <v>0</v>
      </c>
      <c r="O24" s="387">
        <f>'Chi NSH'!CZ25</f>
        <v>0</v>
      </c>
    </row>
    <row r="25" spans="1:15" s="114" customFormat="1" ht="18.75" customHeight="1">
      <c r="A25" s="413" t="s">
        <v>686</v>
      </c>
      <c r="B25" s="97" t="s">
        <v>29</v>
      </c>
      <c r="C25" s="387">
        <f t="shared" si="3"/>
        <v>177690</v>
      </c>
      <c r="D25" s="387">
        <f>ROUND(SUM(D26:D30),0)</f>
        <v>4000</v>
      </c>
      <c r="E25" s="387">
        <f t="shared" ref="E25:O25" si="4">ROUND(SUM(E26:E30),0)</f>
        <v>19900</v>
      </c>
      <c r="F25" s="387">
        <f t="shared" si="4"/>
        <v>7800</v>
      </c>
      <c r="G25" s="387">
        <f t="shared" si="4"/>
        <v>21890</v>
      </c>
      <c r="H25" s="387">
        <f t="shared" si="4"/>
        <v>6500</v>
      </c>
      <c r="I25" s="387">
        <f t="shared" si="4"/>
        <v>7200</v>
      </c>
      <c r="J25" s="387">
        <f t="shared" si="4"/>
        <v>24800</v>
      </c>
      <c r="K25" s="387">
        <f t="shared" si="4"/>
        <v>10800</v>
      </c>
      <c r="L25" s="387">
        <f t="shared" si="4"/>
        <v>19000</v>
      </c>
      <c r="M25" s="387">
        <f t="shared" si="4"/>
        <v>26300</v>
      </c>
      <c r="N25" s="387">
        <f t="shared" si="4"/>
        <v>2500</v>
      </c>
      <c r="O25" s="387">
        <f t="shared" si="4"/>
        <v>27000</v>
      </c>
    </row>
    <row r="26" spans="1:15" ht="18.75" hidden="1" customHeight="1">
      <c r="A26" s="119" t="s">
        <v>847</v>
      </c>
      <c r="B26" s="98" t="s">
        <v>43</v>
      </c>
      <c r="C26" s="385">
        <f t="shared" si="3"/>
        <v>0</v>
      </c>
      <c r="D26" s="385">
        <f>'Phụ lục số 5'!F29</f>
        <v>0</v>
      </c>
      <c r="E26" s="385">
        <f>'Phụ lục số 5'!I29</f>
        <v>0</v>
      </c>
      <c r="F26" s="385">
        <f>'Phụ lục số 5'!L29</f>
        <v>0</v>
      </c>
      <c r="G26" s="385">
        <f>'Phụ lục số 5'!O29</f>
        <v>0</v>
      </c>
      <c r="H26" s="385">
        <f>'Phụ lục số 5'!R29</f>
        <v>0</v>
      </c>
      <c r="I26" s="385">
        <f>'Phụ lục số 5'!U29</f>
        <v>0</v>
      </c>
      <c r="J26" s="385">
        <f>'Phụ lục số 5'!X29</f>
        <v>0</v>
      </c>
      <c r="K26" s="385">
        <f>'Phụ lục số 5'!AA29</f>
        <v>0</v>
      </c>
      <c r="L26" s="385">
        <f>'Phụ lục số 5'!AD29</f>
        <v>0</v>
      </c>
      <c r="M26" s="385">
        <f>'Phụ lục số 5'!AG29</f>
        <v>0</v>
      </c>
      <c r="N26" s="385">
        <f>'Phụ lục số 5'!AJ29</f>
        <v>0</v>
      </c>
      <c r="O26" s="385">
        <f>'Phụ lục số 5'!AM29</f>
        <v>0</v>
      </c>
    </row>
    <row r="27" spans="1:15" ht="18.75" customHeight="1">
      <c r="A27" s="514" t="s">
        <v>847</v>
      </c>
      <c r="B27" s="515" t="s">
        <v>44</v>
      </c>
      <c r="C27" s="516">
        <f t="shared" si="3"/>
        <v>177690</v>
      </c>
      <c r="D27" s="516">
        <f>'Phụ lục số 5'!F30</f>
        <v>4000</v>
      </c>
      <c r="E27" s="516">
        <f>'Phụ lục số 5'!I30</f>
        <v>19900</v>
      </c>
      <c r="F27" s="516">
        <f>'Phụ lục số 5'!L30</f>
        <v>7800</v>
      </c>
      <c r="G27" s="516">
        <f>'Phụ lục số 5'!O30</f>
        <v>21890</v>
      </c>
      <c r="H27" s="516">
        <f>'Phụ lục số 5'!R30</f>
        <v>6500</v>
      </c>
      <c r="I27" s="516">
        <f>'Phụ lục số 5'!U30</f>
        <v>7200</v>
      </c>
      <c r="J27" s="516">
        <f>'Phụ lục số 5'!X30</f>
        <v>24800</v>
      </c>
      <c r="K27" s="516">
        <f>'Phụ lục số 5'!AA30</f>
        <v>10800</v>
      </c>
      <c r="L27" s="516">
        <f>'Phụ lục số 5'!AD30</f>
        <v>19000</v>
      </c>
      <c r="M27" s="516">
        <f>'Phụ lục số 5'!AG30</f>
        <v>26300</v>
      </c>
      <c r="N27" s="516">
        <f>'Phụ lục số 5'!AJ30</f>
        <v>2500</v>
      </c>
      <c r="O27" s="516">
        <f>'Phụ lục số 5'!AM30</f>
        <v>27000</v>
      </c>
    </row>
    <row r="28" spans="1:15" ht="18.75" hidden="1" customHeight="1">
      <c r="A28" s="512" t="s">
        <v>847</v>
      </c>
      <c r="B28" s="513" t="s">
        <v>292</v>
      </c>
      <c r="C28" s="513">
        <f t="shared" si="3"/>
        <v>0</v>
      </c>
      <c r="D28" s="513"/>
      <c r="E28" s="513"/>
      <c r="F28" s="513"/>
      <c r="G28" s="513"/>
      <c r="H28" s="513"/>
      <c r="I28" s="513"/>
      <c r="J28" s="513"/>
      <c r="K28" s="513"/>
      <c r="L28" s="513"/>
      <c r="M28" s="513"/>
      <c r="N28" s="513"/>
      <c r="O28" s="513"/>
    </row>
    <row r="29" spans="1:15" s="439" customFormat="1" ht="18.75" hidden="1" customHeight="1">
      <c r="A29" s="440" t="s">
        <v>847</v>
      </c>
      <c r="B29" s="441" t="s">
        <v>595</v>
      </c>
      <c r="C29" s="322">
        <f t="shared" si="3"/>
        <v>0</v>
      </c>
      <c r="D29" s="441"/>
      <c r="E29" s="441"/>
      <c r="F29" s="441"/>
      <c r="G29" s="441"/>
      <c r="H29" s="441"/>
      <c r="I29" s="441"/>
      <c r="J29" s="441"/>
      <c r="K29" s="441"/>
      <c r="L29" s="441"/>
      <c r="M29" s="441"/>
      <c r="N29" s="441"/>
      <c r="O29" s="441"/>
    </row>
    <row r="30" spans="1:15" s="439" customFormat="1" ht="18.75" hidden="1" customHeight="1">
      <c r="A30" s="442"/>
      <c r="B30" s="443" t="s">
        <v>393</v>
      </c>
      <c r="C30" s="443">
        <f t="shared" si="3"/>
        <v>0</v>
      </c>
      <c r="D30" s="443">
        <f>'Phụ lục số 5'!F31</f>
        <v>0</v>
      </c>
      <c r="E30" s="443">
        <f>'Phụ lục số 5'!I31</f>
        <v>0</v>
      </c>
      <c r="F30" s="443">
        <f>'Phụ lục số 5'!L31</f>
        <v>0</v>
      </c>
      <c r="G30" s="443">
        <f>'Phụ lục số 5'!O31</f>
        <v>0</v>
      </c>
      <c r="H30" s="443">
        <f>'Phụ lục số 5'!R31</f>
        <v>0</v>
      </c>
      <c r="I30" s="443">
        <f>'Phụ lục số 5'!U31</f>
        <v>0</v>
      </c>
      <c r="J30" s="443">
        <f>'Phụ lục số 5'!X31</f>
        <v>0</v>
      </c>
      <c r="K30" s="443">
        <f>'Phụ lục số 5'!AA31</f>
        <v>0</v>
      </c>
      <c r="L30" s="443">
        <f>'Phụ lục số 5'!AD31</f>
        <v>0</v>
      </c>
      <c r="M30" s="443">
        <f>'Phụ lục số 5'!AG31</f>
        <v>0</v>
      </c>
      <c r="N30" s="443">
        <f>'Phụ lục số 5'!AJ31</f>
        <v>0</v>
      </c>
      <c r="O30" s="443">
        <f>'Phụ lục số 5'!AM31</f>
        <v>0</v>
      </c>
    </row>
    <row r="31" spans="1:15" ht="18.75" customHeight="1">
      <c r="C31" s="5">
        <f>SUM(D31:O31)</f>
        <v>88000</v>
      </c>
      <c r="D31" s="5">
        <f>ROUND(D5*$E$32/100,-2)</f>
        <v>3600</v>
      </c>
      <c r="E31" s="5">
        <f t="shared" ref="E31:O31" si="5">ROUND(E5*$E$32/100,-2)</f>
        <v>10300</v>
      </c>
      <c r="F31" s="5">
        <f t="shared" si="5"/>
        <v>3700</v>
      </c>
      <c r="G31" s="5">
        <f t="shared" si="5"/>
        <v>4400</v>
      </c>
      <c r="H31" s="5">
        <f t="shared" si="5"/>
        <v>5400</v>
      </c>
      <c r="I31" s="5">
        <f t="shared" si="5"/>
        <v>8600</v>
      </c>
      <c r="J31" s="5">
        <f t="shared" si="5"/>
        <v>8700</v>
      </c>
      <c r="K31" s="5">
        <f t="shared" si="5"/>
        <v>9200</v>
      </c>
      <c r="L31" s="5">
        <f t="shared" si="5"/>
        <v>7000</v>
      </c>
      <c r="M31" s="5">
        <f t="shared" si="5"/>
        <v>4500</v>
      </c>
      <c r="N31" s="5">
        <f t="shared" si="5"/>
        <v>16700</v>
      </c>
      <c r="O31" s="5">
        <f t="shared" si="5"/>
        <v>5900</v>
      </c>
    </row>
    <row r="32" spans="1:15" ht="18.75" customHeight="1">
      <c r="D32" s="5">
        <v>88000</v>
      </c>
      <c r="E32" s="5">
        <f>+D32/D34%</f>
        <v>19.00647948164147</v>
      </c>
    </row>
    <row r="33" spans="3:4" ht="18.75" customHeight="1">
      <c r="C33" s="5">
        <f>C4-'Phụ lục số 2'!O11</f>
        <v>0</v>
      </c>
      <c r="D33" s="5">
        <v>45000</v>
      </c>
    </row>
    <row r="34" spans="3:4" ht="18.75" customHeight="1">
      <c r="D34" s="5">
        <v>463000</v>
      </c>
    </row>
    <row r="36" spans="3:4" ht="18.75" customHeight="1">
      <c r="D36" s="60"/>
    </row>
  </sheetData>
  <mergeCells count="2">
    <mergeCell ref="A1:O1"/>
    <mergeCell ref="M2:O2"/>
  </mergeCells>
  <phoneticPr fontId="2" type="noConversion"/>
  <printOptions horizontalCentered="1"/>
  <pageMargins left="0" right="0" top="0.39370078740157483" bottom="0.39370078740157483" header="0.19685039370078741" footer="0.19685039370078741"/>
  <pageSetup paperSize="9" orientation="landscape" r:id="rId1"/>
  <headerFooter alignWithMargins="0">
    <oddHeader>&amp;R&amp;A</oddHeader>
  </headerFooter>
  <ignoredErrors>
    <ignoredError sqref="C23 C5:O5 E9:O9 D9 C7:C9" evalError="1"/>
  </ignoredErrors>
  <legacyDrawing r:id="rId2"/>
</worksheet>
</file>

<file path=xl/worksheets/sheet8.xml><?xml version="1.0" encoding="utf-8"?>
<worksheet xmlns="http://schemas.openxmlformats.org/spreadsheetml/2006/main" xmlns:r="http://schemas.openxmlformats.org/officeDocument/2006/relationships">
  <sheetPr codeName="Sheet8">
    <tabColor rgb="FFFF0000"/>
    <pageSetUpPr fitToPage="1"/>
  </sheetPr>
  <dimension ref="A1:Q20"/>
  <sheetViews>
    <sheetView zoomScale="98" zoomScaleNormal="98" workbookViewId="0">
      <pane xSplit="4" ySplit="7" topLeftCell="E17"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75" style="3" customWidth="1"/>
    <col min="2" max="2" width="12.25" style="61" customWidth="1"/>
    <col min="3" max="17" width="9.125" style="61" customWidth="1"/>
    <col min="18" max="16384" width="9" style="61"/>
  </cols>
  <sheetData>
    <row r="1" spans="1:17">
      <c r="A1" s="697" t="s">
        <v>878</v>
      </c>
      <c r="B1" s="697"/>
      <c r="C1" s="697"/>
      <c r="D1" s="697"/>
      <c r="E1" s="697"/>
      <c r="F1" s="697"/>
      <c r="G1" s="697"/>
      <c r="H1" s="697"/>
      <c r="I1" s="697"/>
      <c r="J1" s="697"/>
      <c r="K1" s="697"/>
      <c r="L1" s="697"/>
      <c r="M1" s="697"/>
      <c r="N1" s="697"/>
      <c r="O1" s="697"/>
      <c r="P1" s="697"/>
      <c r="Q1" s="697"/>
    </row>
    <row r="2" spans="1:17" ht="17.25" customHeight="1">
      <c r="Q2" s="105" t="s">
        <v>828</v>
      </c>
    </row>
    <row r="3" spans="1:17" s="19" customFormat="1" ht="16.5" customHeight="1">
      <c r="A3" s="705" t="s">
        <v>769</v>
      </c>
      <c r="B3" s="705" t="s">
        <v>30</v>
      </c>
      <c r="C3" s="705" t="s">
        <v>879</v>
      </c>
      <c r="D3" s="702" t="s">
        <v>70</v>
      </c>
      <c r="E3" s="703"/>
      <c r="F3" s="703"/>
      <c r="G3" s="703"/>
      <c r="H3" s="703"/>
      <c r="I3" s="703"/>
      <c r="J3" s="703"/>
      <c r="K3" s="703"/>
      <c r="L3" s="703"/>
      <c r="M3" s="703"/>
      <c r="N3" s="703"/>
      <c r="O3" s="703"/>
      <c r="P3" s="704"/>
      <c r="Q3" s="705" t="s">
        <v>31</v>
      </c>
    </row>
    <row r="4" spans="1:17" s="19" customFormat="1">
      <c r="A4" s="705"/>
      <c r="B4" s="705"/>
      <c r="C4" s="705"/>
      <c r="D4" s="705" t="s">
        <v>32</v>
      </c>
      <c r="E4" s="705" t="s">
        <v>33</v>
      </c>
      <c r="F4" s="708" t="s">
        <v>35</v>
      </c>
      <c r="G4" s="709"/>
      <c r="H4" s="677" t="s">
        <v>930</v>
      </c>
      <c r="I4" s="705" t="s">
        <v>34</v>
      </c>
      <c r="J4" s="702" t="s">
        <v>35</v>
      </c>
      <c r="K4" s="703"/>
      <c r="L4" s="703"/>
      <c r="M4" s="703"/>
      <c r="N4" s="703"/>
      <c r="O4" s="703"/>
      <c r="P4" s="704"/>
      <c r="Q4" s="705"/>
    </row>
    <row r="5" spans="1:17" s="19" customFormat="1">
      <c r="A5" s="705"/>
      <c r="B5" s="705"/>
      <c r="C5" s="705"/>
      <c r="D5" s="705"/>
      <c r="E5" s="705"/>
      <c r="F5" s="710"/>
      <c r="G5" s="711"/>
      <c r="H5" s="712"/>
      <c r="I5" s="705"/>
      <c r="J5" s="705" t="s">
        <v>808</v>
      </c>
      <c r="K5" s="705" t="s">
        <v>36</v>
      </c>
      <c r="L5" s="702" t="s">
        <v>35</v>
      </c>
      <c r="M5" s="703"/>
      <c r="N5" s="703"/>
      <c r="O5" s="703"/>
      <c r="P5" s="704"/>
      <c r="Q5" s="705"/>
    </row>
    <row r="6" spans="1:17" s="19" customFormat="1" ht="159.75" customHeight="1">
      <c r="A6" s="705"/>
      <c r="B6" s="705"/>
      <c r="C6" s="705"/>
      <c r="D6" s="705"/>
      <c r="E6" s="705"/>
      <c r="F6" s="50" t="s">
        <v>433</v>
      </c>
      <c r="G6" s="409" t="s">
        <v>434</v>
      </c>
      <c r="H6" s="666"/>
      <c r="I6" s="705"/>
      <c r="J6" s="705"/>
      <c r="K6" s="705"/>
      <c r="L6" s="50" t="s">
        <v>956</v>
      </c>
      <c r="M6" s="50" t="s">
        <v>539</v>
      </c>
      <c r="N6" s="417" t="s">
        <v>907</v>
      </c>
      <c r="O6" s="417" t="s">
        <v>929</v>
      </c>
      <c r="P6" s="50" t="s">
        <v>558</v>
      </c>
      <c r="Q6" s="705"/>
    </row>
    <row r="7" spans="1:17" s="19" customFormat="1">
      <c r="A7" s="148">
        <v>1</v>
      </c>
      <c r="B7" s="148">
        <v>2</v>
      </c>
      <c r="C7" s="148">
        <v>3</v>
      </c>
      <c r="D7" s="149" t="s">
        <v>556</v>
      </c>
      <c r="E7" s="148" t="s">
        <v>435</v>
      </c>
      <c r="F7" s="148">
        <v>6</v>
      </c>
      <c r="G7" s="148">
        <v>7</v>
      </c>
      <c r="H7" s="148">
        <v>8</v>
      </c>
      <c r="I7" s="149" t="s">
        <v>557</v>
      </c>
      <c r="J7" s="148">
        <v>10</v>
      </c>
      <c r="K7" s="149" t="s">
        <v>931</v>
      </c>
      <c r="L7" s="148">
        <v>12</v>
      </c>
      <c r="M7" s="149">
        <v>13</v>
      </c>
      <c r="N7" s="148">
        <v>14</v>
      </c>
      <c r="O7" s="148">
        <v>15</v>
      </c>
      <c r="P7" s="149">
        <v>16</v>
      </c>
      <c r="Q7" s="148">
        <v>17</v>
      </c>
    </row>
    <row r="8" spans="1:17" ht="24.95" customHeight="1">
      <c r="A8" s="267">
        <v>1</v>
      </c>
      <c r="B8" s="257" t="s">
        <v>37</v>
      </c>
      <c r="C8" s="258">
        <f>'Phụ lục số 5'!F5</f>
        <v>33210</v>
      </c>
      <c r="D8" s="259">
        <f>SUM(E8,I8,H8)</f>
        <v>332855</v>
      </c>
      <c r="E8" s="258">
        <f>'Phụ lục số 5'!H5</f>
        <v>30890</v>
      </c>
      <c r="F8" s="258">
        <f>E8-G8</f>
        <v>24940</v>
      </c>
      <c r="G8" s="258">
        <f>'Phụ lục số 5'!H7+'Phụ lục số 5'!H8</f>
        <v>5950</v>
      </c>
      <c r="H8" s="258">
        <f>'Chi NSH'!P14</f>
        <v>4110</v>
      </c>
      <c r="I8" s="258">
        <f>SUM(J8:K8)</f>
        <v>297855</v>
      </c>
      <c r="J8" s="259">
        <f>'Phụ lục số 5'!H23</f>
        <v>138230</v>
      </c>
      <c r="K8" s="420">
        <f>SUM(L8:P8)</f>
        <v>159625</v>
      </c>
      <c r="L8" s="258">
        <f>'Phụ lục số 5'!F25</f>
        <v>21210</v>
      </c>
      <c r="M8" s="258">
        <f>'Phụ lục số 5'!F26</f>
        <v>27955</v>
      </c>
      <c r="N8" s="258">
        <f>'Phụ lục số 5'!F27</f>
        <v>96930</v>
      </c>
      <c r="O8" s="258">
        <f>'Phụ lục số 5'!F28</f>
        <v>9530</v>
      </c>
      <c r="P8" s="258">
        <f>'Phụ lục số 5'!F29+'Phụ lục số 5'!F30+'Phụ lục số 5'!F31</f>
        <v>4000</v>
      </c>
      <c r="Q8" s="259">
        <f>'Phụ lục số 6'!D4</f>
        <v>332855</v>
      </c>
    </row>
    <row r="9" spans="1:17" ht="24.95" customHeight="1">
      <c r="A9" s="184">
        <v>2</v>
      </c>
      <c r="B9" s="260" t="s">
        <v>4</v>
      </c>
      <c r="C9" s="261">
        <f>'Phụ lục số 5'!I5</f>
        <v>78750</v>
      </c>
      <c r="D9" s="262">
        <f t="shared" ref="D9:D19" si="0">SUM(E9,I9,H9)</f>
        <v>256580</v>
      </c>
      <c r="E9" s="261">
        <f>'Phụ lục số 5'!K5</f>
        <v>74300</v>
      </c>
      <c r="F9" s="261">
        <f t="shared" ref="F9:F19" si="1">E9-G9</f>
        <v>53800</v>
      </c>
      <c r="G9" s="261">
        <f>'Phụ lục số 5'!K7+'Phụ lục số 5'!K8</f>
        <v>20500</v>
      </c>
      <c r="H9" s="261">
        <f>'Chi NSH'!X14</f>
        <v>0</v>
      </c>
      <c r="I9" s="261">
        <f t="shared" ref="I9:I19" si="2">SUM(J9:K9)</f>
        <v>182280</v>
      </c>
      <c r="J9" s="262">
        <f>'Phụ lục số 5'!K23</f>
        <v>72140</v>
      </c>
      <c r="K9" s="261">
        <f t="shared" ref="K9:K19" si="3">SUM(L9:P9)</f>
        <v>110140</v>
      </c>
      <c r="L9" s="261">
        <f>'Phụ lục số 5'!I25</f>
        <v>12580</v>
      </c>
      <c r="M9" s="261">
        <f>'Phụ lục số 5'!I26</f>
        <v>15810</v>
      </c>
      <c r="N9" s="261">
        <f>'Phụ lục số 5'!I27</f>
        <v>56840</v>
      </c>
      <c r="O9" s="261">
        <f>'Phụ lục số 5'!I28</f>
        <v>5010</v>
      </c>
      <c r="P9" s="261">
        <f>'Phụ lục số 5'!I29+'Phụ lục số 5'!I30+'Phụ lục số 5'!I31</f>
        <v>19900</v>
      </c>
      <c r="Q9" s="262">
        <f>'Phụ lục số 6'!E4</f>
        <v>256580</v>
      </c>
    </row>
    <row r="10" spans="1:17" ht="24.95" customHeight="1">
      <c r="A10" s="184">
        <v>3</v>
      </c>
      <c r="B10" s="260" t="s">
        <v>38</v>
      </c>
      <c r="C10" s="261">
        <f>'Phụ lục số 5'!L5</f>
        <v>25490</v>
      </c>
      <c r="D10" s="262">
        <f t="shared" si="0"/>
        <v>309955</v>
      </c>
      <c r="E10" s="261">
        <f>'Phụ lục số 5'!N5</f>
        <v>21850</v>
      </c>
      <c r="F10" s="261">
        <f t="shared" si="1"/>
        <v>15430</v>
      </c>
      <c r="G10" s="261">
        <f>'Phụ lục số 5'!N7+'Phụ lục số 5'!N8</f>
        <v>6420</v>
      </c>
      <c r="H10" s="261">
        <f>'Chi NSH'!AF14</f>
        <v>430</v>
      </c>
      <c r="I10" s="261">
        <f t="shared" si="2"/>
        <v>287675</v>
      </c>
      <c r="J10" s="262">
        <f>'Phụ lục số 5'!N23</f>
        <v>135930</v>
      </c>
      <c r="K10" s="261">
        <f t="shared" si="3"/>
        <v>151745</v>
      </c>
      <c r="L10" s="261">
        <f>'Phụ lục số 5'!L25</f>
        <v>30675</v>
      </c>
      <c r="M10" s="261">
        <f>'Phụ lục số 5'!L26</f>
        <v>21640</v>
      </c>
      <c r="N10" s="261">
        <f>'Phụ lục số 5'!L27</f>
        <v>82130</v>
      </c>
      <c r="O10" s="261">
        <f>'Phụ lục số 5'!L28</f>
        <v>9500</v>
      </c>
      <c r="P10" s="261">
        <f>'Phụ lục số 5'!L29+'Phụ lục số 5'!L30+'Phụ lục số 5'!L31</f>
        <v>7800</v>
      </c>
      <c r="Q10" s="262">
        <f>'Phụ lục số 6'!F4</f>
        <v>309955</v>
      </c>
    </row>
    <row r="11" spans="1:17" ht="24.95" customHeight="1">
      <c r="A11" s="184">
        <v>4</v>
      </c>
      <c r="B11" s="260" t="s">
        <v>8</v>
      </c>
      <c r="C11" s="261">
        <f>'Phụ lục số 5'!O5</f>
        <v>40720</v>
      </c>
      <c r="D11" s="262">
        <f t="shared" si="0"/>
        <v>305360</v>
      </c>
      <c r="E11" s="261">
        <f>'Phụ lục số 5'!Q5</f>
        <v>33590</v>
      </c>
      <c r="F11" s="261">
        <f t="shared" si="1"/>
        <v>23475</v>
      </c>
      <c r="G11" s="261">
        <f>'Phụ lục số 5'!Q7+'Phụ lục số 5'!Q8</f>
        <v>10115</v>
      </c>
      <c r="H11" s="261">
        <f>'Chi NSH'!AN14</f>
        <v>1130</v>
      </c>
      <c r="I11" s="261">
        <f t="shared" si="2"/>
        <v>270640</v>
      </c>
      <c r="J11" s="262">
        <f>'Phụ lục số 5'!Q23</f>
        <v>113580</v>
      </c>
      <c r="K11" s="261">
        <f t="shared" si="3"/>
        <v>157060</v>
      </c>
      <c r="L11" s="261">
        <f>'Phụ lục số 5'!O25</f>
        <v>41660</v>
      </c>
      <c r="M11" s="261">
        <f>'Phụ lục số 5'!O26</f>
        <v>15215</v>
      </c>
      <c r="N11" s="261">
        <f>'Phụ lục số 5'!O27</f>
        <v>71055</v>
      </c>
      <c r="O11" s="261">
        <f>'Phụ lục số 5'!O28</f>
        <v>7240</v>
      </c>
      <c r="P11" s="261">
        <f>'Phụ lục số 5'!O29+'Phụ lục số 5'!O30+'Phụ lục số 5'!O31</f>
        <v>21890</v>
      </c>
      <c r="Q11" s="262">
        <f>'Phụ lục số 6'!G4</f>
        <v>305360</v>
      </c>
    </row>
    <row r="12" spans="1:17" ht="24.95" customHeight="1">
      <c r="A12" s="184">
        <v>5</v>
      </c>
      <c r="B12" s="260" t="s">
        <v>9</v>
      </c>
      <c r="C12" s="261">
        <f>'Phụ lục số 5'!R5</f>
        <v>102980</v>
      </c>
      <c r="D12" s="262">
        <f t="shared" si="0"/>
        <v>364735</v>
      </c>
      <c r="E12" s="261">
        <f>'Phụ lục số 5'!T5</f>
        <v>97290</v>
      </c>
      <c r="F12" s="261">
        <f t="shared" si="1"/>
        <v>44040</v>
      </c>
      <c r="G12" s="261">
        <f>'Phụ lục số 5'!T7+'Phụ lục số 5'!T8</f>
        <v>53250</v>
      </c>
      <c r="H12" s="261">
        <f>'Chi NSH'!AV14</f>
        <v>14870</v>
      </c>
      <c r="I12" s="261">
        <f t="shared" si="2"/>
        <v>252575</v>
      </c>
      <c r="J12" s="262">
        <f>'Phụ lục số 5'!T23</f>
        <v>140800</v>
      </c>
      <c r="K12" s="261">
        <f t="shared" si="3"/>
        <v>111775</v>
      </c>
      <c r="L12" s="261">
        <f>'Phụ lục số 5'!R25</f>
        <v>29650</v>
      </c>
      <c r="M12" s="261">
        <f>'Phụ lục số 5'!R26</f>
        <v>23275</v>
      </c>
      <c r="N12" s="261">
        <f>'Phụ lục số 5'!R27</f>
        <v>52350</v>
      </c>
      <c r="O12" s="261">
        <f>'Phụ lục số 5'!R28</f>
        <v>0</v>
      </c>
      <c r="P12" s="261">
        <f>'Phụ lục số 5'!R29+'Phụ lục số 5'!R30+'Phụ lục số 5'!R31</f>
        <v>6500</v>
      </c>
      <c r="Q12" s="262">
        <f>'Phụ lục số 6'!H4</f>
        <v>364735</v>
      </c>
    </row>
    <row r="13" spans="1:17" ht="24.95" customHeight="1">
      <c r="A13" s="184">
        <v>6</v>
      </c>
      <c r="B13" s="260" t="s">
        <v>10</v>
      </c>
      <c r="C13" s="261">
        <f>'Phụ lục số 5'!U5</f>
        <v>298750</v>
      </c>
      <c r="D13" s="262">
        <f t="shared" si="0"/>
        <v>369990</v>
      </c>
      <c r="E13" s="261">
        <f>'Phụ lục số 5'!W5</f>
        <v>222880</v>
      </c>
      <c r="F13" s="261">
        <f t="shared" si="1"/>
        <v>78500</v>
      </c>
      <c r="G13" s="261">
        <f>'Phụ lục số 5'!W7+'Phụ lục số 5'!W8</f>
        <v>144380</v>
      </c>
      <c r="H13" s="261">
        <f>'Chi NSH'!BD14</f>
        <v>0</v>
      </c>
      <c r="I13" s="261">
        <f t="shared" si="2"/>
        <v>147110</v>
      </c>
      <c r="J13" s="262">
        <f>'Phụ lục số 5'!W23</f>
        <v>0</v>
      </c>
      <c r="K13" s="261">
        <f t="shared" si="3"/>
        <v>147110</v>
      </c>
      <c r="L13" s="261">
        <f>'Phụ lục số 5'!U25</f>
        <v>9650</v>
      </c>
      <c r="M13" s="261">
        <f>'Phụ lục số 5'!U26</f>
        <v>16640</v>
      </c>
      <c r="N13" s="261">
        <f>'Phụ lục số 5'!U27</f>
        <v>96620</v>
      </c>
      <c r="O13" s="261">
        <f>'Phụ lục số 5'!U28</f>
        <v>17000</v>
      </c>
      <c r="P13" s="261">
        <f>'Phụ lục số 5'!U29+'Phụ lục số 5'!U30+'Phụ lục số 5'!U31</f>
        <v>7200</v>
      </c>
      <c r="Q13" s="262">
        <f>'Phụ lục số 6'!I4</f>
        <v>369990</v>
      </c>
    </row>
    <row r="14" spans="1:17" ht="24.95" customHeight="1">
      <c r="A14" s="184">
        <v>7</v>
      </c>
      <c r="B14" s="260" t="s">
        <v>11</v>
      </c>
      <c r="C14" s="261">
        <f>'Phụ lục số 5'!X5</f>
        <v>89100</v>
      </c>
      <c r="D14" s="262">
        <f t="shared" si="0"/>
        <v>485528</v>
      </c>
      <c r="E14" s="261">
        <f>'Phụ lục số 5'!Z5</f>
        <v>81220</v>
      </c>
      <c r="F14" s="261">
        <f t="shared" si="1"/>
        <v>56590</v>
      </c>
      <c r="G14" s="261">
        <f>'Phụ lục số 5'!Z7+'Phụ lục số 5'!Z8</f>
        <v>24630</v>
      </c>
      <c r="H14" s="261">
        <f>'Chi NSH'!BL14</f>
        <v>6250</v>
      </c>
      <c r="I14" s="261">
        <f t="shared" si="2"/>
        <v>398058</v>
      </c>
      <c r="J14" s="262">
        <f>'Phụ lục số 5'!Z23</f>
        <v>181315</v>
      </c>
      <c r="K14" s="261">
        <f t="shared" si="3"/>
        <v>216743</v>
      </c>
      <c r="L14" s="261">
        <f>'Phụ lục số 5'!X25</f>
        <v>43950</v>
      </c>
      <c r="M14" s="261">
        <f>'Phụ lục số 5'!X26</f>
        <v>31153</v>
      </c>
      <c r="N14" s="261">
        <f>'Phụ lục số 5'!X27</f>
        <v>103470</v>
      </c>
      <c r="O14" s="261">
        <f>'Phụ lục số 5'!X28</f>
        <v>13370</v>
      </c>
      <c r="P14" s="261">
        <f>'Phụ lục số 5'!X29+'Phụ lục số 5'!X30+'Phụ lục số 5'!X31</f>
        <v>24800</v>
      </c>
      <c r="Q14" s="262">
        <f>'Phụ lục số 6'!J4</f>
        <v>485528</v>
      </c>
    </row>
    <row r="15" spans="1:17" ht="24.95" customHeight="1">
      <c r="A15" s="184">
        <v>8</v>
      </c>
      <c r="B15" s="260" t="s">
        <v>39</v>
      </c>
      <c r="C15" s="261">
        <f>'Phụ lục số 5'!AA5</f>
        <v>82290</v>
      </c>
      <c r="D15" s="262">
        <f t="shared" si="0"/>
        <v>392969</v>
      </c>
      <c r="E15" s="261">
        <f>'Phụ lục số 5'!AC5</f>
        <v>74500</v>
      </c>
      <c r="F15" s="261">
        <f t="shared" si="1"/>
        <v>55590</v>
      </c>
      <c r="G15" s="261">
        <f>'Phụ lục số 5'!AC7+'Phụ lục số 5'!AC8</f>
        <v>18910</v>
      </c>
      <c r="H15" s="261">
        <f>'Chi NSH'!BT14</f>
        <v>5540</v>
      </c>
      <c r="I15" s="261">
        <f t="shared" si="2"/>
        <v>312929</v>
      </c>
      <c r="J15" s="262">
        <f>'Phụ lục số 5'!AC23</f>
        <v>144865</v>
      </c>
      <c r="K15" s="261">
        <f t="shared" si="3"/>
        <v>168064</v>
      </c>
      <c r="L15" s="261">
        <f>'Phụ lục số 5'!AA25</f>
        <v>47824</v>
      </c>
      <c r="M15" s="261">
        <f>'Phụ lục số 5'!AA26</f>
        <v>13870</v>
      </c>
      <c r="N15" s="261">
        <f>'Phụ lục số 5'!AA27</f>
        <v>83570</v>
      </c>
      <c r="O15" s="261">
        <f>'Phụ lục số 5'!AA28</f>
        <v>12000</v>
      </c>
      <c r="P15" s="261">
        <f>'Phụ lục số 5'!AA29+'Phụ lục số 5'!AA30+'Phụ lục số 5'!AA31</f>
        <v>10800</v>
      </c>
      <c r="Q15" s="262">
        <f>'Phụ lục số 6'!K4</f>
        <v>392969</v>
      </c>
    </row>
    <row r="16" spans="1:17" ht="24.95" customHeight="1">
      <c r="A16" s="184">
        <v>9</v>
      </c>
      <c r="B16" s="260" t="s">
        <v>40</v>
      </c>
      <c r="C16" s="261">
        <f>'Phụ lục số 5'!AD5</f>
        <v>99850</v>
      </c>
      <c r="D16" s="262">
        <f t="shared" si="0"/>
        <v>431180</v>
      </c>
      <c r="E16" s="261">
        <f>'Phụ lục số 5'!AF5</f>
        <v>92870</v>
      </c>
      <c r="F16" s="261">
        <f t="shared" si="1"/>
        <v>45870</v>
      </c>
      <c r="G16" s="261">
        <f>'Phụ lục số 5'!AF7+'Phụ lục số 5'!AF8</f>
        <v>47000</v>
      </c>
      <c r="H16" s="261">
        <f>'Chi NSH'!CB14</f>
        <v>0</v>
      </c>
      <c r="I16" s="261">
        <f t="shared" si="2"/>
        <v>338310</v>
      </c>
      <c r="J16" s="262">
        <f>'Phụ lục số 5'!AF23</f>
        <v>15490</v>
      </c>
      <c r="K16" s="261">
        <f t="shared" si="3"/>
        <v>322820</v>
      </c>
      <c r="L16" s="261">
        <f>'Phụ lục số 5'!AD25</f>
        <v>23850</v>
      </c>
      <c r="M16" s="261">
        <f>'Phụ lục số 5'!AD26</f>
        <v>27740</v>
      </c>
      <c r="N16" s="261">
        <f>'Phụ lục số 5'!AD27</f>
        <v>165500</v>
      </c>
      <c r="O16" s="261">
        <f>'Phụ lục số 5'!AD28</f>
        <v>86730</v>
      </c>
      <c r="P16" s="261">
        <f>'Phụ lục số 5'!AD29+'Phụ lục số 5'!AD30+'Phụ lục số 5'!AD31</f>
        <v>19000</v>
      </c>
      <c r="Q16" s="262">
        <f>'Phụ lục số 6'!L4</f>
        <v>431180</v>
      </c>
    </row>
    <row r="17" spans="1:17" ht="24.95" customHeight="1">
      <c r="A17" s="184">
        <v>10</v>
      </c>
      <c r="B17" s="260" t="s">
        <v>41</v>
      </c>
      <c r="C17" s="261">
        <f>'Phụ lục số 5'!AG5</f>
        <v>76240</v>
      </c>
      <c r="D17" s="262">
        <f>SUM(E17,I17,H17)</f>
        <v>355514</v>
      </c>
      <c r="E17" s="261">
        <f>'Phụ lục số 5'!AI5</f>
        <v>71090</v>
      </c>
      <c r="F17" s="261">
        <f t="shared" si="1"/>
        <v>26850</v>
      </c>
      <c r="G17" s="261">
        <f>'Phụ lục số 5'!AI7+'Phụ lục số 5'!AI8</f>
        <v>44240</v>
      </c>
      <c r="H17" s="261">
        <f>'Chi NSH'!CJ14</f>
        <v>9350</v>
      </c>
      <c r="I17" s="261">
        <f t="shared" si="2"/>
        <v>275074</v>
      </c>
      <c r="J17" s="262">
        <f>'Phụ lục số 5'!AI23</f>
        <v>137020</v>
      </c>
      <c r="K17" s="261">
        <f t="shared" si="3"/>
        <v>138054</v>
      </c>
      <c r="L17" s="261">
        <f>'Phụ lục số 5'!AG25</f>
        <v>23249</v>
      </c>
      <c r="M17" s="261">
        <f>'Phụ lục số 5'!AG26</f>
        <v>18660</v>
      </c>
      <c r="N17" s="261">
        <f>'Phụ lục số 5'!AG27</f>
        <v>65995</v>
      </c>
      <c r="O17" s="261">
        <f>'Phụ lục số 5'!AG28</f>
        <v>3850</v>
      </c>
      <c r="P17" s="261">
        <f>'Phụ lục số 5'!AG29+'Phụ lục số 5'!AG30+'Phụ lục số 5'!AG31</f>
        <v>26300</v>
      </c>
      <c r="Q17" s="262">
        <f>'Phụ lục số 6'!M4</f>
        <v>355514</v>
      </c>
    </row>
    <row r="18" spans="1:17" ht="24.95" customHeight="1">
      <c r="A18" s="184">
        <v>11</v>
      </c>
      <c r="B18" s="260" t="s">
        <v>198</v>
      </c>
      <c r="C18" s="261">
        <f>'Phụ lục số 5'!AJ5</f>
        <v>226950</v>
      </c>
      <c r="D18" s="262">
        <f t="shared" si="0"/>
        <v>393945</v>
      </c>
      <c r="E18" s="261">
        <f>'Phụ lục số 5'!AL5</f>
        <v>157440</v>
      </c>
      <c r="F18" s="261">
        <f t="shared" si="1"/>
        <v>70780</v>
      </c>
      <c r="G18" s="261">
        <f>'Phụ lục số 5'!AL7+'Phụ lục số 5'!AL8</f>
        <v>86660</v>
      </c>
      <c r="H18" s="261">
        <f>'Chi NSH'!CR14</f>
        <v>21940</v>
      </c>
      <c r="I18" s="261">
        <f t="shared" si="2"/>
        <v>214565</v>
      </c>
      <c r="J18" s="262">
        <f>'Phụ lục số 5'!AL23</f>
        <v>0</v>
      </c>
      <c r="K18" s="261">
        <f t="shared" si="3"/>
        <v>214565</v>
      </c>
      <c r="L18" s="261">
        <f>'Phụ lục số 5'!AJ25</f>
        <v>5300</v>
      </c>
      <c r="M18" s="261">
        <f>'Phụ lục số 5'!AJ26</f>
        <v>11865</v>
      </c>
      <c r="N18" s="261">
        <f>'Phụ lục số 5'!AJ27</f>
        <v>113440</v>
      </c>
      <c r="O18" s="261">
        <f>'Phụ lục số 5'!AJ28</f>
        <v>81460</v>
      </c>
      <c r="P18" s="261">
        <f>'Phụ lục số 5'!AJ29+'Phụ lục số 5'!AJ30+'Phụ lục số 5'!AJ31</f>
        <v>2500</v>
      </c>
      <c r="Q18" s="262">
        <f>'Phụ lục số 6'!N4</f>
        <v>393945</v>
      </c>
    </row>
    <row r="19" spans="1:17" ht="24.95" customHeight="1">
      <c r="A19" s="268">
        <v>12</v>
      </c>
      <c r="B19" s="263" t="s">
        <v>15</v>
      </c>
      <c r="C19" s="264">
        <f>'Phụ lục số 5'!AM5</f>
        <v>69470</v>
      </c>
      <c r="D19" s="265">
        <f t="shared" si="0"/>
        <v>356600</v>
      </c>
      <c r="E19" s="264">
        <f>'Phụ lục số 5'!AO5</f>
        <v>65380</v>
      </c>
      <c r="F19" s="264">
        <f t="shared" si="1"/>
        <v>35070</v>
      </c>
      <c r="G19" s="264">
        <f>'Phụ lục số 5'!AO7+'Phụ lục số 5'!AO8</f>
        <v>30310</v>
      </c>
      <c r="H19" s="264">
        <f>'Chi NSH'!CZ14</f>
        <v>5130</v>
      </c>
      <c r="I19" s="264">
        <f t="shared" si="2"/>
        <v>286090</v>
      </c>
      <c r="J19" s="265">
        <f>'Phụ lục số 5'!AO23</f>
        <v>74250</v>
      </c>
      <c r="K19" s="264">
        <f t="shared" si="3"/>
        <v>211840</v>
      </c>
      <c r="L19" s="264">
        <f>'Phụ lục số 5'!AM25</f>
        <v>22630</v>
      </c>
      <c r="M19" s="264">
        <f>'Phụ lục số 5'!AM26</f>
        <v>20240</v>
      </c>
      <c r="N19" s="264">
        <f>'Phụ lục số 5'!AM27</f>
        <v>97390</v>
      </c>
      <c r="O19" s="264">
        <f>'Phụ lục số 5'!AM28</f>
        <v>44580</v>
      </c>
      <c r="P19" s="264">
        <f>'Phụ lục số 5'!AM29+'Phụ lục số 5'!AM30+'Phụ lục số 5'!AM31</f>
        <v>27000</v>
      </c>
      <c r="Q19" s="265">
        <f>'Phụ lục số 6'!O4</f>
        <v>356600</v>
      </c>
    </row>
    <row r="20" spans="1:17" s="19" customFormat="1" ht="24.95" customHeight="1">
      <c r="A20" s="706" t="s">
        <v>42</v>
      </c>
      <c r="B20" s="707"/>
      <c r="C20" s="266">
        <f t="shared" ref="C20:Q20" si="4">SUM(C8:C19)</f>
        <v>1223800</v>
      </c>
      <c r="D20" s="266">
        <f t="shared" si="4"/>
        <v>4355211</v>
      </c>
      <c r="E20" s="266">
        <f>SUM(E8:E19)</f>
        <v>1023300</v>
      </c>
      <c r="F20" s="266">
        <f>SUM(F8:F19)</f>
        <v>530935</v>
      </c>
      <c r="G20" s="266">
        <f>SUM(G8:G19)</f>
        <v>492365</v>
      </c>
      <c r="H20" s="266">
        <f>SUM(H8:H19)</f>
        <v>68750</v>
      </c>
      <c r="I20" s="266">
        <f t="shared" si="4"/>
        <v>3263161</v>
      </c>
      <c r="J20" s="266">
        <f>SUM(J8:J19)</f>
        <v>1153620</v>
      </c>
      <c r="K20" s="266">
        <f>SUM(K8:K19)</f>
        <v>2109541</v>
      </c>
      <c r="L20" s="266">
        <f t="shared" si="4"/>
        <v>312228</v>
      </c>
      <c r="M20" s="266">
        <f t="shared" si="4"/>
        <v>244063</v>
      </c>
      <c r="N20" s="266">
        <f t="shared" si="4"/>
        <v>1085290</v>
      </c>
      <c r="O20" s="266">
        <f t="shared" si="4"/>
        <v>290270</v>
      </c>
      <c r="P20" s="266">
        <f t="shared" si="4"/>
        <v>177690</v>
      </c>
      <c r="Q20" s="266">
        <f t="shared" si="4"/>
        <v>4355211</v>
      </c>
    </row>
  </sheetData>
  <mergeCells count="16">
    <mergeCell ref="A20:B20"/>
    <mergeCell ref="D4:D6"/>
    <mergeCell ref="E4:E6"/>
    <mergeCell ref="I4:I6"/>
    <mergeCell ref="C3:C6"/>
    <mergeCell ref="F4:G5"/>
    <mergeCell ref="H4:H6"/>
    <mergeCell ref="L5:P5"/>
    <mergeCell ref="J4:P4"/>
    <mergeCell ref="D3:P3"/>
    <mergeCell ref="A1:Q1"/>
    <mergeCell ref="A3:A6"/>
    <mergeCell ref="B3:B6"/>
    <mergeCell ref="J5:J6"/>
    <mergeCell ref="K5:K6"/>
    <mergeCell ref="Q3:Q6"/>
  </mergeCells>
  <phoneticPr fontId="2" type="noConversion"/>
  <printOptions horizontalCentered="1"/>
  <pageMargins left="0" right="0" top="0.39370078740157483" bottom="0.39370078740157483" header="0.19685039370078741" footer="0.19685039370078741"/>
  <pageSetup paperSize="9" scale="88" orientation="landscape" r:id="rId1"/>
  <headerFooter alignWithMargins="0">
    <oddHeader>&amp;R&amp;A</oddHeader>
  </headerFooter>
</worksheet>
</file>

<file path=xl/worksheets/sheet9.xml><?xml version="1.0" encoding="utf-8"?>
<worksheet xmlns="http://schemas.openxmlformats.org/spreadsheetml/2006/main" xmlns:r="http://schemas.openxmlformats.org/officeDocument/2006/relationships">
  <sheetPr codeName="Sheet9">
    <tabColor indexed="10"/>
    <pageSetUpPr fitToPage="1"/>
  </sheetPr>
  <dimension ref="A1:G68"/>
  <sheetViews>
    <sheetView topLeftCell="A37" workbookViewId="0">
      <selection activeCell="O69" sqref="O69"/>
    </sheetView>
  </sheetViews>
  <sheetFormatPr defaultColWidth="9" defaultRowHeight="13.5"/>
  <cols>
    <col min="1" max="1" width="6" style="127" customWidth="1"/>
    <col min="2" max="2" width="41.75" style="127" customWidth="1"/>
    <col min="3" max="3" width="14.25" style="127" customWidth="1"/>
    <col min="4" max="4" width="14.5" style="127" customWidth="1"/>
    <col min="5" max="5" width="13.875" style="127" customWidth="1"/>
    <col min="6" max="16384" width="9" style="127"/>
  </cols>
  <sheetData>
    <row r="1" spans="1:5" ht="69.75" hidden="1" customHeight="1">
      <c r="A1" s="715" t="s">
        <v>53</v>
      </c>
      <c r="B1" s="715"/>
      <c r="C1" s="715"/>
      <c r="D1" s="715"/>
      <c r="E1" s="715"/>
    </row>
    <row r="2" spans="1:5" hidden="1"/>
    <row r="3" spans="1:5" ht="36.75" customHeight="1">
      <c r="A3" s="716" t="s">
        <v>866</v>
      </c>
      <c r="B3" s="717"/>
      <c r="C3" s="717"/>
      <c r="D3" s="717"/>
      <c r="E3" s="717"/>
    </row>
    <row r="4" spans="1:5">
      <c r="E4" s="129" t="s">
        <v>766</v>
      </c>
    </row>
    <row r="5" spans="1:5" s="128" customFormat="1" ht="31.5" customHeight="1">
      <c r="A5" s="718" t="s">
        <v>769</v>
      </c>
      <c r="B5" s="718" t="s">
        <v>54</v>
      </c>
      <c r="C5" s="718" t="s">
        <v>867</v>
      </c>
      <c r="D5" s="718" t="s">
        <v>55</v>
      </c>
      <c r="E5" s="718"/>
    </row>
    <row r="6" spans="1:5" s="128" customFormat="1" ht="39" customHeight="1">
      <c r="A6" s="718"/>
      <c r="B6" s="718"/>
      <c r="C6" s="718"/>
      <c r="D6" s="130" t="s">
        <v>721</v>
      </c>
      <c r="E6" s="130" t="s">
        <v>56</v>
      </c>
    </row>
    <row r="7" spans="1:5">
      <c r="A7" s="131" t="s">
        <v>639</v>
      </c>
      <c r="B7" s="132" t="s">
        <v>57</v>
      </c>
      <c r="C7" s="133">
        <f>SUM(D7:E7)</f>
        <v>76245</v>
      </c>
      <c r="D7" s="133">
        <f>SUM(D8:D23)</f>
        <v>23800</v>
      </c>
      <c r="E7" s="133">
        <f>SUM(E8:E23)</f>
        <v>52445</v>
      </c>
    </row>
    <row r="8" spans="1:5">
      <c r="A8" s="134">
        <v>1</v>
      </c>
      <c r="B8" s="135" t="s">
        <v>570</v>
      </c>
      <c r="C8" s="136">
        <f t="shared" ref="C8:C65" si="0">SUM(D8:E8)</f>
        <v>11690</v>
      </c>
      <c r="D8" s="136">
        <v>0</v>
      </c>
      <c r="E8" s="136">
        <v>11690</v>
      </c>
    </row>
    <row r="9" spans="1:5">
      <c r="A9" s="134">
        <v>2</v>
      </c>
      <c r="B9" s="135" t="s">
        <v>571</v>
      </c>
      <c r="C9" s="136">
        <f t="shared" si="0"/>
        <v>11764</v>
      </c>
      <c r="D9" s="136">
        <v>8000</v>
      </c>
      <c r="E9" s="136">
        <v>3764</v>
      </c>
    </row>
    <row r="10" spans="1:5">
      <c r="A10" s="134">
        <v>3</v>
      </c>
      <c r="B10" s="138" t="s">
        <v>58</v>
      </c>
      <c r="C10" s="137">
        <f t="shared" si="0"/>
        <v>11370</v>
      </c>
      <c r="D10" s="137">
        <v>10300</v>
      </c>
      <c r="E10" s="137">
        <v>1070</v>
      </c>
    </row>
    <row r="11" spans="1:5">
      <c r="A11" s="134">
        <v>4</v>
      </c>
      <c r="B11" s="135" t="s">
        <v>442</v>
      </c>
      <c r="C11" s="137">
        <f t="shared" si="0"/>
        <v>4396</v>
      </c>
      <c r="D11" s="137">
        <v>0</v>
      </c>
      <c r="E11" s="137">
        <v>4396</v>
      </c>
    </row>
    <row r="12" spans="1:5">
      <c r="A12" s="134">
        <v>5</v>
      </c>
      <c r="B12" s="135" t="s">
        <v>60</v>
      </c>
      <c r="C12" s="137">
        <f t="shared" si="0"/>
        <v>6629</v>
      </c>
      <c r="D12" s="137">
        <v>0</v>
      </c>
      <c r="E12" s="137">
        <v>6629</v>
      </c>
    </row>
    <row r="13" spans="1:5">
      <c r="A13" s="134">
        <v>6</v>
      </c>
      <c r="B13" s="138" t="s">
        <v>62</v>
      </c>
      <c r="C13" s="137">
        <f t="shared" si="0"/>
        <v>774</v>
      </c>
      <c r="D13" s="137">
        <v>0</v>
      </c>
      <c r="E13" s="137">
        <v>774</v>
      </c>
    </row>
    <row r="14" spans="1:5">
      <c r="A14" s="134">
        <v>7</v>
      </c>
      <c r="B14" s="138" t="s">
        <v>443</v>
      </c>
      <c r="C14" s="137">
        <f t="shared" si="0"/>
        <v>4245</v>
      </c>
      <c r="D14" s="137">
        <v>2500</v>
      </c>
      <c r="E14" s="137">
        <v>1745</v>
      </c>
    </row>
    <row r="15" spans="1:5">
      <c r="A15" s="134">
        <v>8</v>
      </c>
      <c r="B15" s="138" t="s">
        <v>63</v>
      </c>
      <c r="C15" s="137">
        <f t="shared" si="0"/>
        <v>13860</v>
      </c>
      <c r="D15" s="137">
        <v>0</v>
      </c>
      <c r="E15" s="137">
        <v>13860</v>
      </c>
    </row>
    <row r="16" spans="1:5">
      <c r="A16" s="134">
        <v>9</v>
      </c>
      <c r="B16" s="138" t="s">
        <v>61</v>
      </c>
      <c r="C16" s="137">
        <f t="shared" si="0"/>
        <v>1020</v>
      </c>
      <c r="D16" s="137">
        <v>0</v>
      </c>
      <c r="E16" s="137">
        <v>1020</v>
      </c>
    </row>
    <row r="17" spans="1:5">
      <c r="A17" s="134">
        <v>10</v>
      </c>
      <c r="B17" s="135" t="s">
        <v>59</v>
      </c>
      <c r="C17" s="137">
        <f t="shared" si="0"/>
        <v>230</v>
      </c>
      <c r="D17" s="136">
        <v>0</v>
      </c>
      <c r="E17" s="136">
        <v>230</v>
      </c>
    </row>
    <row r="18" spans="1:5" s="370" customFormat="1" hidden="1">
      <c r="A18" s="367">
        <v>11</v>
      </c>
      <c r="B18" s="368" t="s">
        <v>445</v>
      </c>
      <c r="C18" s="365">
        <f t="shared" si="0"/>
        <v>0</v>
      </c>
      <c r="D18" s="369"/>
      <c r="E18" s="136"/>
    </row>
    <row r="19" spans="1:5" s="370" customFormat="1" hidden="1">
      <c r="A19" s="367">
        <v>12</v>
      </c>
      <c r="B19" s="368" t="s">
        <v>446</v>
      </c>
      <c r="C19" s="365">
        <f t="shared" si="0"/>
        <v>0</v>
      </c>
      <c r="D19" s="369"/>
      <c r="E19" s="136"/>
    </row>
    <row r="20" spans="1:5">
      <c r="A20" s="134">
        <v>11</v>
      </c>
      <c r="B20" s="138" t="s">
        <v>447</v>
      </c>
      <c r="C20" s="137">
        <f t="shared" si="0"/>
        <v>6500</v>
      </c>
      <c r="D20" s="136">
        <v>0</v>
      </c>
      <c r="E20" s="136">
        <v>6500</v>
      </c>
    </row>
    <row r="21" spans="1:5" s="142" customFormat="1">
      <c r="A21" s="134">
        <v>12</v>
      </c>
      <c r="B21" s="135" t="s">
        <v>448</v>
      </c>
      <c r="C21" s="137">
        <f t="shared" si="0"/>
        <v>3767</v>
      </c>
      <c r="D21" s="136">
        <v>3000</v>
      </c>
      <c r="E21" s="136">
        <v>767</v>
      </c>
    </row>
    <row r="22" spans="1:5" hidden="1">
      <c r="A22" s="134">
        <v>13</v>
      </c>
      <c r="B22" s="138" t="s">
        <v>449</v>
      </c>
      <c r="C22" s="137">
        <f t="shared" si="0"/>
        <v>0</v>
      </c>
      <c r="D22" s="136"/>
      <c r="E22" s="136"/>
    </row>
    <row r="23" spans="1:5" s="370" customFormat="1" hidden="1">
      <c r="A23" s="367">
        <v>16</v>
      </c>
      <c r="B23" s="368" t="s">
        <v>572</v>
      </c>
      <c r="C23" s="365">
        <f t="shared" si="0"/>
        <v>0</v>
      </c>
      <c r="D23" s="369"/>
      <c r="E23" s="136"/>
    </row>
    <row r="24" spans="1:5">
      <c r="A24" s="140" t="s">
        <v>657</v>
      </c>
      <c r="B24" s="141" t="s">
        <v>64</v>
      </c>
      <c r="C24" s="133">
        <f>SUM(D24:E24)</f>
        <v>1239850</v>
      </c>
      <c r="D24" s="133">
        <f>SUM(D25,D39)</f>
        <v>372200</v>
      </c>
      <c r="E24" s="133">
        <f>SUM(E25,E39)</f>
        <v>867650</v>
      </c>
    </row>
    <row r="25" spans="1:5">
      <c r="A25" s="131" t="s">
        <v>641</v>
      </c>
      <c r="B25" s="132" t="s">
        <v>65</v>
      </c>
      <c r="C25" s="133">
        <f>SUM(C26:C38)</f>
        <v>372200</v>
      </c>
      <c r="D25" s="133">
        <f>SUM(D26:D38)</f>
        <v>372200</v>
      </c>
      <c r="E25" s="133">
        <f>SUM(E26:E33)</f>
        <v>0</v>
      </c>
    </row>
    <row r="26" spans="1:5">
      <c r="A26" s="143">
        <v>1</v>
      </c>
      <c r="B26" s="138" t="s">
        <v>66</v>
      </c>
      <c r="C26" s="137">
        <f t="shared" si="0"/>
        <v>64000</v>
      </c>
      <c r="D26" s="137">
        <v>64000</v>
      </c>
      <c r="E26" s="137"/>
    </row>
    <row r="27" spans="1:5">
      <c r="A27" s="143">
        <v>2</v>
      </c>
      <c r="B27" s="135" t="s">
        <v>302</v>
      </c>
      <c r="C27" s="137">
        <f t="shared" si="0"/>
        <v>109400</v>
      </c>
      <c r="D27" s="137">
        <v>109400</v>
      </c>
      <c r="E27" s="137"/>
    </row>
    <row r="28" spans="1:5" ht="27">
      <c r="A28" s="143">
        <v>3</v>
      </c>
      <c r="B28" s="135" t="s">
        <v>6</v>
      </c>
      <c r="C28" s="137">
        <f t="shared" si="0"/>
        <v>19000</v>
      </c>
      <c r="D28" s="137">
        <v>19000</v>
      </c>
      <c r="E28" s="137"/>
    </row>
    <row r="29" spans="1:5">
      <c r="A29" s="143">
        <v>4</v>
      </c>
      <c r="B29" s="138" t="s">
        <v>306</v>
      </c>
      <c r="C29" s="137">
        <f t="shared" si="0"/>
        <v>16800</v>
      </c>
      <c r="D29" s="137">
        <v>16800</v>
      </c>
      <c r="E29" s="137"/>
    </row>
    <row r="30" spans="1:5" ht="27">
      <c r="A30" s="143">
        <v>5</v>
      </c>
      <c r="B30" s="135" t="s">
        <v>303</v>
      </c>
      <c r="C30" s="137">
        <f t="shared" si="0"/>
        <v>6000</v>
      </c>
      <c r="D30" s="137">
        <v>6000</v>
      </c>
      <c r="E30" s="137"/>
    </row>
    <row r="31" spans="1:5" ht="27">
      <c r="A31" s="143">
        <v>6</v>
      </c>
      <c r="B31" s="135" t="s">
        <v>7</v>
      </c>
      <c r="C31" s="137">
        <f t="shared" si="0"/>
        <v>46000</v>
      </c>
      <c r="D31" s="137">
        <v>46000</v>
      </c>
      <c r="E31" s="137"/>
    </row>
    <row r="32" spans="1:5">
      <c r="A32" s="143">
        <v>7</v>
      </c>
      <c r="B32" s="138" t="s">
        <v>304</v>
      </c>
      <c r="C32" s="137">
        <f t="shared" si="0"/>
        <v>4000</v>
      </c>
      <c r="D32" s="137">
        <v>4000</v>
      </c>
      <c r="E32" s="137"/>
    </row>
    <row r="33" spans="1:5" s="142" customFormat="1">
      <c r="A33" s="143">
        <v>8</v>
      </c>
      <c r="B33" s="138" t="s">
        <v>305</v>
      </c>
      <c r="C33" s="137">
        <f t="shared" si="0"/>
        <v>48000</v>
      </c>
      <c r="D33" s="137">
        <v>48000</v>
      </c>
      <c r="E33" s="137"/>
    </row>
    <row r="34" spans="1:5">
      <c r="A34" s="143">
        <v>9</v>
      </c>
      <c r="B34" s="138" t="s">
        <v>307</v>
      </c>
      <c r="C34" s="137">
        <f t="shared" si="0"/>
        <v>4000</v>
      </c>
      <c r="D34" s="137">
        <v>4000</v>
      </c>
      <c r="E34" s="137"/>
    </row>
    <row r="35" spans="1:5" hidden="1">
      <c r="A35" s="143"/>
      <c r="B35" s="138" t="s">
        <v>894</v>
      </c>
      <c r="C35" s="136">
        <f t="shared" si="0"/>
        <v>0</v>
      </c>
      <c r="D35" s="137"/>
      <c r="E35" s="137"/>
    </row>
    <row r="36" spans="1:5" hidden="1">
      <c r="A36" s="143"/>
      <c r="B36" s="138" t="s">
        <v>896</v>
      </c>
      <c r="C36" s="136">
        <f t="shared" si="0"/>
        <v>0</v>
      </c>
      <c r="D36" s="137"/>
      <c r="E36" s="137"/>
    </row>
    <row r="37" spans="1:5">
      <c r="A37" s="143">
        <v>10</v>
      </c>
      <c r="B37" s="138" t="s">
        <v>958</v>
      </c>
      <c r="C37" s="137">
        <f t="shared" si="0"/>
        <v>40000</v>
      </c>
      <c r="D37" s="137">
        <v>40000</v>
      </c>
      <c r="E37" s="137"/>
    </row>
    <row r="38" spans="1:5">
      <c r="A38" s="143">
        <v>11</v>
      </c>
      <c r="B38" s="138" t="s">
        <v>895</v>
      </c>
      <c r="C38" s="136">
        <f t="shared" si="0"/>
        <v>15000</v>
      </c>
      <c r="D38" s="137">
        <v>15000</v>
      </c>
      <c r="E38" s="137"/>
    </row>
    <row r="39" spans="1:5">
      <c r="A39" s="131" t="s">
        <v>654</v>
      </c>
      <c r="B39" s="132" t="s">
        <v>67</v>
      </c>
      <c r="C39" s="133">
        <f>SUM(D39:E39)</f>
        <v>867650</v>
      </c>
      <c r="D39" s="133">
        <f>SUM(D40:D65)</f>
        <v>0</v>
      </c>
      <c r="E39" s="133">
        <f>SUM(E40:E65)</f>
        <v>867650</v>
      </c>
    </row>
    <row r="40" spans="1:5">
      <c r="A40" s="134">
        <v>1</v>
      </c>
      <c r="B40" s="138" t="s">
        <v>68</v>
      </c>
      <c r="C40" s="137">
        <f t="shared" si="0"/>
        <v>13230</v>
      </c>
      <c r="D40" s="137"/>
      <c r="E40" s="137">
        <v>13230</v>
      </c>
    </row>
    <row r="41" spans="1:5" ht="27" hidden="1">
      <c r="A41" s="134"/>
      <c r="B41" s="144" t="s">
        <v>793</v>
      </c>
      <c r="C41" s="137">
        <f t="shared" si="0"/>
        <v>0</v>
      </c>
      <c r="D41" s="137"/>
      <c r="E41" s="137"/>
    </row>
    <row r="42" spans="1:5">
      <c r="A42" s="134">
        <v>2</v>
      </c>
      <c r="B42" s="138" t="s">
        <v>797</v>
      </c>
      <c r="C42" s="137">
        <f t="shared" si="0"/>
        <v>5000</v>
      </c>
      <c r="D42" s="137"/>
      <c r="E42" s="137">
        <v>5000</v>
      </c>
    </row>
    <row r="43" spans="1:5">
      <c r="A43" s="134">
        <v>3</v>
      </c>
      <c r="B43" s="135" t="s">
        <v>263</v>
      </c>
      <c r="C43" s="137">
        <f t="shared" si="0"/>
        <v>2749</v>
      </c>
      <c r="D43" s="137"/>
      <c r="E43" s="137">
        <v>2749</v>
      </c>
    </row>
    <row r="44" spans="1:5" ht="27" hidden="1">
      <c r="A44" s="134"/>
      <c r="B44" s="135" t="s">
        <v>394</v>
      </c>
      <c r="C44" s="137"/>
      <c r="D44" s="137"/>
      <c r="E44" s="137"/>
    </row>
    <row r="45" spans="1:5" ht="40.5">
      <c r="A45" s="134">
        <v>4</v>
      </c>
      <c r="B45" s="135" t="s">
        <v>622</v>
      </c>
      <c r="C45" s="137">
        <f t="shared" si="0"/>
        <v>360</v>
      </c>
      <c r="D45" s="137"/>
      <c r="E45" s="137">
        <f>360</f>
        <v>360</v>
      </c>
    </row>
    <row r="46" spans="1:5" ht="27">
      <c r="A46" s="134">
        <v>5</v>
      </c>
      <c r="B46" s="135" t="s">
        <v>955</v>
      </c>
      <c r="C46" s="137">
        <f t="shared" si="0"/>
        <v>16220</v>
      </c>
      <c r="D46" s="137"/>
      <c r="E46" s="137">
        <f>16220</f>
        <v>16220</v>
      </c>
    </row>
    <row r="47" spans="1:5" ht="27">
      <c r="A47" s="134">
        <v>6</v>
      </c>
      <c r="B47" s="144" t="s">
        <v>795</v>
      </c>
      <c r="C47" s="137">
        <f t="shared" si="0"/>
        <v>80</v>
      </c>
      <c r="D47" s="145"/>
      <c r="E47" s="145">
        <v>80</v>
      </c>
    </row>
    <row r="48" spans="1:5">
      <c r="A48" s="134">
        <v>7</v>
      </c>
      <c r="B48" s="138" t="s">
        <v>794</v>
      </c>
      <c r="C48" s="137">
        <f t="shared" si="0"/>
        <v>240</v>
      </c>
      <c r="D48" s="145"/>
      <c r="E48" s="145">
        <v>240</v>
      </c>
    </row>
    <row r="49" spans="1:7" ht="27">
      <c r="A49" s="134">
        <v>8</v>
      </c>
      <c r="B49" s="144" t="s">
        <v>798</v>
      </c>
      <c r="C49" s="137">
        <f t="shared" si="0"/>
        <v>43500</v>
      </c>
      <c r="D49" s="145"/>
      <c r="E49" s="145">
        <v>43500</v>
      </c>
    </row>
    <row r="50" spans="1:7">
      <c r="A50" s="134">
        <v>9</v>
      </c>
      <c r="B50" s="144" t="s">
        <v>264</v>
      </c>
      <c r="C50" s="137">
        <f t="shared" si="0"/>
        <v>8370</v>
      </c>
      <c r="D50" s="145"/>
      <c r="E50" s="145">
        <v>8370</v>
      </c>
    </row>
    <row r="51" spans="1:7">
      <c r="A51" s="134">
        <v>10</v>
      </c>
      <c r="B51" s="144" t="s">
        <v>796</v>
      </c>
      <c r="C51" s="137">
        <f t="shared" si="0"/>
        <v>813</v>
      </c>
      <c r="D51" s="145"/>
      <c r="E51" s="145">
        <v>813</v>
      </c>
    </row>
    <row r="52" spans="1:7">
      <c r="A52" s="134">
        <v>11</v>
      </c>
      <c r="B52" s="144" t="s">
        <v>792</v>
      </c>
      <c r="C52" s="137">
        <f t="shared" si="0"/>
        <v>200</v>
      </c>
      <c r="D52" s="145"/>
      <c r="E52" s="145">
        <v>200</v>
      </c>
    </row>
    <row r="53" spans="1:7" hidden="1">
      <c r="A53" s="134"/>
      <c r="B53" s="144" t="s">
        <v>350</v>
      </c>
      <c r="C53" s="137">
        <f t="shared" si="0"/>
        <v>0</v>
      </c>
      <c r="D53" s="145"/>
      <c r="E53" s="145"/>
    </row>
    <row r="54" spans="1:7">
      <c r="A54" s="134">
        <v>12</v>
      </c>
      <c r="B54" s="144" t="s">
        <v>444</v>
      </c>
      <c r="C54" s="137">
        <f t="shared" si="0"/>
        <v>286</v>
      </c>
      <c r="D54" s="145"/>
      <c r="E54" s="145">
        <v>286</v>
      </c>
    </row>
    <row r="55" spans="1:7">
      <c r="A55" s="134">
        <v>13</v>
      </c>
      <c r="B55" s="144" t="s">
        <v>400</v>
      </c>
      <c r="C55" s="137">
        <f t="shared" si="0"/>
        <v>11200</v>
      </c>
      <c r="D55" s="145"/>
      <c r="E55" s="145">
        <v>11200</v>
      </c>
    </row>
    <row r="56" spans="1:7" hidden="1">
      <c r="A56" s="134"/>
      <c r="B56" s="144" t="s">
        <v>636</v>
      </c>
      <c r="C56" s="137">
        <f t="shared" si="0"/>
        <v>0</v>
      </c>
      <c r="D56" s="145"/>
      <c r="E56" s="145"/>
    </row>
    <row r="57" spans="1:7" ht="27">
      <c r="A57" s="134">
        <v>14</v>
      </c>
      <c r="B57" s="144" t="s">
        <v>401</v>
      </c>
      <c r="C57" s="137">
        <f t="shared" si="0"/>
        <v>45825</v>
      </c>
      <c r="D57" s="145"/>
      <c r="E57" s="145">
        <v>45825</v>
      </c>
    </row>
    <row r="58" spans="1:7" ht="27">
      <c r="A58" s="134">
        <v>15</v>
      </c>
      <c r="B58" s="144" t="s">
        <v>573</v>
      </c>
      <c r="C58" s="137">
        <f t="shared" si="0"/>
        <v>950</v>
      </c>
      <c r="D58" s="145"/>
      <c r="E58" s="145">
        <v>950</v>
      </c>
    </row>
    <row r="59" spans="1:7" ht="27">
      <c r="A59" s="134">
        <v>16</v>
      </c>
      <c r="B59" s="144" t="s">
        <v>799</v>
      </c>
      <c r="C59" s="137">
        <f t="shared" si="0"/>
        <v>39810</v>
      </c>
      <c r="D59" s="145"/>
      <c r="E59" s="145">
        <v>39810</v>
      </c>
    </row>
    <row r="60" spans="1:7" ht="27">
      <c r="A60" s="134">
        <v>17</v>
      </c>
      <c r="B60" s="144" t="s">
        <v>625</v>
      </c>
      <c r="C60" s="137">
        <f t="shared" si="0"/>
        <v>4047</v>
      </c>
      <c r="D60" s="145"/>
      <c r="E60" s="145">
        <v>4047</v>
      </c>
    </row>
    <row r="61" spans="1:7" ht="40.5">
      <c r="A61" s="134">
        <v>18</v>
      </c>
      <c r="B61" s="144" t="s">
        <v>950</v>
      </c>
      <c r="C61" s="137">
        <f t="shared" si="0"/>
        <v>1500</v>
      </c>
      <c r="D61" s="145"/>
      <c r="E61" s="145">
        <v>1500</v>
      </c>
    </row>
    <row r="62" spans="1:7" ht="27">
      <c r="A62" s="134">
        <v>19</v>
      </c>
      <c r="B62" s="144" t="s">
        <v>951</v>
      </c>
      <c r="C62" s="137">
        <f t="shared" si="0"/>
        <v>1651</v>
      </c>
      <c r="D62" s="145"/>
      <c r="E62" s="145">
        <v>1651</v>
      </c>
    </row>
    <row r="63" spans="1:7">
      <c r="A63" s="134">
        <v>20</v>
      </c>
      <c r="B63" s="144" t="s">
        <v>952</v>
      </c>
      <c r="C63" s="137">
        <f t="shared" si="0"/>
        <v>181098</v>
      </c>
      <c r="D63" s="145"/>
      <c r="E63" s="145">
        <v>181098</v>
      </c>
    </row>
    <row r="64" spans="1:7" ht="27">
      <c r="A64" s="134">
        <v>21</v>
      </c>
      <c r="B64" s="144" t="s">
        <v>637</v>
      </c>
      <c r="C64" s="137">
        <f t="shared" si="0"/>
        <v>422841</v>
      </c>
      <c r="D64" s="145"/>
      <c r="E64" s="145">
        <v>422841</v>
      </c>
      <c r="F64" s="139"/>
      <c r="G64" s="139"/>
    </row>
    <row r="65" spans="1:7" ht="27">
      <c r="A65" s="134">
        <v>22</v>
      </c>
      <c r="B65" s="144" t="s">
        <v>265</v>
      </c>
      <c r="C65" s="137">
        <f t="shared" si="0"/>
        <v>67680</v>
      </c>
      <c r="D65" s="145"/>
      <c r="E65" s="145">
        <v>67680</v>
      </c>
      <c r="F65" s="139"/>
      <c r="G65" s="139"/>
    </row>
    <row r="66" spans="1:7">
      <c r="A66" s="713" t="s">
        <v>69</v>
      </c>
      <c r="B66" s="714"/>
      <c r="C66" s="146">
        <f>SUM(C7,C24)</f>
        <v>1316095</v>
      </c>
      <c r="D66" s="146">
        <f>SUM(D7,D24)</f>
        <v>396000</v>
      </c>
      <c r="E66" s="146">
        <f>SUM(E7,E24)</f>
        <v>920095</v>
      </c>
      <c r="G66" s="139"/>
    </row>
    <row r="68" spans="1:7">
      <c r="G68" s="139"/>
    </row>
  </sheetData>
  <mergeCells count="7">
    <mergeCell ref="A66:B66"/>
    <mergeCell ref="A1:E1"/>
    <mergeCell ref="A3:E3"/>
    <mergeCell ref="A5:A6"/>
    <mergeCell ref="B5:B6"/>
    <mergeCell ref="C5:C6"/>
    <mergeCell ref="D5:E5"/>
  </mergeCells>
  <phoneticPr fontId="2" type="noConversion"/>
  <printOptions horizontalCentered="1"/>
  <pageMargins left="0" right="0" top="0.59055118110236227" bottom="0.39370078740157483" header="0.19685039370078741" footer="0.19685039370078741"/>
  <pageSetup paperSize="9" scale="80" orientation="portrait" r:id="rId1"/>
  <headerFooter alignWithMargins="0"/>
  <ignoredErrors>
    <ignoredError sqref="C25:D25" formula="1"/>
    <ignoredError sqref="E25" formula="1" formulaRange="1"/>
    <ignoredError sqref="C26 C49:C51 C10"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42</vt:i4>
      </vt:variant>
    </vt:vector>
  </HeadingPairs>
  <TitlesOfParts>
    <vt:vector size="81" baseType="lpstr">
      <vt:lpstr>Phụ lục số 1</vt:lpstr>
      <vt:lpstr>Phụ lục số 2</vt:lpstr>
      <vt:lpstr>Phụ lục số 3</vt:lpstr>
      <vt:lpstr>Phụ lục số 5</vt:lpstr>
      <vt:lpstr>Phụ lục số 3_2</vt:lpstr>
      <vt:lpstr>Phụ lục số 4</vt:lpstr>
      <vt:lpstr>Phụ lục số 6</vt:lpstr>
      <vt:lpstr>Phụ lục số 7</vt:lpstr>
      <vt:lpstr>Phụ lục số 8</vt:lpstr>
      <vt:lpstr>Chi NSH</vt:lpstr>
      <vt:lpstr>Thu NSH</vt:lpstr>
      <vt:lpstr>TLTT nam 2015-huyen</vt:lpstr>
      <vt:lpstr>10% tiết kiệm tăng thêm 2013</vt:lpstr>
      <vt:lpstr>Phụ lục số 1- HĐND</vt:lpstr>
      <vt:lpstr>Bố trí</vt:lpstr>
      <vt:lpstr>Phụ lục số 2- HĐND</vt:lpstr>
      <vt:lpstr>Phụ lục số 3- HĐND</vt:lpstr>
      <vt:lpstr>Phụ lục số 4- HĐND</vt:lpstr>
      <vt:lpstr>SNGD</vt:lpstr>
      <vt:lpstr>Phụ lục số 5 -HĐND</vt:lpstr>
      <vt:lpstr>Phụ lục số 6-HĐND</vt:lpstr>
      <vt:lpstr>Phụ lục số 7-HĐND</vt:lpstr>
      <vt:lpstr>Phụ lục số 1-KQPB</vt:lpstr>
      <vt:lpstr>Phụ lục số 2- KQPB</vt:lpstr>
      <vt:lpstr>Phụ lục số 3- KQPB</vt:lpstr>
      <vt:lpstr>Phụ lục số 4-KQPB</vt:lpstr>
      <vt:lpstr>Phụ lục số 5-KQPB</vt:lpstr>
      <vt:lpstr>M10</vt:lpstr>
      <vt:lpstr>M11</vt:lpstr>
      <vt:lpstr>M 12</vt:lpstr>
      <vt:lpstr>M 13</vt:lpstr>
      <vt:lpstr>M15</vt:lpstr>
      <vt:lpstr>M17</vt:lpstr>
      <vt:lpstr>M18</vt:lpstr>
      <vt:lpstr>M19</vt:lpstr>
      <vt:lpstr>M20</vt:lpstr>
      <vt:lpstr>TLTT 8 tháng</vt:lpstr>
      <vt:lpstr>Sheet1</vt:lpstr>
      <vt:lpstr>Sheet2</vt:lpstr>
      <vt:lpstr>'Bố trí'!Print_Area</vt:lpstr>
      <vt:lpstr>'Chi NSH'!Print_Area</vt:lpstr>
      <vt:lpstr>'M 12'!Print_Area</vt:lpstr>
      <vt:lpstr>'M 13'!Print_Area</vt:lpstr>
      <vt:lpstr>'M10'!Print_Area</vt:lpstr>
      <vt:lpstr>'M11'!Print_Area</vt:lpstr>
      <vt:lpstr>'M17'!Print_Area</vt:lpstr>
      <vt:lpstr>'M18'!Print_Area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3_2'!Print_Area</vt:lpstr>
      <vt:lpstr>'Phụ lục số 4'!Print_Area</vt:lpstr>
      <vt:lpstr>'Phụ lục số 4- HĐND'!Print_Area</vt:lpstr>
      <vt:lpstr>'Phụ lục số 4-KQPB'!Print_Area</vt:lpstr>
      <vt:lpstr>'Phụ lục số 5'!Print_Area</vt:lpstr>
      <vt:lpstr>'Phụ lục số 5 -HĐND'!Print_Area</vt:lpstr>
      <vt:lpstr>'Phụ lục số 6'!Print_Area</vt:lpstr>
      <vt:lpstr>'Phụ lục số 6-HĐND'!Print_Area</vt:lpstr>
      <vt:lpstr>'Phụ lục số 7'!Print_Area</vt:lpstr>
      <vt:lpstr>'Phụ lục số 7-HĐND'!Print_Area</vt:lpstr>
      <vt:lpstr>'Phụ lục số 8'!Print_Area</vt:lpstr>
      <vt:lpstr>SNGD!Print_Area</vt:lpstr>
      <vt:lpstr>'Thu NSH'!Print_Area</vt:lpstr>
      <vt:lpstr>'Chi NSH'!Print_Titles</vt:lpstr>
      <vt:lpstr>'M15'!Print_Titles</vt:lpstr>
      <vt:lpstr>'M20'!Print_Titles</vt:lpstr>
      <vt:lpstr>'Phụ lục số 1'!Print_Titles</vt:lpstr>
      <vt:lpstr>'Phụ lục số 2'!Print_Titles</vt:lpstr>
      <vt:lpstr>'Phụ lục số 4'!Print_Titles</vt:lpstr>
      <vt:lpstr>'Phụ lục số 5'!Print_Titles</vt:lpstr>
      <vt:lpstr>'Phụ lục số 5 -HĐND'!Print_Titles</vt:lpstr>
      <vt:lpstr>'Phụ lục số 6'!Print_Titles</vt:lpstr>
      <vt:lpstr>'Phụ lục số 6-HĐND'!Print_Titles</vt:lpstr>
      <vt:lpstr>'Phụ lục số 7-HĐND'!Print_Titles</vt:lpstr>
      <vt:lpstr>'Thu NSH'!Print_Titles</vt:lpstr>
    </vt:vector>
  </TitlesOfParts>
  <Company>stc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dc:creator>
  <cp:lastModifiedBy>hoangdieuthuy</cp:lastModifiedBy>
  <cp:lastPrinted>2016-12-29T05:27:47Z</cp:lastPrinted>
  <dcterms:created xsi:type="dcterms:W3CDTF">2004-12-14T00:55:31Z</dcterms:created>
  <dcterms:modified xsi:type="dcterms:W3CDTF">2016-12-29T05:27:50Z</dcterms:modified>
</cp:coreProperties>
</file>

<file path=docProps/custom.xml><?xml version="1.0" encoding="utf-8"?>
<Properties xmlns:cup="http://schemas.openxmlformats.org/officeDocument/2006/custom-properties" xmlns:vt="http://schemas.openxmlformats.org/officeDocument/2006/docPropsVTypes" xmlns="http://schemas.openxmlformats.org/officeDocument/2006/custom-properties">
  <property fmtid="{D5CDD505-2E9C-101B-9397-08002B2CF9AE}" pid="2" name="DISdDocName">
    <vt:lpwstr>MOFUCM095683</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99084</vt:lpwstr>
  </property>
  <property fmtid="{D5CDD505-2E9C-101B-9397-08002B2CF9AE}" pid="7" name="DISidcName">
    <vt:lpwstr>mofucm</vt:lpwstr>
  </property>
  <property fmtid="{D5CDD505-2E9C-101B-9397-08002B2CF9AE}" pid="8" name="DISTaskPaneUrl">
    <vt:lpwstr>http://svr-portal1:16200/cs/idcplg?IdcService=DESKTOP_DOC_INFO&amp;dDocName=MOFUCM095683&amp;dID=99084&amp;ClientControlled=DocMan,taskpane&amp;coreContentOnly=1</vt:lpwstr>
  </property>
</Properties>
</file>