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feedwma.sharepoint.com/sites/Rachel'sTableTeamLibrary/Shared Documents/Research &amp; Strategic Planning/Data- Rachel's Table/Food Donation Equity/"/>
    </mc:Choice>
  </mc:AlternateContent>
  <xr:revisionPtr revIDLastSave="168" documentId="8_{B0C7A373-D8F1-4A43-90B3-27A0185A66AE}" xr6:coauthVersionLast="47" xr6:coauthVersionMax="47" xr10:uidLastSave="{4689508B-1C12-4F5D-B900-05776A6A05CF}"/>
  <bookViews>
    <workbookView xWindow="1695" yWindow="0" windowWidth="24060" windowHeight="15045" xr2:uid="{9F7E9D07-6D14-494A-913F-E22135479654}"/>
  </bookViews>
  <sheets>
    <sheet name="Pounds Data Analysis" sheetId="1" r:id="rId1"/>
    <sheet name="Histograms - LBS" sheetId="5" r:id="rId2"/>
    <sheet name="Food Type Data Analysis" sheetId="2" r:id="rId3"/>
    <sheet name="Food Type Data Reasons" sheetId="6" r:id="rId4"/>
    <sheet name="Sheet2" sheetId="4" state="hidden" r:id="rId5"/>
  </sheets>
  <definedNames>
    <definedName name="_xlchart.v1.0" hidden="1">Sheet2!$A$1</definedName>
    <definedName name="_xlchart.v1.1" hidden="1">Sheet2!$A$2:$A$52</definedName>
    <definedName name="_xlchart.v1.10" hidden="1">Sheet2!$A$1</definedName>
    <definedName name="_xlchart.v1.11" hidden="1">Sheet2!$A$2:$A$43</definedName>
    <definedName name="_xlchart.v1.2" hidden="1">Sheet2!$A$1</definedName>
    <definedName name="_xlchart.v1.3" hidden="1">Sheet2!$A$2:$A$43</definedName>
    <definedName name="_xlchart.v1.4" hidden="1">'Histograms - LBS'!$A$1</definedName>
    <definedName name="_xlchart.v1.5" hidden="1">'Histograms - LBS'!$A$2:$A$52</definedName>
    <definedName name="_xlchart.v1.6" hidden="1">'Histograms - LBS'!$A$1</definedName>
    <definedName name="_xlchart.v1.7" hidden="1">'Histograms - LBS'!$A$2:$A$36</definedName>
    <definedName name="_xlchart.v1.8" hidden="1">Sheet2!$A$1</definedName>
    <definedName name="_xlchart.v1.9" hidden="1">Sheet2!$A$2:$A$52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6" l="1"/>
  <c r="M67" i="6"/>
  <c r="K67" i="6"/>
  <c r="I67" i="6"/>
  <c r="G67" i="6"/>
  <c r="E67" i="6"/>
  <c r="C67" i="6"/>
  <c r="O66" i="6"/>
  <c r="M66" i="6"/>
  <c r="K66" i="6"/>
  <c r="I66" i="6"/>
  <c r="G66" i="6"/>
  <c r="E66" i="6"/>
  <c r="C66" i="6"/>
  <c r="O65" i="6"/>
  <c r="M65" i="6"/>
  <c r="K65" i="6"/>
  <c r="I65" i="6"/>
  <c r="G65" i="6"/>
  <c r="E65" i="6"/>
  <c r="C65" i="6"/>
  <c r="O63" i="6"/>
  <c r="M63" i="6"/>
  <c r="K63" i="6"/>
  <c r="I63" i="6"/>
  <c r="G63" i="6"/>
  <c r="E63" i="6"/>
  <c r="C63" i="6"/>
  <c r="O62" i="6"/>
  <c r="M62" i="6"/>
  <c r="K62" i="6"/>
  <c r="I62" i="6"/>
  <c r="G62" i="6"/>
  <c r="E62" i="6"/>
  <c r="C62" i="6"/>
  <c r="K60" i="1"/>
  <c r="G60" i="1" s="1"/>
  <c r="I60" i="1" s="1"/>
  <c r="L14" i="6" l="1"/>
  <c r="D12" i="6"/>
  <c r="H35" i="6"/>
  <c r="P43" i="6"/>
  <c r="E68" i="6"/>
  <c r="D20" i="6"/>
  <c r="N53" i="6"/>
  <c r="H4" i="6"/>
  <c r="P31" i="6"/>
  <c r="P51" i="6"/>
  <c r="N4" i="6"/>
  <c r="H33" i="6"/>
  <c r="D10" i="6"/>
  <c r="H60" i="6"/>
  <c r="F35" i="6"/>
  <c r="P2" i="6"/>
  <c r="N57" i="6"/>
  <c r="P57" i="6"/>
  <c r="P19" i="6"/>
  <c r="P47" i="6"/>
  <c r="P25" i="6"/>
  <c r="F32" i="6"/>
  <c r="N27" i="6"/>
  <c r="P17" i="6"/>
  <c r="N51" i="6"/>
  <c r="N10" i="6"/>
  <c r="D23" i="6"/>
  <c r="N40" i="6"/>
  <c r="N26" i="6"/>
  <c r="P27" i="6"/>
  <c r="P30" i="6"/>
  <c r="G68" i="6"/>
  <c r="P16" i="6"/>
  <c r="D7" i="6"/>
  <c r="P9" i="6"/>
  <c r="P56" i="6"/>
  <c r="D51" i="6"/>
  <c r="I68" i="6"/>
  <c r="P38" i="6"/>
  <c r="N48" i="6"/>
  <c r="P10" i="6"/>
  <c r="P40" i="6"/>
  <c r="D56" i="6"/>
  <c r="D46" i="6"/>
  <c r="P7" i="6"/>
  <c r="D25" i="6"/>
  <c r="D11" i="6"/>
  <c r="N25" i="6"/>
  <c r="P32" i="6"/>
  <c r="H23" i="6"/>
  <c r="H5" i="6"/>
  <c r="H40" i="6"/>
  <c r="H45" i="6"/>
  <c r="H20" i="6"/>
  <c r="H36" i="6"/>
  <c r="F6" i="6"/>
  <c r="J44" i="6"/>
  <c r="H6" i="6"/>
  <c r="F42" i="6"/>
  <c r="H37" i="6"/>
  <c r="H59" i="6"/>
  <c r="N41" i="6"/>
  <c r="N11" i="6"/>
  <c r="P8" i="6"/>
  <c r="H18" i="6"/>
  <c r="H14" i="6"/>
  <c r="P49" i="6"/>
  <c r="N59" i="6"/>
  <c r="F55" i="6"/>
  <c r="P41" i="6"/>
  <c r="H34" i="6"/>
  <c r="P11" i="6"/>
  <c r="H21" i="6"/>
  <c r="F2" i="6"/>
  <c r="N18" i="6"/>
  <c r="H24" i="6"/>
  <c r="N14" i="6"/>
  <c r="P50" i="6"/>
  <c r="F28" i="6"/>
  <c r="N30" i="6"/>
  <c r="H55" i="6"/>
  <c r="H48" i="6"/>
  <c r="P34" i="6"/>
  <c r="H46" i="6"/>
  <c r="F3" i="6"/>
  <c r="F38" i="6"/>
  <c r="F16" i="6"/>
  <c r="H38" i="6"/>
  <c r="H27" i="6"/>
  <c r="H12" i="6"/>
  <c r="F52" i="6"/>
  <c r="L40" i="6"/>
  <c r="H11" i="6"/>
  <c r="H8" i="6"/>
  <c r="F18" i="6"/>
  <c r="H22" i="6"/>
  <c r="H54" i="6"/>
  <c r="H52" i="6"/>
  <c r="F34" i="6"/>
  <c r="H15" i="6"/>
  <c r="F24" i="6"/>
  <c r="F50" i="6"/>
  <c r="H13" i="6"/>
  <c r="P21" i="6"/>
  <c r="H2" i="6"/>
  <c r="P18" i="6"/>
  <c r="H9" i="6"/>
  <c r="H17" i="6"/>
  <c r="H39" i="6"/>
  <c r="F33" i="6"/>
  <c r="H47" i="6"/>
  <c r="H53" i="6"/>
  <c r="F46" i="6"/>
  <c r="K68" i="6"/>
  <c r="L41" i="6"/>
  <c r="J11" i="6"/>
  <c r="L10" i="6"/>
  <c r="L7" i="6"/>
  <c r="F22" i="6"/>
  <c r="N5" i="6"/>
  <c r="N17" i="6"/>
  <c r="H50" i="6"/>
  <c r="H28" i="6"/>
  <c r="D30" i="6"/>
  <c r="F29" i="6"/>
  <c r="H26" i="6"/>
  <c r="H42" i="6"/>
  <c r="H58" i="6"/>
  <c r="H43" i="6"/>
  <c r="D4" i="6"/>
  <c r="D21" i="6"/>
  <c r="F8" i="6"/>
  <c r="F9" i="6"/>
  <c r="F14" i="6"/>
  <c r="D31" i="6"/>
  <c r="N54" i="6"/>
  <c r="N60" i="6"/>
  <c r="F44" i="6"/>
  <c r="M68" i="6"/>
  <c r="L2" i="6"/>
  <c r="N39" i="6"/>
  <c r="N56" i="6"/>
  <c r="F19" i="6"/>
  <c r="N23" i="6"/>
  <c r="F37" i="6"/>
  <c r="N31" i="6"/>
  <c r="F49" i="6"/>
  <c r="H57" i="6"/>
  <c r="F47" i="6"/>
  <c r="H41" i="6"/>
  <c r="F36" i="6"/>
  <c r="H44" i="6"/>
  <c r="J19" i="6"/>
  <c r="J49" i="6"/>
  <c r="J32" i="6"/>
  <c r="L35" i="6"/>
  <c r="L46" i="6"/>
  <c r="L42" i="6"/>
  <c r="L55" i="6"/>
  <c r="L33" i="6"/>
  <c r="L37" i="6"/>
  <c r="L24" i="6"/>
  <c r="L8" i="6"/>
  <c r="L11" i="6"/>
  <c r="L43" i="6"/>
  <c r="L27" i="6"/>
  <c r="L48" i="6"/>
  <c r="L57" i="6"/>
  <c r="L54" i="6"/>
  <c r="L17" i="6"/>
  <c r="L23" i="6"/>
  <c r="L21" i="6"/>
  <c r="L44" i="6"/>
  <c r="L32" i="6"/>
  <c r="L29" i="6"/>
  <c r="L49" i="6"/>
  <c r="L3" i="6"/>
  <c r="L16" i="6"/>
  <c r="C68" i="6"/>
  <c r="J21" i="6"/>
  <c r="J8" i="6"/>
  <c r="L19" i="6"/>
  <c r="J24" i="6"/>
  <c r="L6" i="6"/>
  <c r="J50" i="6"/>
  <c r="J31" i="6"/>
  <c r="J33" i="6"/>
  <c r="J59" i="6"/>
  <c r="F60" i="6"/>
  <c r="L52" i="6"/>
  <c r="J47" i="6"/>
  <c r="J56" i="6"/>
  <c r="J42" i="6"/>
  <c r="F58" i="6"/>
  <c r="N43" i="6"/>
  <c r="N34" i="6"/>
  <c r="N47" i="6"/>
  <c r="N38" i="6"/>
  <c r="N50" i="6"/>
  <c r="N9" i="6"/>
  <c r="N2" i="6"/>
  <c r="N13" i="6"/>
  <c r="N45" i="6"/>
  <c r="N44" i="6"/>
  <c r="N32" i="6"/>
  <c r="N29" i="6"/>
  <c r="N49" i="6"/>
  <c r="N3" i="6"/>
  <c r="N16" i="6"/>
  <c r="N7" i="6"/>
  <c r="N35" i="6"/>
  <c r="N36" i="6"/>
  <c r="N52" i="6"/>
  <c r="N28" i="6"/>
  <c r="N6" i="6"/>
  <c r="N22" i="6"/>
  <c r="P46" i="6"/>
  <c r="P42" i="6"/>
  <c r="P55" i="6"/>
  <c r="P33" i="6"/>
  <c r="P37" i="6"/>
  <c r="P24" i="6"/>
  <c r="J16" i="6"/>
  <c r="J4" i="6"/>
  <c r="J5" i="6"/>
  <c r="J53" i="6"/>
  <c r="F13" i="6"/>
  <c r="L4" i="6"/>
  <c r="F15" i="6"/>
  <c r="N21" i="6"/>
  <c r="F12" i="6"/>
  <c r="N8" i="6"/>
  <c r="N19" i="6"/>
  <c r="D22" i="6"/>
  <c r="N24" i="6"/>
  <c r="L5" i="6"/>
  <c r="D3" i="6"/>
  <c r="D37" i="6"/>
  <c r="L50" i="6"/>
  <c r="L31" i="6"/>
  <c r="D54" i="6"/>
  <c r="D28" i="6"/>
  <c r="N33" i="6"/>
  <c r="L59" i="6"/>
  <c r="D29" i="6"/>
  <c r="D55" i="6"/>
  <c r="L47" i="6"/>
  <c r="L56" i="6"/>
  <c r="D48" i="6"/>
  <c r="D36" i="6"/>
  <c r="N42" i="6"/>
  <c r="L53" i="6"/>
  <c r="D44" i="6"/>
  <c r="J45" i="6"/>
  <c r="P45" i="6"/>
  <c r="L45" i="6"/>
  <c r="J43" i="6"/>
  <c r="J20" i="6"/>
  <c r="J23" i="6"/>
  <c r="L60" i="6"/>
  <c r="L58" i="6"/>
  <c r="J13" i="6"/>
  <c r="L15" i="6"/>
  <c r="L12" i="6"/>
  <c r="L20" i="6"/>
  <c r="J3" i="6"/>
  <c r="N58" i="6"/>
  <c r="N46" i="6"/>
  <c r="J35" i="6"/>
  <c r="J36" i="6"/>
  <c r="J52" i="6"/>
  <c r="J28" i="6"/>
  <c r="J6" i="6"/>
  <c r="J22" i="6"/>
  <c r="J12" i="6"/>
  <c r="J46" i="6"/>
  <c r="J58" i="6"/>
  <c r="J41" i="6"/>
  <c r="J60" i="6"/>
  <c r="J40" i="6"/>
  <c r="J14" i="6"/>
  <c r="J18" i="6"/>
  <c r="J15" i="6"/>
  <c r="J27" i="6"/>
  <c r="J48" i="6"/>
  <c r="J57" i="6"/>
  <c r="J54" i="6"/>
  <c r="J17" i="6"/>
  <c r="F51" i="6"/>
  <c r="F56" i="6"/>
  <c r="F30" i="6"/>
  <c r="F31" i="6"/>
  <c r="F25" i="6"/>
  <c r="F11" i="6"/>
  <c r="L13" i="6"/>
  <c r="F10" i="6"/>
  <c r="N15" i="6"/>
  <c r="N12" i="6"/>
  <c r="N20" i="6"/>
  <c r="P23" i="6"/>
  <c r="L22" i="6"/>
  <c r="J25" i="6"/>
  <c r="P14" i="6"/>
  <c r="P3" i="6"/>
  <c r="J37" i="6"/>
  <c r="J39" i="6"/>
  <c r="F40" i="6"/>
  <c r="P54" i="6"/>
  <c r="J38" i="6"/>
  <c r="J30" i="6"/>
  <c r="P60" i="6"/>
  <c r="P29" i="6"/>
  <c r="J55" i="6"/>
  <c r="J26" i="6"/>
  <c r="F41" i="6"/>
  <c r="L36" i="6"/>
  <c r="J34" i="6"/>
  <c r="J51" i="6"/>
  <c r="P58" i="6"/>
  <c r="P44" i="6"/>
  <c r="F43" i="6"/>
  <c r="F27" i="6"/>
  <c r="J29" i="6"/>
  <c r="D58" i="6"/>
  <c r="D41" i="6"/>
  <c r="D60" i="6"/>
  <c r="D40" i="6"/>
  <c r="D14" i="6"/>
  <c r="D18" i="6"/>
  <c r="D15" i="6"/>
  <c r="D43" i="6"/>
  <c r="D34" i="6"/>
  <c r="D47" i="6"/>
  <c r="D38" i="6"/>
  <c r="D50" i="6"/>
  <c r="D9" i="6"/>
  <c r="D2" i="6"/>
  <c r="D13" i="6"/>
  <c r="D45" i="6"/>
  <c r="D53" i="6"/>
  <c r="D26" i="6"/>
  <c r="D59" i="6"/>
  <c r="D39" i="6"/>
  <c r="D5" i="6"/>
  <c r="F7" i="6"/>
  <c r="J9" i="6"/>
  <c r="L28" i="6"/>
  <c r="P48" i="6"/>
  <c r="P13" i="6"/>
  <c r="J10" i="6"/>
  <c r="P15" i="6"/>
  <c r="J7" i="6"/>
  <c r="D8" i="6"/>
  <c r="J2" i="6"/>
  <c r="D19" i="6"/>
  <c r="L18" i="6"/>
  <c r="D16" i="6"/>
  <c r="D24" i="6"/>
  <c r="L9" i="6"/>
  <c r="L25" i="6"/>
  <c r="D17" i="6"/>
  <c r="D6" i="6"/>
  <c r="N37" i="6"/>
  <c r="L39" i="6"/>
  <c r="D49" i="6"/>
  <c r="D33" i="6"/>
  <c r="L38" i="6"/>
  <c r="L30" i="6"/>
  <c r="D57" i="6"/>
  <c r="D52" i="6"/>
  <c r="N55" i="6"/>
  <c r="L26" i="6"/>
  <c r="D32" i="6"/>
  <c r="D42" i="6"/>
  <c r="L34" i="6"/>
  <c r="L51" i="6"/>
  <c r="D27" i="6"/>
  <c r="D35" i="6"/>
  <c r="O68" i="6"/>
  <c r="F4" i="6"/>
  <c r="H10" i="6"/>
  <c r="P12" i="6"/>
  <c r="F20" i="6"/>
  <c r="H19" i="6"/>
  <c r="P22" i="6"/>
  <c r="F5" i="6"/>
  <c r="H25" i="6"/>
  <c r="P6" i="6"/>
  <c r="F39" i="6"/>
  <c r="H31" i="6"/>
  <c r="P28" i="6"/>
  <c r="F59" i="6"/>
  <c r="H30" i="6"/>
  <c r="P52" i="6"/>
  <c r="F26" i="6"/>
  <c r="H56" i="6"/>
  <c r="P36" i="6"/>
  <c r="F53" i="6"/>
  <c r="H51" i="6"/>
  <c r="P35" i="6"/>
  <c r="F45" i="6"/>
  <c r="P4" i="6"/>
  <c r="F21" i="6"/>
  <c r="H7" i="6"/>
  <c r="P20" i="6"/>
  <c r="F23" i="6"/>
  <c r="H16" i="6"/>
  <c r="P5" i="6"/>
  <c r="F17" i="6"/>
  <c r="H3" i="6"/>
  <c r="P39" i="6"/>
  <c r="F54" i="6"/>
  <c r="H49" i="6"/>
  <c r="P59" i="6"/>
  <c r="F57" i="6"/>
  <c r="H29" i="6"/>
  <c r="P26" i="6"/>
  <c r="F48" i="6"/>
  <c r="H32" i="6"/>
  <c r="P53" i="6"/>
  <c r="O63" i="2"/>
  <c r="M63" i="2"/>
  <c r="K63" i="2"/>
  <c r="I63" i="2"/>
  <c r="G63" i="2"/>
  <c r="E63" i="2"/>
  <c r="C63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A54" i="4"/>
  <c r="O67" i="2"/>
  <c r="O66" i="2"/>
  <c r="O65" i="2"/>
  <c r="M67" i="2"/>
  <c r="M66" i="2"/>
  <c r="M65" i="2"/>
  <c r="K67" i="2"/>
  <c r="K66" i="2"/>
  <c r="K65" i="2"/>
  <c r="I67" i="2"/>
  <c r="I66" i="2"/>
  <c r="I65" i="2"/>
  <c r="G67" i="2"/>
  <c r="G66" i="2"/>
  <c r="G65" i="2"/>
  <c r="E67" i="2"/>
  <c r="E66" i="2"/>
  <c r="E65" i="2"/>
  <c r="C67" i="2"/>
  <c r="C66" i="2"/>
  <c r="C65" i="2"/>
  <c r="O62" i="2"/>
  <c r="M62" i="2"/>
  <c r="K62" i="2"/>
  <c r="I62" i="2"/>
  <c r="G62" i="2"/>
  <c r="E62" i="2"/>
  <c r="C62" i="2"/>
  <c r="J5" i="2" l="1"/>
  <c r="L30" i="2"/>
  <c r="F28" i="2"/>
  <c r="P31" i="2"/>
  <c r="C68" i="2"/>
  <c r="F55" i="2"/>
  <c r="F59" i="2"/>
  <c r="F29" i="2"/>
  <c r="P19" i="2"/>
  <c r="M68" i="2"/>
  <c r="D7" i="2"/>
  <c r="F14" i="2"/>
  <c r="H10" i="2"/>
  <c r="F13" i="2"/>
  <c r="K68" i="2"/>
  <c r="F17" i="2"/>
  <c r="N11" i="2"/>
  <c r="D5" i="2"/>
  <c r="P8" i="2"/>
  <c r="F12" i="2"/>
  <c r="F50" i="2"/>
  <c r="F47" i="2"/>
  <c r="F11" i="2"/>
  <c r="F42" i="2"/>
  <c r="H25" i="2"/>
  <c r="F31" i="2"/>
  <c r="P50" i="2"/>
  <c r="D48" i="2"/>
  <c r="D32" i="2"/>
  <c r="D8" i="2"/>
  <c r="D54" i="2"/>
  <c r="D22" i="2"/>
  <c r="L38" i="2"/>
  <c r="L13" i="2"/>
  <c r="P47" i="2"/>
  <c r="P26" i="2"/>
  <c r="D45" i="2"/>
  <c r="P17" i="2"/>
  <c r="D56" i="2"/>
  <c r="D24" i="2"/>
  <c r="L22" i="2"/>
  <c r="D46" i="2"/>
  <c r="D14" i="2"/>
  <c r="L2" i="2"/>
  <c r="D29" i="2"/>
  <c r="P46" i="2"/>
  <c r="D60" i="2"/>
  <c r="D36" i="2"/>
  <c r="D20" i="2"/>
  <c r="D4" i="2"/>
  <c r="L6" i="2"/>
  <c r="P15" i="2"/>
  <c r="D59" i="2"/>
  <c r="D51" i="2"/>
  <c r="D43" i="2"/>
  <c r="D35" i="2"/>
  <c r="D27" i="2"/>
  <c r="D19" i="2"/>
  <c r="D11" i="2"/>
  <c r="D3" i="2"/>
  <c r="F45" i="2"/>
  <c r="F27" i="2"/>
  <c r="F10" i="2"/>
  <c r="L49" i="2"/>
  <c r="P60" i="2"/>
  <c r="P35" i="2"/>
  <c r="P14" i="2"/>
  <c r="I68" i="2"/>
  <c r="L16" i="2"/>
  <c r="D16" i="2"/>
  <c r="L45" i="2"/>
  <c r="D38" i="2"/>
  <c r="D53" i="2"/>
  <c r="D21" i="2"/>
  <c r="D13" i="2"/>
  <c r="L60" i="2"/>
  <c r="L12" i="2"/>
  <c r="D44" i="2"/>
  <c r="L54" i="2"/>
  <c r="P43" i="2"/>
  <c r="D58" i="2"/>
  <c r="D10" i="2"/>
  <c r="P52" i="2"/>
  <c r="D40" i="2"/>
  <c r="D30" i="2"/>
  <c r="D6" i="2"/>
  <c r="D2" i="2"/>
  <c r="D37" i="2"/>
  <c r="L33" i="2"/>
  <c r="D52" i="2"/>
  <c r="D28" i="2"/>
  <c r="D12" i="2"/>
  <c r="L31" i="2"/>
  <c r="D50" i="2"/>
  <c r="D42" i="2"/>
  <c r="D34" i="2"/>
  <c r="D26" i="2"/>
  <c r="D18" i="2"/>
  <c r="F2" i="2"/>
  <c r="F44" i="2"/>
  <c r="F26" i="2"/>
  <c r="H57" i="2"/>
  <c r="L47" i="2"/>
  <c r="L29" i="2"/>
  <c r="P34" i="2"/>
  <c r="P13" i="2"/>
  <c r="D57" i="2"/>
  <c r="D49" i="2"/>
  <c r="D41" i="2"/>
  <c r="D33" i="2"/>
  <c r="D25" i="2"/>
  <c r="D17" i="2"/>
  <c r="D9" i="2"/>
  <c r="F60" i="2"/>
  <c r="F43" i="2"/>
  <c r="F18" i="2"/>
  <c r="H41" i="2"/>
  <c r="L46" i="2"/>
  <c r="L28" i="2"/>
  <c r="P51" i="2"/>
  <c r="P33" i="2"/>
  <c r="P12" i="2"/>
  <c r="E68" i="2"/>
  <c r="J57" i="2"/>
  <c r="D55" i="2"/>
  <c r="D47" i="2"/>
  <c r="D39" i="2"/>
  <c r="D31" i="2"/>
  <c r="D23" i="2"/>
  <c r="D15" i="2"/>
  <c r="F58" i="2"/>
  <c r="F34" i="2"/>
  <c r="F15" i="2"/>
  <c r="H9" i="2"/>
  <c r="L44" i="2"/>
  <c r="L15" i="2"/>
  <c r="P49" i="2"/>
  <c r="P30" i="2"/>
  <c r="G68" i="2"/>
  <c r="O68" i="2"/>
  <c r="P29" i="2"/>
  <c r="P45" i="2"/>
  <c r="P28" i="2"/>
  <c r="P10" i="2"/>
  <c r="P11" i="2"/>
  <c r="P2" i="2"/>
  <c r="P44" i="2"/>
  <c r="P27" i="2"/>
  <c r="P9" i="2"/>
  <c r="P59" i="2"/>
  <c r="P42" i="2"/>
  <c r="P25" i="2"/>
  <c r="P7" i="2"/>
  <c r="P58" i="2"/>
  <c r="P41" i="2"/>
  <c r="P24" i="2"/>
  <c r="P6" i="2"/>
  <c r="P57" i="2"/>
  <c r="P40" i="2"/>
  <c r="P23" i="2"/>
  <c r="P5" i="2"/>
  <c r="P56" i="2"/>
  <c r="P39" i="2"/>
  <c r="P22" i="2"/>
  <c r="P4" i="2"/>
  <c r="P55" i="2"/>
  <c r="P3" i="2"/>
  <c r="P54" i="2"/>
  <c r="P37" i="2"/>
  <c r="P20" i="2"/>
  <c r="P38" i="2"/>
  <c r="P21" i="2"/>
  <c r="P53" i="2"/>
  <c r="P36" i="2"/>
  <c r="P16" i="2"/>
  <c r="N58" i="2"/>
  <c r="N25" i="2"/>
  <c r="N9" i="2"/>
  <c r="N56" i="2"/>
  <c r="N40" i="2"/>
  <c r="N24" i="2"/>
  <c r="N8" i="2"/>
  <c r="N28" i="2"/>
  <c r="N39" i="2"/>
  <c r="N23" i="2"/>
  <c r="N5" i="2"/>
  <c r="N41" i="2"/>
  <c r="N53" i="2"/>
  <c r="N12" i="2"/>
  <c r="N42" i="2"/>
  <c r="N22" i="2"/>
  <c r="N37" i="2"/>
  <c r="N52" i="2"/>
  <c r="N36" i="2"/>
  <c r="N20" i="2"/>
  <c r="N26" i="2"/>
  <c r="N38" i="2"/>
  <c r="N21" i="2"/>
  <c r="N51" i="2"/>
  <c r="N35" i="2"/>
  <c r="N19" i="2"/>
  <c r="N44" i="2"/>
  <c r="N57" i="2"/>
  <c r="N4" i="2"/>
  <c r="N3" i="2"/>
  <c r="N50" i="2"/>
  <c r="N34" i="2"/>
  <c r="N18" i="2"/>
  <c r="N54" i="2"/>
  <c r="N49" i="2"/>
  <c r="N33" i="2"/>
  <c r="N17" i="2"/>
  <c r="N48" i="2"/>
  <c r="N32" i="2"/>
  <c r="N16" i="2"/>
  <c r="N60" i="2"/>
  <c r="N10" i="2"/>
  <c r="N55" i="2"/>
  <c r="N31" i="2"/>
  <c r="N46" i="2"/>
  <c r="N14" i="2"/>
  <c r="N47" i="2"/>
  <c r="N15" i="2"/>
  <c r="N30" i="2"/>
  <c r="N2" i="2"/>
  <c r="N45" i="2"/>
  <c r="N29" i="2"/>
  <c r="N13" i="2"/>
  <c r="N6" i="2"/>
  <c r="N59" i="2"/>
  <c r="N43" i="2"/>
  <c r="N27" i="2"/>
  <c r="L14" i="2"/>
  <c r="L11" i="2"/>
  <c r="L59" i="2"/>
  <c r="L58" i="2"/>
  <c r="L42" i="2"/>
  <c r="L26" i="2"/>
  <c r="L10" i="2"/>
  <c r="L43" i="2"/>
  <c r="L57" i="2"/>
  <c r="L41" i="2"/>
  <c r="L25" i="2"/>
  <c r="L9" i="2"/>
  <c r="L27" i="2"/>
  <c r="L56" i="2"/>
  <c r="L40" i="2"/>
  <c r="L24" i="2"/>
  <c r="L8" i="2"/>
  <c r="L55" i="2"/>
  <c r="L39" i="2"/>
  <c r="L23" i="2"/>
  <c r="L7" i="2"/>
  <c r="L53" i="2"/>
  <c r="L21" i="2"/>
  <c r="L52" i="2"/>
  <c r="L36" i="2"/>
  <c r="L20" i="2"/>
  <c r="L4" i="2"/>
  <c r="L37" i="2"/>
  <c r="L51" i="2"/>
  <c r="L35" i="2"/>
  <c r="L19" i="2"/>
  <c r="L3" i="2"/>
  <c r="L5" i="2"/>
  <c r="L50" i="2"/>
  <c r="L34" i="2"/>
  <c r="L18" i="2"/>
  <c r="L17" i="2"/>
  <c r="L48" i="2"/>
  <c r="L32" i="2"/>
  <c r="J52" i="2"/>
  <c r="J3" i="2"/>
  <c r="J34" i="2"/>
  <c r="J18" i="2"/>
  <c r="J49" i="2"/>
  <c r="J33" i="2"/>
  <c r="J17" i="2"/>
  <c r="J19" i="2"/>
  <c r="J50" i="2"/>
  <c r="J48" i="2"/>
  <c r="J32" i="2"/>
  <c r="J16" i="2"/>
  <c r="J47" i="2"/>
  <c r="J31" i="2"/>
  <c r="J15" i="2"/>
  <c r="J46" i="2"/>
  <c r="J30" i="2"/>
  <c r="J14" i="2"/>
  <c r="J4" i="2"/>
  <c r="J45" i="2"/>
  <c r="J60" i="2"/>
  <c r="J44" i="2"/>
  <c r="J28" i="2"/>
  <c r="J12" i="2"/>
  <c r="J2" i="2"/>
  <c r="J13" i="2"/>
  <c r="J59" i="2"/>
  <c r="J43" i="2"/>
  <c r="J27" i="2"/>
  <c r="J11" i="2"/>
  <c r="J58" i="2"/>
  <c r="J42" i="2"/>
  <c r="J26" i="2"/>
  <c r="J10" i="2"/>
  <c r="J20" i="2"/>
  <c r="J35" i="2"/>
  <c r="J41" i="2"/>
  <c r="J25" i="2"/>
  <c r="J9" i="2"/>
  <c r="J56" i="2"/>
  <c r="J24" i="2"/>
  <c r="J55" i="2"/>
  <c r="J23" i="2"/>
  <c r="J54" i="2"/>
  <c r="J38" i="2"/>
  <c r="J22" i="2"/>
  <c r="J6" i="2"/>
  <c r="J36" i="2"/>
  <c r="J51" i="2"/>
  <c r="J29" i="2"/>
  <c r="J40" i="2"/>
  <c r="J8" i="2"/>
  <c r="J39" i="2"/>
  <c r="J7" i="2"/>
  <c r="J53" i="2"/>
  <c r="J37" i="2"/>
  <c r="J21" i="2"/>
  <c r="H56" i="2"/>
  <c r="H40" i="2"/>
  <c r="H24" i="2"/>
  <c r="H8" i="2"/>
  <c r="H23" i="2"/>
  <c r="H55" i="2"/>
  <c r="H39" i="2"/>
  <c r="H7" i="2"/>
  <c r="H54" i="2"/>
  <c r="H38" i="2"/>
  <c r="H22" i="2"/>
  <c r="H6" i="2"/>
  <c r="H21" i="2"/>
  <c r="H5" i="2"/>
  <c r="H36" i="2"/>
  <c r="H19" i="2"/>
  <c r="H50" i="2"/>
  <c r="H34" i="2"/>
  <c r="H18" i="2"/>
  <c r="H53" i="2"/>
  <c r="H35" i="2"/>
  <c r="H17" i="2"/>
  <c r="H20" i="2"/>
  <c r="H49" i="2"/>
  <c r="H48" i="2"/>
  <c r="H32" i="2"/>
  <c r="H16" i="2"/>
  <c r="H51" i="2"/>
  <c r="H3" i="2"/>
  <c r="H33" i="2"/>
  <c r="H47" i="2"/>
  <c r="H31" i="2"/>
  <c r="H15" i="2"/>
  <c r="H2" i="2"/>
  <c r="H45" i="2"/>
  <c r="H29" i="2"/>
  <c r="H13" i="2"/>
  <c r="H37" i="2"/>
  <c r="H4" i="2"/>
  <c r="H14" i="2"/>
  <c r="H60" i="2"/>
  <c r="H44" i="2"/>
  <c r="H28" i="2"/>
  <c r="H12" i="2"/>
  <c r="H52" i="2"/>
  <c r="H30" i="2"/>
  <c r="H59" i="2"/>
  <c r="H43" i="2"/>
  <c r="H27" i="2"/>
  <c r="H11" i="2"/>
  <c r="H46" i="2"/>
  <c r="H58" i="2"/>
  <c r="H42" i="2"/>
  <c r="H26" i="2"/>
  <c r="F9" i="2"/>
  <c r="F57" i="2"/>
  <c r="F41" i="2"/>
  <c r="F25" i="2"/>
  <c r="F56" i="2"/>
  <c r="F40" i="2"/>
  <c r="F24" i="2"/>
  <c r="F8" i="2"/>
  <c r="F23" i="2"/>
  <c r="F54" i="2"/>
  <c r="F38" i="2"/>
  <c r="F22" i="2"/>
  <c r="F6" i="2"/>
  <c r="F53" i="2"/>
  <c r="F37" i="2"/>
  <c r="F21" i="2"/>
  <c r="F5" i="2"/>
  <c r="F39" i="2"/>
  <c r="F7" i="2"/>
  <c r="F52" i="2"/>
  <c r="F36" i="2"/>
  <c r="F20" i="2"/>
  <c r="F4" i="2"/>
  <c r="F51" i="2"/>
  <c r="F35" i="2"/>
  <c r="F19" i="2"/>
  <c r="F3" i="2"/>
  <c r="F49" i="2"/>
  <c r="F33" i="2"/>
  <c r="F48" i="2"/>
  <c r="F32" i="2"/>
  <c r="F16" i="2"/>
  <c r="F46" i="2"/>
  <c r="F30" i="2"/>
  <c r="P18" i="2"/>
  <c r="P48" i="2"/>
  <c r="P32" i="2"/>
  <c r="N7" i="2"/>
  <c r="K34" i="1"/>
  <c r="G34" i="1" s="1"/>
  <c r="D34" i="1"/>
  <c r="F34" i="1" s="1"/>
  <c r="K57" i="1"/>
  <c r="G57" i="1" s="1"/>
  <c r="D57" i="1"/>
  <c r="F57" i="1" s="1"/>
  <c r="H34" i="1" l="1"/>
  <c r="I34" i="1"/>
  <c r="H57" i="1"/>
  <c r="I57" i="1"/>
  <c r="I48" i="1" l="1"/>
  <c r="H48" i="1"/>
  <c r="K53" i="1"/>
  <c r="G53" i="1" s="1"/>
  <c r="D53" i="1"/>
  <c r="F53" i="1" s="1"/>
  <c r="I19" i="1"/>
  <c r="H19" i="1"/>
  <c r="H53" i="1" l="1"/>
  <c r="I53" i="1"/>
  <c r="K30" i="1" l="1"/>
  <c r="G30" i="1" s="1"/>
  <c r="F30" i="1"/>
  <c r="K61" i="1"/>
  <c r="G61" i="1" s="1"/>
  <c r="E61" i="1"/>
  <c r="F61" i="1" s="1"/>
  <c r="K21" i="1"/>
  <c r="G21" i="1" s="1"/>
  <c r="D21" i="1"/>
  <c r="F21" i="1" s="1"/>
  <c r="K59" i="1"/>
  <c r="G59" i="1" s="1"/>
  <c r="D59" i="1"/>
  <c r="F59" i="1" s="1"/>
  <c r="K20" i="1"/>
  <c r="G20" i="1" s="1"/>
  <c r="F20" i="1"/>
  <c r="K58" i="1"/>
  <c r="G58" i="1" s="1"/>
  <c r="K35" i="1"/>
  <c r="I35" i="1"/>
  <c r="H35" i="1"/>
  <c r="K18" i="1"/>
  <c r="G18" i="1" s="1"/>
  <c r="D18" i="1"/>
  <c r="F18" i="1" s="1"/>
  <c r="K17" i="1"/>
  <c r="G17" i="1" s="1"/>
  <c r="D17" i="1"/>
  <c r="F17" i="1" s="1"/>
  <c r="K56" i="1"/>
  <c r="G56" i="1" s="1"/>
  <c r="F56" i="1"/>
  <c r="K55" i="1"/>
  <c r="G55" i="1" s="1"/>
  <c r="F55" i="1"/>
  <c r="K54" i="1"/>
  <c r="G54" i="1" s="1"/>
  <c r="K16" i="1"/>
  <c r="G16" i="1" s="1"/>
  <c r="F16" i="1"/>
  <c r="K52" i="1"/>
  <c r="G52" i="1" s="1"/>
  <c r="F52" i="1"/>
  <c r="K51" i="1"/>
  <c r="G51" i="1" s="1"/>
  <c r="F51" i="1"/>
  <c r="K15" i="1"/>
  <c r="G15" i="1" s="1"/>
  <c r="F15" i="1"/>
  <c r="K50" i="1"/>
  <c r="G50" i="1" s="1"/>
  <c r="D50" i="1"/>
  <c r="K33" i="1"/>
  <c r="G33" i="1" s="1"/>
  <c r="D33" i="1"/>
  <c r="F33" i="1" s="1"/>
  <c r="K14" i="1"/>
  <c r="G14" i="1" s="1"/>
  <c r="F14" i="1"/>
  <c r="K32" i="1"/>
  <c r="G32" i="1" s="1"/>
  <c r="F32" i="1"/>
  <c r="K13" i="1"/>
  <c r="G13" i="1" s="1"/>
  <c r="F13" i="1"/>
  <c r="K31" i="1"/>
  <c r="G31" i="1" s="1"/>
  <c r="F31" i="1"/>
  <c r="K49" i="1"/>
  <c r="G49" i="1" s="1"/>
  <c r="F49" i="1"/>
  <c r="K12" i="1"/>
  <c r="G12" i="1" s="1"/>
  <c r="F12" i="1"/>
  <c r="K29" i="1"/>
  <c r="G29" i="1" s="1"/>
  <c r="F29" i="1"/>
  <c r="K28" i="1"/>
  <c r="G28" i="1" s="1"/>
  <c r="F28" i="1"/>
  <c r="K11" i="1"/>
  <c r="G11" i="1" s="1"/>
  <c r="H11" i="1" s="1"/>
  <c r="I47" i="1"/>
  <c r="H47" i="1"/>
  <c r="K46" i="1"/>
  <c r="G46" i="1" s="1"/>
  <c r="K10" i="1"/>
  <c r="G10" i="1" s="1"/>
  <c r="F10" i="1"/>
  <c r="K45" i="1"/>
  <c r="G45" i="1" s="1"/>
  <c r="I45" i="1" s="1"/>
  <c r="K9" i="1"/>
  <c r="G9" i="1" s="1"/>
  <c r="F9" i="1"/>
  <c r="K27" i="1"/>
  <c r="G27" i="1" s="1"/>
  <c r="F27" i="1"/>
  <c r="K8" i="1"/>
  <c r="G8" i="1" s="1"/>
  <c r="K7" i="1"/>
  <c r="G7" i="1" s="1"/>
  <c r="H7" i="1" s="1"/>
  <c r="K26" i="1"/>
  <c r="G26" i="1" s="1"/>
  <c r="F26" i="1"/>
  <c r="D26" i="1"/>
  <c r="K44" i="1"/>
  <c r="G44" i="1" s="1"/>
  <c r="F44" i="1"/>
  <c r="K6" i="1"/>
  <c r="G6" i="1" s="1"/>
  <c r="H6" i="1" s="1"/>
  <c r="K43" i="1"/>
  <c r="G43" i="1" s="1"/>
  <c r="D43" i="1"/>
  <c r="F43" i="1" s="1"/>
  <c r="K42" i="1"/>
  <c r="G42" i="1" s="1"/>
  <c r="H42" i="1" s="1"/>
  <c r="K25" i="1"/>
  <c r="G25" i="1" s="1"/>
  <c r="K5" i="1"/>
  <c r="G5" i="1" s="1"/>
  <c r="F5" i="1"/>
  <c r="K24" i="1"/>
  <c r="G24" i="1" s="1"/>
  <c r="F24" i="1"/>
  <c r="K4" i="1"/>
  <c r="G4" i="1" s="1"/>
  <c r="F4" i="1"/>
  <c r="K23" i="1"/>
  <c r="G23" i="1" s="1"/>
  <c r="H23" i="1" s="1"/>
  <c r="H61" i="1" l="1"/>
  <c r="H30" i="1"/>
  <c r="I30" i="1"/>
  <c r="H26" i="1"/>
  <c r="H43" i="1"/>
  <c r="H55" i="1"/>
  <c r="H21" i="1"/>
  <c r="I20" i="1"/>
  <c r="H59" i="1"/>
  <c r="H56" i="1"/>
  <c r="H16" i="1"/>
  <c r="H32" i="1"/>
  <c r="I51" i="1"/>
  <c r="I4" i="1"/>
  <c r="I24" i="1"/>
  <c r="H49" i="1"/>
  <c r="I27" i="1"/>
  <c r="I10" i="1"/>
  <c r="H29" i="1"/>
  <c r="H31" i="1"/>
  <c r="H14" i="1"/>
  <c r="H15" i="1"/>
  <c r="H17" i="1"/>
  <c r="I52" i="1"/>
  <c r="H20" i="1"/>
  <c r="H12" i="1"/>
  <c r="H33" i="1"/>
  <c r="I46" i="1"/>
  <c r="H46" i="1"/>
  <c r="I12" i="1"/>
  <c r="I13" i="1"/>
  <c r="H51" i="1"/>
  <c r="I18" i="1"/>
  <c r="I29" i="1"/>
  <c r="I14" i="1"/>
  <c r="I56" i="1"/>
  <c r="I16" i="1"/>
  <c r="H4" i="1"/>
  <c r="H27" i="1"/>
  <c r="I5" i="1"/>
  <c r="I26" i="1"/>
  <c r="I31" i="1"/>
  <c r="I43" i="1"/>
  <c r="I15" i="1"/>
  <c r="H24" i="1"/>
  <c r="I49" i="1"/>
  <c r="I32" i="1"/>
  <c r="E50" i="1"/>
  <c r="F50" i="1" s="1"/>
  <c r="F54" i="1"/>
  <c r="H54" i="1" s="1"/>
  <c r="I55" i="1"/>
  <c r="I59" i="1"/>
  <c r="I21" i="1"/>
  <c r="H44" i="1"/>
  <c r="I44" i="1"/>
  <c r="I61" i="1"/>
  <c r="I9" i="1"/>
  <c r="H9" i="1"/>
  <c r="I8" i="1"/>
  <c r="H8" i="1"/>
  <c r="I33" i="1"/>
  <c r="I17" i="1"/>
  <c r="I58" i="1"/>
  <c r="H58" i="1"/>
  <c r="I25" i="1"/>
  <c r="H25" i="1"/>
  <c r="I28" i="1"/>
  <c r="H28" i="1"/>
  <c r="H18" i="1"/>
  <c r="H5" i="1"/>
  <c r="I42" i="1"/>
  <c r="I7" i="1"/>
  <c r="I6" i="1"/>
  <c r="H45" i="1"/>
  <c r="I11" i="1"/>
  <c r="H10" i="1"/>
  <c r="I23" i="1"/>
  <c r="H13" i="1"/>
  <c r="H52" i="1"/>
  <c r="H50" i="1" l="1"/>
  <c r="I50" i="1"/>
  <c r="I54" i="1"/>
  <c r="B65" i="1" l="1"/>
  <c r="B69" i="1"/>
  <c r="B64" i="1"/>
  <c r="B68" i="1"/>
  <c r="B67" i="1"/>
  <c r="L40" i="1"/>
  <c r="L2" i="1"/>
  <c r="B70" i="1" l="1"/>
  <c r="O11" i="1"/>
  <c r="O60" i="1"/>
  <c r="O52" i="1"/>
  <c r="O6" i="1"/>
  <c r="O47" i="1"/>
  <c r="O55" i="1"/>
  <c r="O53" i="1"/>
  <c r="O7" i="1"/>
  <c r="O58" i="1"/>
  <c r="O31" i="1"/>
  <c r="O18" i="1"/>
  <c r="O44" i="1"/>
  <c r="O62" i="1"/>
  <c r="O28" i="1"/>
  <c r="O61" i="1"/>
  <c r="O12" i="1"/>
  <c r="O46" i="1"/>
  <c r="O32" i="1"/>
  <c r="O23" i="1"/>
  <c r="O5" i="1"/>
  <c r="O17" i="1"/>
  <c r="O15" i="1"/>
  <c r="O13" i="1"/>
  <c r="O26" i="1"/>
  <c r="O59" i="1"/>
  <c r="O16" i="1"/>
  <c r="O45" i="1"/>
  <c r="O42" i="1"/>
  <c r="O35" i="1"/>
  <c r="O25" i="1"/>
  <c r="O49" i="1"/>
  <c r="O20" i="1"/>
  <c r="O19" i="1"/>
  <c r="O14" i="1"/>
  <c r="O57" i="1"/>
  <c r="O54" i="1"/>
  <c r="O27" i="1"/>
  <c r="O29" i="1"/>
  <c r="O24" i="1"/>
  <c r="O43" i="1"/>
  <c r="O50" i="1"/>
  <c r="O4" i="1"/>
  <c r="O33" i="1"/>
  <c r="O21" i="1"/>
  <c r="O9" i="1"/>
  <c r="O30" i="1"/>
  <c r="O10" i="1"/>
  <c r="O51" i="1"/>
  <c r="O48" i="1"/>
  <c r="O8" i="1"/>
  <c r="O56" i="1"/>
  <c r="O34" i="1"/>
</calcChain>
</file>

<file path=xl/sharedStrings.xml><?xml version="1.0" encoding="utf-8"?>
<sst xmlns="http://schemas.openxmlformats.org/spreadsheetml/2006/main" count="524" uniqueCount="150">
  <si>
    <t>Delivered to</t>
  </si>
  <si>
    <t>Pounds delivered in 2023 by RT</t>
  </si>
  <si>
    <r>
      <t xml:space="preserve">Agency Type </t>
    </r>
    <r>
      <rPr>
        <sz val="12"/>
        <color theme="1"/>
        <rFont val="Calibri"/>
        <family val="2"/>
      </rPr>
      <t>(FP, MS, RF)</t>
    </r>
  </si>
  <si>
    <t>Clients/ week</t>
  </si>
  <si>
    <r>
      <t xml:space="preserve">Lbs food/ food distribution </t>
    </r>
    <r>
      <rPr>
        <sz val="12"/>
        <color theme="1"/>
        <rFont val="Calibri"/>
        <family val="2"/>
      </rPr>
      <t>(FP only)</t>
    </r>
  </si>
  <si>
    <t>Meals served/ week</t>
  </si>
  <si>
    <t>Meals/wk delivered by RT</t>
  </si>
  <si>
    <r>
      <t>Meals Served/ Meals Delivered</t>
    </r>
    <r>
      <rPr>
        <b/>
        <sz val="12"/>
        <color theme="9" tint="-0.249977111117893"/>
        <rFont val="Calibri"/>
        <family val="2"/>
      </rPr>
      <t>*</t>
    </r>
  </si>
  <si>
    <r>
      <t>Meals Delivered/ Meals Served</t>
    </r>
    <r>
      <rPr>
        <b/>
        <sz val="12"/>
        <color rgb="FF2F75B5"/>
        <rFont val="Calibri"/>
        <family val="2"/>
      </rPr>
      <t>**</t>
    </r>
  </si>
  <si>
    <t>Notes</t>
  </si>
  <si>
    <t>Meals/yr delivered by RT</t>
  </si>
  <si>
    <r>
      <t>Meals Delivered/ Meals Served</t>
    </r>
    <r>
      <rPr>
        <b/>
        <sz val="12"/>
        <color theme="4" tint="-0.249977111117893"/>
        <rFont val="Calibri"/>
        <family val="2"/>
      </rPr>
      <t xml:space="preserve"> </t>
    </r>
    <r>
      <rPr>
        <b/>
        <sz val="12"/>
        <color rgb="FF2F75B5"/>
        <rFont val="Calibri"/>
        <family val="2"/>
      </rPr>
      <t>(Mean)</t>
    </r>
  </si>
  <si>
    <r>
      <rPr>
        <b/>
        <sz val="12"/>
        <color theme="1"/>
        <rFont val="Calibri"/>
        <family val="2"/>
      </rPr>
      <t>FB Agency</t>
    </r>
    <r>
      <rPr>
        <sz val="12"/>
        <color theme="1"/>
        <rFont val="Calibri"/>
        <family val="2"/>
      </rPr>
      <t xml:space="preserve"> (Y/N)</t>
    </r>
  </si>
  <si>
    <t>Z-score</t>
  </si>
  <si>
    <r>
      <rPr>
        <b/>
        <sz val="12"/>
        <color theme="9" tint="-0.249977111117893"/>
        <rFont val="Calibri"/>
        <family val="2"/>
      </rPr>
      <t>*</t>
    </r>
    <r>
      <rPr>
        <sz val="12"/>
        <color theme="9" tint="-0.249977111117893"/>
        <rFont val="Calibri"/>
        <family val="2"/>
      </rPr>
      <t>Higher # indicates less food is being delivered per population served</t>
    </r>
  </si>
  <si>
    <t>Non-Food Bank Agencies</t>
  </si>
  <si>
    <t>Macedonia Church of God in Christ</t>
  </si>
  <si>
    <t>FP</t>
  </si>
  <si>
    <t>50-75 people pick up food after Sunday church service. Rachel's Table is only current food supplier.</t>
  </si>
  <si>
    <t>N</t>
  </si>
  <si>
    <t>Applying to be FB Agency</t>
  </si>
  <si>
    <t>Salvation Army Rehab, Liberty St</t>
  </si>
  <si>
    <t>MS</t>
  </si>
  <si>
    <t>Ronald McDonald House of Springfield</t>
  </si>
  <si>
    <t>Does not provide meals. Guests are responsible for their own meals. 30 people/week on average. Currently providing food equivalent to 8 meals/wk with ulimate goal 3 melas/day, 7 days/week</t>
  </si>
  <si>
    <t>Seniority House</t>
  </si>
  <si>
    <t>RF</t>
  </si>
  <si>
    <t>Residents responsible for their own meals. Goal of provide 2 meals/wk with donations, but not there yet.</t>
  </si>
  <si>
    <t>Valley Opportunity Council</t>
  </si>
  <si>
    <t>Maximum of 162/ week, usually close to 100/ week</t>
  </si>
  <si>
    <t>Main Street Shelter (VOC)</t>
  </si>
  <si>
    <t>Mean Agency (with data collected to date)</t>
  </si>
  <si>
    <t>Greenwich/Open Pantry Teen Living Program</t>
  </si>
  <si>
    <t>?</t>
  </si>
  <si>
    <t>Bowen Center, The</t>
  </si>
  <si>
    <t xml:space="preserve">20-30  per day, 4 days per week. Meals are not actually served, but food is distributed equivalent to 1 meal per day  </t>
  </si>
  <si>
    <t>Christina's House</t>
  </si>
  <si>
    <t>Median Agency (with data collected to date)</t>
  </si>
  <si>
    <t>Boys &amp; Girls Club of Chicopee</t>
  </si>
  <si>
    <t>50-100/ meal; Dinner during school year, Breakfast during summer</t>
  </si>
  <si>
    <t>Our House-Domus</t>
  </si>
  <si>
    <t>Springfield Housing Authority</t>
  </si>
  <si>
    <t>50-60 students in after-school programs</t>
  </si>
  <si>
    <t>Hairston House</t>
  </si>
  <si>
    <t>Oasis Food Pantry</t>
  </si>
  <si>
    <t>300-400 families/week. They don't track lbs distributed/client. Will use average of other Pantries</t>
  </si>
  <si>
    <t>Thrive Center- HCC</t>
  </si>
  <si>
    <t>Average ~175 students /mth with average of 3 visits/student/month, 10-12 lb/visit</t>
  </si>
  <si>
    <t>Springfield Rescue Mission</t>
  </si>
  <si>
    <t>MS, FP, &amp; RS</t>
  </si>
  <si>
    <t xml:space="preserve">CHD/Community Assessment Program </t>
  </si>
  <si>
    <t>Home City</t>
  </si>
  <si>
    <t>Very little storage space for perishables.</t>
  </si>
  <si>
    <r>
      <t xml:space="preserve">Food Bank Enabled Agencies- </t>
    </r>
    <r>
      <rPr>
        <sz val="12"/>
        <rFont val="Calibri"/>
        <family val="2"/>
      </rPr>
      <t>Food delivered to Agencies by RTWN from FBWM donors</t>
    </r>
  </si>
  <si>
    <t>Not Bread Alone</t>
  </si>
  <si>
    <t>Y</t>
  </si>
  <si>
    <t>A number &gt;1 in Column I means more meals are being Delivered than Served</t>
  </si>
  <si>
    <t>Samaritan Inn</t>
  </si>
  <si>
    <t>35-40 adults. Serves breakfast/lunch/dinner 7 days p/wk</t>
  </si>
  <si>
    <t>Lorraine's Soup Kitchen and Pantry</t>
  </si>
  <si>
    <t>MS &amp; FP</t>
  </si>
  <si>
    <t>Salvation Army Food Pantry, Springfield</t>
  </si>
  <si>
    <t xml:space="preserve">The average number of people served each month is about 1,021 or approximately 9,186 meals. </t>
  </si>
  <si>
    <t>St. Johns Friends' Place</t>
  </si>
  <si>
    <t>45-50 lb/person/week</t>
  </si>
  <si>
    <t>All Nations Church of God</t>
  </si>
  <si>
    <t>40-45 lb/ distribution</t>
  </si>
  <si>
    <t>Gandara</t>
  </si>
  <si>
    <t>They don't track lbs distributed/client</t>
  </si>
  <si>
    <t>Victory Temple</t>
  </si>
  <si>
    <t>Open Pantry Emergency Food Program</t>
  </si>
  <si>
    <t>175 people/day, 325 households/week. Numbers conflict so I averaged them</t>
  </si>
  <si>
    <t>Northampton Survival Center</t>
  </si>
  <si>
    <t>Hampshire</t>
  </si>
  <si>
    <t>Gray House, The</t>
  </si>
  <si>
    <t>First Baptist Church of Amherst</t>
  </si>
  <si>
    <t>Amherst Survival Center</t>
  </si>
  <si>
    <r>
      <rPr>
        <b/>
        <sz val="12"/>
        <color rgb="FF2F75B5"/>
        <rFont val="Calibri"/>
        <family val="2"/>
      </rPr>
      <t>**</t>
    </r>
    <r>
      <rPr>
        <sz val="12"/>
        <color rgb="FF2F75B5"/>
        <rFont val="Calibri"/>
        <family val="2"/>
      </rPr>
      <t>Lower # indicates less food is being delivered per population served</t>
    </r>
  </si>
  <si>
    <r>
      <t xml:space="preserve">Food Bank non-Enabled Agencies- </t>
    </r>
    <r>
      <rPr>
        <sz val="12"/>
        <rFont val="Calibri"/>
        <family val="2"/>
      </rPr>
      <t>Food delivered to Agencies by RTWM from RTWM donors only</t>
    </r>
  </si>
  <si>
    <t>Stone Soup</t>
  </si>
  <si>
    <t>400-500 meals/wk</t>
  </si>
  <si>
    <t>Community Survival Center</t>
  </si>
  <si>
    <t>~40 families /wk, 10-15 lbs/person</t>
  </si>
  <si>
    <t>Kate's Kitchen &amp; Loreto House</t>
  </si>
  <si>
    <t>100-120/ meal early in month; 
180/ meal later in month</t>
  </si>
  <si>
    <t>Loaves and Fishes Soup Kitchen</t>
  </si>
  <si>
    <t>Manna Soup Kitchen</t>
  </si>
  <si>
    <t>Dream Center</t>
  </si>
  <si>
    <t>FP &amp; MS</t>
  </si>
  <si>
    <t>Salvation Army Food Pantry, Holyoke</t>
  </si>
  <si>
    <t>Worthington House (Friends of the Homeless)</t>
  </si>
  <si>
    <t>Longmeadow Adult Center</t>
  </si>
  <si>
    <t>75-80 households/week</t>
  </si>
  <si>
    <t>ALIANZA</t>
  </si>
  <si>
    <t>High St. Adult Medicine</t>
  </si>
  <si>
    <t>They don't track lbs distributed/client. Will use average of other Pantries.</t>
  </si>
  <si>
    <t>Project Hope Pantry House of Refuge Church</t>
  </si>
  <si>
    <t xml:space="preserve">600-800 people/month </t>
  </si>
  <si>
    <t>Parish Cupboard</t>
  </si>
  <si>
    <t>Care Center, The</t>
  </si>
  <si>
    <t>Center for Self Reliance Food Pantries</t>
  </si>
  <si>
    <t>Give 35-40 lbs of all categories and ~15 lbs produce &amp; bread in alternating weeks to clients</t>
  </si>
  <si>
    <t>Franklin</t>
  </si>
  <si>
    <t>S.M.A.R.T. Food Pantry</t>
  </si>
  <si>
    <t>Best estimate is 75 -150 pounds of food weekl,20-40 families on average a week with that reaching higher depending on the week</t>
  </si>
  <si>
    <t>FCCMP</t>
  </si>
  <si>
    <t>Margaret's Pantry</t>
  </si>
  <si>
    <t>Served 444 families 2/23, served 821 families 2/24, using 633 families, 2.5 people/family</t>
  </si>
  <si>
    <t>Salvation Army Food Pantry, Greenfield</t>
  </si>
  <si>
    <t>Martin Luther King Jr. Community Center</t>
  </si>
  <si>
    <t>115-120 lbs/family/week</t>
  </si>
  <si>
    <t>Behavioral Health Network</t>
  </si>
  <si>
    <t>Not exactly a Food Pantry. Food is picked up by clients or delivered by case workers as needs are identified</t>
  </si>
  <si>
    <t>Standard Deviation</t>
  </si>
  <si>
    <t>Median</t>
  </si>
  <si>
    <t>Max</t>
  </si>
  <si>
    <t>Min</t>
  </si>
  <si>
    <t>Range</t>
  </si>
  <si>
    <t>Agency Type</t>
  </si>
  <si>
    <t>Agency Name</t>
  </si>
  <si>
    <t>Bread &amp; Bakery</t>
  </si>
  <si>
    <t>Bread &amp; Bakery Z-Score</t>
  </si>
  <si>
    <t>Dairy &amp; Eggs</t>
  </si>
  <si>
    <t>Dairy &amp; Eggs Z-Score</t>
  </si>
  <si>
    <t>Prepared Foods</t>
  </si>
  <si>
    <t>Prepared Foods Z-Score</t>
  </si>
  <si>
    <t>Non-perishables</t>
  </si>
  <si>
    <t>Non-perishables Z-Score</t>
  </si>
  <si>
    <t>Produce</t>
  </si>
  <si>
    <t>Produce Z-Score</t>
  </si>
  <si>
    <t>Meat &amp; Protein</t>
  </si>
  <si>
    <t>Cleaning/ Hygeine</t>
  </si>
  <si>
    <t>Cleaning/ Hygeine Z-Score</t>
  </si>
  <si>
    <t>Total Donations in 2023</t>
  </si>
  <si>
    <t>Educare, Springfield</t>
  </si>
  <si>
    <t>Highland House</t>
  </si>
  <si>
    <t>Jewish Family Service</t>
  </si>
  <si>
    <t>La Voz/Tapestry Health</t>
  </si>
  <si>
    <t>Salvation Army Rehab, Liberty St.</t>
  </si>
  <si>
    <t>TH-Harm Reduction, Greenfield</t>
  </si>
  <si>
    <t>TH-Harm Reduction, Northampton</t>
  </si>
  <si>
    <t>Food Bank Agencies</t>
  </si>
  <si>
    <t>Franklin Cty. Comm. Meals Program (FCCMP)</t>
  </si>
  <si>
    <t>Gandara Family Resource</t>
  </si>
  <si>
    <t>Square One</t>
  </si>
  <si>
    <t>Westfield Food Pantry</t>
  </si>
  <si>
    <t>Worthington House (Friends of the Homeless</t>
  </si>
  <si>
    <t>Average Food Type %s Across all Deliveries in 2023</t>
  </si>
  <si>
    <t>Categories w/ high or low z-scores</t>
  </si>
  <si>
    <t>Meals Delivered/ Meals Served**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</si>
</sst>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#,##0.0"/>
    <numFmt numFmtId="166" formatCode="0.0"/>
    <numFmt numFmtId="167" formatCode="0.0%"/>
  </numFmts>
  <fonts count="21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color theme="9" tint="-0.249977111117893"/>
      <name val="Calibri"/>
      <family val="2"/>
    </font>
    <font>
      <b/>
      <sz val="12"/>
      <color theme="4" tint="-0.249977111117893"/>
      <name val="Calibri"/>
      <family val="2"/>
    </font>
    <font>
      <sz val="12"/>
      <color theme="9" tint="-0.249977111117893"/>
      <name val="Calibri"/>
      <family val="2"/>
    </font>
    <font>
      <sz val="12"/>
      <color theme="4" tint="-0.249977111117893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C00000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sz val="12"/>
      <color rgb="FF2F75B5"/>
      <name val="Calibri"/>
      <family val="2"/>
    </font>
    <font>
      <b/>
      <sz val="12"/>
      <name val="Calibri"/>
      <family val="2"/>
    </font>
    <font>
      <b/>
      <sz val="12"/>
      <color rgb="FF2F75B5"/>
      <name val="Calibri"/>
      <family val="2"/>
    </font>
    <font>
      <b/>
      <sz val="11"/>
      <color theme="1"/>
      <name val="Aptos Narrow"/>
      <family val="2"/>
      <scheme val="minor"/>
    </font>
    <font>
      <sz val="12"/>
      <color rgb="FF3C7D22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/>
    <xf numFmtId="165" fontId="8" fillId="0" borderId="0" xfId="0" applyNumberFormat="1" applyFont="1"/>
    <xf numFmtId="164" fontId="12" fillId="0" borderId="0" xfId="0" applyNumberFormat="1" applyFont="1"/>
    <xf numFmtId="0" fontId="8" fillId="0" borderId="0" xfId="0" applyFont="1" applyAlignment="1">
      <alignment horizontal="left"/>
    </xf>
    <xf numFmtId="0" fontId="1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8" fillId="0" borderId="1" xfId="0" applyFont="1" applyBorder="1"/>
    <xf numFmtId="165" fontId="8" fillId="0" borderId="1" xfId="0" applyNumberFormat="1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0" fontId="8" fillId="3" borderId="0" xfId="0" applyFont="1" applyFill="1"/>
    <xf numFmtId="165" fontId="8" fillId="3" borderId="0" xfId="0" applyNumberFormat="1" applyFont="1" applyFill="1"/>
    <xf numFmtId="165" fontId="15" fillId="0" borderId="0" xfId="0" applyNumberFormat="1" applyFont="1"/>
    <xf numFmtId="167" fontId="8" fillId="0" borderId="1" xfId="0" applyNumberFormat="1" applyFont="1" applyBorder="1"/>
    <xf numFmtId="167" fontId="8" fillId="0" borderId="0" xfId="0" applyNumberFormat="1" applyFont="1"/>
    <xf numFmtId="0" fontId="2" fillId="0" borderId="2" xfId="0" applyFont="1" applyBorder="1"/>
    <xf numFmtId="1" fontId="2" fillId="0" borderId="2" xfId="0" applyNumberFormat="1" applyFont="1" applyBorder="1"/>
    <xf numFmtId="0" fontId="17" fillId="0" borderId="0" xfId="0" applyFont="1"/>
    <xf numFmtId="0" fontId="17" fillId="4" borderId="0" xfId="0" applyFont="1" applyFill="1"/>
    <xf numFmtId="0" fontId="19" fillId="0" borderId="2" xfId="0" applyFont="1" applyBorder="1"/>
    <xf numFmtId="0" fontId="18" fillId="0" borderId="2" xfId="0" applyFont="1" applyBorder="1"/>
    <xf numFmtId="0" fontId="18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167" fontId="17" fillId="4" borderId="2" xfId="0" applyNumberFormat="1" applyFont="1" applyFill="1" applyBorder="1"/>
    <xf numFmtId="0" fontId="8" fillId="0" borderId="2" xfId="0" applyFont="1" applyBorder="1"/>
    <xf numFmtId="165" fontId="8" fillId="0" borderId="2" xfId="0" applyNumberFormat="1" applyFont="1" applyBorder="1"/>
    <xf numFmtId="3" fontId="8" fillId="0" borderId="2" xfId="0" applyNumberFormat="1" applyFont="1" applyBorder="1"/>
    <xf numFmtId="165" fontId="8" fillId="0" borderId="2" xfId="0" applyNumberFormat="1" applyFont="1" applyBorder="1" applyAlignment="1">
      <alignment horizontal="right"/>
    </xf>
    <xf numFmtId="166" fontId="8" fillId="0" borderId="2" xfId="0" applyNumberFormat="1" applyFont="1" applyBorder="1"/>
    <xf numFmtId="165" fontId="5" fillId="0" borderId="2" xfId="0" applyNumberFormat="1" applyFont="1" applyBorder="1"/>
    <xf numFmtId="167" fontId="12" fillId="0" borderId="2" xfId="0" applyNumberFormat="1" applyFont="1" applyBorder="1"/>
    <xf numFmtId="165" fontId="8" fillId="2" borderId="2" xfId="0" applyNumberFormat="1" applyFont="1" applyFill="1" applyBorder="1" applyAlignment="1">
      <alignment horizontal="right"/>
    </xf>
    <xf numFmtId="165" fontId="10" fillId="0" borderId="2" xfId="0" applyNumberFormat="1" applyFont="1" applyBorder="1" applyAlignment="1">
      <alignment horizontal="right"/>
    </xf>
    <xf numFmtId="0" fontId="7" fillId="0" borderId="2" xfId="0" applyFont="1" applyBorder="1"/>
    <xf numFmtId="0" fontId="8" fillId="2" borderId="2" xfId="0" applyFont="1" applyFill="1" applyBorder="1" applyAlignment="1">
      <alignment horizontal="right"/>
    </xf>
    <xf numFmtId="0" fontId="10" fillId="0" borderId="2" xfId="0" applyFont="1" applyBorder="1" applyAlignment="1">
      <alignment horizontal="center"/>
    </xf>
    <xf numFmtId="165" fontId="7" fillId="0" borderId="2" xfId="0" applyNumberFormat="1" applyFont="1" applyBorder="1"/>
    <xf numFmtId="3" fontId="8" fillId="2" borderId="2" xfId="0" applyNumberFormat="1" applyFont="1" applyFill="1" applyBorder="1"/>
    <xf numFmtId="0" fontId="1" fillId="0" borderId="2" xfId="0" applyFont="1" applyBorder="1" applyAlignment="1">
      <alignment wrapText="1"/>
    </xf>
    <xf numFmtId="3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164" fontId="1" fillId="0" borderId="2" xfId="0" applyNumberFormat="1" applyFont="1" applyBorder="1" applyAlignment="1">
      <alignment wrapText="1"/>
    </xf>
    <xf numFmtId="3" fontId="7" fillId="0" borderId="2" xfId="0" applyNumberFormat="1" applyFont="1" applyBorder="1" applyAlignment="1">
      <alignment horizontal="right"/>
    </xf>
    <xf numFmtId="165" fontId="9" fillId="2" borderId="2" xfId="0" applyNumberFormat="1" applyFont="1" applyFill="1" applyBorder="1" applyAlignment="1">
      <alignment horizontal="right"/>
    </xf>
    <xf numFmtId="165" fontId="7" fillId="3" borderId="2" xfId="0" applyNumberFormat="1" applyFont="1" applyFill="1" applyBorder="1"/>
    <xf numFmtId="165" fontId="8" fillId="3" borderId="2" xfId="0" applyNumberFormat="1" applyFont="1" applyFill="1" applyBorder="1"/>
    <xf numFmtId="3" fontId="8" fillId="3" borderId="2" xfId="0" applyNumberFormat="1" applyFont="1" applyFill="1" applyBorder="1"/>
    <xf numFmtId="165" fontId="8" fillId="3" borderId="2" xfId="0" applyNumberFormat="1" applyFont="1" applyFill="1" applyBorder="1" applyAlignment="1">
      <alignment horizontal="right"/>
    </xf>
    <xf numFmtId="166" fontId="8" fillId="3" borderId="2" xfId="0" applyNumberFormat="1" applyFont="1" applyFill="1" applyBorder="1"/>
    <xf numFmtId="165" fontId="5" fillId="3" borderId="2" xfId="0" applyNumberFormat="1" applyFont="1" applyFill="1" applyBorder="1"/>
    <xf numFmtId="167" fontId="12" fillId="3" borderId="2" xfId="0" applyNumberFormat="1" applyFont="1" applyFill="1" applyBorder="1"/>
    <xf numFmtId="0" fontId="13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164" fontId="1" fillId="0" borderId="3" xfId="0" applyNumberFormat="1" applyFont="1" applyBorder="1" applyAlignment="1">
      <alignment wrapText="1"/>
    </xf>
    <xf numFmtId="167" fontId="12" fillId="0" borderId="4" xfId="0" applyNumberFormat="1" applyFont="1" applyBorder="1"/>
    <xf numFmtId="0" fontId="12" fillId="0" borderId="4" xfId="0" applyFont="1" applyBorder="1"/>
    <xf numFmtId="0" fontId="12" fillId="0" borderId="5" xfId="0" applyFont="1" applyBorder="1"/>
    <xf numFmtId="0" fontId="8" fillId="3" borderId="2" xfId="0" applyFont="1" applyFill="1" applyBorder="1"/>
    <xf numFmtId="165" fontId="11" fillId="0" borderId="2" xfId="0" applyNumberFormat="1" applyFont="1" applyBorder="1"/>
    <xf numFmtId="3" fontId="11" fillId="0" borderId="2" xfId="0" applyNumberFormat="1" applyFont="1" applyBorder="1"/>
    <xf numFmtId="0" fontId="8" fillId="0" borderId="2" xfId="0" applyFont="1" applyBorder="1" applyAlignment="1">
      <alignment horizontal="right"/>
    </xf>
    <xf numFmtId="0" fontId="11" fillId="0" borderId="2" xfId="0" applyFont="1" applyBorder="1"/>
    <xf numFmtId="165" fontId="7" fillId="0" borderId="2" xfId="0" applyNumberFormat="1" applyFont="1" applyBorder="1" applyAlignment="1">
      <alignment horizontal="right"/>
    </xf>
    <xf numFmtId="165" fontId="7" fillId="0" borderId="2" xfId="0" applyNumberFormat="1" applyFont="1" applyBorder="1" applyAlignment="1">
      <alignment horizontal="center"/>
    </xf>
    <xf numFmtId="165" fontId="16" fillId="0" borderId="2" xfId="0" applyNumberFormat="1" applyFont="1" applyBorder="1"/>
    <xf numFmtId="166" fontId="8" fillId="0" borderId="0" xfId="0" applyNumberFormat="1" applyFont="1"/>
    <xf numFmtId="3" fontId="5" fillId="0" borderId="2" xfId="0" applyNumberFormat="1" applyFont="1" applyBorder="1"/>
    <xf numFmtId="43" fontId="8" fillId="0" borderId="0" xfId="1" applyFont="1"/>
    <xf numFmtId="167" fontId="14" fillId="0" borderId="4" xfId="0" applyNumberFormat="1" applyFont="1" applyBorder="1"/>
    <xf numFmtId="9" fontId="1" fillId="0" borderId="0" xfId="2" applyFont="1"/>
    <xf numFmtId="167" fontId="1" fillId="0" borderId="0" xfId="0" applyNumberFormat="1" applyFont="1"/>
    <xf numFmtId="0" fontId="13" fillId="2" borderId="4" xfId="0" applyFont="1" applyFill="1" applyBorder="1"/>
    <xf numFmtId="0" fontId="13" fillId="2" borderId="5" xfId="0" applyFont="1" applyFill="1" applyBorder="1"/>
    <xf numFmtId="0" fontId="12" fillId="0" borderId="3" xfId="0" applyFont="1" applyBorder="1"/>
    <xf numFmtId="9" fontId="0" fillId="0" borderId="0" xfId="2" applyFont="1"/>
    <xf numFmtId="43" fontId="2" fillId="0" borderId="2" xfId="1" applyFont="1" applyBorder="1"/>
    <xf numFmtId="0" fontId="18" fillId="5" borderId="2" xfId="0" applyFont="1" applyFill="1" applyBorder="1" applyAlignment="1">
      <alignment wrapText="1"/>
    </xf>
    <xf numFmtId="0" fontId="15" fillId="0" borderId="0" xfId="0" applyFont="1"/>
    <xf numFmtId="167" fontId="2" fillId="0" borderId="2" xfId="0" applyNumberFormat="1" applyFont="1" applyBorder="1"/>
    <xf numFmtId="0" fontId="2" fillId="0" borderId="7" xfId="0" applyFont="1" applyBorder="1"/>
    <xf numFmtId="167" fontId="2" fillId="0" borderId="7" xfId="0" applyNumberFormat="1" applyFont="1" applyBorder="1"/>
    <xf numFmtId="43" fontId="2" fillId="0" borderId="7" xfId="1" applyFont="1" applyBorder="1"/>
    <xf numFmtId="0" fontId="0" fillId="0" borderId="6" xfId="0" applyBorder="1"/>
    <xf numFmtId="0" fontId="2" fillId="0" borderId="8" xfId="0" applyFont="1" applyBorder="1"/>
    <xf numFmtId="167" fontId="2" fillId="0" borderId="8" xfId="0" applyNumberFormat="1" applyFont="1" applyBorder="1"/>
    <xf numFmtId="43" fontId="2" fillId="0" borderId="8" xfId="1" applyFont="1" applyBorder="1"/>
    <xf numFmtId="0" fontId="0" fillId="0" borderId="0" xfId="0" applyAlignment="1">
      <alignment wrapText="1"/>
    </xf>
    <xf numFmtId="0" fontId="2" fillId="6" borderId="2" xfId="0" applyFont="1" applyFill="1" applyBorder="1"/>
    <xf numFmtId="0" fontId="2" fillId="3" borderId="2" xfId="0" applyFont="1" applyFill="1" applyBorder="1"/>
    <xf numFmtId="0" fontId="2" fillId="7" borderId="2" xfId="0" applyFont="1" applyFill="1" applyBorder="1"/>
    <xf numFmtId="0" fontId="2" fillId="8" borderId="2" xfId="0" applyFont="1" applyFill="1" applyBorder="1"/>
    <xf numFmtId="0" fontId="2" fillId="9" borderId="2" xfId="0" applyFont="1" applyFill="1" applyBorder="1"/>
    <xf numFmtId="43" fontId="7" fillId="10" borderId="0" xfId="1" applyFont="1" applyFill="1"/>
    <xf numFmtId="167" fontId="12" fillId="10" borderId="2" xfId="0" applyNumberFormat="1" applyFont="1" applyFill="1" applyBorder="1"/>
    <xf numFmtId="167" fontId="12" fillId="11" borderId="2" xfId="0" applyNumberFormat="1" applyFont="1" applyFill="1" applyBorder="1"/>
    <xf numFmtId="167" fontId="2" fillId="11" borderId="2" xfId="0" applyNumberFormat="1" applyFont="1" applyFill="1" applyBorder="1"/>
    <xf numFmtId="0" fontId="18" fillId="8" borderId="2" xfId="0" applyFont="1" applyFill="1" applyBorder="1" applyAlignment="1">
      <alignment wrapText="1"/>
    </xf>
    <xf numFmtId="3" fontId="8" fillId="0" borderId="0" xfId="0" applyNumberFormat="1" applyFont="1"/>
    <xf numFmtId="0" fontId="5" fillId="0" borderId="0" xfId="0" applyFont="1" applyAlignment="1"/>
    <xf numFmtId="9" fontId="15" fillId="0" borderId="0" xfId="2" applyFont="1"/>
    <xf numFmtId="167" fontId="1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  <color rgb="FFE2EFDA"/>
      <color rgb="FF2F75B5"/>
      <color rgb="FF3C7D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Meals Delivered/Meals Served Histogram (All Agencies)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Meals Delivered/Meals Served Histogram (All Agencies)</a:t>
          </a:r>
        </a:p>
      </cx:txPr>
    </cx:title>
    <cx:plotArea>
      <cx:plotAreaRegion>
        <cx:series layoutId="clusteredColumn" uniqueId="{18B86471-1FAF-4DF6-A5CF-5563E0C89604}" formatIdx="0">
          <cx:tx>
            <cx:txData>
              <cx:f>_xlchart.v1.0</cx:f>
              <cx:v>Meals Delivered/ Meals Served**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Meals Delivered/Meals Served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Histogram (Agencies 0%-21%)</a:t>
            </a:r>
          </a:p>
        </cx:rich>
      </cx:tx>
    </cx:title>
    <cx:plotArea>
      <cx:plotAreaRegion>
        <cx:series layoutId="clusteredColumn" uniqueId="{A5F890A1-EAD1-407A-9D78-297A6E00BF9A}">
          <cx:tx>
            <cx:txData>
              <cx:f>_xlchart.v1.2</cx:f>
              <cx:v>Meals Delivered/ Meals Served**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C0806C21-E18A-4EBE-98F0-146743F6EB28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Pounds Delivered Histogram (All Agencies)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Pounds Delivered Histogram (All Agencies)</a:t>
          </a:r>
        </a:p>
      </cx:txPr>
    </cx:title>
    <cx:plotArea>
      <cx:plotAreaRegion>
        <cx:series layoutId="clusteredColumn" uniqueId="{5B3245F3-CC90-457C-97C6-3A49D34C02E1}" formatIdx="0">
          <cx:tx>
            <cx:txData>
              <cx:f>_xlchart.v1.4</cx:f>
              <cx:v>Pounds delivered in 2023 by RT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Pounds Delivered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Histogram (Agencies &lt;15,000lbs)</a:t>
            </a:r>
          </a:p>
        </cx:rich>
      </cx:tx>
    </cx:title>
    <cx:plotArea>
      <cx:plotAreaRegion>
        <cx:series layoutId="clusteredColumn" uniqueId="{D52BAE42-1EFF-4CC5-99B3-896876C3FF1C}" formatIdx="0">
          <cx:tx>
            <cx:txData>
              <cx:f>_xlchart.v1.6</cx:f>
              <cx:v>Pounds delivered in 2023 by RT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#,##0" sourceLinked="0"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 (All Agencies)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(All Agencies)</a:t>
          </a:r>
        </a:p>
      </cx:txPr>
    </cx:title>
    <cx:plotArea>
      <cx:plotAreaRegion>
        <cx:series layoutId="clusteredColumn" uniqueId="{18B86471-1FAF-4DF6-A5CF-5563E0C89604}" formatIdx="0">
          <cx:tx>
            <cx:txData>
              <cx:f>_xlchart.v1.8</cx:f>
              <cx:v>Meals Delivered/ Meals Served**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Histogram (Agencies 0%-21%)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(Agencies 0%-21%)</a:t>
          </a:r>
        </a:p>
      </cx:txPr>
    </cx:title>
    <cx:plotArea>
      <cx:plotAreaRegion>
        <cx:series layoutId="clusteredColumn" uniqueId="{A5F890A1-EAD1-407A-9D78-297A6E00BF9A}">
          <cx:tx>
            <cx:txData>
              <cx:f>_xlchart.v1.10</cx:f>
              <cx:v>Meals Delivered/ Meals Served**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C0806C21-E18A-4EBE-98F0-146743F6EB28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209551</xdr:colOff>
      <xdr:row>2</xdr:row>
      <xdr:rowOff>38100</xdr:rowOff>
    </xdr:from>
    <xdr:to>
      <xdr:col>25</xdr:col>
      <xdr:colOff>457201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15CA9B-AF18-4085-A0F9-3BA65702D5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209550</xdr:colOff>
      <xdr:row>20</xdr:row>
      <xdr:rowOff>95250</xdr:rowOff>
    </xdr:from>
    <xdr:to>
      <xdr:col>25</xdr:col>
      <xdr:colOff>457200</xdr:colOff>
      <xdr:row>38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8E7941-2243-4169-BEDE-5E371CE1E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171450</xdr:rowOff>
    </xdr:from>
    <xdr:to>
      <xdr:col>13</xdr:col>
      <xdr:colOff>328612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541455-660B-48FB-A4F5-F0D5A02945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476249</xdr:colOff>
      <xdr:row>0</xdr:row>
      <xdr:rowOff>171450</xdr:rowOff>
    </xdr:from>
    <xdr:to>
      <xdr:col>23</xdr:col>
      <xdr:colOff>200024</xdr:colOff>
      <xdr:row>21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E7680C-23A0-4898-B642-188B198B83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161925</xdr:rowOff>
    </xdr:from>
    <xdr:to>
      <xdr:col>13</xdr:col>
      <xdr:colOff>28575</xdr:colOff>
      <xdr:row>25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16FF08-052A-4E5B-9070-B7C87BE1C3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681037</xdr:colOff>
      <xdr:row>0</xdr:row>
      <xdr:rowOff>171449</xdr:rowOff>
    </xdr:from>
    <xdr:to>
      <xdr:col>22</xdr:col>
      <xdr:colOff>333375</xdr:colOff>
      <xdr:row>25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75316F-E272-4B05-870F-1D003B69DE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C6F3-7154-4DF6-ABD4-739C03D64246}">
  <dimension ref="A1:S71"/>
  <sheetViews>
    <sheetView tabSelected="1" workbookViewId="0">
      <pane ySplit="1" topLeftCell="A45" activePane="bottomLeft" state="frozen"/>
      <selection pane="bottomLeft" activeCell="Q69" sqref="Q69"/>
    </sheetView>
  </sheetViews>
  <sheetFormatPr defaultColWidth="10.28515625" defaultRowHeight="15.75"/>
  <cols>
    <col min="1" max="1" width="42.7109375" style="5" bestFit="1" customWidth="1"/>
    <col min="2" max="3" width="10.28515625" style="5"/>
    <col min="4" max="4" width="0" style="5" hidden="1" customWidth="1"/>
    <col min="5" max="5" width="13.5703125" style="11" hidden="1" customWidth="1"/>
    <col min="6" max="7" width="10.28515625" style="5"/>
    <col min="8" max="8" width="11.140625" style="5" hidden="1" customWidth="1"/>
    <col min="9" max="9" width="10.28515625" style="5"/>
    <col min="10" max="11" width="10.28515625" style="5" hidden="1" customWidth="1"/>
    <col min="12" max="14" width="0" style="5" hidden="1" customWidth="1"/>
    <col min="15" max="15" width="10.28515625" style="5"/>
    <col min="16" max="16" width="3.7109375" style="5" customWidth="1"/>
    <col min="17" max="17" width="11" style="5" bestFit="1" customWidth="1"/>
    <col min="18" max="16384" width="10.28515625" style="5"/>
  </cols>
  <sheetData>
    <row r="1" spans="1:19" ht="78.75">
      <c r="A1" s="44" t="s">
        <v>0</v>
      </c>
      <c r="B1" s="44" t="s">
        <v>1</v>
      </c>
      <c r="C1" s="44" t="s">
        <v>2</v>
      </c>
      <c r="D1" s="45" t="s">
        <v>3</v>
      </c>
      <c r="E1" s="46" t="s">
        <v>4</v>
      </c>
      <c r="F1" s="45" t="s">
        <v>5</v>
      </c>
      <c r="G1" s="44" t="s">
        <v>6</v>
      </c>
      <c r="H1" s="44" t="s">
        <v>7</v>
      </c>
      <c r="I1" s="47" t="s">
        <v>8</v>
      </c>
      <c r="J1" s="1" t="s">
        <v>9</v>
      </c>
      <c r="K1" s="3" t="s">
        <v>10</v>
      </c>
      <c r="L1" s="2" t="s">
        <v>11</v>
      </c>
      <c r="M1" s="10" t="s">
        <v>12</v>
      </c>
      <c r="O1" s="9" t="s">
        <v>13</v>
      </c>
    </row>
    <row r="2" spans="1:19" hidden="1">
      <c r="A2" s="105" t="s">
        <v>14</v>
      </c>
      <c r="B2" s="105"/>
      <c r="C2" s="105"/>
      <c r="D2" s="105"/>
      <c r="E2" s="105"/>
      <c r="F2" s="105"/>
      <c r="G2" s="105"/>
      <c r="H2" s="105"/>
      <c r="I2" s="105"/>
      <c r="J2" s="1"/>
      <c r="K2" s="3"/>
      <c r="L2" s="7">
        <f>AVERAGE(I4:I62)</f>
        <v>0.1298274939222111</v>
      </c>
    </row>
    <row r="3" spans="1:19">
      <c r="A3" s="57" t="s">
        <v>15</v>
      </c>
      <c r="B3" s="58"/>
      <c r="C3" s="58"/>
      <c r="D3" s="58"/>
      <c r="E3" s="58"/>
      <c r="F3" s="58"/>
      <c r="G3" s="58"/>
      <c r="H3" s="58"/>
      <c r="I3" s="59"/>
      <c r="J3" s="1"/>
      <c r="K3" s="3"/>
      <c r="L3" s="20"/>
    </row>
    <row r="4" spans="1:19">
      <c r="A4" s="30" t="s">
        <v>16</v>
      </c>
      <c r="B4" s="31">
        <v>5818.9</v>
      </c>
      <c r="C4" s="31" t="s">
        <v>17</v>
      </c>
      <c r="D4" s="32">
        <v>63</v>
      </c>
      <c r="E4" s="33">
        <v>1.8</v>
      </c>
      <c r="F4" s="32">
        <f>(D4*E4)/1.2</f>
        <v>94.500000000000014</v>
      </c>
      <c r="G4" s="34">
        <f t="shared" ref="G4:G18" si="0">K4/52</f>
        <v>93.251602564102555</v>
      </c>
      <c r="H4" s="35">
        <f t="shared" ref="H4:H21" si="1">F4/G4</f>
        <v>1.0133874099915794</v>
      </c>
      <c r="I4" s="36">
        <f t="shared" ref="I4:I21" si="2">G4/F4</f>
        <v>0.98678944512277822</v>
      </c>
      <c r="J4" s="5" t="s">
        <v>18</v>
      </c>
      <c r="K4" s="6">
        <f t="shared" ref="K4:K18" si="3">B4/1.2</f>
        <v>4849.083333333333</v>
      </c>
      <c r="M4" s="5" t="s">
        <v>19</v>
      </c>
      <c r="N4" s="5" t="s">
        <v>20</v>
      </c>
      <c r="O4" s="99">
        <f>(I4-$B$64)/$B$65</f>
        <v>3.7540491814377535</v>
      </c>
    </row>
    <row r="5" spans="1:19">
      <c r="A5" s="31" t="s">
        <v>21</v>
      </c>
      <c r="B5" s="31">
        <v>15958.2</v>
      </c>
      <c r="C5" s="31" t="s">
        <v>22</v>
      </c>
      <c r="D5" s="32">
        <v>40</v>
      </c>
      <c r="E5" s="37"/>
      <c r="F5" s="32">
        <f>D5*21</f>
        <v>840</v>
      </c>
      <c r="G5" s="34">
        <f t="shared" si="0"/>
        <v>255.74038461538464</v>
      </c>
      <c r="H5" s="35">
        <f t="shared" si="1"/>
        <v>3.2845809677783206</v>
      </c>
      <c r="I5" s="36">
        <f t="shared" si="2"/>
        <v>0.30445283882783886</v>
      </c>
      <c r="K5" s="6">
        <f t="shared" si="3"/>
        <v>13298.500000000002</v>
      </c>
      <c r="M5" s="5" t="s">
        <v>19</v>
      </c>
      <c r="O5" s="99">
        <f t="shared" ref="O5:O35" si="4">(I5-$B$64)/$B$65</f>
        <v>0.76497227465333406</v>
      </c>
    </row>
    <row r="6" spans="1:19">
      <c r="A6" s="30" t="s">
        <v>23</v>
      </c>
      <c r="B6" s="31">
        <v>3728.8</v>
      </c>
      <c r="C6" s="31" t="s">
        <v>22</v>
      </c>
      <c r="D6" s="32">
        <v>30</v>
      </c>
      <c r="E6" s="37"/>
      <c r="F6" s="32">
        <v>240</v>
      </c>
      <c r="G6" s="34">
        <f t="shared" si="0"/>
        <v>59.756410256410263</v>
      </c>
      <c r="H6" s="35">
        <f t="shared" si="1"/>
        <v>4.0163055138382315</v>
      </c>
      <c r="I6" s="36">
        <f t="shared" si="2"/>
        <v>0.24898504273504277</v>
      </c>
      <c r="J6" s="5" t="s">
        <v>24</v>
      </c>
      <c r="K6" s="6">
        <f t="shared" si="3"/>
        <v>3107.3333333333335</v>
      </c>
      <c r="M6" s="5" t="s">
        <v>19</v>
      </c>
      <c r="O6" s="99">
        <f t="shared" si="4"/>
        <v>0.52198735072923497</v>
      </c>
    </row>
    <row r="7" spans="1:19">
      <c r="A7" s="30" t="s">
        <v>25</v>
      </c>
      <c r="B7" s="31">
        <v>1832.4</v>
      </c>
      <c r="C7" s="31" t="s">
        <v>26</v>
      </c>
      <c r="D7" s="32">
        <v>188</v>
      </c>
      <c r="E7" s="37"/>
      <c r="F7" s="32">
        <v>188</v>
      </c>
      <c r="G7" s="34">
        <f t="shared" si="0"/>
        <v>29.36538461538462</v>
      </c>
      <c r="H7" s="35">
        <f t="shared" si="1"/>
        <v>6.4020956123117214</v>
      </c>
      <c r="I7" s="36">
        <f t="shared" si="2"/>
        <v>0.15619885433715225</v>
      </c>
      <c r="J7" s="5" t="s">
        <v>27</v>
      </c>
      <c r="K7" s="6">
        <f t="shared" si="3"/>
        <v>1527.0000000000002</v>
      </c>
      <c r="M7" s="5" t="s">
        <v>19</v>
      </c>
      <c r="O7" s="74">
        <f t="shared" si="4"/>
        <v>0.11552366337900531</v>
      </c>
    </row>
    <row r="8" spans="1:19">
      <c r="A8" s="31" t="s">
        <v>28</v>
      </c>
      <c r="B8" s="31">
        <v>966</v>
      </c>
      <c r="C8" s="31" t="s">
        <v>22</v>
      </c>
      <c r="D8" s="32">
        <v>100</v>
      </c>
      <c r="E8" s="37"/>
      <c r="F8" s="32">
        <v>100</v>
      </c>
      <c r="G8" s="34">
        <f t="shared" si="0"/>
        <v>15.48076923076923</v>
      </c>
      <c r="H8" s="35">
        <f t="shared" si="1"/>
        <v>6.4596273291925472</v>
      </c>
      <c r="I8" s="36">
        <f t="shared" si="2"/>
        <v>0.15480769230769231</v>
      </c>
      <c r="J8" s="5" t="s">
        <v>29</v>
      </c>
      <c r="K8" s="6">
        <f t="shared" si="3"/>
        <v>805</v>
      </c>
      <c r="M8" s="5" t="s">
        <v>19</v>
      </c>
      <c r="O8" s="74">
        <f t="shared" si="4"/>
        <v>0.10942947136660047</v>
      </c>
    </row>
    <row r="9" spans="1:19">
      <c r="A9" s="64" t="s">
        <v>30</v>
      </c>
      <c r="B9" s="51">
        <v>1966</v>
      </c>
      <c r="C9" s="51" t="s">
        <v>26</v>
      </c>
      <c r="D9" s="52">
        <v>11</v>
      </c>
      <c r="E9" s="53"/>
      <c r="F9" s="52">
        <f>D9*21</f>
        <v>231</v>
      </c>
      <c r="G9" s="54">
        <f t="shared" si="0"/>
        <v>31.506410256410259</v>
      </c>
      <c r="H9" s="55">
        <f t="shared" si="1"/>
        <v>7.3318413021363167</v>
      </c>
      <c r="I9" s="56">
        <f t="shared" si="2"/>
        <v>0.1363913863913864</v>
      </c>
      <c r="J9" s="16"/>
      <c r="K9" s="17">
        <f t="shared" si="3"/>
        <v>1638.3333333333335</v>
      </c>
      <c r="L9" s="16"/>
      <c r="M9" s="16" t="s">
        <v>19</v>
      </c>
      <c r="N9" s="18" t="s">
        <v>31</v>
      </c>
      <c r="O9" s="74">
        <f t="shared" si="4"/>
        <v>2.8754106429616656E-2</v>
      </c>
    </row>
    <row r="10" spans="1:19">
      <c r="A10" s="30" t="s">
        <v>32</v>
      </c>
      <c r="B10" s="31">
        <v>2944.6000000000008</v>
      </c>
      <c r="C10" s="31" t="s">
        <v>26</v>
      </c>
      <c r="D10" s="32">
        <v>20</v>
      </c>
      <c r="E10" s="37"/>
      <c r="F10" s="32">
        <f>D10*21</f>
        <v>420</v>
      </c>
      <c r="G10" s="34">
        <f t="shared" si="0"/>
        <v>47.189102564102576</v>
      </c>
      <c r="H10" s="35">
        <f t="shared" si="1"/>
        <v>8.9003599809821345</v>
      </c>
      <c r="I10" s="36">
        <f t="shared" si="2"/>
        <v>0.11235500610500614</v>
      </c>
      <c r="K10" s="6">
        <f t="shared" si="3"/>
        <v>2453.8333333333339</v>
      </c>
      <c r="M10" s="5" t="s">
        <v>19</v>
      </c>
      <c r="N10" s="5" t="s">
        <v>33</v>
      </c>
      <c r="O10" s="74">
        <f t="shared" si="4"/>
        <v>-7.65408294918659E-2</v>
      </c>
      <c r="S10" s="9"/>
    </row>
    <row r="11" spans="1:19">
      <c r="A11" s="30" t="s">
        <v>34</v>
      </c>
      <c r="B11" s="30">
        <v>618.69999999999993</v>
      </c>
      <c r="C11" s="30" t="s">
        <v>22</v>
      </c>
      <c r="D11" s="32">
        <v>25</v>
      </c>
      <c r="E11" s="40"/>
      <c r="F11" s="32">
        <v>100</v>
      </c>
      <c r="G11" s="34">
        <f t="shared" si="0"/>
        <v>9.9150641025641004</v>
      </c>
      <c r="H11" s="35">
        <f t="shared" si="1"/>
        <v>10.085663487958625</v>
      </c>
      <c r="I11" s="36">
        <f t="shared" si="2"/>
        <v>9.9150641025641001E-2</v>
      </c>
      <c r="J11" s="5" t="s">
        <v>35</v>
      </c>
      <c r="K11" s="6">
        <f t="shared" si="3"/>
        <v>515.58333333333326</v>
      </c>
      <c r="M11" s="5" t="s">
        <v>19</v>
      </c>
      <c r="O11" s="74">
        <f t="shared" si="4"/>
        <v>-0.13438451303948515</v>
      </c>
    </row>
    <row r="12" spans="1:19">
      <c r="A12" s="30" t="s">
        <v>36</v>
      </c>
      <c r="B12" s="65">
        <v>1493.6000000000001</v>
      </c>
      <c r="C12" s="65" t="s">
        <v>26</v>
      </c>
      <c r="D12" s="66">
        <v>16</v>
      </c>
      <c r="E12" s="40"/>
      <c r="F12" s="32">
        <f>D12*21</f>
        <v>336</v>
      </c>
      <c r="G12" s="34">
        <f t="shared" si="0"/>
        <v>23.935897435897438</v>
      </c>
      <c r="H12" s="35">
        <f t="shared" si="1"/>
        <v>14.037493304767004</v>
      </c>
      <c r="I12" s="36">
        <f t="shared" si="2"/>
        <v>7.1237789987789998E-2</v>
      </c>
      <c r="K12" s="6">
        <f t="shared" si="3"/>
        <v>1244.6666666666667</v>
      </c>
      <c r="M12" s="5" t="s">
        <v>19</v>
      </c>
      <c r="N12" s="5" t="s">
        <v>37</v>
      </c>
      <c r="O12" s="74">
        <f t="shared" si="4"/>
        <v>-0.25666090517502571</v>
      </c>
    </row>
    <row r="13" spans="1:19">
      <c r="A13" s="30" t="s">
        <v>38</v>
      </c>
      <c r="B13" s="31">
        <v>1495.76</v>
      </c>
      <c r="C13" s="31" t="s">
        <v>22</v>
      </c>
      <c r="D13" s="32">
        <v>75</v>
      </c>
      <c r="E13" s="37"/>
      <c r="F13" s="32">
        <f>D13*5</f>
        <v>375</v>
      </c>
      <c r="G13" s="34">
        <f t="shared" si="0"/>
        <v>23.97051282051282</v>
      </c>
      <c r="H13" s="35">
        <f t="shared" si="1"/>
        <v>15.644220998021073</v>
      </c>
      <c r="I13" s="36">
        <f t="shared" si="2"/>
        <v>6.3921367521367525E-2</v>
      </c>
      <c r="J13" s="5" t="s">
        <v>39</v>
      </c>
      <c r="K13" s="6">
        <f t="shared" si="3"/>
        <v>1246.4666666666667</v>
      </c>
      <c r="M13" s="5" t="s">
        <v>19</v>
      </c>
      <c r="O13" s="74">
        <f t="shared" si="4"/>
        <v>-0.28871158109202189</v>
      </c>
    </row>
    <row r="14" spans="1:19">
      <c r="A14" s="30" t="s">
        <v>40</v>
      </c>
      <c r="B14" s="30">
        <v>729.3</v>
      </c>
      <c r="C14" s="31" t="s">
        <v>26</v>
      </c>
      <c r="D14" s="32">
        <v>12</v>
      </c>
      <c r="E14" s="40"/>
      <c r="F14" s="32">
        <f>12*21</f>
        <v>252</v>
      </c>
      <c r="G14" s="34">
        <f t="shared" si="0"/>
        <v>11.6875</v>
      </c>
      <c r="H14" s="35">
        <f t="shared" si="1"/>
        <v>21.561497326203209</v>
      </c>
      <c r="I14" s="100">
        <f t="shared" si="2"/>
        <v>4.6378968253968256E-2</v>
      </c>
      <c r="K14" s="6">
        <f t="shared" si="3"/>
        <v>607.75</v>
      </c>
      <c r="M14" s="5" t="s">
        <v>19</v>
      </c>
      <c r="O14" s="74">
        <f t="shared" si="4"/>
        <v>-0.36555866808109344</v>
      </c>
    </row>
    <row r="15" spans="1:19">
      <c r="A15" s="30" t="s">
        <v>41</v>
      </c>
      <c r="B15" s="30">
        <v>477</v>
      </c>
      <c r="C15" s="31" t="s">
        <v>22</v>
      </c>
      <c r="D15" s="32">
        <v>55</v>
      </c>
      <c r="E15" s="40"/>
      <c r="F15" s="32">
        <f>D15*5</f>
        <v>275</v>
      </c>
      <c r="G15" s="34">
        <f t="shared" si="0"/>
        <v>7.6442307692307692</v>
      </c>
      <c r="H15" s="35">
        <f t="shared" si="1"/>
        <v>35.974842767295598</v>
      </c>
      <c r="I15" s="100">
        <f t="shared" si="2"/>
        <v>2.7797202797202797E-2</v>
      </c>
      <c r="J15" s="5" t="s">
        <v>42</v>
      </c>
      <c r="K15" s="6">
        <f t="shared" si="3"/>
        <v>397.5</v>
      </c>
      <c r="M15" s="5" t="s">
        <v>19</v>
      </c>
      <c r="O15" s="74">
        <f t="shared" si="4"/>
        <v>-0.44695885312421268</v>
      </c>
    </row>
    <row r="16" spans="1:19">
      <c r="A16" s="30" t="s">
        <v>43</v>
      </c>
      <c r="B16" s="30">
        <v>502.2</v>
      </c>
      <c r="C16" s="30" t="s">
        <v>26</v>
      </c>
      <c r="D16" s="32">
        <v>16</v>
      </c>
      <c r="E16" s="37"/>
      <c r="F16" s="32">
        <f>D16*21</f>
        <v>336</v>
      </c>
      <c r="G16" s="34">
        <f t="shared" si="0"/>
        <v>8.0480769230769234</v>
      </c>
      <c r="H16" s="35">
        <f t="shared" si="1"/>
        <v>41.749103942652326</v>
      </c>
      <c r="I16" s="100">
        <f t="shared" si="2"/>
        <v>2.3952609890109892E-2</v>
      </c>
      <c r="K16" s="6">
        <f t="shared" si="3"/>
        <v>418.5</v>
      </c>
      <c r="M16" s="5" t="s">
        <v>19</v>
      </c>
      <c r="O16" s="74">
        <f t="shared" si="4"/>
        <v>-0.46380066370356665</v>
      </c>
    </row>
    <row r="17" spans="1:17">
      <c r="A17" s="30" t="s">
        <v>44</v>
      </c>
      <c r="B17" s="31">
        <v>12725.099999999999</v>
      </c>
      <c r="C17" s="31" t="s">
        <v>17</v>
      </c>
      <c r="D17" s="32">
        <f>350*2.5</f>
        <v>875</v>
      </c>
      <c r="E17" s="38">
        <v>23.1</v>
      </c>
      <c r="F17" s="32">
        <f>(D17*E17)/1.2</f>
        <v>16843.75</v>
      </c>
      <c r="G17" s="34">
        <f t="shared" si="0"/>
        <v>203.92788461538461</v>
      </c>
      <c r="H17" s="35">
        <f t="shared" si="1"/>
        <v>82.596600419643067</v>
      </c>
      <c r="I17" s="36">
        <f t="shared" si="2"/>
        <v>1.2107035821321535E-2</v>
      </c>
      <c r="J17" s="5" t="s">
        <v>45</v>
      </c>
      <c r="K17" s="6">
        <f t="shared" si="3"/>
        <v>10604.25</v>
      </c>
      <c r="M17" s="5" t="s">
        <v>19</v>
      </c>
      <c r="O17" s="74">
        <f t="shared" si="4"/>
        <v>-0.5156919612976969</v>
      </c>
    </row>
    <row r="18" spans="1:17">
      <c r="A18" s="30" t="s">
        <v>46</v>
      </c>
      <c r="B18" s="30">
        <v>837</v>
      </c>
      <c r="C18" s="30" t="s">
        <v>17</v>
      </c>
      <c r="D18" s="32">
        <f>(175*3)/4</f>
        <v>131.25</v>
      </c>
      <c r="E18" s="67">
        <v>11</v>
      </c>
      <c r="F18" s="32">
        <f>(D18*E18)/1.2</f>
        <v>1203.125</v>
      </c>
      <c r="G18" s="34">
        <f t="shared" si="0"/>
        <v>13.413461538461538</v>
      </c>
      <c r="H18" s="35">
        <f t="shared" si="1"/>
        <v>89.695340501792117</v>
      </c>
      <c r="I18" s="101">
        <f t="shared" si="2"/>
        <v>1.1148851148851148E-2</v>
      </c>
      <c r="J18" s="5" t="s">
        <v>47</v>
      </c>
      <c r="K18" s="6">
        <f t="shared" si="3"/>
        <v>697.5</v>
      </c>
      <c r="M18" s="5" t="s">
        <v>19</v>
      </c>
      <c r="N18" s="5" t="s">
        <v>20</v>
      </c>
      <c r="O18" s="74">
        <f t="shared" si="4"/>
        <v>-0.51988943165249435</v>
      </c>
    </row>
    <row r="19" spans="1:17">
      <c r="A19" s="39" t="s">
        <v>48</v>
      </c>
      <c r="B19" s="31">
        <v>27060.3</v>
      </c>
      <c r="C19" s="31" t="s">
        <v>49</v>
      </c>
      <c r="D19" s="43"/>
      <c r="E19" s="33"/>
      <c r="F19" s="32">
        <v>55864</v>
      </c>
      <c r="G19" s="34">
        <v>433.7</v>
      </c>
      <c r="H19" s="35">
        <f t="shared" si="1"/>
        <v>128.80793175005763</v>
      </c>
      <c r="I19" s="101">
        <f t="shared" si="2"/>
        <v>7.7634970642990117E-3</v>
      </c>
      <c r="K19" s="6"/>
      <c r="M19" s="5" t="s">
        <v>19</v>
      </c>
      <c r="O19" s="74">
        <f t="shared" si="4"/>
        <v>-0.53471947832164379</v>
      </c>
    </row>
    <row r="20" spans="1:17">
      <c r="A20" s="68" t="s">
        <v>50</v>
      </c>
      <c r="B20" s="30">
        <v>131</v>
      </c>
      <c r="C20" s="30" t="s">
        <v>26</v>
      </c>
      <c r="D20" s="32">
        <v>18</v>
      </c>
      <c r="E20" s="40"/>
      <c r="F20" s="32">
        <f>D20*21</f>
        <v>378</v>
      </c>
      <c r="G20" s="34">
        <f>K20/52</f>
        <v>2.0993589743589745</v>
      </c>
      <c r="H20" s="35">
        <f t="shared" si="1"/>
        <v>180.05496183206105</v>
      </c>
      <c r="I20" s="101">
        <f t="shared" si="2"/>
        <v>5.5538597205263872E-3</v>
      </c>
      <c r="K20" s="6">
        <f>B20/1.2</f>
        <v>109.16666666666667</v>
      </c>
      <c r="M20" s="5" t="s">
        <v>19</v>
      </c>
      <c r="O20" s="74">
        <f t="shared" si="4"/>
        <v>-0.54439912308305116</v>
      </c>
    </row>
    <row r="21" spans="1:17">
      <c r="A21" s="30" t="s">
        <v>51</v>
      </c>
      <c r="B21" s="30">
        <v>496</v>
      </c>
      <c r="C21" s="30" t="s">
        <v>17</v>
      </c>
      <c r="D21" s="32">
        <f>50*2.5</f>
        <v>125</v>
      </c>
      <c r="E21" s="38">
        <v>23.1</v>
      </c>
      <c r="F21" s="32">
        <f>(D21*E21)/1.2</f>
        <v>2406.25</v>
      </c>
      <c r="G21" s="34">
        <f>K21/52</f>
        <v>7.9487179487179498</v>
      </c>
      <c r="H21" s="35">
        <f t="shared" si="1"/>
        <v>302.72177419354836</v>
      </c>
      <c r="I21" s="101">
        <f t="shared" si="2"/>
        <v>3.3033633033633038E-3</v>
      </c>
      <c r="J21" s="12" t="s">
        <v>52</v>
      </c>
      <c r="K21" s="13">
        <f>B21/1.2</f>
        <v>413.33333333333337</v>
      </c>
      <c r="L21" s="12"/>
      <c r="M21" s="12" t="s">
        <v>19</v>
      </c>
      <c r="N21" s="12"/>
      <c r="O21" s="74">
        <f t="shared" si="4"/>
        <v>-0.55425775708756397</v>
      </c>
    </row>
    <row r="22" spans="1:17">
      <c r="A22" s="57" t="s">
        <v>53</v>
      </c>
      <c r="B22" s="78"/>
      <c r="C22" s="78"/>
      <c r="D22" s="78"/>
      <c r="E22" s="78"/>
      <c r="F22" s="78"/>
      <c r="G22" s="78"/>
      <c r="H22" s="78"/>
      <c r="I22" s="79"/>
      <c r="K22" s="6"/>
    </row>
    <row r="23" spans="1:17">
      <c r="A23" s="42" t="s">
        <v>54</v>
      </c>
      <c r="B23" s="31">
        <v>12307.6</v>
      </c>
      <c r="C23" s="31" t="s">
        <v>22</v>
      </c>
      <c r="D23" s="43"/>
      <c r="E23" s="37"/>
      <c r="F23" s="32">
        <v>150</v>
      </c>
      <c r="G23" s="34">
        <f t="shared" ref="G23:G34" si="5">K23/52</f>
        <v>197.2371794871795</v>
      </c>
      <c r="H23" s="35">
        <f t="shared" ref="H23:H35" si="6">F23/G23</f>
        <v>0.76050570379277838</v>
      </c>
      <c r="I23" s="36">
        <f t="shared" ref="I23:I35" si="7">G23/F23</f>
        <v>1.31491452991453</v>
      </c>
      <c r="K23" s="6">
        <f t="shared" ref="K23:K33" si="8">B23/1.2</f>
        <v>10256.333333333334</v>
      </c>
      <c r="M23" s="5" t="s">
        <v>55</v>
      </c>
      <c r="N23" s="6" t="s">
        <v>56</v>
      </c>
      <c r="O23" s="74">
        <f t="shared" si="4"/>
        <v>5.1914498784534997</v>
      </c>
    </row>
    <row r="24" spans="1:17">
      <c r="A24" s="30" t="s">
        <v>57</v>
      </c>
      <c r="B24" s="31">
        <v>19775.5</v>
      </c>
      <c r="C24" s="31" t="s">
        <v>22</v>
      </c>
      <c r="D24" s="48">
        <v>35</v>
      </c>
      <c r="E24" s="37"/>
      <c r="F24" s="32">
        <f>D24*21</f>
        <v>735</v>
      </c>
      <c r="G24" s="34">
        <f t="shared" si="5"/>
        <v>316.91506410256414</v>
      </c>
      <c r="H24" s="35">
        <f t="shared" si="6"/>
        <v>2.3192333948572728</v>
      </c>
      <c r="I24" s="36">
        <f t="shared" si="7"/>
        <v>0.4311769579626723</v>
      </c>
      <c r="J24" s="5" t="s">
        <v>58</v>
      </c>
      <c r="K24" s="6">
        <f t="shared" si="8"/>
        <v>16479.583333333336</v>
      </c>
      <c r="M24" s="5" t="s">
        <v>55</v>
      </c>
      <c r="O24" s="74">
        <f t="shared" si="4"/>
        <v>1.3201061111557209</v>
      </c>
    </row>
    <row r="25" spans="1:17">
      <c r="A25" s="39" t="s">
        <v>59</v>
      </c>
      <c r="B25" s="31">
        <v>49731</v>
      </c>
      <c r="C25" s="31" t="s">
        <v>60</v>
      </c>
      <c r="D25" s="43"/>
      <c r="E25" s="37"/>
      <c r="F25" s="32">
        <v>2625</v>
      </c>
      <c r="G25" s="34">
        <f t="shared" si="5"/>
        <v>796.97115384615381</v>
      </c>
      <c r="H25" s="35">
        <f t="shared" si="6"/>
        <v>3.2937202147553841</v>
      </c>
      <c r="I25" s="36">
        <f t="shared" si="7"/>
        <v>0.30360805860805862</v>
      </c>
      <c r="K25" s="6">
        <f t="shared" si="8"/>
        <v>41442.5</v>
      </c>
      <c r="M25" s="5" t="s">
        <v>55</v>
      </c>
      <c r="O25" s="74">
        <f t="shared" si="4"/>
        <v>0.76127158935672568</v>
      </c>
    </row>
    <row r="26" spans="1:17">
      <c r="A26" s="31" t="s">
        <v>61</v>
      </c>
      <c r="B26" s="31">
        <v>29017</v>
      </c>
      <c r="C26" s="31" t="s">
        <v>17</v>
      </c>
      <c r="D26" s="32">
        <f>1021/4</f>
        <v>255.25</v>
      </c>
      <c r="E26" s="49"/>
      <c r="F26" s="32">
        <f>9186/4</f>
        <v>2296.5</v>
      </c>
      <c r="G26" s="34">
        <f t="shared" si="5"/>
        <v>465.01602564102569</v>
      </c>
      <c r="H26" s="35">
        <f t="shared" si="6"/>
        <v>4.9385394768583932</v>
      </c>
      <c r="I26" s="36">
        <f t="shared" si="7"/>
        <v>0.20248901617288295</v>
      </c>
      <c r="J26" s="5" t="s">
        <v>62</v>
      </c>
      <c r="K26" s="6">
        <f t="shared" si="8"/>
        <v>24180.833333333336</v>
      </c>
      <c r="M26" s="5" t="s">
        <v>55</v>
      </c>
      <c r="O26" s="74">
        <f t="shared" si="4"/>
        <v>0.31830459654014959</v>
      </c>
    </row>
    <row r="27" spans="1:17">
      <c r="A27" s="30" t="s">
        <v>63</v>
      </c>
      <c r="B27" s="31">
        <v>70590.3</v>
      </c>
      <c r="C27" s="31" t="s">
        <v>17</v>
      </c>
      <c r="D27" s="48">
        <v>200</v>
      </c>
      <c r="E27" s="33">
        <v>47.5</v>
      </c>
      <c r="F27" s="32">
        <f t="shared" ref="F27:F34" si="9">(D27*E27)/1.2</f>
        <v>7916.666666666667</v>
      </c>
      <c r="G27" s="34">
        <f t="shared" si="5"/>
        <v>1131.2548076923078</v>
      </c>
      <c r="H27" s="35">
        <f t="shared" si="6"/>
        <v>6.9981286380706687</v>
      </c>
      <c r="I27" s="36">
        <f t="shared" si="7"/>
        <v>0.14289534412955468</v>
      </c>
      <c r="J27" s="5" t="s">
        <v>64</v>
      </c>
      <c r="K27" s="6">
        <f t="shared" si="8"/>
        <v>58825.250000000007</v>
      </c>
      <c r="M27" s="5" t="s">
        <v>55</v>
      </c>
      <c r="O27" s="74">
        <f t="shared" si="4"/>
        <v>5.7245659863080486E-2</v>
      </c>
    </row>
    <row r="28" spans="1:17">
      <c r="A28" s="30" t="s">
        <v>65</v>
      </c>
      <c r="B28" s="31">
        <v>47081.3</v>
      </c>
      <c r="C28" s="31" t="s">
        <v>17</v>
      </c>
      <c r="D28" s="32">
        <v>280</v>
      </c>
      <c r="E28" s="33">
        <v>42.5</v>
      </c>
      <c r="F28" s="32">
        <f t="shared" si="9"/>
        <v>9916.6666666666679</v>
      </c>
      <c r="G28" s="34">
        <f t="shared" si="5"/>
        <v>754.50801282051293</v>
      </c>
      <c r="H28" s="35">
        <f t="shared" si="6"/>
        <v>13.143222468368545</v>
      </c>
      <c r="I28" s="36">
        <f t="shared" si="7"/>
        <v>7.6084841628959274E-2</v>
      </c>
      <c r="J28" s="5" t="s">
        <v>66</v>
      </c>
      <c r="K28" s="6">
        <f t="shared" si="8"/>
        <v>39234.416666666672</v>
      </c>
      <c r="M28" s="5" t="s">
        <v>55</v>
      </c>
      <c r="O28" s="74">
        <f t="shared" si="4"/>
        <v>-0.2354276751343849</v>
      </c>
    </row>
    <row r="29" spans="1:17">
      <c r="A29" s="30" t="s">
        <v>67</v>
      </c>
      <c r="B29" s="31">
        <v>18178.5</v>
      </c>
      <c r="C29" s="31" t="s">
        <v>17</v>
      </c>
      <c r="D29" s="32">
        <v>200</v>
      </c>
      <c r="E29" s="38">
        <v>23.1</v>
      </c>
      <c r="F29" s="32">
        <f t="shared" si="9"/>
        <v>3850</v>
      </c>
      <c r="G29" s="34">
        <f t="shared" si="5"/>
        <v>291.32211538461536</v>
      </c>
      <c r="H29" s="35">
        <f t="shared" si="6"/>
        <v>13.215611849162473</v>
      </c>
      <c r="I29" s="36">
        <f t="shared" si="7"/>
        <v>7.5668081918081914E-2</v>
      </c>
      <c r="J29" s="5" t="s">
        <v>68</v>
      </c>
      <c r="K29" s="6">
        <f t="shared" si="8"/>
        <v>15148.75</v>
      </c>
      <c r="M29" s="5" t="s">
        <v>55</v>
      </c>
      <c r="O29" s="74">
        <f t="shared" si="4"/>
        <v>-0.23725335298307296</v>
      </c>
    </row>
    <row r="30" spans="1:17">
      <c r="A30" s="30" t="s">
        <v>69</v>
      </c>
      <c r="B30" s="31">
        <v>28175.3</v>
      </c>
      <c r="C30" s="31" t="s">
        <v>17</v>
      </c>
      <c r="D30" s="32">
        <v>200</v>
      </c>
      <c r="E30" s="33">
        <v>40</v>
      </c>
      <c r="F30" s="32">
        <f t="shared" si="9"/>
        <v>6666.666666666667</v>
      </c>
      <c r="G30" s="34">
        <f t="shared" si="5"/>
        <v>451.52724358974359</v>
      </c>
      <c r="H30" s="35">
        <f t="shared" si="6"/>
        <v>14.76470525602212</v>
      </c>
      <c r="I30" s="36">
        <f t="shared" si="7"/>
        <v>6.7729086538461533E-2</v>
      </c>
      <c r="K30" s="6">
        <f t="shared" si="8"/>
        <v>23479.416666666668</v>
      </c>
      <c r="M30" s="5" t="s">
        <v>55</v>
      </c>
      <c r="N30" s="5" t="s">
        <v>37</v>
      </c>
      <c r="O30" s="74">
        <f t="shared" si="4"/>
        <v>-0.27203130206768372</v>
      </c>
    </row>
    <row r="31" spans="1:17">
      <c r="A31" s="30" t="s">
        <v>70</v>
      </c>
      <c r="B31" s="31">
        <v>35072.800000000003</v>
      </c>
      <c r="C31" s="31" t="s">
        <v>17</v>
      </c>
      <c r="D31" s="32">
        <v>875</v>
      </c>
      <c r="E31" s="33">
        <v>12</v>
      </c>
      <c r="F31" s="32">
        <f t="shared" si="9"/>
        <v>8750</v>
      </c>
      <c r="G31" s="34">
        <f t="shared" si="5"/>
        <v>562.06410256410265</v>
      </c>
      <c r="H31" s="35">
        <f t="shared" si="6"/>
        <v>15.567619351748361</v>
      </c>
      <c r="I31" s="36">
        <f t="shared" si="7"/>
        <v>6.4235897435897443E-2</v>
      </c>
      <c r="J31" s="8" t="s">
        <v>71</v>
      </c>
      <c r="K31" s="6">
        <f t="shared" si="8"/>
        <v>29227.333333333336</v>
      </c>
      <c r="M31" s="5" t="s">
        <v>55</v>
      </c>
      <c r="O31" s="74">
        <f t="shared" si="4"/>
        <v>-0.28733373605873358</v>
      </c>
    </row>
    <row r="32" spans="1:17">
      <c r="A32" s="31" t="s">
        <v>72</v>
      </c>
      <c r="B32" s="31">
        <v>36064.199999999997</v>
      </c>
      <c r="C32" s="31" t="s">
        <v>17</v>
      </c>
      <c r="D32" s="32">
        <v>825</v>
      </c>
      <c r="E32" s="33">
        <v>15</v>
      </c>
      <c r="F32" s="32">
        <f t="shared" si="9"/>
        <v>10312.5</v>
      </c>
      <c r="G32" s="34">
        <f t="shared" si="5"/>
        <v>577.95192307692309</v>
      </c>
      <c r="H32" s="35">
        <f t="shared" si="6"/>
        <v>17.843179662934432</v>
      </c>
      <c r="I32" s="100">
        <f t="shared" si="7"/>
        <v>5.6043822843822845E-2</v>
      </c>
      <c r="K32" s="6">
        <f t="shared" si="8"/>
        <v>30053.5</v>
      </c>
      <c r="M32" s="5" t="s">
        <v>55</v>
      </c>
      <c r="O32" s="74">
        <f t="shared" si="4"/>
        <v>-0.32322033624392316</v>
      </c>
      <c r="Q32" s="5" t="s">
        <v>73</v>
      </c>
    </row>
    <row r="33" spans="1:17">
      <c r="A33" s="30" t="s">
        <v>74</v>
      </c>
      <c r="B33" s="31">
        <v>50967</v>
      </c>
      <c r="C33" s="31" t="s">
        <v>17</v>
      </c>
      <c r="D33" s="32">
        <f>315*2.5</f>
        <v>787.5</v>
      </c>
      <c r="E33" s="33">
        <v>30</v>
      </c>
      <c r="F33" s="32">
        <f t="shared" si="9"/>
        <v>19687.5</v>
      </c>
      <c r="G33" s="34">
        <f t="shared" si="5"/>
        <v>816.77884615384619</v>
      </c>
      <c r="H33" s="35">
        <f t="shared" si="6"/>
        <v>24.103831891223731</v>
      </c>
      <c r="I33" s="100">
        <f t="shared" si="7"/>
        <v>4.148717948717949E-2</v>
      </c>
      <c r="K33" s="6">
        <f t="shared" si="8"/>
        <v>42472.5</v>
      </c>
      <c r="M33" s="5" t="s">
        <v>55</v>
      </c>
      <c r="O33" s="74">
        <f t="shared" si="4"/>
        <v>-0.38698787574895144</v>
      </c>
    </row>
    <row r="34" spans="1:17">
      <c r="A34" s="30" t="s">
        <v>75</v>
      </c>
      <c r="B34" s="31">
        <v>4784.8</v>
      </c>
      <c r="C34" s="30" t="s">
        <v>17</v>
      </c>
      <c r="D34" s="32">
        <f>90*2.5</f>
        <v>225</v>
      </c>
      <c r="E34" s="41">
        <v>23.1</v>
      </c>
      <c r="F34" s="32">
        <f t="shared" si="9"/>
        <v>4331.25</v>
      </c>
      <c r="G34" s="34">
        <f t="shared" si="5"/>
        <v>76.679487179487182</v>
      </c>
      <c r="H34" s="31">
        <f t="shared" si="6"/>
        <v>56.485119545226546</v>
      </c>
      <c r="I34" s="100">
        <f t="shared" si="7"/>
        <v>1.7703777703777703E-2</v>
      </c>
      <c r="K34" s="6">
        <f t="shared" ref="K34" si="10">B34/1.2</f>
        <v>3987.3333333333335</v>
      </c>
      <c r="M34" s="4" t="s">
        <v>55</v>
      </c>
      <c r="O34" s="74">
        <f t="shared" si="4"/>
        <v>-0.49117460174268024</v>
      </c>
      <c r="Q34" s="5" t="s">
        <v>73</v>
      </c>
    </row>
    <row r="35" spans="1:17">
      <c r="A35" s="39" t="s">
        <v>76</v>
      </c>
      <c r="B35" s="31">
        <v>16185.1</v>
      </c>
      <c r="C35" s="31"/>
      <c r="D35" s="32">
        <v>2150</v>
      </c>
      <c r="E35" s="37"/>
      <c r="F35" s="32">
        <v>25452</v>
      </c>
      <c r="G35" s="34">
        <v>259.39999999999998</v>
      </c>
      <c r="H35" s="35">
        <f t="shared" si="6"/>
        <v>98.118735543562082</v>
      </c>
      <c r="I35" s="101">
        <f t="shared" si="7"/>
        <v>1.0191733459060191E-2</v>
      </c>
      <c r="K35" s="6">
        <f>B35/1.2</f>
        <v>13487.583333333334</v>
      </c>
      <c r="M35" s="5" t="s">
        <v>55</v>
      </c>
      <c r="O35" s="74">
        <f t="shared" si="4"/>
        <v>-0.52408222793109871</v>
      </c>
      <c r="Q35" s="5" t="s">
        <v>73</v>
      </c>
    </row>
    <row r="36" spans="1:17">
      <c r="A36" s="80" t="s">
        <v>77</v>
      </c>
      <c r="B36" s="62"/>
      <c r="C36" s="62"/>
      <c r="D36" s="62"/>
      <c r="E36" s="62"/>
      <c r="F36" s="62"/>
      <c r="G36" s="62"/>
      <c r="H36" s="62"/>
      <c r="I36" s="63"/>
      <c r="J36" s="14"/>
      <c r="K36" s="15"/>
      <c r="L36" s="19">
        <v>0.13200000000000001</v>
      </c>
      <c r="M36" s="12"/>
    </row>
    <row r="37" spans="1:17">
      <c r="A37" s="60" t="s">
        <v>11</v>
      </c>
      <c r="B37" s="61">
        <v>0.13200000000000001</v>
      </c>
      <c r="C37" s="62"/>
      <c r="D37" s="62"/>
      <c r="E37" s="62"/>
      <c r="F37" s="62"/>
      <c r="G37" s="62"/>
      <c r="H37" s="62"/>
      <c r="I37" s="63"/>
      <c r="J37" s="1"/>
      <c r="K37" s="3"/>
      <c r="L37" s="20"/>
    </row>
    <row r="38" spans="1:17">
      <c r="A38" s="60"/>
      <c r="B38" s="61"/>
      <c r="C38" s="62"/>
      <c r="D38" s="62"/>
      <c r="E38" s="62"/>
      <c r="F38" s="62"/>
      <c r="G38" s="62"/>
      <c r="H38" s="62"/>
      <c r="I38" s="63"/>
      <c r="J38" s="1"/>
      <c r="K38" s="3"/>
      <c r="L38" s="20"/>
    </row>
    <row r="39" spans="1:17" ht="78.75">
      <c r="A39" s="44" t="s">
        <v>0</v>
      </c>
      <c r="B39" s="44" t="s">
        <v>1</v>
      </c>
      <c r="C39" s="44" t="s">
        <v>2</v>
      </c>
      <c r="D39" s="45" t="s">
        <v>3</v>
      </c>
      <c r="E39" s="46" t="s">
        <v>4</v>
      </c>
      <c r="F39" s="45" t="s">
        <v>5</v>
      </c>
      <c r="G39" s="44" t="s">
        <v>6</v>
      </c>
      <c r="H39" s="44" t="s">
        <v>7</v>
      </c>
      <c r="I39" s="47" t="s">
        <v>8</v>
      </c>
      <c r="J39" s="1" t="s">
        <v>9</v>
      </c>
      <c r="K39" s="3" t="s">
        <v>10</v>
      </c>
      <c r="L39" s="2" t="s">
        <v>11</v>
      </c>
      <c r="M39" s="10" t="s">
        <v>12</v>
      </c>
    </row>
    <row r="40" spans="1:17" hidden="1">
      <c r="A40" s="105" t="s">
        <v>14</v>
      </c>
      <c r="B40" s="105"/>
      <c r="C40" s="105"/>
      <c r="D40" s="105"/>
      <c r="E40" s="105"/>
      <c r="F40" s="105"/>
      <c r="G40" s="105"/>
      <c r="H40" s="105"/>
      <c r="I40" s="105"/>
      <c r="J40" s="1"/>
      <c r="K40" s="3"/>
      <c r="L40" s="7">
        <f>AVERAGE(I31:I62)</f>
        <v>6.4006473643093767E-2</v>
      </c>
    </row>
    <row r="41" spans="1:17">
      <c r="A41" s="57" t="s">
        <v>78</v>
      </c>
      <c r="B41" s="78"/>
      <c r="C41" s="78"/>
      <c r="D41" s="78"/>
      <c r="E41" s="78"/>
      <c r="F41" s="78"/>
      <c r="G41" s="78"/>
      <c r="H41" s="78"/>
      <c r="I41" s="79"/>
      <c r="K41" s="6"/>
    </row>
    <row r="42" spans="1:17">
      <c r="A42" s="30" t="s">
        <v>79</v>
      </c>
      <c r="B42" s="31">
        <v>7829.8999999999987</v>
      </c>
      <c r="C42" s="31" t="s">
        <v>22</v>
      </c>
      <c r="D42" s="32"/>
      <c r="E42" s="33"/>
      <c r="F42" s="32">
        <v>450</v>
      </c>
      <c r="G42" s="34">
        <f>K42/52</f>
        <v>125.47916666666666</v>
      </c>
      <c r="H42" s="35">
        <f t="shared" ref="H42:H49" si="11">F42/G42</f>
        <v>3.5862526979910347</v>
      </c>
      <c r="I42" s="36">
        <f t="shared" ref="I42:I49" si="12">G42/F42</f>
        <v>0.27884259259259259</v>
      </c>
      <c r="J42" s="5" t="s">
        <v>80</v>
      </c>
      <c r="K42" s="6">
        <f>B42/1.2</f>
        <v>6524.9166666666661</v>
      </c>
      <c r="M42" s="5" t="s">
        <v>55</v>
      </c>
      <c r="O42" s="74">
        <f t="shared" ref="O42:O62" si="13">(I42-$B$64)/$B$65</f>
        <v>0.65278278504862697</v>
      </c>
    </row>
    <row r="43" spans="1:17">
      <c r="A43" s="30" t="s">
        <v>81</v>
      </c>
      <c r="B43" s="31">
        <v>17220.5</v>
      </c>
      <c r="C43" s="31" t="s">
        <v>17</v>
      </c>
      <c r="D43" s="32">
        <f>40*2.5</f>
        <v>100</v>
      </c>
      <c r="E43" s="33">
        <v>12.5</v>
      </c>
      <c r="F43" s="32">
        <f>(D43*E43)/1.2</f>
        <v>1041.6666666666667</v>
      </c>
      <c r="G43" s="34">
        <f>K43/52</f>
        <v>275.96955128205133</v>
      </c>
      <c r="H43" s="35">
        <f t="shared" si="11"/>
        <v>3.7745710054876453</v>
      </c>
      <c r="I43" s="36">
        <f t="shared" si="12"/>
        <v>0.26493076923076925</v>
      </c>
      <c r="J43" s="5" t="s">
        <v>82</v>
      </c>
      <c r="K43" s="6">
        <f>B43/1.2</f>
        <v>14350.416666666668</v>
      </c>
      <c r="M43" s="5" t="s">
        <v>55</v>
      </c>
      <c r="O43" s="74">
        <f t="shared" si="13"/>
        <v>0.59183997535842592</v>
      </c>
    </row>
    <row r="44" spans="1:17">
      <c r="A44" s="30" t="s">
        <v>83</v>
      </c>
      <c r="B44" s="31">
        <v>26769.4</v>
      </c>
      <c r="C44" s="31" t="s">
        <v>22</v>
      </c>
      <c r="D44" s="32"/>
      <c r="E44" s="33"/>
      <c r="F44" s="32">
        <f>150*12</f>
        <v>1800</v>
      </c>
      <c r="G44" s="34">
        <f>K44/52</f>
        <v>428.99679487179492</v>
      </c>
      <c r="H44" s="35">
        <f t="shared" si="11"/>
        <v>4.1958355435684025</v>
      </c>
      <c r="I44" s="36">
        <f t="shared" si="12"/>
        <v>0.23833155270655274</v>
      </c>
      <c r="J44" s="5" t="s">
        <v>84</v>
      </c>
      <c r="K44" s="6">
        <f>B44/1.2</f>
        <v>22307.833333333336</v>
      </c>
      <c r="M44" s="5" t="s">
        <v>55</v>
      </c>
      <c r="O44" s="74">
        <f t="shared" si="13"/>
        <v>0.47531815443075431</v>
      </c>
    </row>
    <row r="45" spans="1:17">
      <c r="A45" s="50" t="s">
        <v>85</v>
      </c>
      <c r="B45" s="51">
        <v>11336.5</v>
      </c>
      <c r="C45" s="51" t="s">
        <v>22</v>
      </c>
      <c r="D45" s="52"/>
      <c r="E45" s="53"/>
      <c r="F45" s="52">
        <v>1400</v>
      </c>
      <c r="G45" s="54">
        <f>K45/52</f>
        <v>181.6746794871795</v>
      </c>
      <c r="H45" s="55">
        <f t="shared" si="11"/>
        <v>7.7060821241123794</v>
      </c>
      <c r="I45" s="56">
        <f t="shared" si="12"/>
        <v>0.12976762820512822</v>
      </c>
      <c r="K45" s="6">
        <f>B45/1.2</f>
        <v>9447.0833333333339</v>
      </c>
      <c r="M45" s="5" t="s">
        <v>55</v>
      </c>
      <c r="N45" s="18" t="s">
        <v>31</v>
      </c>
      <c r="O45" s="74">
        <f t="shared" si="13"/>
        <v>-2.6225067040168605E-4</v>
      </c>
    </row>
    <row r="46" spans="1:17">
      <c r="A46" s="30" t="s">
        <v>86</v>
      </c>
      <c r="B46" s="31">
        <v>8113.9000000000005</v>
      </c>
      <c r="C46" s="31" t="s">
        <v>22</v>
      </c>
      <c r="D46" s="32"/>
      <c r="E46" s="33"/>
      <c r="F46" s="32">
        <v>1250</v>
      </c>
      <c r="G46" s="34">
        <f>K46/52</f>
        <v>130.03044871794873</v>
      </c>
      <c r="H46" s="35">
        <f t="shared" si="11"/>
        <v>9.6131330186470123</v>
      </c>
      <c r="I46" s="36">
        <f t="shared" si="12"/>
        <v>0.10402435897435898</v>
      </c>
      <c r="K46" s="6">
        <f>B46/1.2</f>
        <v>6761.5833333333339</v>
      </c>
      <c r="M46" s="5" t="s">
        <v>55</v>
      </c>
      <c r="O46" s="74">
        <f t="shared" si="13"/>
        <v>-0.11303446727571344</v>
      </c>
    </row>
    <row r="47" spans="1:17">
      <c r="A47" s="39" t="s">
        <v>87</v>
      </c>
      <c r="B47" s="31">
        <v>5639.8</v>
      </c>
      <c r="C47" s="31" t="s">
        <v>88</v>
      </c>
      <c r="D47" s="32">
        <v>125</v>
      </c>
      <c r="E47" s="33"/>
      <c r="F47" s="32">
        <v>895</v>
      </c>
      <c r="G47" s="34">
        <v>90.4</v>
      </c>
      <c r="H47" s="35">
        <f t="shared" si="11"/>
        <v>9.9004424778761049</v>
      </c>
      <c r="I47" s="36">
        <f t="shared" si="12"/>
        <v>0.10100558659217877</v>
      </c>
      <c r="K47" s="6"/>
      <c r="M47" s="5" t="s">
        <v>55</v>
      </c>
      <c r="O47" s="74">
        <f t="shared" si="13"/>
        <v>-0.12625864831945055</v>
      </c>
    </row>
    <row r="48" spans="1:17">
      <c r="A48" s="42" t="s">
        <v>89</v>
      </c>
      <c r="B48" s="31">
        <v>11087.8</v>
      </c>
      <c r="C48" s="31" t="s">
        <v>88</v>
      </c>
      <c r="D48" s="32">
        <v>825</v>
      </c>
      <c r="E48" s="69">
        <v>3.1</v>
      </c>
      <c r="F48" s="32">
        <v>1830</v>
      </c>
      <c r="G48" s="34">
        <v>177.7</v>
      </c>
      <c r="H48" s="35">
        <f t="shared" si="11"/>
        <v>10.298255486775465</v>
      </c>
      <c r="I48" s="36">
        <f t="shared" si="12"/>
        <v>9.7103825136612018E-2</v>
      </c>
      <c r="K48" s="6"/>
      <c r="M48" s="5" t="s">
        <v>55</v>
      </c>
      <c r="O48" s="74">
        <f t="shared" si="13"/>
        <v>-0.14335089422128477</v>
      </c>
    </row>
    <row r="49" spans="1:17">
      <c r="A49" s="31" t="s">
        <v>90</v>
      </c>
      <c r="B49" s="31">
        <v>15669</v>
      </c>
      <c r="C49" s="31" t="s">
        <v>26</v>
      </c>
      <c r="D49" s="32">
        <v>170</v>
      </c>
      <c r="E49" s="33"/>
      <c r="F49" s="32">
        <f>D49*21</f>
        <v>3570</v>
      </c>
      <c r="G49" s="34">
        <f>K49/52</f>
        <v>251.10576923076923</v>
      </c>
      <c r="H49" s="35">
        <f t="shared" si="11"/>
        <v>14.217116599655371</v>
      </c>
      <c r="I49" s="36">
        <f t="shared" si="12"/>
        <v>7.0337750484809308E-2</v>
      </c>
      <c r="K49" s="6">
        <f>B49/1.2</f>
        <v>13057.5</v>
      </c>
      <c r="M49" s="5" t="s">
        <v>55</v>
      </c>
      <c r="O49" s="74">
        <f t="shared" si="13"/>
        <v>-0.26060366197384593</v>
      </c>
    </row>
    <row r="50" spans="1:17">
      <c r="A50" s="30" t="s">
        <v>91</v>
      </c>
      <c r="B50" s="31">
        <v>2046.2</v>
      </c>
      <c r="C50" s="31" t="s">
        <v>17</v>
      </c>
      <c r="D50" s="32">
        <f>77.5*2.5</f>
        <v>193.75</v>
      </c>
      <c r="E50" s="33">
        <f>1100/D50</f>
        <v>5.67741935483871</v>
      </c>
      <c r="F50" s="32">
        <f>(D50*E50)/1.2</f>
        <v>916.66666666666674</v>
      </c>
      <c r="G50" s="34">
        <f t="shared" ref="G50:G56" si="14">K50/52</f>
        <v>32.791666666666671</v>
      </c>
      <c r="H50" s="35">
        <f t="shared" ref="H50:H61" si="15">F50/G50</f>
        <v>27.954256670902158</v>
      </c>
      <c r="I50" s="100">
        <f t="shared" ref="I50:I61" si="16">G50/F50</f>
        <v>3.5772727272727275E-2</v>
      </c>
      <c r="J50" s="5" t="s">
        <v>92</v>
      </c>
      <c r="K50" s="6">
        <f t="shared" ref="K50:K55" si="17">B50/1.2</f>
        <v>1705.1666666666667</v>
      </c>
      <c r="M50" s="5" t="s">
        <v>55</v>
      </c>
      <c r="O50" s="74">
        <f t="shared" si="13"/>
        <v>-0.41202088290635869</v>
      </c>
    </row>
    <row r="51" spans="1:17">
      <c r="A51" s="31" t="s">
        <v>93</v>
      </c>
      <c r="B51" s="31">
        <v>1107</v>
      </c>
      <c r="C51" s="31" t="s">
        <v>26</v>
      </c>
      <c r="D51" s="32">
        <v>31</v>
      </c>
      <c r="E51" s="33"/>
      <c r="F51" s="32">
        <f>D51*21</f>
        <v>651</v>
      </c>
      <c r="G51" s="34">
        <f t="shared" si="14"/>
        <v>17.740384615384617</v>
      </c>
      <c r="H51" s="35">
        <f t="shared" si="15"/>
        <v>36.695934959349593</v>
      </c>
      <c r="I51" s="100">
        <f t="shared" si="16"/>
        <v>2.7250974831619996E-2</v>
      </c>
      <c r="K51" s="6">
        <f t="shared" si="17"/>
        <v>922.5</v>
      </c>
      <c r="M51" s="5" t="s">
        <v>55</v>
      </c>
      <c r="O51" s="74">
        <f t="shared" si="13"/>
        <v>-0.44935168590307967</v>
      </c>
    </row>
    <row r="52" spans="1:17">
      <c r="A52" s="30" t="s">
        <v>94</v>
      </c>
      <c r="B52" s="31">
        <v>3749.0000000000005</v>
      </c>
      <c r="C52" s="31" t="s">
        <v>17</v>
      </c>
      <c r="D52" s="32">
        <v>120</v>
      </c>
      <c r="E52" s="38">
        <v>23.1</v>
      </c>
      <c r="F52" s="32">
        <f>(D52*E52)/1.2</f>
        <v>2310</v>
      </c>
      <c r="G52" s="34">
        <f t="shared" si="14"/>
        <v>60.080128205128212</v>
      </c>
      <c r="H52" s="35">
        <f t="shared" si="15"/>
        <v>38.448652974126432</v>
      </c>
      <c r="I52" s="100">
        <f t="shared" si="16"/>
        <v>2.6008713508713512E-2</v>
      </c>
      <c r="J52" s="5" t="s">
        <v>95</v>
      </c>
      <c r="K52" s="6">
        <f t="shared" si="17"/>
        <v>3124.166666666667</v>
      </c>
      <c r="M52" s="5" t="s">
        <v>55</v>
      </c>
      <c r="O52" s="74">
        <f t="shared" si="13"/>
        <v>-0.45479359624210408</v>
      </c>
    </row>
    <row r="53" spans="1:17">
      <c r="A53" s="30" t="s">
        <v>96</v>
      </c>
      <c r="B53" s="31">
        <v>5881.9</v>
      </c>
      <c r="C53" s="31" t="s">
        <v>17</v>
      </c>
      <c r="D53" s="32">
        <f>700/4</f>
        <v>175</v>
      </c>
      <c r="E53" s="69">
        <v>27.5</v>
      </c>
      <c r="F53" s="32">
        <f>(D53*E53)/1.2</f>
        <v>4010.416666666667</v>
      </c>
      <c r="G53" s="34">
        <f t="shared" si="14"/>
        <v>94.261217948717942</v>
      </c>
      <c r="H53" s="35">
        <f t="shared" si="15"/>
        <v>42.545776024753913</v>
      </c>
      <c r="I53" s="100">
        <f t="shared" si="16"/>
        <v>2.3504095904095901E-2</v>
      </c>
      <c r="J53" s="5" t="s">
        <v>97</v>
      </c>
      <c r="K53" s="6">
        <f t="shared" si="17"/>
        <v>4901.583333333333</v>
      </c>
      <c r="M53" s="5" t="s">
        <v>55</v>
      </c>
      <c r="O53" s="74">
        <f t="shared" si="13"/>
        <v>-0.46576544587353386</v>
      </c>
    </row>
    <row r="54" spans="1:17">
      <c r="A54" s="39" t="s">
        <v>98</v>
      </c>
      <c r="B54" s="31">
        <v>3434.1500000000005</v>
      </c>
      <c r="C54" s="31" t="s">
        <v>60</v>
      </c>
      <c r="D54" s="32">
        <v>288</v>
      </c>
      <c r="E54" s="33"/>
      <c r="F54" s="32">
        <f>F51+F52</f>
        <v>2961</v>
      </c>
      <c r="G54" s="34">
        <f t="shared" si="14"/>
        <v>55.034455128205146</v>
      </c>
      <c r="H54" s="35">
        <f t="shared" si="15"/>
        <v>53.80265859091768</v>
      </c>
      <c r="I54" s="100">
        <f t="shared" si="16"/>
        <v>1.8586442123676172E-2</v>
      </c>
      <c r="J54" s="5" t="s">
        <v>95</v>
      </c>
      <c r="K54" s="6">
        <f t="shared" si="17"/>
        <v>2861.7916666666674</v>
      </c>
      <c r="M54" s="5" t="s">
        <v>55</v>
      </c>
      <c r="O54" s="74">
        <f t="shared" si="13"/>
        <v>-0.48730795907743479</v>
      </c>
    </row>
    <row r="55" spans="1:17">
      <c r="A55" s="30" t="s">
        <v>99</v>
      </c>
      <c r="B55" s="30">
        <v>596</v>
      </c>
      <c r="C55" s="30" t="s">
        <v>22</v>
      </c>
      <c r="D55" s="32">
        <v>50</v>
      </c>
      <c r="E55" s="67"/>
      <c r="F55" s="32">
        <f>D55*10</f>
        <v>500</v>
      </c>
      <c r="G55" s="34">
        <f t="shared" si="14"/>
        <v>9.5512820512820511</v>
      </c>
      <c r="H55" s="35">
        <f t="shared" si="15"/>
        <v>52.348993288590606</v>
      </c>
      <c r="I55" s="36">
        <f t="shared" si="16"/>
        <v>1.9102564102564102E-2</v>
      </c>
      <c r="K55" s="6">
        <f t="shared" si="17"/>
        <v>496.66666666666669</v>
      </c>
      <c r="M55" s="5" t="s">
        <v>55</v>
      </c>
      <c r="O55" s="74">
        <f t="shared" si="13"/>
        <v>-0.48504701004737366</v>
      </c>
    </row>
    <row r="56" spans="1:17">
      <c r="A56" s="30" t="s">
        <v>100</v>
      </c>
      <c r="B56" s="31">
        <v>4402.3999999999996</v>
      </c>
      <c r="C56" s="31" t="s">
        <v>17</v>
      </c>
      <c r="D56" s="32">
        <v>200</v>
      </c>
      <c r="E56" s="33">
        <v>29.5</v>
      </c>
      <c r="F56" s="32">
        <f>(D56*E56)/1.2</f>
        <v>4916.666666666667</v>
      </c>
      <c r="G56" s="34">
        <f t="shared" si="14"/>
        <v>70.551282051282044</v>
      </c>
      <c r="H56" s="35">
        <f t="shared" si="15"/>
        <v>69.689260403416327</v>
      </c>
      <c r="I56" s="101">
        <f t="shared" si="16"/>
        <v>1.4349413298565839E-2</v>
      </c>
      <c r="J56" s="5" t="s">
        <v>101</v>
      </c>
      <c r="K56" s="6">
        <f t="shared" ref="K56:K61" si="18">B56/1.2</f>
        <v>3668.6666666666665</v>
      </c>
      <c r="M56" s="5" t="s">
        <v>55</v>
      </c>
      <c r="O56" s="74">
        <f t="shared" si="13"/>
        <v>-0.50586889351606412</v>
      </c>
      <c r="Q56" s="5" t="s">
        <v>102</v>
      </c>
    </row>
    <row r="57" spans="1:17">
      <c r="A57" s="31" t="s">
        <v>103</v>
      </c>
      <c r="B57" s="31">
        <v>4069.1</v>
      </c>
      <c r="C57" s="31" t="s">
        <v>17</v>
      </c>
      <c r="D57" s="32">
        <f>40*2.5</f>
        <v>100</v>
      </c>
      <c r="E57" s="70">
        <v>113</v>
      </c>
      <c r="F57" s="32">
        <f>(D57*E57)/1.2</f>
        <v>9416.6666666666679</v>
      </c>
      <c r="G57" s="34">
        <f>K57/52</f>
        <v>65.209935897435898</v>
      </c>
      <c r="H57" s="71">
        <f t="shared" si="15"/>
        <v>144.40539677078471</v>
      </c>
      <c r="I57" s="101">
        <f t="shared" si="16"/>
        <v>6.9249489448604488E-3</v>
      </c>
      <c r="J57" s="5" t="s">
        <v>104</v>
      </c>
      <c r="K57" s="6">
        <f t="shared" si="18"/>
        <v>3390.9166666666665</v>
      </c>
      <c r="M57" s="5" t="s">
        <v>55</v>
      </c>
      <c r="O57" s="74">
        <f t="shared" si="13"/>
        <v>-0.53839286297654521</v>
      </c>
    </row>
    <row r="58" spans="1:17">
      <c r="A58" s="42" t="s">
        <v>105</v>
      </c>
      <c r="B58" s="31">
        <v>5217.0600000000004</v>
      </c>
      <c r="C58" s="31" t="s">
        <v>60</v>
      </c>
      <c r="D58" s="32">
        <v>1500</v>
      </c>
      <c r="E58" s="33"/>
      <c r="F58" s="32">
        <v>13833</v>
      </c>
      <c r="G58" s="34">
        <f>K58/52</f>
        <v>83.606730769230779</v>
      </c>
      <c r="H58" s="35">
        <f t="shared" si="15"/>
        <v>165.4531862773286</v>
      </c>
      <c r="I58" s="101">
        <f t="shared" si="16"/>
        <v>6.0440056942984727E-3</v>
      </c>
      <c r="K58" s="6">
        <f t="shared" si="18"/>
        <v>4347.55</v>
      </c>
      <c r="M58" s="5" t="s">
        <v>55</v>
      </c>
      <c r="O58" s="74">
        <f t="shared" si="13"/>
        <v>-0.54225196580372703</v>
      </c>
      <c r="Q58" s="5" t="s">
        <v>102</v>
      </c>
    </row>
    <row r="59" spans="1:17">
      <c r="A59" s="30" t="s">
        <v>106</v>
      </c>
      <c r="B59" s="31">
        <v>10035.4</v>
      </c>
      <c r="C59" s="31" t="s">
        <v>17</v>
      </c>
      <c r="D59" s="32">
        <f>633*2.5</f>
        <v>1582.5</v>
      </c>
      <c r="E59" s="33">
        <v>22</v>
      </c>
      <c r="F59" s="32">
        <f>(D59*E59)/1.2</f>
        <v>29012.5</v>
      </c>
      <c r="G59" s="34">
        <f>K59/52</f>
        <v>160.82371794871796</v>
      </c>
      <c r="H59" s="35">
        <f t="shared" si="15"/>
        <v>180.39938617294774</v>
      </c>
      <c r="I59" s="101">
        <f t="shared" si="16"/>
        <v>5.5432561119764913E-3</v>
      </c>
      <c r="J59" s="5" t="s">
        <v>107</v>
      </c>
      <c r="K59" s="6">
        <f t="shared" si="18"/>
        <v>8362.8333333333339</v>
      </c>
      <c r="L59" s="6"/>
      <c r="M59" s="72" t="s">
        <v>55</v>
      </c>
      <c r="O59" s="74">
        <f t="shared" si="13"/>
        <v>-0.54444557376611968</v>
      </c>
    </row>
    <row r="60" spans="1:17">
      <c r="A60" s="42" t="s">
        <v>108</v>
      </c>
      <c r="B60" s="31">
        <v>1943.4</v>
      </c>
      <c r="C60" s="31" t="s">
        <v>88</v>
      </c>
      <c r="D60" s="32"/>
      <c r="E60" s="33"/>
      <c r="F60" s="32">
        <v>7013</v>
      </c>
      <c r="G60" s="34">
        <f>K60/52</f>
        <v>31.144230769230774</v>
      </c>
      <c r="H60" s="35"/>
      <c r="I60" s="101">
        <f>G60/F60</f>
        <v>4.4409283857451548E-3</v>
      </c>
      <c r="K60" s="6">
        <f t="shared" si="18"/>
        <v>1619.5000000000002</v>
      </c>
      <c r="L60" s="6"/>
      <c r="M60" s="72" t="s">
        <v>55</v>
      </c>
      <c r="O60" s="74">
        <f>(I60-$B$64)/$B$65</f>
        <v>-0.54927448418919911</v>
      </c>
      <c r="Q60" s="5" t="s">
        <v>102</v>
      </c>
    </row>
    <row r="61" spans="1:17">
      <c r="A61" s="30" t="s">
        <v>109</v>
      </c>
      <c r="B61" s="31">
        <v>1195.9000000000001</v>
      </c>
      <c r="C61" s="31" t="s">
        <v>17</v>
      </c>
      <c r="D61" s="32">
        <v>185</v>
      </c>
      <c r="E61" s="69">
        <f>118/2.5</f>
        <v>47.2</v>
      </c>
      <c r="F61" s="32">
        <f>(D61*E61)/1.2</f>
        <v>7276.666666666667</v>
      </c>
      <c r="G61" s="34">
        <f>K61/52</f>
        <v>19.165064102564106</v>
      </c>
      <c r="H61" s="71">
        <f t="shared" si="15"/>
        <v>379.68392006020565</v>
      </c>
      <c r="I61" s="101">
        <f t="shared" si="16"/>
        <v>2.6337696888544351E-3</v>
      </c>
      <c r="J61" s="5" t="s">
        <v>110</v>
      </c>
      <c r="K61" s="6">
        <f t="shared" si="18"/>
        <v>996.58333333333348</v>
      </c>
      <c r="M61" s="5" t="s">
        <v>55</v>
      </c>
      <c r="O61" s="74">
        <f t="shared" si="13"/>
        <v>-0.55719101142507743</v>
      </c>
    </row>
    <row r="62" spans="1:17">
      <c r="A62" s="30" t="s">
        <v>111</v>
      </c>
      <c r="B62" s="31">
        <v>0</v>
      </c>
      <c r="C62" s="31" t="s">
        <v>17</v>
      </c>
      <c r="D62" s="32"/>
      <c r="E62" s="33"/>
      <c r="F62" s="32"/>
      <c r="G62" s="34">
        <v>0</v>
      </c>
      <c r="H62" s="73">
        <v>0</v>
      </c>
      <c r="I62" s="101">
        <v>0</v>
      </c>
      <c r="J62" s="5" t="s">
        <v>112</v>
      </c>
      <c r="K62" s="6"/>
      <c r="M62" s="5" t="s">
        <v>55</v>
      </c>
      <c r="O62" s="74">
        <f t="shared" si="13"/>
        <v>-0.56872863095496184</v>
      </c>
    </row>
    <row r="63" spans="1:17">
      <c r="A63" s="80" t="s">
        <v>77</v>
      </c>
      <c r="B63" s="62"/>
      <c r="C63" s="62"/>
      <c r="D63" s="62"/>
      <c r="E63" s="62"/>
      <c r="F63" s="62"/>
      <c r="G63" s="62"/>
      <c r="H63" s="62"/>
      <c r="I63" s="63"/>
      <c r="J63" s="14"/>
      <c r="K63" s="15"/>
      <c r="L63" s="19">
        <v>0.13200000000000001</v>
      </c>
      <c r="M63" s="12"/>
    </row>
    <row r="64" spans="1:17">
      <c r="A64" s="60" t="s">
        <v>11</v>
      </c>
      <c r="B64" s="75">
        <f>AVERAGE(I42:I62,I23:I35,I4:I21)</f>
        <v>0.12982749392221107</v>
      </c>
      <c r="C64" s="61"/>
      <c r="D64" s="62"/>
      <c r="E64" s="62"/>
      <c r="F64" s="62"/>
      <c r="G64" s="62"/>
      <c r="H64" s="62"/>
      <c r="I64" s="63"/>
      <c r="J64" s="1"/>
      <c r="K64" s="3"/>
      <c r="L64" s="20"/>
    </row>
    <row r="65" spans="1:7">
      <c r="A65" s="9" t="s">
        <v>113</v>
      </c>
      <c r="B65" s="76">
        <f>_xlfn.STDEV.P(I42:I62,I23:I35,I4:I21)</f>
        <v>0.2282766979819805</v>
      </c>
    </row>
    <row r="66" spans="1:7">
      <c r="B66" s="9"/>
    </row>
    <row r="67" spans="1:7">
      <c r="A67" s="9" t="s">
        <v>114</v>
      </c>
      <c r="B67" s="77">
        <f>MEDIAN(I42:I62,I23:I35,I4:I21)</f>
        <v>6.4078632478632491E-2</v>
      </c>
    </row>
    <row r="68" spans="1:7">
      <c r="A68" s="9" t="s">
        <v>115</v>
      </c>
      <c r="B68" s="77">
        <f>MAX(I42:I62,I23:I35,I4:I21)</f>
        <v>1.31491452991453</v>
      </c>
    </row>
    <row r="69" spans="1:7">
      <c r="A69" s="9" t="s">
        <v>116</v>
      </c>
      <c r="B69" s="77">
        <f>MIN(I42:I62,I23:I35,I4:I21)</f>
        <v>0</v>
      </c>
    </row>
    <row r="70" spans="1:7">
      <c r="A70" s="9" t="s">
        <v>117</v>
      </c>
      <c r="B70" s="77">
        <f>B68-B69</f>
        <v>1.31491452991453</v>
      </c>
    </row>
    <row r="71" spans="1:7">
      <c r="F71" s="104"/>
      <c r="G71" s="104"/>
    </row>
  </sheetData>
  <sortState xmlns:xlrd2="http://schemas.microsoft.com/office/spreadsheetml/2017/richdata2" ref="A24:S49">
    <sortCondition sortBy="cellColor" ref="A24:A49" dxfId="18"/>
  </sortState>
  <mergeCells count="2">
    <mergeCell ref="A2:I2"/>
    <mergeCell ref="A40:I40"/>
  </mergeCells>
  <conditionalFormatting sqref="O4:O21 O23:O35 O42:O62">
    <cfRule type="cellIs" dxfId="20" priority="1" operator="lessThan">
      <formula>-0.5</formula>
    </cfRule>
    <cfRule type="cellIs" dxfId="19" priority="2" operator="greaterThan">
      <formula>0.5</formula>
    </cfRule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73AA-3C15-4B19-A381-2D37F0F40C16}">
  <dimension ref="A1:A52"/>
  <sheetViews>
    <sheetView workbookViewId="0"/>
  </sheetViews>
  <sheetFormatPr defaultRowHeight="15.75"/>
  <cols>
    <col min="1" max="1" width="10.28515625" style="5"/>
  </cols>
  <sheetData>
    <row r="1" spans="1:1" ht="63">
      <c r="A1" s="44" t="s">
        <v>1</v>
      </c>
    </row>
    <row r="2" spans="1:1">
      <c r="A2" s="31">
        <v>0</v>
      </c>
    </row>
    <row r="3" spans="1:1">
      <c r="A3" s="30">
        <v>131</v>
      </c>
    </row>
    <row r="4" spans="1:1">
      <c r="A4" s="30">
        <v>477</v>
      </c>
    </row>
    <row r="5" spans="1:1">
      <c r="A5" s="30">
        <v>496</v>
      </c>
    </row>
    <row r="6" spans="1:1">
      <c r="A6" s="30">
        <v>502.2</v>
      </c>
    </row>
    <row r="7" spans="1:1">
      <c r="A7" s="30">
        <v>596</v>
      </c>
    </row>
    <row r="8" spans="1:1">
      <c r="A8" s="30">
        <v>618.69999999999993</v>
      </c>
    </row>
    <row r="9" spans="1:1">
      <c r="A9" s="30">
        <v>729.3</v>
      </c>
    </row>
    <row r="10" spans="1:1">
      <c r="A10" s="30">
        <v>837</v>
      </c>
    </row>
    <row r="11" spans="1:1">
      <c r="A11" s="31">
        <v>966</v>
      </c>
    </row>
    <row r="12" spans="1:1">
      <c r="A12" s="31">
        <v>1107</v>
      </c>
    </row>
    <row r="13" spans="1:1">
      <c r="A13" s="31">
        <v>1195.9000000000001</v>
      </c>
    </row>
    <row r="14" spans="1:1">
      <c r="A14" s="65">
        <v>1493.6000000000001</v>
      </c>
    </row>
    <row r="15" spans="1:1">
      <c r="A15" s="31">
        <v>1495.76</v>
      </c>
    </row>
    <row r="16" spans="1:1">
      <c r="A16" s="31">
        <v>1832.4</v>
      </c>
    </row>
    <row r="17" spans="1:1">
      <c r="A17" s="51">
        <v>1966</v>
      </c>
    </row>
    <row r="18" spans="1:1">
      <c r="A18" s="31">
        <v>2046.2</v>
      </c>
    </row>
    <row r="19" spans="1:1">
      <c r="A19" s="31">
        <v>2944.6000000000008</v>
      </c>
    </row>
    <row r="20" spans="1:1">
      <c r="A20" s="31">
        <v>3434.1500000000005</v>
      </c>
    </row>
    <row r="21" spans="1:1">
      <c r="A21" s="31">
        <v>3728.8</v>
      </c>
    </row>
    <row r="22" spans="1:1">
      <c r="A22" s="31">
        <v>3749.0000000000005</v>
      </c>
    </row>
    <row r="23" spans="1:1">
      <c r="A23" s="31">
        <v>4069.1</v>
      </c>
    </row>
    <row r="24" spans="1:1">
      <c r="A24" s="31">
        <v>4402.3999999999996</v>
      </c>
    </row>
    <row r="25" spans="1:1">
      <c r="A25" s="31">
        <v>4784.8</v>
      </c>
    </row>
    <row r="26" spans="1:1">
      <c r="A26" s="31">
        <v>5217.0600000000004</v>
      </c>
    </row>
    <row r="27" spans="1:1">
      <c r="A27" s="31">
        <v>5639.8</v>
      </c>
    </row>
    <row r="28" spans="1:1">
      <c r="A28" s="31">
        <v>5818.9</v>
      </c>
    </row>
    <row r="29" spans="1:1">
      <c r="A29" s="31">
        <v>5881.9</v>
      </c>
    </row>
    <row r="30" spans="1:1">
      <c r="A30" s="31">
        <v>7829.8999999999987</v>
      </c>
    </row>
    <row r="31" spans="1:1">
      <c r="A31" s="31">
        <v>8113.9000000000005</v>
      </c>
    </row>
    <row r="32" spans="1:1">
      <c r="A32" s="31">
        <v>10035.4</v>
      </c>
    </row>
    <row r="33" spans="1:1">
      <c r="A33" s="31">
        <v>11087.8</v>
      </c>
    </row>
    <row r="34" spans="1:1">
      <c r="A34" s="51">
        <v>11336.5</v>
      </c>
    </row>
    <row r="35" spans="1:1">
      <c r="A35" s="31">
        <v>12307.6</v>
      </c>
    </row>
    <row r="36" spans="1:1">
      <c r="A36" s="31">
        <v>12725.099999999999</v>
      </c>
    </row>
    <row r="37" spans="1:1">
      <c r="A37" s="31">
        <v>15669</v>
      </c>
    </row>
    <row r="38" spans="1:1">
      <c r="A38" s="31">
        <v>15958.2</v>
      </c>
    </row>
    <row r="39" spans="1:1">
      <c r="A39" s="31">
        <v>16185.1</v>
      </c>
    </row>
    <row r="40" spans="1:1">
      <c r="A40" s="31">
        <v>17220.5</v>
      </c>
    </row>
    <row r="41" spans="1:1">
      <c r="A41" s="31">
        <v>18178.5</v>
      </c>
    </row>
    <row r="42" spans="1:1">
      <c r="A42" s="31">
        <v>19775.5</v>
      </c>
    </row>
    <row r="43" spans="1:1">
      <c r="A43" s="31">
        <v>26769.4</v>
      </c>
    </row>
    <row r="44" spans="1:1">
      <c r="A44" s="31">
        <v>27060.3</v>
      </c>
    </row>
    <row r="45" spans="1:1">
      <c r="A45" s="31">
        <v>28175.3</v>
      </c>
    </row>
    <row r="46" spans="1:1">
      <c r="A46" s="31">
        <v>29017</v>
      </c>
    </row>
    <row r="47" spans="1:1">
      <c r="A47" s="31">
        <v>35072.800000000003</v>
      </c>
    </row>
    <row r="48" spans="1:1">
      <c r="A48" s="31">
        <v>36064.199999999997</v>
      </c>
    </row>
    <row r="49" spans="1:1">
      <c r="A49" s="31">
        <v>47081.3</v>
      </c>
    </row>
    <row r="50" spans="1:1">
      <c r="A50" s="31">
        <v>49731</v>
      </c>
    </row>
    <row r="51" spans="1:1">
      <c r="A51" s="31">
        <v>50967</v>
      </c>
    </row>
    <row r="52" spans="1:1">
      <c r="A52" s="51">
        <v>70590.3</v>
      </c>
    </row>
  </sheetData>
  <sortState xmlns:xlrd2="http://schemas.microsoft.com/office/spreadsheetml/2017/richdata2" ref="A2:A52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F29C-403E-41FB-805E-D0876C934C91}">
  <dimension ref="A1:Q68"/>
  <sheetViews>
    <sheetView workbookViewId="0">
      <pane ySplit="1" topLeftCell="A35" activePane="bottomLeft" state="frozen"/>
      <selection pane="bottomLeft" activeCell="K56" sqref="K56"/>
    </sheetView>
  </sheetViews>
  <sheetFormatPr defaultRowHeight="15"/>
  <cols>
    <col min="1" max="1" width="21.85546875" bestFit="1" customWidth="1"/>
    <col min="2" max="2" width="51.5703125" bestFit="1" customWidth="1"/>
    <col min="3" max="3" width="8.140625" bestFit="1" customWidth="1"/>
    <col min="4" max="4" width="8.140625" customWidth="1"/>
    <col min="5" max="6" width="7.5703125" customWidth="1"/>
    <col min="7" max="7" width="9.140625" bestFit="1" customWidth="1"/>
    <col min="8" max="8" width="9.140625" customWidth="1"/>
    <col min="9" max="9" width="11.28515625" bestFit="1" customWidth="1"/>
    <col min="10" max="10" width="11" customWidth="1"/>
    <col min="11" max="11" width="8.28515625" bestFit="1" customWidth="1"/>
    <col min="12" max="12" width="9.7109375" customWidth="1"/>
    <col min="13" max="13" width="8.140625" bestFit="1" customWidth="1"/>
    <col min="14" max="14" width="8.140625" customWidth="1"/>
    <col min="15" max="15" width="9.5703125" bestFit="1" customWidth="1"/>
    <col min="16" max="16" width="9.5703125" customWidth="1"/>
    <col min="17" max="17" width="15" customWidth="1"/>
  </cols>
  <sheetData>
    <row r="1" spans="1:17" ht="60">
      <c r="A1" s="84" t="s">
        <v>118</v>
      </c>
      <c r="B1" s="23" t="s">
        <v>119</v>
      </c>
      <c r="C1" s="27" t="s">
        <v>120</v>
      </c>
      <c r="D1" s="103" t="s">
        <v>121</v>
      </c>
      <c r="E1" s="27" t="s">
        <v>122</v>
      </c>
      <c r="F1" s="103" t="s">
        <v>123</v>
      </c>
      <c r="G1" s="27" t="s">
        <v>124</v>
      </c>
      <c r="H1" s="103" t="s">
        <v>125</v>
      </c>
      <c r="I1" s="27" t="s">
        <v>126</v>
      </c>
      <c r="J1" s="103" t="s">
        <v>127</v>
      </c>
      <c r="K1" s="26" t="s">
        <v>128</v>
      </c>
      <c r="L1" s="103" t="s">
        <v>129</v>
      </c>
      <c r="M1" s="27" t="s">
        <v>130</v>
      </c>
      <c r="N1" s="103" t="s">
        <v>129</v>
      </c>
      <c r="O1" s="27" t="s">
        <v>131</v>
      </c>
      <c r="P1" s="103" t="s">
        <v>132</v>
      </c>
      <c r="Q1" s="28" t="s">
        <v>133</v>
      </c>
    </row>
    <row r="2" spans="1:17">
      <c r="A2" t="s">
        <v>15</v>
      </c>
      <c r="B2" s="21" t="s">
        <v>34</v>
      </c>
      <c r="C2" s="85">
        <v>1</v>
      </c>
      <c r="D2" s="82">
        <f>(C2-C$62)/C$63</f>
        <v>1.3690833702433161</v>
      </c>
      <c r="E2" s="85">
        <v>0.14285714285714285</v>
      </c>
      <c r="F2" s="82">
        <f>(E2-E$62)/E$63</f>
        <v>-0.22796146433210859</v>
      </c>
      <c r="G2" s="85">
        <v>0.6071428571428571</v>
      </c>
      <c r="H2" s="82">
        <f>(G2-G$62)/G$63</f>
        <v>0.93559373873108942</v>
      </c>
      <c r="I2" s="85">
        <v>0</v>
      </c>
      <c r="J2" s="82">
        <f>(I2-I$62)/I$63</f>
        <v>-0.53510032962559262</v>
      </c>
      <c r="K2" s="85">
        <v>0.10714285714285714</v>
      </c>
      <c r="L2" s="82">
        <f>(K2-K$62)/K$63</f>
        <v>-0.83705872088648292</v>
      </c>
      <c r="M2" s="85">
        <v>0.4642857142857143</v>
      </c>
      <c r="N2" s="82">
        <f>(M2-M$62)/M$63</f>
        <v>0.43140370543445028</v>
      </c>
      <c r="O2" s="85">
        <v>0</v>
      </c>
      <c r="P2" s="82">
        <f>(O2-O$62)/O$63</f>
        <v>-0.47643971073619362</v>
      </c>
      <c r="Q2" s="21">
        <v>28</v>
      </c>
    </row>
    <row r="3" spans="1:17">
      <c r="A3" t="s">
        <v>15</v>
      </c>
      <c r="B3" s="21" t="s">
        <v>38</v>
      </c>
      <c r="C3" s="85">
        <v>0.51724137931034486</v>
      </c>
      <c r="D3" s="82">
        <f t="shared" ref="D3:D60" si="0">(C3-C$62)/C$63</f>
        <v>-0.53893665519497003</v>
      </c>
      <c r="E3" s="85">
        <v>0.31034482758620691</v>
      </c>
      <c r="F3" s="82">
        <f t="shared" ref="F3:F60" si="1">(E3-E$62)/E$63</f>
        <v>0.81392929144963855</v>
      </c>
      <c r="G3" s="85">
        <v>0.44827586206896552</v>
      </c>
      <c r="H3" s="82">
        <f t="shared" ref="H3:H60" si="2">(G3-G$62)/G$63</f>
        <v>0.27615137364379733</v>
      </c>
      <c r="I3" s="85">
        <v>6.8965517241379309E-2</v>
      </c>
      <c r="J3" s="82">
        <f t="shared" ref="J3:J60" si="3">(I3-I$62)/I$63</f>
        <v>-0.19847710893951043</v>
      </c>
      <c r="K3" s="85">
        <v>0.27586206896551724</v>
      </c>
      <c r="L3" s="82">
        <f t="shared" ref="L3:L60" si="4">(K3-K$62)/K$63</f>
        <v>-8.4293337160278828E-2</v>
      </c>
      <c r="M3" s="85">
        <v>0.27586206896551724</v>
      </c>
      <c r="N3" s="82">
        <f t="shared" ref="N3:N60" si="5">(M3-M$62)/M$63</f>
        <v>-0.37956040375951627</v>
      </c>
      <c r="O3" s="85">
        <v>6.8965517241379309E-2</v>
      </c>
      <c r="P3" s="82">
        <f t="shared" ref="P3:P60" si="6">(O3-O$62)/O$63</f>
        <v>1.3775813096595075</v>
      </c>
      <c r="Q3" s="21">
        <v>29</v>
      </c>
    </row>
    <row r="4" spans="1:17">
      <c r="A4" t="s">
        <v>15</v>
      </c>
      <c r="B4" s="25" t="s">
        <v>50</v>
      </c>
      <c r="C4" s="85">
        <v>0.5</v>
      </c>
      <c r="D4" s="82">
        <f t="shared" si="0"/>
        <v>-0.60708022753205182</v>
      </c>
      <c r="E4" s="85">
        <v>0.25</v>
      </c>
      <c r="F4" s="82">
        <f t="shared" si="1"/>
        <v>0.43854218091062669</v>
      </c>
      <c r="G4" s="85">
        <v>0.5</v>
      </c>
      <c r="H4" s="82">
        <f t="shared" si="2"/>
        <v>0.49085353902105527</v>
      </c>
      <c r="I4" s="85">
        <v>0.25</v>
      </c>
      <c r="J4" s="82">
        <f t="shared" si="3"/>
        <v>0.68515884536145533</v>
      </c>
      <c r="K4" s="102">
        <v>0</v>
      </c>
      <c r="L4" s="82">
        <f t="shared" si="4"/>
        <v>-1.3150922127418097</v>
      </c>
      <c r="M4" s="85">
        <v>0.75</v>
      </c>
      <c r="N4" s="82">
        <f t="shared" si="5"/>
        <v>1.6611009167612492</v>
      </c>
      <c r="O4" s="85">
        <v>0</v>
      </c>
      <c r="P4" s="82">
        <f t="shared" si="6"/>
        <v>-0.47643971073619362</v>
      </c>
      <c r="Q4" s="21">
        <v>4</v>
      </c>
    </row>
    <row r="5" spans="1:17">
      <c r="A5" t="s">
        <v>15</v>
      </c>
      <c r="B5" s="21" t="s">
        <v>36</v>
      </c>
      <c r="C5" s="85">
        <v>0.37037037037037035</v>
      </c>
      <c r="D5" s="82">
        <f t="shared" si="0"/>
        <v>-1.1194189380664066</v>
      </c>
      <c r="E5" s="85">
        <v>0.29629629629629628</v>
      </c>
      <c r="F5" s="82">
        <f t="shared" si="1"/>
        <v>0.72653758317600592</v>
      </c>
      <c r="G5" s="85">
        <v>0.29629629629629628</v>
      </c>
      <c r="H5" s="82">
        <f t="shared" si="2"/>
        <v>-0.35470190240296079</v>
      </c>
      <c r="I5" s="85">
        <v>0.18518518518518517</v>
      </c>
      <c r="J5" s="82">
        <f t="shared" si="3"/>
        <v>0.36879535554999843</v>
      </c>
      <c r="K5" s="85">
        <v>0.44444444444444442</v>
      </c>
      <c r="L5" s="82">
        <f t="shared" si="4"/>
        <v>0.66786153125065661</v>
      </c>
      <c r="M5" s="85">
        <v>0.18518518518518517</v>
      </c>
      <c r="N5" s="82">
        <f t="shared" si="5"/>
        <v>-0.76982829266719133</v>
      </c>
      <c r="O5" s="85">
        <v>0.18518518518518517</v>
      </c>
      <c r="P5" s="82">
        <f t="shared" si="6"/>
        <v>4.5019500662522622</v>
      </c>
      <c r="Q5" s="21">
        <v>27</v>
      </c>
    </row>
    <row r="6" spans="1:17">
      <c r="A6" t="s">
        <v>15</v>
      </c>
      <c r="B6" s="21" t="s">
        <v>134</v>
      </c>
      <c r="C6" s="85">
        <v>0.4375</v>
      </c>
      <c r="D6" s="82">
        <f t="shared" si="0"/>
        <v>-0.85410067725397276</v>
      </c>
      <c r="E6" s="85">
        <v>0.125</v>
      </c>
      <c r="F6" s="82">
        <f t="shared" si="1"/>
        <v>-0.33904540520589771</v>
      </c>
      <c r="G6" s="85">
        <v>0.3125</v>
      </c>
      <c r="H6" s="82">
        <f t="shared" si="2"/>
        <v>-0.28744181047150491</v>
      </c>
      <c r="I6" s="85">
        <v>9.375E-2</v>
      </c>
      <c r="J6" s="82">
        <f t="shared" si="3"/>
        <v>-7.7503139005449639E-2</v>
      </c>
      <c r="K6" s="85">
        <v>0.15625</v>
      </c>
      <c r="L6" s="82">
        <f t="shared" si="4"/>
        <v>-0.61796003711945824</v>
      </c>
      <c r="M6" s="85">
        <v>0.21875</v>
      </c>
      <c r="N6" s="82">
        <f t="shared" si="5"/>
        <v>-0.62536733554951751</v>
      </c>
      <c r="O6" s="85">
        <v>6.25E-2</v>
      </c>
      <c r="P6" s="82">
        <f t="shared" si="6"/>
        <v>1.2037668389974105</v>
      </c>
      <c r="Q6" s="22">
        <v>32</v>
      </c>
    </row>
    <row r="7" spans="1:17">
      <c r="A7" t="s">
        <v>15</v>
      </c>
      <c r="B7" s="21" t="s">
        <v>32</v>
      </c>
      <c r="C7" s="85">
        <v>0.70899999999999996</v>
      </c>
      <c r="D7" s="82">
        <f t="shared" si="0"/>
        <v>0.21895615633805179</v>
      </c>
      <c r="E7" s="85">
        <v>0.22800000000000001</v>
      </c>
      <c r="F7" s="82">
        <f t="shared" si="1"/>
        <v>0.3016867657541184</v>
      </c>
      <c r="G7" s="85">
        <v>0.65200000000000002</v>
      </c>
      <c r="H7" s="82">
        <f t="shared" si="2"/>
        <v>1.1217916356763575</v>
      </c>
      <c r="I7" s="85">
        <v>0</v>
      </c>
      <c r="J7" s="82">
        <f t="shared" si="3"/>
        <v>-0.53510032962559262</v>
      </c>
      <c r="K7" s="85">
        <v>0.13900000000000001</v>
      </c>
      <c r="L7" s="82">
        <f t="shared" si="4"/>
        <v>-0.69492342930816575</v>
      </c>
      <c r="M7" s="85">
        <v>0.38</v>
      </c>
      <c r="N7" s="82">
        <f t="shared" si="5"/>
        <v>6.8643028093044567E-2</v>
      </c>
      <c r="O7" s="85">
        <v>6.3291139240506328E-3</v>
      </c>
      <c r="P7" s="82">
        <f t="shared" si="6"/>
        <v>-0.30629221202899326</v>
      </c>
      <c r="Q7" s="21">
        <v>158</v>
      </c>
    </row>
    <row r="8" spans="1:17">
      <c r="A8" t="s">
        <v>15</v>
      </c>
      <c r="B8" s="21" t="s">
        <v>43</v>
      </c>
      <c r="C8" s="85">
        <v>0.5</v>
      </c>
      <c r="D8" s="82">
        <f t="shared" si="0"/>
        <v>-0.60708022753205182</v>
      </c>
      <c r="E8" s="85">
        <v>0.14285714285714285</v>
      </c>
      <c r="F8" s="82">
        <f t="shared" si="1"/>
        <v>-0.22796146433210859</v>
      </c>
      <c r="G8" s="85">
        <v>0.5714285714285714</v>
      </c>
      <c r="H8" s="82">
        <f t="shared" si="2"/>
        <v>0.78734700549441139</v>
      </c>
      <c r="I8" s="85">
        <v>0</v>
      </c>
      <c r="J8" s="82">
        <f t="shared" si="3"/>
        <v>-0.53510032962559262</v>
      </c>
      <c r="K8" s="85">
        <v>0.42857142857142855</v>
      </c>
      <c r="L8" s="82">
        <f t="shared" si="4"/>
        <v>0.59704175467949716</v>
      </c>
      <c r="M8" s="85">
        <v>0.6428571428571429</v>
      </c>
      <c r="N8" s="82">
        <f t="shared" si="5"/>
        <v>1.1999644625136998</v>
      </c>
      <c r="O8" s="85">
        <v>0</v>
      </c>
      <c r="P8" s="82">
        <f t="shared" si="6"/>
        <v>-0.47643971073619362</v>
      </c>
      <c r="Q8" s="21">
        <v>14</v>
      </c>
    </row>
    <row r="9" spans="1:17">
      <c r="A9" t="s">
        <v>15</v>
      </c>
      <c r="B9" s="21" t="s">
        <v>135</v>
      </c>
      <c r="C9" s="85">
        <v>0.35714285714285715</v>
      </c>
      <c r="D9" s="82">
        <f t="shared" si="0"/>
        <v>-1.171698398325014</v>
      </c>
      <c r="E9" s="85">
        <v>0.10714285714285714</v>
      </c>
      <c r="F9" s="82">
        <f t="shared" si="1"/>
        <v>-0.45012934607968696</v>
      </c>
      <c r="G9" s="85">
        <v>0.42857142857142855</v>
      </c>
      <c r="H9" s="82">
        <f t="shared" si="2"/>
        <v>0.19436007254769888</v>
      </c>
      <c r="I9" s="85">
        <v>7.1428571428571425E-2</v>
      </c>
      <c r="J9" s="82">
        <f t="shared" si="3"/>
        <v>-0.18645485105786466</v>
      </c>
      <c r="K9" s="85">
        <v>0.6071428571428571</v>
      </c>
      <c r="L9" s="82">
        <f t="shared" si="4"/>
        <v>1.3937642411050417</v>
      </c>
      <c r="M9" s="85">
        <v>0.35714285714285715</v>
      </c>
      <c r="N9" s="82">
        <f t="shared" si="5"/>
        <v>-2.973274881309932E-2</v>
      </c>
      <c r="O9" s="85">
        <v>0</v>
      </c>
      <c r="P9" s="82">
        <f t="shared" si="6"/>
        <v>-0.47643971073619362</v>
      </c>
      <c r="Q9" s="21">
        <v>28</v>
      </c>
    </row>
    <row r="10" spans="1:17">
      <c r="A10" t="s">
        <v>15</v>
      </c>
      <c r="B10" s="21" t="s">
        <v>51</v>
      </c>
      <c r="C10" s="85">
        <v>0.8571428571428571</v>
      </c>
      <c r="D10" s="82">
        <f t="shared" si="0"/>
        <v>0.80446519945035355</v>
      </c>
      <c r="E10" s="85">
        <v>0.14285714285714285</v>
      </c>
      <c r="F10" s="82">
        <f t="shared" si="1"/>
        <v>-0.22796146433210859</v>
      </c>
      <c r="G10" s="85">
        <v>0.6428571428571429</v>
      </c>
      <c r="H10" s="82">
        <f t="shared" si="2"/>
        <v>1.0838404719677679</v>
      </c>
      <c r="I10" s="85">
        <v>7.1428571428571425E-2</v>
      </c>
      <c r="J10" s="82">
        <f t="shared" si="3"/>
        <v>-0.18645485105786466</v>
      </c>
      <c r="K10" s="85">
        <v>0.42857142857142855</v>
      </c>
      <c r="L10" s="82">
        <f t="shared" si="4"/>
        <v>0.59704175467949716</v>
      </c>
      <c r="M10" s="85">
        <v>0.5</v>
      </c>
      <c r="N10" s="82">
        <f t="shared" si="5"/>
        <v>0.5851158568503001</v>
      </c>
      <c r="O10" s="85">
        <v>0</v>
      </c>
      <c r="P10" s="82">
        <f t="shared" si="6"/>
        <v>-0.47643971073619362</v>
      </c>
      <c r="Q10" s="21">
        <v>14</v>
      </c>
    </row>
    <row r="11" spans="1:17">
      <c r="A11" t="s">
        <v>15</v>
      </c>
      <c r="B11" s="21" t="s">
        <v>136</v>
      </c>
      <c r="C11" s="85">
        <v>1</v>
      </c>
      <c r="D11" s="82">
        <f t="shared" si="0"/>
        <v>1.3690833702433161</v>
      </c>
      <c r="E11" s="85">
        <v>0</v>
      </c>
      <c r="F11" s="82">
        <f t="shared" si="1"/>
        <v>-1.1166329913224222</v>
      </c>
      <c r="G11" s="85">
        <v>0</v>
      </c>
      <c r="H11" s="82">
        <f t="shared" si="2"/>
        <v>-1.5846007262924386</v>
      </c>
      <c r="I11" s="85">
        <v>0</v>
      </c>
      <c r="J11" s="82">
        <f t="shared" si="3"/>
        <v>-0.53510032962559262</v>
      </c>
      <c r="K11" s="102">
        <v>0</v>
      </c>
      <c r="L11" s="82">
        <f t="shared" si="4"/>
        <v>-1.3150922127418097</v>
      </c>
      <c r="M11" s="85">
        <v>0</v>
      </c>
      <c r="N11" s="82">
        <f t="shared" si="5"/>
        <v>-1.566854262971598</v>
      </c>
      <c r="O11" s="85">
        <v>0</v>
      </c>
      <c r="P11" s="82">
        <f t="shared" si="6"/>
        <v>-0.47643971073619362</v>
      </c>
      <c r="Q11" s="21">
        <v>1</v>
      </c>
    </row>
    <row r="12" spans="1:17">
      <c r="A12" t="s">
        <v>15</v>
      </c>
      <c r="B12" s="21" t="s">
        <v>137</v>
      </c>
      <c r="C12" s="85">
        <v>0.9242424242424242</v>
      </c>
      <c r="D12" s="82">
        <f t="shared" si="0"/>
        <v>1.069664643307654</v>
      </c>
      <c r="E12" s="85">
        <v>0.14393939393939395</v>
      </c>
      <c r="F12" s="82">
        <f t="shared" si="1"/>
        <v>-0.22122910427915154</v>
      </c>
      <c r="G12" s="85">
        <v>0.62878787878787878</v>
      </c>
      <c r="H12" s="82">
        <f t="shared" si="2"/>
        <v>1.0254402437230157</v>
      </c>
      <c r="I12" s="85">
        <v>0.13636363636363635</v>
      </c>
      <c r="J12" s="82">
        <f t="shared" si="3"/>
        <v>0.13049558400370623</v>
      </c>
      <c r="K12" s="85">
        <v>0.16700000000000001</v>
      </c>
      <c r="L12" s="82">
        <f t="shared" si="4"/>
        <v>-0.56999734343664044</v>
      </c>
      <c r="M12" s="85">
        <v>0.379</v>
      </c>
      <c r="N12" s="82">
        <f t="shared" si="5"/>
        <v>6.433908785340077E-2</v>
      </c>
      <c r="O12" s="85">
        <v>0</v>
      </c>
      <c r="P12" s="82">
        <f t="shared" si="6"/>
        <v>-0.47643971073619362</v>
      </c>
      <c r="Q12" s="21">
        <v>132</v>
      </c>
    </row>
    <row r="13" spans="1:17">
      <c r="A13" t="s">
        <v>15</v>
      </c>
      <c r="B13" s="21" t="s">
        <v>16</v>
      </c>
      <c r="C13" s="85">
        <v>0.83720930232558144</v>
      </c>
      <c r="D13" s="82">
        <f t="shared" si="0"/>
        <v>0.72568126864203364</v>
      </c>
      <c r="E13" s="85">
        <v>1.1627906976744186E-2</v>
      </c>
      <c r="F13" s="82">
        <f t="shared" si="1"/>
        <v>-1.0442992623813501</v>
      </c>
      <c r="G13" s="85">
        <v>0.15116279069767441</v>
      </c>
      <c r="H13" s="82">
        <f t="shared" si="2"/>
        <v>-0.95713780887208</v>
      </c>
      <c r="I13" s="85">
        <v>6.9767441860465115E-2</v>
      </c>
      <c r="J13" s="82">
        <f t="shared" si="3"/>
        <v>-0.19456288544316064</v>
      </c>
      <c r="K13" s="102">
        <v>2.3255813953488372E-2</v>
      </c>
      <c r="L13" s="82">
        <f t="shared" si="4"/>
        <v>-1.2113330052073203</v>
      </c>
      <c r="M13" s="85">
        <v>0.15116279069767441</v>
      </c>
      <c r="N13" s="82">
        <f t="shared" si="5"/>
        <v>-0.91625864535102419</v>
      </c>
      <c r="O13" s="85">
        <v>0</v>
      </c>
      <c r="P13" s="82">
        <f t="shared" si="6"/>
        <v>-0.47643971073619362</v>
      </c>
      <c r="Q13" s="21">
        <v>86</v>
      </c>
    </row>
    <row r="14" spans="1:17">
      <c r="A14" t="s">
        <v>15</v>
      </c>
      <c r="B14" s="21" t="s">
        <v>30</v>
      </c>
      <c r="C14" s="85">
        <v>0.36842105263157893</v>
      </c>
      <c r="D14" s="82">
        <f t="shared" si="0"/>
        <v>-1.1271232795782014</v>
      </c>
      <c r="E14" s="85">
        <v>0.45614035087719296</v>
      </c>
      <c r="F14" s="82">
        <f t="shared" si="1"/>
        <v>1.7208796036291052</v>
      </c>
      <c r="G14" s="85">
        <v>0.66666666666666663</v>
      </c>
      <c r="H14" s="82">
        <f t="shared" si="2"/>
        <v>1.1826716274588864</v>
      </c>
      <c r="I14" s="85">
        <v>0</v>
      </c>
      <c r="J14" s="82">
        <f t="shared" si="3"/>
        <v>-0.53510032962559262</v>
      </c>
      <c r="K14" s="85">
        <v>0.56140350877192979</v>
      </c>
      <c r="L14" s="82">
        <f t="shared" si="4"/>
        <v>1.1896914638802532</v>
      </c>
      <c r="M14" s="85">
        <v>0.68421052631578949</v>
      </c>
      <c r="N14" s="82">
        <f t="shared" si="5"/>
        <v>1.377946953626789</v>
      </c>
      <c r="O14" s="85">
        <v>0</v>
      </c>
      <c r="P14" s="82">
        <f t="shared" si="6"/>
        <v>-0.47643971073619362</v>
      </c>
      <c r="Q14" s="21">
        <v>57</v>
      </c>
    </row>
    <row r="15" spans="1:17">
      <c r="A15" t="s">
        <v>15</v>
      </c>
      <c r="B15" s="21" t="s">
        <v>44</v>
      </c>
      <c r="C15" s="85">
        <v>0.40200000000000002</v>
      </c>
      <c r="D15" s="82">
        <f t="shared" si="0"/>
        <v>-0.99440829269602382</v>
      </c>
      <c r="E15" s="85">
        <v>4.9000000000000002E-2</v>
      </c>
      <c r="F15" s="82">
        <f t="shared" si="1"/>
        <v>-0.81181865756474447</v>
      </c>
      <c r="G15" s="85">
        <v>0.74099999999999999</v>
      </c>
      <c r="H15" s="82">
        <f t="shared" si="2"/>
        <v>1.4912224949021593</v>
      </c>
      <c r="I15" s="85">
        <v>0.9</v>
      </c>
      <c r="J15" s="82">
        <f t="shared" si="3"/>
        <v>3.8578327003277808</v>
      </c>
      <c r="K15" s="85">
        <v>0.10299999999999999</v>
      </c>
      <c r="L15" s="82">
        <f t="shared" si="4"/>
        <v>-0.85554268257155575</v>
      </c>
      <c r="M15" s="85">
        <v>0.40200000000000002</v>
      </c>
      <c r="N15" s="82">
        <f t="shared" si="5"/>
        <v>0.16332971336520816</v>
      </c>
      <c r="O15" s="85">
        <v>0</v>
      </c>
      <c r="P15" s="82">
        <f t="shared" si="6"/>
        <v>-0.47643971073619362</v>
      </c>
      <c r="Q15" s="21">
        <v>224</v>
      </c>
    </row>
    <row r="16" spans="1:17">
      <c r="A16" t="s">
        <v>15</v>
      </c>
      <c r="B16" s="21" t="s">
        <v>40</v>
      </c>
      <c r="C16" s="85">
        <v>0.9285714285714286</v>
      </c>
      <c r="D16" s="82">
        <f t="shared" si="0"/>
        <v>1.0867742848468349</v>
      </c>
      <c r="E16" s="85">
        <v>0.23809523809523808</v>
      </c>
      <c r="F16" s="82">
        <f t="shared" si="1"/>
        <v>0.36448622032810046</v>
      </c>
      <c r="G16" s="85">
        <v>0.69047619047619047</v>
      </c>
      <c r="H16" s="82">
        <f t="shared" si="2"/>
        <v>1.2815027829500052</v>
      </c>
      <c r="I16" s="85">
        <v>0</v>
      </c>
      <c r="J16" s="82">
        <f t="shared" si="3"/>
        <v>-0.53510032962559262</v>
      </c>
      <c r="K16" s="85">
        <v>0.26190476190476192</v>
      </c>
      <c r="L16" s="82">
        <f t="shared" si="4"/>
        <v>-0.14656589931767763</v>
      </c>
      <c r="M16" s="85">
        <v>0.57099999999999995</v>
      </c>
      <c r="N16" s="82">
        <f t="shared" si="5"/>
        <v>0.89069561386500939</v>
      </c>
      <c r="O16" s="85">
        <v>0</v>
      </c>
      <c r="P16" s="82">
        <f t="shared" si="6"/>
        <v>-0.47643971073619362</v>
      </c>
      <c r="Q16" s="21">
        <v>42</v>
      </c>
    </row>
    <row r="17" spans="1:17">
      <c r="A17" t="s">
        <v>15</v>
      </c>
      <c r="B17" s="21" t="s">
        <v>23</v>
      </c>
      <c r="C17" s="85">
        <v>0.63500000000000001</v>
      </c>
      <c r="D17" s="82">
        <f t="shared" si="0"/>
        <v>-7.3516056132702456E-2</v>
      </c>
      <c r="E17" s="85">
        <v>0.19700000000000001</v>
      </c>
      <c r="F17" s="82">
        <f t="shared" si="1"/>
        <v>0.10884504439722037</v>
      </c>
      <c r="G17" s="85">
        <v>0.59599999999999997</v>
      </c>
      <c r="H17" s="82">
        <f t="shared" si="2"/>
        <v>0.8893407579612459</v>
      </c>
      <c r="I17" s="85">
        <v>0</v>
      </c>
      <c r="J17" s="82">
        <f t="shared" si="3"/>
        <v>-0.53510032962559262</v>
      </c>
      <c r="K17" s="85">
        <v>0.16300000000000001</v>
      </c>
      <c r="L17" s="82">
        <f t="shared" si="4"/>
        <v>-0.58784392713257261</v>
      </c>
      <c r="M17" s="85">
        <v>0.376</v>
      </c>
      <c r="N17" s="82">
        <f t="shared" si="5"/>
        <v>5.1427267134469372E-2</v>
      </c>
      <c r="O17" s="85">
        <v>5.6179775280898875E-3</v>
      </c>
      <c r="P17" s="82">
        <f t="shared" si="6"/>
        <v>-0.32540990851294832</v>
      </c>
      <c r="Q17" s="21">
        <v>178</v>
      </c>
    </row>
    <row r="18" spans="1:17">
      <c r="A18" t="s">
        <v>15</v>
      </c>
      <c r="B18" s="21" t="s">
        <v>138</v>
      </c>
      <c r="C18" s="85">
        <v>0.80136986301369861</v>
      </c>
      <c r="D18" s="82">
        <f t="shared" si="0"/>
        <v>0.58403207797638901</v>
      </c>
      <c r="E18" s="85">
        <v>0.19863013698630136</v>
      </c>
      <c r="F18" s="82">
        <f t="shared" si="1"/>
        <v>0.11898563867095903</v>
      </c>
      <c r="G18" s="85">
        <v>0.50342465753424659</v>
      </c>
      <c r="H18" s="82">
        <f t="shared" si="2"/>
        <v>0.50506897919443539</v>
      </c>
      <c r="I18" s="85">
        <v>3.4246575342465752E-2</v>
      </c>
      <c r="J18" s="82">
        <f t="shared" si="3"/>
        <v>-0.36794153853147649</v>
      </c>
      <c r="K18" s="85">
        <v>0.25684931506849318</v>
      </c>
      <c r="L18" s="82">
        <f t="shared" si="4"/>
        <v>-0.16912151308862908</v>
      </c>
      <c r="M18" s="85">
        <v>0.39400000000000002</v>
      </c>
      <c r="N18" s="82">
        <f t="shared" si="5"/>
        <v>0.12889819144805778</v>
      </c>
      <c r="O18" s="85">
        <v>6.8493150684931503E-3</v>
      </c>
      <c r="P18" s="82">
        <f t="shared" si="6"/>
        <v>-0.29230748610785345</v>
      </c>
      <c r="Q18" s="21">
        <v>292</v>
      </c>
    </row>
    <row r="19" spans="1:17">
      <c r="A19" t="s">
        <v>15</v>
      </c>
      <c r="B19" s="21" t="s">
        <v>25</v>
      </c>
      <c r="C19" s="85">
        <v>0.4</v>
      </c>
      <c r="D19" s="82">
        <f t="shared" si="0"/>
        <v>-1.0023129470871253</v>
      </c>
      <c r="E19" s="85">
        <v>0.25</v>
      </c>
      <c r="F19" s="82">
        <f t="shared" si="1"/>
        <v>0.43854218091062669</v>
      </c>
      <c r="G19" s="85">
        <v>0.7</v>
      </c>
      <c r="H19" s="82">
        <f t="shared" si="2"/>
        <v>1.3210352451464527</v>
      </c>
      <c r="I19" s="85">
        <v>0</v>
      </c>
      <c r="J19" s="82">
        <f t="shared" si="3"/>
        <v>-0.53510032962559262</v>
      </c>
      <c r="K19" s="85">
        <v>0.3</v>
      </c>
      <c r="L19" s="82">
        <f t="shared" si="4"/>
        <v>2.3401564453105095E-2</v>
      </c>
      <c r="M19" s="85">
        <v>0.65</v>
      </c>
      <c r="N19" s="82">
        <f t="shared" si="5"/>
        <v>1.2307068927968696</v>
      </c>
      <c r="O19" s="85">
        <v>0.05</v>
      </c>
      <c r="P19" s="82">
        <f t="shared" si="6"/>
        <v>0.86772552905068989</v>
      </c>
      <c r="Q19" s="21">
        <v>20</v>
      </c>
    </row>
    <row r="20" spans="1:17">
      <c r="A20" t="s">
        <v>15</v>
      </c>
      <c r="B20" s="21" t="s">
        <v>41</v>
      </c>
      <c r="C20" s="85">
        <v>0.8571428571428571</v>
      </c>
      <c r="D20" s="82">
        <f t="shared" si="0"/>
        <v>0.80446519945035355</v>
      </c>
      <c r="E20" s="85">
        <v>0.2857142857142857</v>
      </c>
      <c r="F20" s="82">
        <f t="shared" si="1"/>
        <v>0.66071006265820498</v>
      </c>
      <c r="G20" s="85">
        <v>0.2857142857142857</v>
      </c>
      <c r="H20" s="82">
        <f t="shared" si="2"/>
        <v>-0.39862686039901357</v>
      </c>
      <c r="I20" s="85">
        <v>0.2857142857142857</v>
      </c>
      <c r="J20" s="82">
        <f t="shared" si="3"/>
        <v>0.85948158464531921</v>
      </c>
      <c r="K20" s="85">
        <v>0.14285714285714285</v>
      </c>
      <c r="L20" s="82">
        <f t="shared" si="4"/>
        <v>-0.67771422360137412</v>
      </c>
      <c r="M20" s="85">
        <v>0.5714285714285714</v>
      </c>
      <c r="N20" s="82">
        <f t="shared" si="5"/>
        <v>0.89254015968199962</v>
      </c>
      <c r="O20" s="85">
        <v>0</v>
      </c>
      <c r="P20" s="82">
        <f t="shared" si="6"/>
        <v>-0.47643971073619362</v>
      </c>
      <c r="Q20" s="21">
        <v>7</v>
      </c>
    </row>
    <row r="21" spans="1:17">
      <c r="A21" t="s">
        <v>15</v>
      </c>
      <c r="B21" s="21" t="s">
        <v>48</v>
      </c>
      <c r="C21" s="85">
        <v>0.88</v>
      </c>
      <c r="D21" s="82">
        <f t="shared" si="0"/>
        <v>0.89480410677722777</v>
      </c>
      <c r="E21" s="85">
        <v>4.3999999999999997E-2</v>
      </c>
      <c r="F21" s="82">
        <f t="shared" si="1"/>
        <v>-0.84292216100940542</v>
      </c>
      <c r="G21" s="85">
        <v>0.27300000000000002</v>
      </c>
      <c r="H21" s="82">
        <f t="shared" si="2"/>
        <v>-0.45140269743127087</v>
      </c>
      <c r="I21" s="85">
        <v>1.0999999999999999E-2</v>
      </c>
      <c r="J21" s="82">
        <f t="shared" si="3"/>
        <v>-0.48140892592616258</v>
      </c>
      <c r="K21" s="102">
        <v>6.7000000000000004E-2</v>
      </c>
      <c r="L21" s="82">
        <f t="shared" si="4"/>
        <v>-1.0161619358349454</v>
      </c>
      <c r="M21" s="85">
        <v>0.22</v>
      </c>
      <c r="N21" s="82">
        <f t="shared" si="5"/>
        <v>-0.61998741024996284</v>
      </c>
      <c r="O21" s="85">
        <v>0.2</v>
      </c>
      <c r="P21" s="82">
        <f t="shared" si="6"/>
        <v>4.9002212484113397</v>
      </c>
      <c r="Q21" s="21">
        <v>451</v>
      </c>
    </row>
    <row r="22" spans="1:17">
      <c r="A22" t="s">
        <v>15</v>
      </c>
      <c r="B22" s="21" t="s">
        <v>139</v>
      </c>
      <c r="C22" s="85">
        <v>0.96551724137931039</v>
      </c>
      <c r="D22" s="82">
        <f t="shared" si="0"/>
        <v>1.2327962255691529</v>
      </c>
      <c r="E22" s="85">
        <v>0</v>
      </c>
      <c r="F22" s="82">
        <f t="shared" si="1"/>
        <v>-1.1166329913224222</v>
      </c>
      <c r="G22" s="85">
        <v>0</v>
      </c>
      <c r="H22" s="82">
        <f t="shared" si="2"/>
        <v>-1.5846007262924386</v>
      </c>
      <c r="I22" s="85">
        <v>3.4482758620689655E-2</v>
      </c>
      <c r="J22" s="82">
        <f t="shared" si="3"/>
        <v>-0.36678871928255152</v>
      </c>
      <c r="K22" s="102">
        <v>0</v>
      </c>
      <c r="L22" s="82">
        <f t="shared" si="4"/>
        <v>-1.3150922127418097</v>
      </c>
      <c r="M22" s="85">
        <v>0</v>
      </c>
      <c r="N22" s="82">
        <f t="shared" si="5"/>
        <v>-1.566854262971598</v>
      </c>
      <c r="O22" s="85">
        <v>0</v>
      </c>
      <c r="P22" s="82">
        <f t="shared" si="6"/>
        <v>-0.47643971073619362</v>
      </c>
      <c r="Q22" s="21">
        <v>29</v>
      </c>
    </row>
    <row r="23" spans="1:17">
      <c r="A23" t="s">
        <v>15</v>
      </c>
      <c r="B23" s="21" t="s">
        <v>140</v>
      </c>
      <c r="C23" s="85">
        <v>0.95652173913043481</v>
      </c>
      <c r="D23" s="82">
        <f t="shared" si="0"/>
        <v>1.1972430573932842</v>
      </c>
      <c r="E23" s="85">
        <v>0</v>
      </c>
      <c r="F23" s="82">
        <f t="shared" si="1"/>
        <v>-1.1166329913224222</v>
      </c>
      <c r="G23" s="85">
        <v>0.63043478260869568</v>
      </c>
      <c r="H23" s="82">
        <f t="shared" si="2"/>
        <v>1.0322763908419668</v>
      </c>
      <c r="I23" s="85">
        <v>0</v>
      </c>
      <c r="J23" s="82">
        <f t="shared" si="3"/>
        <v>-0.53510032962559262</v>
      </c>
      <c r="K23" s="102">
        <v>4.3478260869565216E-2</v>
      </c>
      <c r="L23" s="82">
        <f t="shared" si="4"/>
        <v>-1.1211076073512423</v>
      </c>
      <c r="M23" s="85">
        <v>0.52200000000000002</v>
      </c>
      <c r="N23" s="82">
        <f t="shared" si="5"/>
        <v>0.67980254212246372</v>
      </c>
      <c r="O23" s="85">
        <v>0</v>
      </c>
      <c r="P23" s="82">
        <f t="shared" si="6"/>
        <v>-0.47643971073619362</v>
      </c>
      <c r="Q23" s="21">
        <v>46</v>
      </c>
    </row>
    <row r="24" spans="1:17">
      <c r="A24" t="s">
        <v>15</v>
      </c>
      <c r="B24" s="21" t="s">
        <v>46</v>
      </c>
      <c r="C24" s="85">
        <v>0.33333333333333331</v>
      </c>
      <c r="D24" s="82">
        <f t="shared" si="0"/>
        <v>-1.2658014267905078</v>
      </c>
      <c r="E24" s="85">
        <v>0</v>
      </c>
      <c r="F24" s="82">
        <f t="shared" si="1"/>
        <v>-1.1166329913224222</v>
      </c>
      <c r="G24" s="85">
        <v>0.66666666666666663</v>
      </c>
      <c r="H24" s="82">
        <f t="shared" si="2"/>
        <v>1.1826716274588864</v>
      </c>
      <c r="I24" s="85">
        <v>1</v>
      </c>
      <c r="J24" s="82">
        <f t="shared" si="3"/>
        <v>4.3459363703226002</v>
      </c>
      <c r="K24" s="85">
        <v>0.33333333333333331</v>
      </c>
      <c r="L24" s="82">
        <f t="shared" si="4"/>
        <v>0.17212309525254005</v>
      </c>
      <c r="M24" s="85">
        <v>0</v>
      </c>
      <c r="N24" s="82">
        <f t="shared" si="5"/>
        <v>-1.566854262971598</v>
      </c>
      <c r="O24" s="85">
        <v>0</v>
      </c>
      <c r="P24" s="82">
        <f t="shared" si="6"/>
        <v>-0.47643971073619362</v>
      </c>
      <c r="Q24" s="21">
        <v>3</v>
      </c>
    </row>
    <row r="25" spans="1:17">
      <c r="A25" t="s">
        <v>15</v>
      </c>
      <c r="B25" s="21" t="s">
        <v>28</v>
      </c>
      <c r="C25" s="85">
        <v>0.91666666666666663</v>
      </c>
      <c r="D25" s="82">
        <f t="shared" si="0"/>
        <v>1.0397227706140879</v>
      </c>
      <c r="E25" s="85">
        <v>0</v>
      </c>
      <c r="F25" s="82">
        <f t="shared" si="1"/>
        <v>-1.1166329913224222</v>
      </c>
      <c r="G25" s="85">
        <v>0.25</v>
      </c>
      <c r="H25" s="82">
        <f t="shared" si="2"/>
        <v>-0.54687359363569166</v>
      </c>
      <c r="I25" s="85">
        <v>0</v>
      </c>
      <c r="J25" s="82">
        <f t="shared" si="3"/>
        <v>-0.53510032962559262</v>
      </c>
      <c r="K25" s="85">
        <v>8.3333333333333329E-2</v>
      </c>
      <c r="L25" s="82">
        <f t="shared" si="4"/>
        <v>-0.94328838574322238</v>
      </c>
      <c r="M25" s="85">
        <v>0.25</v>
      </c>
      <c r="N25" s="82">
        <f t="shared" si="5"/>
        <v>-0.49086920306064891</v>
      </c>
      <c r="O25" s="85">
        <v>0</v>
      </c>
      <c r="P25" s="82">
        <f t="shared" si="6"/>
        <v>-0.47643971073619362</v>
      </c>
      <c r="Q25" s="21">
        <v>12</v>
      </c>
    </row>
    <row r="26" spans="1:17">
      <c r="A26" t="s">
        <v>141</v>
      </c>
      <c r="B26" s="21" t="s">
        <v>93</v>
      </c>
      <c r="C26" s="85">
        <v>0.91428571428571426</v>
      </c>
      <c r="D26" s="82">
        <f t="shared" si="0"/>
        <v>1.0303124677675386</v>
      </c>
      <c r="E26" s="85">
        <v>0.28599999999999998</v>
      </c>
      <c r="F26" s="82">
        <f t="shared" si="1"/>
        <v>0.66248740571218556</v>
      </c>
      <c r="G26" s="85">
        <v>0.54300000000000004</v>
      </c>
      <c r="H26" s="82">
        <f t="shared" si="2"/>
        <v>0.66934260583801586</v>
      </c>
      <c r="I26" s="85">
        <v>0</v>
      </c>
      <c r="J26" s="82">
        <f t="shared" si="3"/>
        <v>-0.53510032962559262</v>
      </c>
      <c r="K26" s="85">
        <v>0.17100000000000001</v>
      </c>
      <c r="L26" s="82">
        <f t="shared" si="4"/>
        <v>-0.55215075974070815</v>
      </c>
      <c r="M26" s="85">
        <v>0.48599999999999999</v>
      </c>
      <c r="N26" s="82">
        <f t="shared" si="5"/>
        <v>0.52486069349528686</v>
      </c>
      <c r="O26" s="85">
        <v>0</v>
      </c>
      <c r="P26" s="82">
        <f t="shared" si="6"/>
        <v>-0.47643971073619362</v>
      </c>
      <c r="Q26" s="21">
        <v>70</v>
      </c>
    </row>
    <row r="27" spans="1:17">
      <c r="A27" t="s">
        <v>141</v>
      </c>
      <c r="B27" s="21" t="s">
        <v>65</v>
      </c>
      <c r="C27" s="85">
        <v>0.49545454545454548</v>
      </c>
      <c r="D27" s="82">
        <f t="shared" si="0"/>
        <v>-0.62504535114819137</v>
      </c>
      <c r="E27" s="85">
        <v>0.19545454545454546</v>
      </c>
      <c r="F27" s="82">
        <f t="shared" si="1"/>
        <v>9.9231234241597896E-2</v>
      </c>
      <c r="G27" s="85">
        <v>0.318</v>
      </c>
      <c r="H27" s="82">
        <f t="shared" si="2"/>
        <v>-0.26461181355305646</v>
      </c>
      <c r="I27" s="85">
        <v>8.6363636363636365E-2</v>
      </c>
      <c r="J27" s="82">
        <f t="shared" si="3"/>
        <v>-0.11355625099370333</v>
      </c>
      <c r="K27" s="85">
        <v>0.44090909090909092</v>
      </c>
      <c r="L27" s="82">
        <f t="shared" si="4"/>
        <v>0.65208803555980765</v>
      </c>
      <c r="M27" s="85">
        <v>0.51800000000000002</v>
      </c>
      <c r="N27" s="82">
        <f t="shared" si="5"/>
        <v>0.66258678116388847</v>
      </c>
      <c r="O27" s="85">
        <v>3.6363636363636362E-2</v>
      </c>
      <c r="P27" s="82">
        <f t="shared" si="6"/>
        <v>0.50113500910881237</v>
      </c>
      <c r="Q27" s="21">
        <v>220</v>
      </c>
    </row>
    <row r="28" spans="1:17">
      <c r="A28" t="s">
        <v>141</v>
      </c>
      <c r="B28" s="21" t="s">
        <v>76</v>
      </c>
      <c r="C28" s="85">
        <v>0.5625</v>
      </c>
      <c r="D28" s="82">
        <f t="shared" si="0"/>
        <v>-0.36005977781013082</v>
      </c>
      <c r="E28" s="85">
        <v>3.7999999999999999E-2</v>
      </c>
      <c r="F28" s="82">
        <f t="shared" si="1"/>
        <v>-0.8802463651429987</v>
      </c>
      <c r="G28" s="85">
        <v>6.3E-2</v>
      </c>
      <c r="H28" s="82">
        <f t="shared" si="2"/>
        <v>-1.3230934888629384</v>
      </c>
      <c r="I28" s="85">
        <v>2.5000000000000001E-2</v>
      </c>
      <c r="J28" s="82">
        <f t="shared" si="3"/>
        <v>-0.41307441212688778</v>
      </c>
      <c r="K28" s="85">
        <v>0.32500000000000001</v>
      </c>
      <c r="L28" s="82">
        <f t="shared" si="4"/>
        <v>0.13494271255268145</v>
      </c>
      <c r="M28" s="85">
        <v>0.4375</v>
      </c>
      <c r="N28" s="82">
        <f t="shared" si="5"/>
        <v>0.31611959187256283</v>
      </c>
      <c r="O28" s="85">
        <v>3.7499999999999999E-2</v>
      </c>
      <c r="P28" s="82">
        <f t="shared" si="6"/>
        <v>0.53168421910396879</v>
      </c>
      <c r="Q28" s="21">
        <v>80</v>
      </c>
    </row>
    <row r="29" spans="1:17">
      <c r="A29" t="s">
        <v>141</v>
      </c>
      <c r="B29" s="21" t="s">
        <v>99</v>
      </c>
      <c r="C29" s="85">
        <v>0.94285714285714284</v>
      </c>
      <c r="D29" s="82">
        <f t="shared" si="0"/>
        <v>1.143236101926131</v>
      </c>
      <c r="E29" s="85">
        <v>0.2857142857142857</v>
      </c>
      <c r="F29" s="82">
        <f t="shared" si="1"/>
        <v>0.66071006265820498</v>
      </c>
      <c r="G29" s="85">
        <v>0.7142857142857143</v>
      </c>
      <c r="H29" s="82">
        <f t="shared" si="2"/>
        <v>1.3803339384411242</v>
      </c>
      <c r="I29" s="85">
        <v>0</v>
      </c>
      <c r="J29" s="82">
        <f t="shared" si="3"/>
        <v>-0.53510032962559262</v>
      </c>
      <c r="K29" s="85">
        <v>0.25714285714285712</v>
      </c>
      <c r="L29" s="82">
        <f t="shared" si="4"/>
        <v>-0.16781183228902566</v>
      </c>
      <c r="M29" s="85">
        <v>0.68571428571428572</v>
      </c>
      <c r="N29" s="82">
        <f t="shared" si="5"/>
        <v>1.3844190442127193</v>
      </c>
      <c r="O29" s="85">
        <v>0</v>
      </c>
      <c r="P29" s="82">
        <f t="shared" si="6"/>
        <v>-0.47643971073619362</v>
      </c>
      <c r="Q29" s="21">
        <v>35</v>
      </c>
    </row>
    <row r="30" spans="1:17">
      <c r="A30" t="s">
        <v>141</v>
      </c>
      <c r="B30" s="21" t="s">
        <v>100</v>
      </c>
      <c r="C30" s="85">
        <v>0.8928571428571429</v>
      </c>
      <c r="D30" s="82">
        <f t="shared" si="0"/>
        <v>0.94561974214859457</v>
      </c>
      <c r="E30" s="85">
        <v>8.3333333333333329E-2</v>
      </c>
      <c r="F30" s="82">
        <f t="shared" si="1"/>
        <v>-0.59824126724473925</v>
      </c>
      <c r="G30" s="85">
        <v>4.7619047619047616E-2</v>
      </c>
      <c r="H30" s="82">
        <f t="shared" si="2"/>
        <v>-1.3869384153102011</v>
      </c>
      <c r="I30" s="85">
        <v>1.1904761904761904E-2</v>
      </c>
      <c r="J30" s="82">
        <f t="shared" si="3"/>
        <v>-0.47699274986430468</v>
      </c>
      <c r="K30" s="85">
        <v>0.13095238095238096</v>
      </c>
      <c r="L30" s="82">
        <f t="shared" si="4"/>
        <v>-0.73082905602974368</v>
      </c>
      <c r="M30" s="85">
        <v>1.1904761904761904E-2</v>
      </c>
      <c r="N30" s="82">
        <f t="shared" si="5"/>
        <v>-1.5156168791663145</v>
      </c>
      <c r="O30" s="85">
        <v>0</v>
      </c>
      <c r="P30" s="82">
        <f t="shared" si="6"/>
        <v>-0.47643971073619362</v>
      </c>
      <c r="Q30" s="21">
        <v>84</v>
      </c>
    </row>
    <row r="31" spans="1:17">
      <c r="A31" t="s">
        <v>141</v>
      </c>
      <c r="B31" s="21" t="s">
        <v>81</v>
      </c>
      <c r="C31" s="85">
        <v>0.88929889298892983</v>
      </c>
      <c r="D31" s="82">
        <f t="shared" si="0"/>
        <v>0.93155637442589123</v>
      </c>
      <c r="E31" s="85">
        <v>0.18819188191881919</v>
      </c>
      <c r="F31" s="82">
        <f t="shared" si="1"/>
        <v>5.4052378181422743E-2</v>
      </c>
      <c r="G31" s="85">
        <v>0.43911439114391143</v>
      </c>
      <c r="H31" s="82">
        <f t="shared" si="2"/>
        <v>0.23812294582789914</v>
      </c>
      <c r="I31" s="85">
        <v>1.107011070110701E-2</v>
      </c>
      <c r="J31" s="82">
        <f t="shared" si="3"/>
        <v>-0.48106671302100013</v>
      </c>
      <c r="K31" s="85">
        <v>0.29151291512915128</v>
      </c>
      <c r="L31" s="82">
        <f t="shared" si="4"/>
        <v>-1.4464803167415234E-2</v>
      </c>
      <c r="M31" s="85">
        <v>0.376</v>
      </c>
      <c r="N31" s="82">
        <f t="shared" si="5"/>
        <v>5.1427267134469372E-2</v>
      </c>
      <c r="O31" s="85">
        <v>0</v>
      </c>
      <c r="P31" s="82">
        <f t="shared" si="6"/>
        <v>-0.47643971073619362</v>
      </c>
      <c r="Q31" s="21">
        <v>271</v>
      </c>
    </row>
    <row r="32" spans="1:17">
      <c r="A32" t="s">
        <v>141</v>
      </c>
      <c r="B32" s="21" t="s">
        <v>87</v>
      </c>
      <c r="C32" s="85">
        <v>0.89119170984455953</v>
      </c>
      <c r="D32" s="82">
        <f t="shared" si="0"/>
        <v>0.93903740596059326</v>
      </c>
      <c r="E32" s="85">
        <v>0.59067357512953367</v>
      </c>
      <c r="F32" s="82">
        <f t="shared" si="1"/>
        <v>2.5577705244199107</v>
      </c>
      <c r="G32" s="85">
        <v>0.89637305699481862</v>
      </c>
      <c r="H32" s="82">
        <f t="shared" si="2"/>
        <v>2.136161842611545</v>
      </c>
      <c r="I32" s="85">
        <v>2.5906735751295335E-2</v>
      </c>
      <c r="J32" s="82">
        <f t="shared" si="3"/>
        <v>-0.40864860164766026</v>
      </c>
      <c r="K32" s="85">
        <v>0.66321243523316065</v>
      </c>
      <c r="L32" s="82">
        <f t="shared" si="4"/>
        <v>1.6439268456510938</v>
      </c>
      <c r="M32" s="85">
        <v>0.84974093264248707</v>
      </c>
      <c r="N32" s="82">
        <f t="shared" si="5"/>
        <v>2.0903799303008506</v>
      </c>
      <c r="O32" s="85">
        <v>0</v>
      </c>
      <c r="P32" s="82">
        <f t="shared" si="6"/>
        <v>-0.47643971073619362</v>
      </c>
      <c r="Q32" s="21">
        <v>193</v>
      </c>
    </row>
    <row r="33" spans="1:17">
      <c r="A33" t="s">
        <v>141</v>
      </c>
      <c r="B33" s="25" t="s">
        <v>75</v>
      </c>
      <c r="C33" s="85">
        <v>0.21052631578947367</v>
      </c>
      <c r="D33" s="82">
        <f t="shared" si="0"/>
        <v>-1.7511749420335805</v>
      </c>
      <c r="E33" s="85">
        <v>5.2631578947368418E-2</v>
      </c>
      <c r="F33" s="82">
        <f t="shared" si="1"/>
        <v>-0.78922769190493824</v>
      </c>
      <c r="G33" s="85">
        <v>0</v>
      </c>
      <c r="H33" s="82">
        <f t="shared" si="2"/>
        <v>-1.5846007262924386</v>
      </c>
      <c r="I33" s="85">
        <v>0</v>
      </c>
      <c r="J33" s="82">
        <f t="shared" si="3"/>
        <v>-0.53510032962559262</v>
      </c>
      <c r="K33" s="85">
        <v>0.21052631578947367</v>
      </c>
      <c r="L33" s="82">
        <f t="shared" si="4"/>
        <v>-0.37579833400853618</v>
      </c>
      <c r="M33" s="85">
        <v>0.52631578947368418</v>
      </c>
      <c r="N33" s="82">
        <f t="shared" si="5"/>
        <v>0.69837744210408403</v>
      </c>
      <c r="O33" s="85">
        <v>0</v>
      </c>
      <c r="P33" s="82">
        <f t="shared" si="6"/>
        <v>-0.47643971073619362</v>
      </c>
      <c r="Q33" s="21">
        <v>19</v>
      </c>
    </row>
    <row r="34" spans="1:17">
      <c r="A34" t="s">
        <v>141</v>
      </c>
      <c r="B34" s="21" t="s">
        <v>142</v>
      </c>
      <c r="C34" s="85">
        <v>0.63636363636363635</v>
      </c>
      <c r="D34" s="82">
        <f t="shared" si="0"/>
        <v>-6.8126519047860615E-2</v>
      </c>
      <c r="E34" s="85">
        <v>0.75</v>
      </c>
      <c r="F34" s="82">
        <f t="shared" si="1"/>
        <v>3.5488925253767243</v>
      </c>
      <c r="G34" s="85">
        <v>0.25</v>
      </c>
      <c r="H34" s="82">
        <f t="shared" si="2"/>
        <v>-0.54687359363569166</v>
      </c>
      <c r="I34" s="85">
        <v>6.8181818181818177E-2</v>
      </c>
      <c r="J34" s="82">
        <f t="shared" si="3"/>
        <v>-0.20230237281094321</v>
      </c>
      <c r="K34" s="85">
        <v>0.68181818181818177</v>
      </c>
      <c r="L34" s="82">
        <f t="shared" si="4"/>
        <v>1.7269390990648148</v>
      </c>
      <c r="M34" s="85">
        <v>0.11363636363636363</v>
      </c>
      <c r="N34" s="82">
        <f t="shared" si="5"/>
        <v>-1.0777701448302575</v>
      </c>
      <c r="O34" s="85">
        <v>0</v>
      </c>
      <c r="P34" s="82">
        <f t="shared" si="6"/>
        <v>-0.47643971073619362</v>
      </c>
      <c r="Q34" s="21">
        <v>44</v>
      </c>
    </row>
    <row r="35" spans="1:17">
      <c r="A35" t="s">
        <v>141</v>
      </c>
      <c r="B35" s="21" t="s">
        <v>143</v>
      </c>
      <c r="C35" s="85">
        <v>0.30263157894736842</v>
      </c>
      <c r="D35" s="82">
        <f t="shared" si="0"/>
        <v>-1.3871448056012758</v>
      </c>
      <c r="E35" s="85">
        <v>3.9473684210526314E-2</v>
      </c>
      <c r="F35" s="82">
        <f t="shared" si="1"/>
        <v>-0.87107901675930921</v>
      </c>
      <c r="G35" s="85">
        <v>7.8947368421052627E-2</v>
      </c>
      <c r="H35" s="82">
        <f t="shared" si="2"/>
        <v>-1.2568974212429396</v>
      </c>
      <c r="I35" s="85">
        <v>3.9473684210526314E-2</v>
      </c>
      <c r="J35" s="82">
        <f t="shared" si="3"/>
        <v>-0.34242782831184826</v>
      </c>
      <c r="K35" s="85">
        <v>0.34210526315789475</v>
      </c>
      <c r="L35" s="82">
        <f t="shared" si="4"/>
        <v>0.21126034019975989</v>
      </c>
      <c r="M35" s="85">
        <v>0.72368421052631582</v>
      </c>
      <c r="N35" s="82">
        <f t="shared" si="5"/>
        <v>1.547839331507465</v>
      </c>
      <c r="O35" s="85">
        <v>2.6315789473684209E-2</v>
      </c>
      <c r="P35" s="82">
        <f t="shared" si="6"/>
        <v>0.23101567862532385</v>
      </c>
      <c r="Q35" s="21">
        <v>76</v>
      </c>
    </row>
    <row r="36" spans="1:17">
      <c r="A36" t="s">
        <v>141</v>
      </c>
      <c r="B36" s="21" t="s">
        <v>74</v>
      </c>
      <c r="C36" s="85">
        <v>0.73242630385487528</v>
      </c>
      <c r="D36" s="82">
        <f t="shared" si="0"/>
        <v>0.31154457415491055</v>
      </c>
      <c r="E36" s="85">
        <v>0.17006802721088435</v>
      </c>
      <c r="F36" s="82">
        <f t="shared" si="1"/>
        <v>-5.8690697286334546E-2</v>
      </c>
      <c r="G36" s="85">
        <v>0.34499999999999997</v>
      </c>
      <c r="H36" s="82">
        <f t="shared" si="2"/>
        <v>-0.15253728322612795</v>
      </c>
      <c r="I36" s="85">
        <v>6.3492063492063489E-2</v>
      </c>
      <c r="J36" s="82">
        <f t="shared" si="3"/>
        <v>-0.22519323756539</v>
      </c>
      <c r="K36" s="85">
        <v>0.17687074829931973</v>
      </c>
      <c r="L36" s="82">
        <f t="shared" si="4"/>
        <v>-0.52595755952031797</v>
      </c>
      <c r="M36" s="85">
        <v>0.28999999999999998</v>
      </c>
      <c r="N36" s="82">
        <f t="shared" si="5"/>
        <v>-0.31871159347489719</v>
      </c>
      <c r="O36" s="85">
        <v>2.0408163265306121E-2</v>
      </c>
      <c r="P36" s="82">
        <f t="shared" si="6"/>
        <v>7.2199162646207668E-2</v>
      </c>
      <c r="Q36" s="21">
        <v>441</v>
      </c>
    </row>
    <row r="37" spans="1:17">
      <c r="A37" t="s">
        <v>141</v>
      </c>
      <c r="B37" s="21" t="s">
        <v>94</v>
      </c>
      <c r="C37" s="85">
        <v>0</v>
      </c>
      <c r="D37" s="82">
        <f t="shared" si="0"/>
        <v>-2.5832438253074197</v>
      </c>
      <c r="E37" s="85">
        <v>0</v>
      </c>
      <c r="F37" s="82">
        <f t="shared" si="1"/>
        <v>-1.1166329913224222</v>
      </c>
      <c r="G37" s="85">
        <v>6.25E-2</v>
      </c>
      <c r="H37" s="82">
        <f t="shared" si="2"/>
        <v>-1.3251689431282518</v>
      </c>
      <c r="I37" s="85">
        <v>6.25E-2</v>
      </c>
      <c r="J37" s="82">
        <f t="shared" si="3"/>
        <v>-0.23003553587883063</v>
      </c>
      <c r="K37" s="85">
        <v>0.875</v>
      </c>
      <c r="L37" s="82">
        <f t="shared" si="4"/>
        <v>2.5888479707433585</v>
      </c>
      <c r="M37" s="85">
        <v>3.125E-2</v>
      </c>
      <c r="N37" s="82">
        <f t="shared" si="5"/>
        <v>-1.4323561304827293</v>
      </c>
      <c r="O37" s="85">
        <v>0</v>
      </c>
      <c r="P37" s="82">
        <f t="shared" si="6"/>
        <v>-0.47643971073619362</v>
      </c>
      <c r="Q37" s="21">
        <v>32</v>
      </c>
    </row>
    <row r="38" spans="1:17">
      <c r="A38" t="s">
        <v>141</v>
      </c>
      <c r="B38" s="21" t="s">
        <v>83</v>
      </c>
      <c r="C38" s="85">
        <v>0.85413005272407738</v>
      </c>
      <c r="D38" s="82">
        <f t="shared" si="0"/>
        <v>0.79255761061113505</v>
      </c>
      <c r="E38" s="85">
        <v>9.5000000000000001E-2</v>
      </c>
      <c r="F38" s="82">
        <f t="shared" si="1"/>
        <v>-0.52566642587386359</v>
      </c>
      <c r="G38" s="85">
        <v>0.30755711775043937</v>
      </c>
      <c r="H38" s="82">
        <f t="shared" si="2"/>
        <v>-0.30795926256709089</v>
      </c>
      <c r="I38" s="85">
        <v>1.5817223198594025E-2</v>
      </c>
      <c r="J38" s="82">
        <f t="shared" si="3"/>
        <v>-0.45789588270198328</v>
      </c>
      <c r="K38" s="102">
        <v>6.9000000000000006E-2</v>
      </c>
      <c r="L38" s="82">
        <f t="shared" si="4"/>
        <v>-1.0072386439869794</v>
      </c>
      <c r="M38" s="85">
        <v>0.2</v>
      </c>
      <c r="N38" s="82">
        <f t="shared" si="5"/>
        <v>-0.70606621504283873</v>
      </c>
      <c r="O38" s="85">
        <v>5.272407732864675E-3</v>
      </c>
      <c r="P38" s="82">
        <f t="shared" si="6"/>
        <v>-0.33469996664618834</v>
      </c>
      <c r="Q38" s="21">
        <v>569</v>
      </c>
    </row>
    <row r="39" spans="1:17">
      <c r="A39" t="s">
        <v>141</v>
      </c>
      <c r="B39" s="21" t="s">
        <v>85</v>
      </c>
      <c r="C39" s="85">
        <v>0.81</v>
      </c>
      <c r="D39" s="82">
        <f t="shared" si="0"/>
        <v>0.61814120308867648</v>
      </c>
      <c r="E39" s="85">
        <v>0.10126582278481013</v>
      </c>
      <c r="F39" s="82">
        <f t="shared" si="1"/>
        <v>-0.48668861775966821</v>
      </c>
      <c r="G39" s="85">
        <v>0.41499999999999998</v>
      </c>
      <c r="H39" s="82">
        <f t="shared" si="2"/>
        <v>0.13802631391776121</v>
      </c>
      <c r="I39" s="85">
        <v>1.5822784810126583E-2</v>
      </c>
      <c r="J39" s="82">
        <f t="shared" si="3"/>
        <v>-0.45786873627198199</v>
      </c>
      <c r="K39" s="85">
        <v>0.18670886075949367</v>
      </c>
      <c r="L39" s="82">
        <f t="shared" si="4"/>
        <v>-0.48206338516269609</v>
      </c>
      <c r="M39" s="85">
        <v>0.24399999999999999</v>
      </c>
      <c r="N39" s="82">
        <f t="shared" si="5"/>
        <v>-0.51669284449851172</v>
      </c>
      <c r="O39" s="85">
        <v>0</v>
      </c>
      <c r="P39" s="82">
        <f t="shared" si="6"/>
        <v>-0.47643971073619362</v>
      </c>
      <c r="Q39" s="21">
        <v>316</v>
      </c>
    </row>
    <row r="40" spans="1:17">
      <c r="A40" t="s">
        <v>141</v>
      </c>
      <c r="B40" s="21" t="s">
        <v>91</v>
      </c>
      <c r="C40" s="85">
        <v>0.36363636363636365</v>
      </c>
      <c r="D40" s="82">
        <f t="shared" si="0"/>
        <v>-1.146033936016243</v>
      </c>
      <c r="E40" s="85">
        <v>0.13636363636363635</v>
      </c>
      <c r="F40" s="82">
        <f t="shared" si="1"/>
        <v>-0.26835562464985013</v>
      </c>
      <c r="G40" s="85">
        <v>0.18181818181818182</v>
      </c>
      <c r="H40" s="82">
        <f t="shared" si="2"/>
        <v>-0.82989008436025902</v>
      </c>
      <c r="I40" s="85">
        <v>0.18181818181818182</v>
      </c>
      <c r="J40" s="82">
        <f t="shared" si="3"/>
        <v>0.35236088854680597</v>
      </c>
      <c r="K40" s="85">
        <v>0.40909090909090912</v>
      </c>
      <c r="L40" s="82">
        <f t="shared" si="4"/>
        <v>0.51012657434216524</v>
      </c>
      <c r="M40" s="85">
        <v>0.36399999999999999</v>
      </c>
      <c r="N40" s="82">
        <f t="shared" si="5"/>
        <v>-2.2001574125622524E-4</v>
      </c>
      <c r="O40" s="85">
        <v>0</v>
      </c>
      <c r="P40" s="82">
        <f t="shared" si="6"/>
        <v>-0.47643971073619362</v>
      </c>
      <c r="Q40" s="21">
        <v>22</v>
      </c>
    </row>
    <row r="41" spans="1:17">
      <c r="A41" t="s">
        <v>141</v>
      </c>
      <c r="B41" s="21" t="s">
        <v>59</v>
      </c>
      <c r="C41" s="85">
        <v>0.22943722943722944</v>
      </c>
      <c r="D41" s="82">
        <f t="shared" si="0"/>
        <v>-1.6764328237308439</v>
      </c>
      <c r="E41" s="85">
        <v>0.18614718614718614</v>
      </c>
      <c r="F41" s="82">
        <f t="shared" si="1"/>
        <v>4.1332937786168297E-2</v>
      </c>
      <c r="G41" s="85">
        <v>0.42857142857142855</v>
      </c>
      <c r="H41" s="82">
        <f t="shared" si="2"/>
        <v>0.19436007254769888</v>
      </c>
      <c r="I41" s="85">
        <v>4.3290043290043288E-2</v>
      </c>
      <c r="J41" s="82">
        <f t="shared" si="3"/>
        <v>-0.3238000395845454</v>
      </c>
      <c r="K41" s="85">
        <v>0.42857142857142855</v>
      </c>
      <c r="L41" s="82">
        <f t="shared" si="4"/>
        <v>0.59704175467949716</v>
      </c>
      <c r="M41" s="85">
        <v>0.52380952380952384</v>
      </c>
      <c r="N41" s="82">
        <f t="shared" si="5"/>
        <v>0.68759062446086672</v>
      </c>
      <c r="O41" s="85">
        <v>3.4632034632034632E-2</v>
      </c>
      <c r="P41" s="82">
        <f t="shared" si="6"/>
        <v>0.45458383197333591</v>
      </c>
      <c r="Q41" s="21">
        <v>231</v>
      </c>
    </row>
    <row r="42" spans="1:17">
      <c r="A42" t="s">
        <v>141</v>
      </c>
      <c r="B42" s="21" t="s">
        <v>86</v>
      </c>
      <c r="C42" s="85">
        <v>0.85599999999999998</v>
      </c>
      <c r="D42" s="82">
        <f t="shared" si="0"/>
        <v>0.79994825408401005</v>
      </c>
      <c r="E42" s="85">
        <v>0.34699999999999998</v>
      </c>
      <c r="F42" s="82">
        <f t="shared" si="1"/>
        <v>1.0419501477370494</v>
      </c>
      <c r="G42" s="85">
        <v>0.84501845018450183</v>
      </c>
      <c r="H42" s="82">
        <f t="shared" si="2"/>
        <v>1.9229935671156062</v>
      </c>
      <c r="I42" s="85">
        <v>3.6900369003690036E-3</v>
      </c>
      <c r="J42" s="82">
        <f t="shared" si="3"/>
        <v>-0.51708912409072849</v>
      </c>
      <c r="K42" s="85">
        <v>0.66100000000000003</v>
      </c>
      <c r="L42" s="82">
        <f t="shared" si="4"/>
        <v>1.6340557430109861</v>
      </c>
      <c r="M42" s="85">
        <v>0.83</v>
      </c>
      <c r="N42" s="82">
        <f t="shared" si="5"/>
        <v>2.0054161359327525</v>
      </c>
      <c r="O42" s="85">
        <v>0</v>
      </c>
      <c r="P42" s="82">
        <f t="shared" si="6"/>
        <v>-0.47643971073619362</v>
      </c>
      <c r="Q42" s="21">
        <v>271</v>
      </c>
    </row>
    <row r="43" spans="1:17">
      <c r="A43" t="s">
        <v>141</v>
      </c>
      <c r="B43" s="21" t="s">
        <v>106</v>
      </c>
      <c r="C43" s="85">
        <v>0.83333333333333337</v>
      </c>
      <c r="D43" s="82">
        <f t="shared" si="0"/>
        <v>0.71036217098486021</v>
      </c>
      <c r="E43" s="85">
        <v>0.13690476190476192</v>
      </c>
      <c r="F43" s="82">
        <f t="shared" si="1"/>
        <v>-0.26498944462337154</v>
      </c>
      <c r="G43" s="85">
        <v>0.26190476190476192</v>
      </c>
      <c r="H43" s="82">
        <f t="shared" si="2"/>
        <v>-0.49745801589013222</v>
      </c>
      <c r="I43" s="85">
        <v>4.1666666666666664E-2</v>
      </c>
      <c r="J43" s="82">
        <f t="shared" si="3"/>
        <v>-0.33172380046108463</v>
      </c>
      <c r="K43" s="85">
        <v>0.17261904761904762</v>
      </c>
      <c r="L43" s="82">
        <f t="shared" si="4"/>
        <v>-0.54492714253045005</v>
      </c>
      <c r="M43" s="85">
        <v>0.27400000000000002</v>
      </c>
      <c r="N43" s="82">
        <f t="shared" si="5"/>
        <v>-0.38757463730919772</v>
      </c>
      <c r="O43" s="85">
        <v>5.9523809523809521E-3</v>
      </c>
      <c r="P43" s="82">
        <f t="shared" si="6"/>
        <v>-0.31642003933299323</v>
      </c>
      <c r="Q43" s="21">
        <v>168</v>
      </c>
    </row>
    <row r="44" spans="1:17">
      <c r="A44" t="s">
        <v>141</v>
      </c>
      <c r="B44" s="21" t="s">
        <v>109</v>
      </c>
      <c r="C44" s="85">
        <v>0.125</v>
      </c>
      <c r="D44" s="82">
        <f t="shared" si="0"/>
        <v>-2.0892029258635776</v>
      </c>
      <c r="E44" s="85">
        <v>0.375</v>
      </c>
      <c r="F44" s="82">
        <f t="shared" si="1"/>
        <v>1.2161297670271511</v>
      </c>
      <c r="G44" s="85">
        <v>0.375</v>
      </c>
      <c r="H44" s="82">
        <f t="shared" si="2"/>
        <v>-2.8010027307318202E-2</v>
      </c>
      <c r="I44" s="85">
        <v>0.125</v>
      </c>
      <c r="J44" s="82">
        <f t="shared" si="3"/>
        <v>7.5029257867931368E-2</v>
      </c>
      <c r="K44" s="85">
        <v>0.25</v>
      </c>
      <c r="L44" s="82">
        <f t="shared" si="4"/>
        <v>-0.19968073174604734</v>
      </c>
      <c r="M44" s="85">
        <v>0.125</v>
      </c>
      <c r="N44" s="82">
        <f t="shared" si="5"/>
        <v>-1.0288617330161234</v>
      </c>
      <c r="O44" s="85">
        <v>0</v>
      </c>
      <c r="P44" s="82">
        <f t="shared" si="6"/>
        <v>-0.47643971073619362</v>
      </c>
      <c r="Q44" s="21">
        <v>8</v>
      </c>
    </row>
    <row r="45" spans="1:17">
      <c r="A45" t="s">
        <v>141</v>
      </c>
      <c r="B45" s="21" t="s">
        <v>72</v>
      </c>
      <c r="C45" s="85">
        <v>0.90252707581227432</v>
      </c>
      <c r="D45" s="82">
        <f t="shared" si="0"/>
        <v>0.98383848114631267</v>
      </c>
      <c r="E45" s="85">
        <v>2.5270758122743681E-2</v>
      </c>
      <c r="F45" s="82">
        <f t="shared" si="1"/>
        <v>-0.9594311688584316</v>
      </c>
      <c r="G45" s="85">
        <v>8.3032490974729242E-2</v>
      </c>
      <c r="H45" s="82">
        <f t="shared" si="2"/>
        <v>-1.2399404511862264</v>
      </c>
      <c r="I45" s="85">
        <v>9.0252707581227443E-2</v>
      </c>
      <c r="J45" s="82">
        <f t="shared" si="3"/>
        <v>-9.4573551651929072E-2</v>
      </c>
      <c r="K45" s="85">
        <v>0.16967509025270758</v>
      </c>
      <c r="L45" s="82">
        <f t="shared" si="4"/>
        <v>-0.55806203791436093</v>
      </c>
      <c r="M45" s="85">
        <v>0.23104693140794225</v>
      </c>
      <c r="N45" s="82">
        <f t="shared" si="5"/>
        <v>-0.57244207763873534</v>
      </c>
      <c r="O45" s="85">
        <v>1.0830324909747292E-2</v>
      </c>
      <c r="P45" s="82">
        <f t="shared" si="6"/>
        <v>-0.18528478515058716</v>
      </c>
      <c r="Q45" s="21">
        <v>277</v>
      </c>
    </row>
    <row r="46" spans="1:17">
      <c r="A46" t="s">
        <v>141</v>
      </c>
      <c r="B46" s="21" t="s">
        <v>54</v>
      </c>
      <c r="C46" s="85">
        <v>0.5</v>
      </c>
      <c r="D46" s="82">
        <f t="shared" si="0"/>
        <v>-0.60708022753205182</v>
      </c>
      <c r="E46" s="85">
        <v>4.4444444444444446E-2</v>
      </c>
      <c r="F46" s="82">
        <f t="shared" si="1"/>
        <v>-0.8401574051476578</v>
      </c>
      <c r="G46" s="85">
        <v>3.3333333333333333E-2</v>
      </c>
      <c r="H46" s="82">
        <f t="shared" si="2"/>
        <v>-1.4462371086048724</v>
      </c>
      <c r="I46" s="85">
        <v>0</v>
      </c>
      <c r="J46" s="82">
        <f t="shared" si="3"/>
        <v>-0.53510032962559262</v>
      </c>
      <c r="K46" s="85">
        <v>0.82222222222222219</v>
      </c>
      <c r="L46" s="82">
        <f t="shared" si="4"/>
        <v>2.3533722136442528</v>
      </c>
      <c r="M46" s="85">
        <v>0.17777777777777778</v>
      </c>
      <c r="N46" s="82">
        <f t="shared" si="5"/>
        <v>-0.80170933147936752</v>
      </c>
      <c r="O46" s="85">
        <v>2.2222222222222223E-2</v>
      </c>
      <c r="P46" s="82">
        <f t="shared" si="6"/>
        <v>0.12096706250242119</v>
      </c>
      <c r="Q46" s="21">
        <v>90</v>
      </c>
    </row>
    <row r="47" spans="1:17">
      <c r="A47" t="s">
        <v>141</v>
      </c>
      <c r="B47" s="21" t="s">
        <v>70</v>
      </c>
      <c r="C47" s="85">
        <v>0.48958333333333331</v>
      </c>
      <c r="D47" s="82">
        <f t="shared" si="0"/>
        <v>-0.64825030248570537</v>
      </c>
      <c r="E47" s="85">
        <v>9.8958333333333329E-2</v>
      </c>
      <c r="F47" s="82">
        <f t="shared" si="1"/>
        <v>-0.50104281898017367</v>
      </c>
      <c r="G47" s="85">
        <v>0.296875</v>
      </c>
      <c r="H47" s="82">
        <f t="shared" si="2"/>
        <v>-0.35229975626255161</v>
      </c>
      <c r="I47" s="85">
        <v>6.25E-2</v>
      </c>
      <c r="J47" s="82">
        <f t="shared" si="3"/>
        <v>-0.23003553587883063</v>
      </c>
      <c r="K47" s="85">
        <v>0.38020833333333331</v>
      </c>
      <c r="L47" s="82">
        <f t="shared" si="4"/>
        <v>0.38126274793924553</v>
      </c>
      <c r="M47" s="85">
        <v>0.63020833333333337</v>
      </c>
      <c r="N47" s="82">
        <f t="shared" si="5"/>
        <v>1.1455247422205861</v>
      </c>
      <c r="O47" s="85">
        <v>2.6041666666666668E-2</v>
      </c>
      <c r="P47" s="82">
        <f t="shared" si="6"/>
        <v>0.22364635165280813</v>
      </c>
      <c r="Q47" s="21">
        <v>192</v>
      </c>
    </row>
    <row r="48" spans="1:17">
      <c r="A48" t="s">
        <v>141</v>
      </c>
      <c r="B48" s="21" t="s">
        <v>98</v>
      </c>
      <c r="C48" s="85">
        <v>0.95238095238095233</v>
      </c>
      <c r="D48" s="82">
        <f t="shared" si="0"/>
        <v>1.1808773133123285</v>
      </c>
      <c r="E48" s="85">
        <v>0.52380952380952384</v>
      </c>
      <c r="F48" s="82">
        <f t="shared" si="1"/>
        <v>2.1418292743087277</v>
      </c>
      <c r="G48" s="85">
        <v>0.7857142857142857</v>
      </c>
      <c r="H48" s="82">
        <f t="shared" si="2"/>
        <v>1.6768274049144802</v>
      </c>
      <c r="I48" s="85">
        <v>9.5238095238095233E-2</v>
      </c>
      <c r="J48" s="82">
        <f t="shared" si="3"/>
        <v>-7.0239691535288654E-2</v>
      </c>
      <c r="K48" s="85">
        <v>0.59523809523809523</v>
      </c>
      <c r="L48" s="82">
        <f t="shared" si="4"/>
        <v>1.3406494086766723</v>
      </c>
      <c r="M48" s="85">
        <v>0.33333333333333331</v>
      </c>
      <c r="N48" s="82">
        <f t="shared" si="5"/>
        <v>-0.13220751642366602</v>
      </c>
      <c r="O48" s="85">
        <v>2.3809523809523808E-2</v>
      </c>
      <c r="P48" s="82">
        <f t="shared" si="6"/>
        <v>0.16363897487660792</v>
      </c>
      <c r="Q48" s="21">
        <v>42</v>
      </c>
    </row>
    <row r="49" spans="1:17">
      <c r="A49" t="s">
        <v>141</v>
      </c>
      <c r="B49" s="21" t="s">
        <v>96</v>
      </c>
      <c r="C49" s="85">
        <v>0.69565217391304346</v>
      </c>
      <c r="D49" s="82">
        <f t="shared" si="0"/>
        <v>0.16620118029309205</v>
      </c>
      <c r="E49" s="85">
        <v>0.10144927536231885</v>
      </c>
      <c r="F49" s="82">
        <f t="shared" si="1"/>
        <v>-0.4855474141843733</v>
      </c>
      <c r="G49" s="85">
        <v>0.36231884057971014</v>
      </c>
      <c r="H49" s="82">
        <f t="shared" si="2"/>
        <v>-8.0648360123240143E-2</v>
      </c>
      <c r="I49" s="85">
        <v>7.2463768115942032E-2</v>
      </c>
      <c r="J49" s="82">
        <f t="shared" si="3"/>
        <v>-0.18140201803514394</v>
      </c>
      <c r="K49" s="85">
        <v>0.17391304347826086</v>
      </c>
      <c r="L49" s="82">
        <f t="shared" si="4"/>
        <v>-0.53915379117954032</v>
      </c>
      <c r="M49" s="85">
        <v>0.27536231884057971</v>
      </c>
      <c r="N49" s="82">
        <f t="shared" si="5"/>
        <v>-0.38171129843200191</v>
      </c>
      <c r="O49" s="85">
        <v>2.8985507246376812E-2</v>
      </c>
      <c r="P49" s="82">
        <f t="shared" si="6"/>
        <v>0.302786515227217</v>
      </c>
      <c r="Q49" s="21">
        <v>69</v>
      </c>
    </row>
    <row r="50" spans="1:17">
      <c r="A50" t="s">
        <v>141</v>
      </c>
      <c r="B50" s="21" t="s">
        <v>103</v>
      </c>
      <c r="C50" s="85">
        <v>0.77358490566037741</v>
      </c>
      <c r="D50" s="82">
        <f t="shared" si="0"/>
        <v>0.47421683540164022</v>
      </c>
      <c r="E50" s="85">
        <v>3.7735849056603772E-2</v>
      </c>
      <c r="F50" s="82">
        <f t="shared" si="1"/>
        <v>-0.88188956909856575</v>
      </c>
      <c r="G50" s="85">
        <v>0.57547169811320753</v>
      </c>
      <c r="H50" s="82">
        <f t="shared" si="2"/>
        <v>0.80412965454007312</v>
      </c>
      <c r="I50" s="85">
        <v>9.433962264150943E-3</v>
      </c>
      <c r="J50" s="82">
        <f t="shared" si="3"/>
        <v>-0.48905281358834557</v>
      </c>
      <c r="K50" s="85">
        <v>8.4905660377358486E-2</v>
      </c>
      <c r="L50" s="82">
        <f t="shared" si="4"/>
        <v>-0.9362732191960792</v>
      </c>
      <c r="M50" s="85">
        <v>0.12264150943396226</v>
      </c>
      <c r="N50" s="82">
        <f t="shared" si="5"/>
        <v>-1.0390125354681135</v>
      </c>
      <c r="O50" s="85">
        <v>9.433962264150943E-3</v>
      </c>
      <c r="P50" s="82">
        <f t="shared" si="6"/>
        <v>-0.22282362775753642</v>
      </c>
      <c r="Q50" s="21">
        <v>106</v>
      </c>
    </row>
    <row r="51" spans="1:17">
      <c r="A51" t="s">
        <v>141</v>
      </c>
      <c r="B51" s="21" t="s">
        <v>108</v>
      </c>
      <c r="C51" s="85">
        <v>0.8928571428571429</v>
      </c>
      <c r="D51" s="82">
        <f t="shared" si="0"/>
        <v>0.94561974214859457</v>
      </c>
      <c r="E51" s="85">
        <v>3.5714285714285712E-2</v>
      </c>
      <c r="F51" s="82">
        <f t="shared" si="1"/>
        <v>-0.89446510957484371</v>
      </c>
      <c r="G51" s="85">
        <v>1.7857142857142856E-2</v>
      </c>
      <c r="H51" s="82">
        <f t="shared" si="2"/>
        <v>-1.5104773596740995</v>
      </c>
      <c r="I51" s="85">
        <v>0</v>
      </c>
      <c r="J51" s="82">
        <f t="shared" si="3"/>
        <v>-0.53510032962559262</v>
      </c>
      <c r="K51" s="85">
        <v>0.10714285714285714</v>
      </c>
      <c r="L51" s="82">
        <f t="shared" si="4"/>
        <v>-0.83705872088648292</v>
      </c>
      <c r="M51" s="85">
        <v>0</v>
      </c>
      <c r="N51" s="82">
        <f t="shared" si="5"/>
        <v>-1.566854262971598</v>
      </c>
      <c r="O51" s="85">
        <v>0</v>
      </c>
      <c r="P51" s="82">
        <f t="shared" si="6"/>
        <v>-0.47643971073619362</v>
      </c>
      <c r="Q51" s="21">
        <v>56</v>
      </c>
    </row>
    <row r="52" spans="1:17">
      <c r="A52" t="s">
        <v>141</v>
      </c>
      <c r="B52" s="21" t="s">
        <v>89</v>
      </c>
      <c r="C52" s="85">
        <v>0.91269841269841268</v>
      </c>
      <c r="D52" s="82">
        <f t="shared" si="0"/>
        <v>1.0240389325365056</v>
      </c>
      <c r="E52" s="85">
        <v>0.12301587301587301</v>
      </c>
      <c r="F52" s="82">
        <f t="shared" si="1"/>
        <v>-0.35138806530298544</v>
      </c>
      <c r="G52" s="85">
        <v>0.28968253968253971</v>
      </c>
      <c r="H52" s="82">
        <f t="shared" si="2"/>
        <v>-0.38215500115049361</v>
      </c>
      <c r="I52" s="85">
        <v>1.1904761904761904E-2</v>
      </c>
      <c r="J52" s="82">
        <f t="shared" si="3"/>
        <v>-0.47699274986430468</v>
      </c>
      <c r="K52" s="85">
        <v>0.15476190476190477</v>
      </c>
      <c r="L52" s="82">
        <f t="shared" si="4"/>
        <v>-0.62459939117300445</v>
      </c>
      <c r="M52" s="85">
        <v>0.26200000000000001</v>
      </c>
      <c r="N52" s="82">
        <f t="shared" si="5"/>
        <v>-0.43922192018492334</v>
      </c>
      <c r="O52" s="85">
        <v>0</v>
      </c>
      <c r="P52" s="82">
        <f t="shared" si="6"/>
        <v>-0.47643971073619362</v>
      </c>
      <c r="Q52" s="21">
        <v>252</v>
      </c>
    </row>
    <row r="53" spans="1:17">
      <c r="A53" t="s">
        <v>141</v>
      </c>
      <c r="B53" s="21" t="s">
        <v>61</v>
      </c>
      <c r="C53" s="85">
        <v>0.45</v>
      </c>
      <c r="D53" s="82">
        <f t="shared" si="0"/>
        <v>-0.80469658730958848</v>
      </c>
      <c r="E53" s="85">
        <v>9.0909090909090912E-2</v>
      </c>
      <c r="F53" s="82">
        <f t="shared" si="1"/>
        <v>-0.55111474687404072</v>
      </c>
      <c r="G53" s="85">
        <v>0.22272727272727272</v>
      </c>
      <c r="H53" s="82">
        <f t="shared" si="2"/>
        <v>-0.66008018992551865</v>
      </c>
      <c r="I53" s="85">
        <v>1.8181818181818181E-2</v>
      </c>
      <c r="J53" s="82">
        <f t="shared" si="3"/>
        <v>-0.44635420780835283</v>
      </c>
      <c r="K53" s="85">
        <v>0.53636363636363638</v>
      </c>
      <c r="L53" s="82">
        <f t="shared" si="4"/>
        <v>1.0779724192127351</v>
      </c>
      <c r="M53" s="85">
        <v>0.4</v>
      </c>
      <c r="N53" s="82">
        <f t="shared" si="5"/>
        <v>0.15472183288592056</v>
      </c>
      <c r="O53" s="85">
        <v>1.3636363636363636E-2</v>
      </c>
      <c r="P53" s="82">
        <f t="shared" si="6"/>
        <v>-0.10984919079431638</v>
      </c>
      <c r="Q53" s="21">
        <v>220</v>
      </c>
    </row>
    <row r="54" spans="1:17">
      <c r="A54" t="s">
        <v>141</v>
      </c>
      <c r="B54" s="21" t="s">
        <v>57</v>
      </c>
      <c r="C54" s="85">
        <v>0.5</v>
      </c>
      <c r="D54" s="82">
        <f t="shared" si="0"/>
        <v>-0.60708022753205182</v>
      </c>
      <c r="E54" s="85">
        <v>0.222</v>
      </c>
      <c r="F54" s="82">
        <f t="shared" si="1"/>
        <v>0.26436256162052524</v>
      </c>
      <c r="G54" s="85">
        <v>0.48499999999999999</v>
      </c>
      <c r="H54" s="82">
        <f t="shared" si="2"/>
        <v>0.4285899110616504</v>
      </c>
      <c r="I54" s="85">
        <v>0.3</v>
      </c>
      <c r="J54" s="82">
        <f t="shared" si="3"/>
        <v>0.92921068035886489</v>
      </c>
      <c r="K54" s="85">
        <v>0.56799999999999995</v>
      </c>
      <c r="L54" s="82">
        <f t="shared" si="4"/>
        <v>1.2191226720805621</v>
      </c>
      <c r="M54" s="85">
        <v>0.5</v>
      </c>
      <c r="N54" s="82">
        <f t="shared" si="5"/>
        <v>0.5851158568503001</v>
      </c>
      <c r="O54" s="85">
        <v>0</v>
      </c>
      <c r="P54" s="82">
        <f t="shared" si="6"/>
        <v>-0.47643971073619362</v>
      </c>
      <c r="Q54" s="21">
        <v>338</v>
      </c>
    </row>
    <row r="55" spans="1:17">
      <c r="A55" t="s">
        <v>141</v>
      </c>
      <c r="B55" s="21" t="s">
        <v>144</v>
      </c>
      <c r="C55" s="85">
        <v>0.52941176470588236</v>
      </c>
      <c r="D55" s="82">
        <f t="shared" si="0"/>
        <v>-0.49083531001585368</v>
      </c>
      <c r="E55" s="85">
        <v>0.17647058823529413</v>
      </c>
      <c r="F55" s="82">
        <f t="shared" si="1"/>
        <v>-1.8862281510858205E-2</v>
      </c>
      <c r="G55" s="85">
        <v>0.11764705882352941</v>
      </c>
      <c r="H55" s="82">
        <f t="shared" si="2"/>
        <v>-1.0962585462186754</v>
      </c>
      <c r="I55" s="85">
        <v>5.8823529411764705E-2</v>
      </c>
      <c r="J55" s="82">
        <f t="shared" si="3"/>
        <v>-0.24798052374628723</v>
      </c>
      <c r="K55" s="85">
        <v>0.17647058823529413</v>
      </c>
      <c r="L55" s="82">
        <f t="shared" si="4"/>
        <v>-0.52774293203891853</v>
      </c>
      <c r="M55" s="85">
        <v>0</v>
      </c>
      <c r="N55" s="82">
        <f t="shared" si="5"/>
        <v>-1.566854262971598</v>
      </c>
      <c r="O55" s="85">
        <v>5.8823529411764705E-2</v>
      </c>
      <c r="P55" s="82">
        <f t="shared" si="6"/>
        <v>1.1049311596013163</v>
      </c>
      <c r="Q55" s="21">
        <v>17</v>
      </c>
    </row>
    <row r="56" spans="1:17">
      <c r="A56" t="s">
        <v>141</v>
      </c>
      <c r="B56" s="21" t="s">
        <v>63</v>
      </c>
      <c r="C56" s="85">
        <v>0.56923076923076921</v>
      </c>
      <c r="D56" s="82">
        <f t="shared" si="0"/>
        <v>-0.33345757553238559</v>
      </c>
      <c r="E56" s="85">
        <v>0.55384615384615388</v>
      </c>
      <c r="F56" s="82">
        <f t="shared" si="1"/>
        <v>2.3286781594707935</v>
      </c>
      <c r="G56" s="85">
        <v>0.5461538461538461</v>
      </c>
      <c r="H56" s="82">
        <f t="shared" si="2"/>
        <v>0.68243393274230058</v>
      </c>
      <c r="I56" s="85">
        <v>0.7846153846153846</v>
      </c>
      <c r="J56" s="82">
        <f t="shared" si="3"/>
        <v>3.2946361580260661</v>
      </c>
      <c r="K56" s="102">
        <v>2.3076923076923078E-2</v>
      </c>
      <c r="L56" s="82">
        <f t="shared" si="4"/>
        <v>-1.2121311529575856</v>
      </c>
      <c r="M56" s="85">
        <v>0.66153846153846152</v>
      </c>
      <c r="N56" s="82">
        <f t="shared" si="5"/>
        <v>1.2803677417158363</v>
      </c>
      <c r="O56" s="85">
        <v>3.0769230769230771E-2</v>
      </c>
      <c r="P56" s="82">
        <f t="shared" si="6"/>
        <v>0.35073889836342692</v>
      </c>
      <c r="Q56" s="21">
        <v>130</v>
      </c>
    </row>
    <row r="57" spans="1:17">
      <c r="A57" t="s">
        <v>141</v>
      </c>
      <c r="B57" s="21" t="s">
        <v>79</v>
      </c>
      <c r="C57" s="85">
        <v>0.5</v>
      </c>
      <c r="D57" s="82">
        <f t="shared" si="0"/>
        <v>-0.60708022753205182</v>
      </c>
      <c r="E57" s="85">
        <v>0.4642857142857143</v>
      </c>
      <c r="F57" s="82">
        <f t="shared" si="1"/>
        <v>1.7715494713960971</v>
      </c>
      <c r="G57" s="85">
        <v>0.125</v>
      </c>
      <c r="H57" s="82">
        <f t="shared" si="2"/>
        <v>-1.065737159964065</v>
      </c>
      <c r="I57" s="85">
        <v>1.7857142857142856E-2</v>
      </c>
      <c r="J57" s="82">
        <f t="shared" si="3"/>
        <v>-0.44793895998366062</v>
      </c>
      <c r="K57" s="85">
        <v>0.8392857142857143</v>
      </c>
      <c r="L57" s="82">
        <f t="shared" si="4"/>
        <v>2.4295034734582499</v>
      </c>
      <c r="M57" s="85">
        <v>0</v>
      </c>
      <c r="N57" s="82">
        <f t="shared" si="5"/>
        <v>-1.566854262971598</v>
      </c>
      <c r="O57" s="85">
        <v>0</v>
      </c>
      <c r="P57" s="82">
        <f t="shared" si="6"/>
        <v>-0.47643971073619362</v>
      </c>
      <c r="Q57" s="21">
        <v>56</v>
      </c>
    </row>
    <row r="58" spans="1:17">
      <c r="A58" t="s">
        <v>141</v>
      </c>
      <c r="B58" s="21" t="s">
        <v>69</v>
      </c>
      <c r="C58" s="85">
        <v>0.88666666666666671</v>
      </c>
      <c r="D58" s="82">
        <f t="shared" si="0"/>
        <v>0.9211529547475662</v>
      </c>
      <c r="E58" s="85">
        <v>0.12666666666666668</v>
      </c>
      <c r="F58" s="82">
        <f t="shared" si="1"/>
        <v>-0.328677570724344</v>
      </c>
      <c r="G58" s="85">
        <v>0.2</v>
      </c>
      <c r="H58" s="82">
        <f t="shared" si="2"/>
        <v>-0.75441902016704099</v>
      </c>
      <c r="I58" s="85">
        <v>0.36666666666666664</v>
      </c>
      <c r="J58" s="82">
        <f t="shared" si="3"/>
        <v>1.2546131270220777</v>
      </c>
      <c r="K58" s="85">
        <v>0.12</v>
      </c>
      <c r="L58" s="82">
        <f t="shared" si="4"/>
        <v>-0.77969470186384382</v>
      </c>
      <c r="M58" s="85">
        <v>0.18</v>
      </c>
      <c r="N58" s="82">
        <f t="shared" si="5"/>
        <v>-0.79214501983571473</v>
      </c>
      <c r="O58" s="85">
        <v>1.3333333333333334E-2</v>
      </c>
      <c r="P58" s="82">
        <f t="shared" si="6"/>
        <v>-0.11799564679302472</v>
      </c>
      <c r="Q58" s="21">
        <v>150</v>
      </c>
    </row>
    <row r="59" spans="1:17">
      <c r="A59" t="s">
        <v>141</v>
      </c>
      <c r="B59" s="21" t="s">
        <v>145</v>
      </c>
      <c r="C59" s="85">
        <v>0.45833333333333331</v>
      </c>
      <c r="D59" s="82">
        <f t="shared" si="0"/>
        <v>-0.77176052734666589</v>
      </c>
      <c r="E59" s="85">
        <v>0.13333333333333333</v>
      </c>
      <c r="F59" s="82">
        <f t="shared" si="1"/>
        <v>-0.28720623279812946</v>
      </c>
      <c r="G59" s="85">
        <v>0.14166666666666666</v>
      </c>
      <c r="H59" s="82">
        <f t="shared" si="2"/>
        <v>-0.99655535112028204</v>
      </c>
      <c r="I59" s="85">
        <v>0.43333333333333335</v>
      </c>
      <c r="J59" s="82">
        <f t="shared" si="3"/>
        <v>1.5800155736852906</v>
      </c>
      <c r="K59" s="85">
        <v>0.53333333333333333</v>
      </c>
      <c r="L59" s="82">
        <f t="shared" si="4"/>
        <v>1.06445228004915</v>
      </c>
      <c r="M59" s="85">
        <v>0.76666666666666672</v>
      </c>
      <c r="N59" s="82">
        <f t="shared" si="5"/>
        <v>1.732833254088646</v>
      </c>
      <c r="O59" s="85">
        <v>4.1666666666666664E-2</v>
      </c>
      <c r="P59" s="82">
        <f t="shared" si="6"/>
        <v>0.64369798908620901</v>
      </c>
      <c r="Q59" s="21">
        <v>120</v>
      </c>
    </row>
    <row r="60" spans="1:17">
      <c r="A60" t="s">
        <v>141</v>
      </c>
      <c r="B60" s="21" t="s">
        <v>146</v>
      </c>
      <c r="C60" s="85">
        <v>0.55319148936170215</v>
      </c>
      <c r="D60" s="82">
        <f t="shared" si="0"/>
        <v>-0.39685005755594877</v>
      </c>
      <c r="E60" s="85">
        <v>0.15602836879432624</v>
      </c>
      <c r="F60" s="82">
        <f t="shared" si="1"/>
        <v>-0.14602721007059025</v>
      </c>
      <c r="G60" s="85">
        <v>0.42553191489361702</v>
      </c>
      <c r="H60" s="82">
        <f t="shared" si="2"/>
        <v>0.18174332929351364</v>
      </c>
      <c r="I60" s="85">
        <v>0.11347517730496454</v>
      </c>
      <c r="J60" s="82">
        <f t="shared" si="3"/>
        <v>1.8776175333067441E-2</v>
      </c>
      <c r="K60" s="85">
        <v>0.26950354609929078</v>
      </c>
      <c r="L60" s="82">
        <f t="shared" si="4"/>
        <v>-0.11266281478893111</v>
      </c>
      <c r="M60" s="85">
        <v>0.38300000000000001</v>
      </c>
      <c r="N60" s="82">
        <f t="shared" si="5"/>
        <v>8.1554848811975972E-2</v>
      </c>
      <c r="O60" s="85">
        <v>1.4184397163120567E-2</v>
      </c>
      <c r="P60" s="82">
        <f t="shared" si="6"/>
        <v>-9.5116238456226743E-2</v>
      </c>
      <c r="Q60" s="21">
        <v>141</v>
      </c>
    </row>
    <row r="62" spans="1:17">
      <c r="B62" s="24" t="s">
        <v>147</v>
      </c>
      <c r="C62" s="29">
        <f>AVERAGE(C2:C60)</f>
        <v>0.65360070092766154</v>
      </c>
      <c r="D62" s="29"/>
      <c r="E62" s="29">
        <f>AVERAGE(E2:E60)</f>
        <v>0.17950276780059901</v>
      </c>
      <c r="F62" s="29"/>
      <c r="G62" s="29">
        <f>AVERAGE(G2:G60)</f>
        <v>0.38174792689375098</v>
      </c>
      <c r="H62" s="29"/>
      <c r="I62" s="29">
        <f>AVERAGE(I2:I60)</f>
        <v>0.10962841759236767</v>
      </c>
      <c r="J62" s="29"/>
      <c r="K62" s="29">
        <f>AVERAGE(K2:K60)</f>
        <v>0.29475494809498154</v>
      </c>
      <c r="L62" s="29"/>
      <c r="M62" s="29">
        <f>AVERAGE(M2:M60)</f>
        <v>0.3640511196087784</v>
      </c>
      <c r="N62" s="29"/>
      <c r="O62" s="29">
        <f>AVERAGE(O2:O60)</f>
        <v>1.7722512702818178E-2</v>
      </c>
      <c r="P62" s="29"/>
      <c r="Q62" s="28"/>
    </row>
    <row r="63" spans="1:17">
      <c r="B63" s="23" t="s">
        <v>113</v>
      </c>
      <c r="C63" s="106">
        <f>_xlfn.STDEV.P(C2:C60)</f>
        <v>0.25301548948825209</v>
      </c>
      <c r="D63" s="106"/>
      <c r="E63" s="106">
        <f>_xlfn.STDEV.P(E2:E60)</f>
        <v>0.16075359513425705</v>
      </c>
      <c r="F63" s="106"/>
      <c r="G63" s="106">
        <f>_xlfn.STDEV.P(G2:G60)</f>
        <v>0.24091111442750865</v>
      </c>
      <c r="H63" s="106"/>
      <c r="I63" s="106">
        <f>_xlfn.STDEV.P(I2:I60)</f>
        <v>0.20487450955052522</v>
      </c>
      <c r="J63" s="106"/>
      <c r="K63" s="106">
        <f>_xlfn.STDEV.P(K2:K60)</f>
        <v>0.22413253248641232</v>
      </c>
      <c r="L63" s="106"/>
      <c r="M63" s="106">
        <f>_xlfn.STDEV.P(M2:M60)</f>
        <v>0.2323452335115978</v>
      </c>
      <c r="N63" s="106"/>
      <c r="O63" s="106">
        <f>_xlfn.STDEV.P(O2:O60)</f>
        <v>3.7197807620681721E-2</v>
      </c>
      <c r="P63" s="106"/>
    </row>
    <row r="65" spans="2:15">
      <c r="B65" s="84" t="s">
        <v>114</v>
      </c>
      <c r="C65" s="107">
        <f>MEDIAN(C2:C60)</f>
        <v>0.69565217391304346</v>
      </c>
      <c r="E65" s="107">
        <f>MEDIAN(E2:E60)</f>
        <v>0.14285714285714285</v>
      </c>
      <c r="G65" s="107">
        <f>MEDIAN(G2:G60)</f>
        <v>0.36231884057971014</v>
      </c>
      <c r="I65" s="107">
        <f>MEDIAN(I2:I60)</f>
        <v>3.9473684210526314E-2</v>
      </c>
      <c r="K65" s="107">
        <f>MEDIAN(K2:K60)</f>
        <v>0.25</v>
      </c>
      <c r="M65" s="107">
        <f>MEDIAN(M2:M60)</f>
        <v>0.376</v>
      </c>
      <c r="O65" s="107">
        <f>MEDIAN(O2:O60)</f>
        <v>0</v>
      </c>
    </row>
    <row r="66" spans="2:15">
      <c r="B66" s="84" t="s">
        <v>116</v>
      </c>
      <c r="C66" s="107">
        <f>MIN(C2:C60)</f>
        <v>0</v>
      </c>
      <c r="E66" s="107">
        <f>MIN(E2:E60)</f>
        <v>0</v>
      </c>
      <c r="G66" s="107">
        <f>MIN(G2:G60)</f>
        <v>0</v>
      </c>
      <c r="I66" s="107">
        <f>MIN(I2:I60)</f>
        <v>0</v>
      </c>
      <c r="K66" s="107">
        <f>MIN(K2:K60)</f>
        <v>0</v>
      </c>
      <c r="M66" s="107">
        <f>MIN(M2:M60)</f>
        <v>0</v>
      </c>
      <c r="O66" s="107">
        <f>MIN(O2:O60)</f>
        <v>0</v>
      </c>
    </row>
    <row r="67" spans="2:15">
      <c r="B67" s="84" t="s">
        <v>115</v>
      </c>
      <c r="C67" s="107">
        <f>MAX(C2:C60)</f>
        <v>1</v>
      </c>
      <c r="E67" s="107">
        <f>MAX(E2:E60)</f>
        <v>0.75</v>
      </c>
      <c r="G67" s="107">
        <f>MAX(G2:G60)</f>
        <v>0.89637305699481862</v>
      </c>
      <c r="I67" s="107">
        <f>MAX(I2:I60)</f>
        <v>1</v>
      </c>
      <c r="K67" s="107">
        <f>MAX(K2:K60)</f>
        <v>0.875</v>
      </c>
      <c r="M67" s="107">
        <f>MAX(M2:M60)</f>
        <v>0.84974093264248707</v>
      </c>
      <c r="O67" s="107">
        <f>MAX(O2:O60)</f>
        <v>0.2</v>
      </c>
    </row>
    <row r="68" spans="2:15">
      <c r="B68" s="84" t="s">
        <v>117</v>
      </c>
      <c r="C68" s="107">
        <f>C67-C66</f>
        <v>1</v>
      </c>
      <c r="E68" s="107">
        <f>E67-E66</f>
        <v>0.75</v>
      </c>
      <c r="G68" s="107">
        <f>G67-G66</f>
        <v>0.89637305699481862</v>
      </c>
      <c r="I68" s="107">
        <f>I67-I66</f>
        <v>1</v>
      </c>
      <c r="K68" s="107">
        <f>K67-K66</f>
        <v>0.875</v>
      </c>
      <c r="M68" s="107">
        <f>M67-M66</f>
        <v>0.84974093264248707</v>
      </c>
      <c r="O68" s="107">
        <f>O67-O66</f>
        <v>0.2</v>
      </c>
    </row>
  </sheetData>
  <sortState xmlns:xlrd2="http://schemas.microsoft.com/office/spreadsheetml/2017/richdata2" ref="B3:R60">
    <sortCondition ref="R2:R60"/>
  </sortState>
  <conditionalFormatting sqref="D2:D60">
    <cfRule type="cellIs" dxfId="17" priority="13" operator="lessThan">
      <formula>-1</formula>
    </cfRule>
    <cfRule type="cellIs" priority="14" operator="greaterThan">
      <formula>1</formula>
    </cfRule>
    <cfRule type="cellIs" dxfId="16" priority="15" operator="greaterThan">
      <formula>1</formula>
    </cfRule>
  </conditionalFormatting>
  <conditionalFormatting sqref="F2:F60">
    <cfRule type="cellIs" dxfId="15" priority="11" operator="lessThan">
      <formula>-1</formula>
    </cfRule>
    <cfRule type="cellIs" dxfId="14" priority="12" operator="greaterThan">
      <formula>1</formula>
    </cfRule>
  </conditionalFormatting>
  <conditionalFormatting sqref="H2:H60">
    <cfRule type="cellIs" dxfId="13" priority="9" operator="lessThan">
      <formula>-1</formula>
    </cfRule>
    <cfRule type="cellIs" dxfId="12" priority="10" operator="greaterThan">
      <formula>1</formula>
    </cfRule>
  </conditionalFormatting>
  <conditionalFormatting sqref="J2:J60">
    <cfRule type="cellIs" dxfId="11" priority="7" operator="lessThan">
      <formula>-1</formula>
    </cfRule>
    <cfRule type="cellIs" dxfId="10" priority="8" operator="greaterThan">
      <formula>1</formula>
    </cfRule>
  </conditionalFormatting>
  <conditionalFormatting sqref="L2:L60">
    <cfRule type="cellIs" dxfId="9" priority="5" operator="lessThan">
      <formula>-1</formula>
    </cfRule>
    <cfRule type="cellIs" dxfId="8" priority="6" operator="greaterThan">
      <formula>1</formula>
    </cfRule>
  </conditionalFormatting>
  <conditionalFormatting sqref="N2:N60">
    <cfRule type="cellIs" dxfId="7" priority="3" operator="lessThan">
      <formula>-1</formula>
    </cfRule>
    <cfRule type="cellIs" dxfId="6" priority="4" operator="greaterThan">
      <formula>1</formula>
    </cfRule>
  </conditionalFormatting>
  <conditionalFormatting sqref="P2:P60">
    <cfRule type="cellIs" dxfId="5" priority="1" operator="lessThan">
      <formula>-1</formula>
    </cfRule>
    <cfRule type="cellIs" dxfId="4" priority="2" operator="greaterThan">
      <formula>1</formula>
    </cfRule>
  </conditionalFormatting>
  <pageMargins left="0.25" right="0.25" top="0.5" bottom="0.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F64F-4C6C-4566-9E2B-0F7A45FD1A31}">
  <dimension ref="A1:R68"/>
  <sheetViews>
    <sheetView workbookViewId="0">
      <pane ySplit="1" topLeftCell="A2" activePane="bottomLeft" state="frozen"/>
      <selection pane="bottomLeft" activeCell="I20" sqref="I20"/>
    </sheetView>
  </sheetViews>
  <sheetFormatPr defaultRowHeight="15"/>
  <cols>
    <col min="1" max="1" width="21.85546875" bestFit="1" customWidth="1"/>
    <col min="2" max="2" width="51.5703125" bestFit="1" customWidth="1"/>
    <col min="3" max="3" width="8.140625" bestFit="1" customWidth="1"/>
    <col min="4" max="4" width="8.140625" customWidth="1"/>
    <col min="5" max="6" width="7.5703125" customWidth="1"/>
    <col min="7" max="7" width="9.140625" bestFit="1" customWidth="1"/>
    <col min="8" max="8" width="9.140625" customWidth="1"/>
    <col min="9" max="9" width="11.28515625" bestFit="1" customWidth="1"/>
    <col min="10" max="10" width="9.7109375" customWidth="1"/>
    <col min="11" max="11" width="8.28515625" bestFit="1" customWidth="1"/>
    <col min="12" max="12" width="9.7109375" customWidth="1"/>
    <col min="13" max="13" width="8.140625" bestFit="1" customWidth="1"/>
    <col min="14" max="14" width="8.140625" customWidth="1"/>
    <col min="15" max="15" width="9.5703125" bestFit="1" customWidth="1"/>
    <col min="16" max="16" width="9.5703125" customWidth="1"/>
    <col min="17" max="17" width="15" customWidth="1"/>
    <col min="18" max="18" width="10.140625" customWidth="1"/>
  </cols>
  <sheetData>
    <row r="1" spans="1:18" ht="60">
      <c r="A1" s="84" t="s">
        <v>118</v>
      </c>
      <c r="B1" s="23" t="s">
        <v>119</v>
      </c>
      <c r="C1" s="27" t="s">
        <v>120</v>
      </c>
      <c r="D1" s="83" t="s">
        <v>121</v>
      </c>
      <c r="E1" s="27" t="s">
        <v>122</v>
      </c>
      <c r="F1" s="83" t="s">
        <v>123</v>
      </c>
      <c r="G1" s="27" t="s">
        <v>124</v>
      </c>
      <c r="H1" s="83" t="s">
        <v>125</v>
      </c>
      <c r="I1" s="27" t="s">
        <v>126</v>
      </c>
      <c r="J1" s="83" t="s">
        <v>127</v>
      </c>
      <c r="K1" s="26" t="s">
        <v>128</v>
      </c>
      <c r="L1" s="83" t="s">
        <v>129</v>
      </c>
      <c r="M1" s="27" t="s">
        <v>130</v>
      </c>
      <c r="N1" s="83" t="s">
        <v>129</v>
      </c>
      <c r="O1" s="27" t="s">
        <v>131</v>
      </c>
      <c r="P1" s="83" t="s">
        <v>132</v>
      </c>
      <c r="Q1" s="28" t="s">
        <v>133</v>
      </c>
      <c r="R1" s="93" t="s">
        <v>148</v>
      </c>
    </row>
    <row r="2" spans="1:18">
      <c r="A2" t="s">
        <v>15</v>
      </c>
      <c r="B2" s="98" t="s">
        <v>136</v>
      </c>
      <c r="C2" s="85">
        <v>1</v>
      </c>
      <c r="D2" s="82">
        <f t="shared" ref="D2:D33" si="0">(C2-C$62)/C$63</f>
        <v>1.3690833702433138</v>
      </c>
      <c r="E2" s="85">
        <v>0</v>
      </c>
      <c r="F2" s="82">
        <f t="shared" ref="F2:F33" si="1">(E2-E$62)/E$63</f>
        <v>-1.1166329913224231</v>
      </c>
      <c r="G2" s="85">
        <v>0</v>
      </c>
      <c r="H2" s="82">
        <f t="shared" ref="H2:H33" si="2">(G2-G$62)/G$63</f>
        <v>-1.5846007262924375</v>
      </c>
      <c r="I2" s="85">
        <v>0</v>
      </c>
      <c r="J2" s="82">
        <f t="shared" ref="J2:J33" si="3">(I2-I$62)/I$63</f>
        <v>-0.5351003296255924</v>
      </c>
      <c r="K2" s="85">
        <v>0</v>
      </c>
      <c r="L2" s="82">
        <f t="shared" ref="L2:L33" si="4">(K2-K$62)/K$63</f>
        <v>-1.3150922127418092</v>
      </c>
      <c r="M2" s="85">
        <v>0</v>
      </c>
      <c r="N2" s="82">
        <f t="shared" ref="N2:N33" si="5">(M2-M$62)/M$63</f>
        <v>-1.5668542629715998</v>
      </c>
      <c r="O2" s="85">
        <v>0</v>
      </c>
      <c r="P2" s="82">
        <f t="shared" ref="P2:P33" si="6">(O2-O$62)/O$63</f>
        <v>-0.47643971073619362</v>
      </c>
      <c r="Q2" s="21">
        <v>1</v>
      </c>
      <c r="R2">
        <v>5</v>
      </c>
    </row>
    <row r="3" spans="1:18">
      <c r="A3" t="s">
        <v>15</v>
      </c>
      <c r="B3" s="98" t="s">
        <v>46</v>
      </c>
      <c r="C3" s="85">
        <v>0.33333333333333331</v>
      </c>
      <c r="D3" s="82">
        <f t="shared" si="0"/>
        <v>-1.2658014267905058</v>
      </c>
      <c r="E3" s="85">
        <v>0</v>
      </c>
      <c r="F3" s="82">
        <f t="shared" si="1"/>
        <v>-1.1166329913224231</v>
      </c>
      <c r="G3" s="85">
        <v>0.66666666666666663</v>
      </c>
      <c r="H3" s="82">
        <f t="shared" si="2"/>
        <v>1.182671627458886</v>
      </c>
      <c r="I3" s="85">
        <v>1</v>
      </c>
      <c r="J3" s="82">
        <f t="shared" si="3"/>
        <v>4.3459363703225993</v>
      </c>
      <c r="K3" s="85">
        <v>0.33333333333333331</v>
      </c>
      <c r="L3" s="82">
        <f t="shared" si="4"/>
        <v>0.17212309525254024</v>
      </c>
      <c r="M3" s="85">
        <v>0</v>
      </c>
      <c r="N3" s="82">
        <f t="shared" si="5"/>
        <v>-1.5668542629715998</v>
      </c>
      <c r="O3" s="85">
        <v>0</v>
      </c>
      <c r="P3" s="82">
        <f t="shared" si="6"/>
        <v>-0.47643971073619362</v>
      </c>
      <c r="Q3" s="21">
        <v>3</v>
      </c>
      <c r="R3">
        <v>5</v>
      </c>
    </row>
    <row r="4" spans="1:18">
      <c r="A4" t="s">
        <v>15</v>
      </c>
      <c r="B4" s="25" t="s">
        <v>50</v>
      </c>
      <c r="C4" s="85">
        <v>0.5</v>
      </c>
      <c r="D4" s="82">
        <f t="shared" si="0"/>
        <v>-0.60708022753205082</v>
      </c>
      <c r="E4" s="85">
        <v>0.25</v>
      </c>
      <c r="F4" s="82">
        <f t="shared" si="1"/>
        <v>0.4385421809106263</v>
      </c>
      <c r="G4" s="85">
        <v>0.5</v>
      </c>
      <c r="H4" s="82">
        <f t="shared" si="2"/>
        <v>0.49085353902105527</v>
      </c>
      <c r="I4" s="85">
        <v>0.25</v>
      </c>
      <c r="J4" s="82">
        <f t="shared" si="3"/>
        <v>0.68515884536145555</v>
      </c>
      <c r="K4" s="85">
        <v>0</v>
      </c>
      <c r="L4" s="82">
        <f t="shared" si="4"/>
        <v>-1.3150922127418092</v>
      </c>
      <c r="M4" s="85">
        <v>0.75</v>
      </c>
      <c r="N4" s="82">
        <f t="shared" si="5"/>
        <v>1.6611009167612507</v>
      </c>
      <c r="O4" s="85">
        <v>0</v>
      </c>
      <c r="P4" s="82">
        <f t="shared" si="6"/>
        <v>-0.47643971073619362</v>
      </c>
      <c r="Q4" s="21">
        <v>4</v>
      </c>
      <c r="R4">
        <v>2</v>
      </c>
    </row>
    <row r="5" spans="1:18">
      <c r="A5" t="s">
        <v>15</v>
      </c>
      <c r="B5" s="21" t="s">
        <v>41</v>
      </c>
      <c r="C5" s="85">
        <v>0.8571428571428571</v>
      </c>
      <c r="D5" s="82">
        <f t="shared" si="0"/>
        <v>0.80446519945035233</v>
      </c>
      <c r="E5" s="85">
        <v>0.2857142857142857</v>
      </c>
      <c r="F5" s="82">
        <f t="shared" si="1"/>
        <v>0.66071006265820464</v>
      </c>
      <c r="G5" s="85">
        <v>0.2857142857142857</v>
      </c>
      <c r="H5" s="82">
        <f t="shared" si="2"/>
        <v>-0.39862686039901318</v>
      </c>
      <c r="I5" s="85">
        <v>0.2857142857142857</v>
      </c>
      <c r="J5" s="82">
        <f t="shared" si="3"/>
        <v>0.85948158464531943</v>
      </c>
      <c r="K5" s="85">
        <v>0.14285714285714285</v>
      </c>
      <c r="L5" s="82">
        <f t="shared" si="4"/>
        <v>-0.67771422360137368</v>
      </c>
      <c r="M5" s="85">
        <v>0.5714285714285714</v>
      </c>
      <c r="N5" s="82">
        <f t="shared" si="5"/>
        <v>0.8925401596820004</v>
      </c>
      <c r="O5" s="85">
        <v>0</v>
      </c>
      <c r="P5" s="82">
        <f t="shared" si="6"/>
        <v>-0.47643971073619362</v>
      </c>
      <c r="Q5" s="21">
        <v>7</v>
      </c>
      <c r="R5">
        <v>0</v>
      </c>
    </row>
    <row r="6" spans="1:18">
      <c r="A6" t="s">
        <v>15</v>
      </c>
      <c r="B6" s="21" t="s">
        <v>28</v>
      </c>
      <c r="C6" s="85">
        <v>0.91666666666666663</v>
      </c>
      <c r="D6" s="82">
        <f t="shared" si="0"/>
        <v>1.0397227706140864</v>
      </c>
      <c r="E6" s="85">
        <v>0</v>
      </c>
      <c r="F6" s="82">
        <f t="shared" si="1"/>
        <v>-1.1166329913224231</v>
      </c>
      <c r="G6" s="85">
        <v>0.25</v>
      </c>
      <c r="H6" s="82">
        <f t="shared" si="2"/>
        <v>-0.54687359363569121</v>
      </c>
      <c r="I6" s="85">
        <v>0</v>
      </c>
      <c r="J6" s="82">
        <f t="shared" si="3"/>
        <v>-0.5351003296255924</v>
      </c>
      <c r="K6" s="85">
        <v>8.3333333333333329E-2</v>
      </c>
      <c r="L6" s="82">
        <f t="shared" si="4"/>
        <v>-0.94328838574322194</v>
      </c>
      <c r="M6" s="85">
        <v>0.25</v>
      </c>
      <c r="N6" s="82">
        <f t="shared" si="5"/>
        <v>-0.49086920306064968</v>
      </c>
      <c r="O6" s="85">
        <v>0</v>
      </c>
      <c r="P6" s="82">
        <f t="shared" si="6"/>
        <v>-0.47643971073619362</v>
      </c>
      <c r="Q6" s="21">
        <v>12</v>
      </c>
      <c r="R6">
        <v>2</v>
      </c>
    </row>
    <row r="7" spans="1:18">
      <c r="A7" t="s">
        <v>15</v>
      </c>
      <c r="B7" s="21" t="s">
        <v>43</v>
      </c>
      <c r="C7" s="85">
        <v>0.5</v>
      </c>
      <c r="D7" s="82">
        <f t="shared" si="0"/>
        <v>-0.60708022753205082</v>
      </c>
      <c r="E7" s="85">
        <v>0.14285714285714285</v>
      </c>
      <c r="F7" s="82">
        <f t="shared" si="1"/>
        <v>-0.22796146433210918</v>
      </c>
      <c r="G7" s="85">
        <v>0.5714285714285714</v>
      </c>
      <c r="H7" s="82">
        <f t="shared" si="2"/>
        <v>0.78734700549441128</v>
      </c>
      <c r="I7" s="85">
        <v>0</v>
      </c>
      <c r="J7" s="82">
        <f t="shared" si="3"/>
        <v>-0.5351003296255924</v>
      </c>
      <c r="K7" s="85">
        <v>0.42857142857142855</v>
      </c>
      <c r="L7" s="82">
        <f t="shared" si="4"/>
        <v>0.59704175467949727</v>
      </c>
      <c r="M7" s="85">
        <v>0.6428571428571429</v>
      </c>
      <c r="N7" s="82">
        <f t="shared" si="5"/>
        <v>1.1999644625137007</v>
      </c>
      <c r="O7" s="85">
        <v>0</v>
      </c>
      <c r="P7" s="82">
        <f t="shared" si="6"/>
        <v>-0.47643971073619362</v>
      </c>
      <c r="Q7" s="21">
        <v>14</v>
      </c>
      <c r="R7">
        <v>1</v>
      </c>
    </row>
    <row r="8" spans="1:18">
      <c r="A8" t="s">
        <v>15</v>
      </c>
      <c r="B8" s="21" t="s">
        <v>51</v>
      </c>
      <c r="C8" s="85">
        <v>0.8571428571428571</v>
      </c>
      <c r="D8" s="82">
        <f t="shared" si="0"/>
        <v>0.80446519945035233</v>
      </c>
      <c r="E8" s="85">
        <v>0.14285714285714285</v>
      </c>
      <c r="F8" s="82">
        <f t="shared" si="1"/>
        <v>-0.22796146433210918</v>
      </c>
      <c r="G8" s="85">
        <v>0.6428571428571429</v>
      </c>
      <c r="H8" s="82">
        <f t="shared" si="2"/>
        <v>1.0838404719677677</v>
      </c>
      <c r="I8" s="85">
        <v>7.1428571428571425E-2</v>
      </c>
      <c r="J8" s="82">
        <f t="shared" si="3"/>
        <v>-0.1864548510578645</v>
      </c>
      <c r="K8" s="85">
        <v>0.42857142857142855</v>
      </c>
      <c r="L8" s="82">
        <f t="shared" si="4"/>
        <v>0.59704175467949727</v>
      </c>
      <c r="M8" s="85">
        <v>0.5</v>
      </c>
      <c r="N8" s="82">
        <f t="shared" si="5"/>
        <v>0.58511585685030043</v>
      </c>
      <c r="O8" s="85">
        <v>0</v>
      </c>
      <c r="P8" s="82">
        <f t="shared" si="6"/>
        <v>-0.47643971073619362</v>
      </c>
      <c r="Q8" s="21">
        <v>14</v>
      </c>
      <c r="R8">
        <v>1</v>
      </c>
    </row>
    <row r="9" spans="1:18">
      <c r="A9" t="s">
        <v>15</v>
      </c>
      <c r="B9" s="94" t="s">
        <v>25</v>
      </c>
      <c r="C9" s="85">
        <v>0.4</v>
      </c>
      <c r="D9" s="82">
        <f t="shared" si="0"/>
        <v>-1.0023129470871237</v>
      </c>
      <c r="E9" s="85">
        <v>0.25</v>
      </c>
      <c r="F9" s="82">
        <f t="shared" si="1"/>
        <v>0.4385421809106263</v>
      </c>
      <c r="G9" s="85">
        <v>0.7</v>
      </c>
      <c r="H9" s="82">
        <f t="shared" si="2"/>
        <v>1.3210352451464522</v>
      </c>
      <c r="I9" s="85">
        <v>0</v>
      </c>
      <c r="J9" s="82">
        <f t="shared" si="3"/>
        <v>-0.5351003296255924</v>
      </c>
      <c r="K9" s="85">
        <v>0.3</v>
      </c>
      <c r="L9" s="82">
        <f t="shared" si="4"/>
        <v>2.3401564453105338E-2</v>
      </c>
      <c r="M9" s="85">
        <v>0.65</v>
      </c>
      <c r="N9" s="82">
        <f t="shared" si="5"/>
        <v>1.2307068927968707</v>
      </c>
      <c r="O9" s="85">
        <v>0.05</v>
      </c>
      <c r="P9" s="82">
        <f t="shared" si="6"/>
        <v>0.86772552905068989</v>
      </c>
      <c r="Q9" s="21">
        <v>20</v>
      </c>
      <c r="R9">
        <v>3</v>
      </c>
    </row>
    <row r="10" spans="1:18">
      <c r="A10" t="s">
        <v>15</v>
      </c>
      <c r="B10" s="21" t="s">
        <v>36</v>
      </c>
      <c r="C10" s="85">
        <v>0.37037037037037035</v>
      </c>
      <c r="D10" s="82">
        <f t="shared" si="0"/>
        <v>-1.1194189380664048</v>
      </c>
      <c r="E10" s="85">
        <v>0.29629629629629628</v>
      </c>
      <c r="F10" s="82">
        <f t="shared" si="1"/>
        <v>0.7265375831760057</v>
      </c>
      <c r="G10" s="85">
        <v>0.29629629629629628</v>
      </c>
      <c r="H10" s="82">
        <f t="shared" si="2"/>
        <v>-0.3547019024029604</v>
      </c>
      <c r="I10" s="85">
        <v>0.18518518518518517</v>
      </c>
      <c r="J10" s="82">
        <f t="shared" si="3"/>
        <v>0.36879535554999854</v>
      </c>
      <c r="K10" s="85">
        <v>0.44444444444444442</v>
      </c>
      <c r="L10" s="82">
        <f t="shared" si="4"/>
        <v>0.66786153125065673</v>
      </c>
      <c r="M10" s="85">
        <v>0.18518518518518517</v>
      </c>
      <c r="N10" s="82">
        <f t="shared" si="5"/>
        <v>-0.76982829266719233</v>
      </c>
      <c r="O10" s="85">
        <v>0.18518518518518517</v>
      </c>
      <c r="P10" s="82">
        <f t="shared" si="6"/>
        <v>4.5019500662522622</v>
      </c>
      <c r="Q10" s="21">
        <v>27</v>
      </c>
      <c r="R10">
        <v>2</v>
      </c>
    </row>
    <row r="11" spans="1:18">
      <c r="A11" t="s">
        <v>15</v>
      </c>
      <c r="B11" s="21" t="s">
        <v>34</v>
      </c>
      <c r="C11" s="85">
        <v>1</v>
      </c>
      <c r="D11" s="82">
        <f t="shared" si="0"/>
        <v>1.3690833702433138</v>
      </c>
      <c r="E11" s="85">
        <v>0.14285714285714285</v>
      </c>
      <c r="F11" s="82">
        <f t="shared" si="1"/>
        <v>-0.22796146433210918</v>
      </c>
      <c r="G11" s="85">
        <v>0.6071428571428571</v>
      </c>
      <c r="H11" s="82">
        <f t="shared" si="2"/>
        <v>0.9355937387310892</v>
      </c>
      <c r="I11" s="85">
        <v>0</v>
      </c>
      <c r="J11" s="82">
        <f t="shared" si="3"/>
        <v>-0.5351003296255924</v>
      </c>
      <c r="K11" s="85">
        <v>0.10714285714285714</v>
      </c>
      <c r="L11" s="82">
        <f t="shared" si="4"/>
        <v>-0.83705872088648248</v>
      </c>
      <c r="M11" s="85">
        <v>0.4642857142857143</v>
      </c>
      <c r="N11" s="82">
        <f t="shared" si="5"/>
        <v>0.4314037054344505</v>
      </c>
      <c r="O11" s="85">
        <v>0</v>
      </c>
      <c r="P11" s="82">
        <f t="shared" si="6"/>
        <v>-0.47643971073619362</v>
      </c>
      <c r="Q11" s="21">
        <v>28</v>
      </c>
      <c r="R11">
        <v>1</v>
      </c>
    </row>
    <row r="12" spans="1:18">
      <c r="A12" t="s">
        <v>15</v>
      </c>
      <c r="B12" s="21" t="s">
        <v>135</v>
      </c>
      <c r="C12" s="85">
        <v>0.35714285714285715</v>
      </c>
      <c r="D12" s="82">
        <f t="shared" si="0"/>
        <v>-1.1716983983250122</v>
      </c>
      <c r="E12" s="85">
        <v>0.10714285714285714</v>
      </c>
      <c r="F12" s="82">
        <f t="shared" si="1"/>
        <v>-0.45012934607968763</v>
      </c>
      <c r="G12" s="85">
        <v>0.42857142857142855</v>
      </c>
      <c r="H12" s="82">
        <f t="shared" si="2"/>
        <v>0.19436007254769902</v>
      </c>
      <c r="I12" s="85">
        <v>7.1428571428571425E-2</v>
      </c>
      <c r="J12" s="82">
        <f t="shared" si="3"/>
        <v>-0.1864548510578645</v>
      </c>
      <c r="K12" s="85">
        <v>0.6071428571428571</v>
      </c>
      <c r="L12" s="82">
        <f t="shared" si="4"/>
        <v>1.3937642411050415</v>
      </c>
      <c r="M12" s="85">
        <v>0.35714285714285715</v>
      </c>
      <c r="N12" s="82">
        <f t="shared" si="5"/>
        <v>-2.9732748813099594E-2</v>
      </c>
      <c r="O12" s="85">
        <v>0</v>
      </c>
      <c r="P12" s="82">
        <f t="shared" si="6"/>
        <v>-0.47643971073619362</v>
      </c>
      <c r="Q12" s="21">
        <v>28</v>
      </c>
      <c r="R12">
        <v>2</v>
      </c>
    </row>
    <row r="13" spans="1:18">
      <c r="A13" t="s">
        <v>15</v>
      </c>
      <c r="B13" s="21" t="s">
        <v>38</v>
      </c>
      <c r="C13" s="85">
        <v>0.51724137931034486</v>
      </c>
      <c r="D13" s="82">
        <f t="shared" si="0"/>
        <v>-0.53893665519496914</v>
      </c>
      <c r="E13" s="85">
        <v>0.31034482758620691</v>
      </c>
      <c r="F13" s="82">
        <f t="shared" si="1"/>
        <v>0.81392929144963821</v>
      </c>
      <c r="G13" s="85">
        <v>0.44827586206896552</v>
      </c>
      <c r="H13" s="82">
        <f t="shared" si="2"/>
        <v>0.27615137364379738</v>
      </c>
      <c r="I13" s="85">
        <v>6.8965517241379309E-2</v>
      </c>
      <c r="J13" s="82">
        <f t="shared" si="3"/>
        <v>-0.19847710893951026</v>
      </c>
      <c r="K13" s="85">
        <v>0.27586206896551724</v>
      </c>
      <c r="L13" s="82">
        <f t="shared" si="4"/>
        <v>-8.4293337160278564E-2</v>
      </c>
      <c r="M13" s="85">
        <v>0.27586206896551724</v>
      </c>
      <c r="N13" s="82">
        <f t="shared" si="5"/>
        <v>-0.37956040375951694</v>
      </c>
      <c r="O13" s="85">
        <v>6.8965517241379309E-2</v>
      </c>
      <c r="P13" s="82">
        <f t="shared" si="6"/>
        <v>1.3775813096595075</v>
      </c>
      <c r="Q13" s="21">
        <v>29</v>
      </c>
      <c r="R13">
        <v>1</v>
      </c>
    </row>
    <row r="14" spans="1:18">
      <c r="A14" t="s">
        <v>15</v>
      </c>
      <c r="B14" s="94" t="s">
        <v>139</v>
      </c>
      <c r="C14" s="85">
        <v>0.96551724137931039</v>
      </c>
      <c r="D14" s="82">
        <f t="shared" si="0"/>
        <v>1.2327962255691509</v>
      </c>
      <c r="E14" s="85">
        <v>0</v>
      </c>
      <c r="F14" s="82">
        <f t="shared" si="1"/>
        <v>-1.1166329913224231</v>
      </c>
      <c r="G14" s="85">
        <v>0</v>
      </c>
      <c r="H14" s="82">
        <f t="shared" si="2"/>
        <v>-1.5846007262924375</v>
      </c>
      <c r="I14" s="85">
        <v>3.4482758620689655E-2</v>
      </c>
      <c r="J14" s="82">
        <f t="shared" si="3"/>
        <v>-0.36678871928255136</v>
      </c>
      <c r="K14" s="85">
        <v>0</v>
      </c>
      <c r="L14" s="82">
        <f t="shared" si="4"/>
        <v>-1.3150922127418092</v>
      </c>
      <c r="M14" s="85">
        <v>0</v>
      </c>
      <c r="N14" s="82">
        <f t="shared" si="5"/>
        <v>-1.5668542629715998</v>
      </c>
      <c r="O14" s="85">
        <v>0</v>
      </c>
      <c r="P14" s="82">
        <f t="shared" si="6"/>
        <v>-0.47643971073619362</v>
      </c>
      <c r="Q14" s="21">
        <v>29</v>
      </c>
      <c r="R14">
        <v>5</v>
      </c>
    </row>
    <row r="15" spans="1:18">
      <c r="A15" t="s">
        <v>15</v>
      </c>
      <c r="B15" s="21" t="s">
        <v>134</v>
      </c>
      <c r="C15" s="85">
        <v>0.4375</v>
      </c>
      <c r="D15" s="82">
        <f t="shared" si="0"/>
        <v>-0.85410067725397143</v>
      </c>
      <c r="E15" s="85">
        <v>0.125</v>
      </c>
      <c r="F15" s="82">
        <f t="shared" si="1"/>
        <v>-0.33904540520589838</v>
      </c>
      <c r="G15" s="85">
        <v>0.3125</v>
      </c>
      <c r="H15" s="82">
        <f t="shared" si="2"/>
        <v>-0.28744181047150458</v>
      </c>
      <c r="I15" s="85">
        <v>9.375E-2</v>
      </c>
      <c r="J15" s="82">
        <f t="shared" si="3"/>
        <v>-7.7503139005449487E-2</v>
      </c>
      <c r="K15" s="85">
        <v>0.15625</v>
      </c>
      <c r="L15" s="82">
        <f t="shared" si="4"/>
        <v>-0.61796003711945779</v>
      </c>
      <c r="M15" s="85">
        <v>0.21875</v>
      </c>
      <c r="N15" s="82">
        <f t="shared" si="5"/>
        <v>-0.62536733554951851</v>
      </c>
      <c r="O15" s="85">
        <v>6.25E-2</v>
      </c>
      <c r="P15" s="82">
        <f t="shared" si="6"/>
        <v>1.2037668389974105</v>
      </c>
      <c r="Q15" s="22">
        <v>32</v>
      </c>
      <c r="R15">
        <v>1</v>
      </c>
    </row>
    <row r="16" spans="1:18">
      <c r="A16" t="s">
        <v>15</v>
      </c>
      <c r="B16" s="21" t="s">
        <v>40</v>
      </c>
      <c r="C16" s="85">
        <v>0.9285714285714286</v>
      </c>
      <c r="D16" s="82">
        <f t="shared" si="0"/>
        <v>1.0867742848468334</v>
      </c>
      <c r="E16" s="85">
        <v>0.23809523809523808</v>
      </c>
      <c r="F16" s="82">
        <f t="shared" si="1"/>
        <v>0.36448622032810007</v>
      </c>
      <c r="G16" s="85">
        <v>0.69047619047619047</v>
      </c>
      <c r="H16" s="82">
        <f t="shared" si="2"/>
        <v>1.281502782950005</v>
      </c>
      <c r="I16" s="85">
        <v>0</v>
      </c>
      <c r="J16" s="82">
        <f t="shared" si="3"/>
        <v>-0.5351003296255924</v>
      </c>
      <c r="K16" s="85">
        <v>0.26190476190476192</v>
      </c>
      <c r="L16" s="82">
        <f t="shared" si="4"/>
        <v>-0.14656589931767736</v>
      </c>
      <c r="M16" s="85">
        <v>0.57099999999999995</v>
      </c>
      <c r="N16" s="82">
        <f t="shared" si="5"/>
        <v>0.89069561386501006</v>
      </c>
      <c r="O16" s="85">
        <v>0</v>
      </c>
      <c r="P16" s="82">
        <f t="shared" si="6"/>
        <v>-0.47643971073619362</v>
      </c>
      <c r="Q16" s="21">
        <v>42</v>
      </c>
      <c r="R16">
        <v>2</v>
      </c>
    </row>
    <row r="17" spans="1:18">
      <c r="A17" t="s">
        <v>15</v>
      </c>
      <c r="B17" s="94" t="s">
        <v>140</v>
      </c>
      <c r="C17" s="85">
        <v>0.95652173913043481</v>
      </c>
      <c r="D17" s="82">
        <f t="shared" si="0"/>
        <v>1.1972430573932824</v>
      </c>
      <c r="E17" s="85">
        <v>0</v>
      </c>
      <c r="F17" s="82">
        <f t="shared" si="1"/>
        <v>-1.1166329913224231</v>
      </c>
      <c r="G17" s="85">
        <v>0.63043478260869568</v>
      </c>
      <c r="H17" s="82">
        <f t="shared" si="2"/>
        <v>1.0322763908419665</v>
      </c>
      <c r="I17" s="85">
        <v>0</v>
      </c>
      <c r="J17" s="82">
        <f t="shared" si="3"/>
        <v>-0.5351003296255924</v>
      </c>
      <c r="K17" s="85">
        <v>4.3478260869565216E-2</v>
      </c>
      <c r="L17" s="82">
        <f t="shared" si="4"/>
        <v>-1.121107607351242</v>
      </c>
      <c r="M17" s="85">
        <v>0.52200000000000002</v>
      </c>
      <c r="N17" s="82">
        <f t="shared" si="5"/>
        <v>0.67980254212246416</v>
      </c>
      <c r="O17" s="85">
        <v>0</v>
      </c>
      <c r="P17" s="82">
        <f t="shared" si="6"/>
        <v>-0.47643971073619362</v>
      </c>
      <c r="Q17" s="21">
        <v>46</v>
      </c>
      <c r="R17">
        <v>4</v>
      </c>
    </row>
    <row r="18" spans="1:18">
      <c r="A18" t="s">
        <v>15</v>
      </c>
      <c r="B18" s="95" t="s">
        <v>30</v>
      </c>
      <c r="C18" s="85">
        <v>0.36842105263157893</v>
      </c>
      <c r="D18" s="82">
        <f t="shared" si="0"/>
        <v>-1.1271232795781996</v>
      </c>
      <c r="E18" s="85">
        <v>0.45614035087719296</v>
      </c>
      <c r="F18" s="82">
        <f t="shared" si="1"/>
        <v>1.7208796036291054</v>
      </c>
      <c r="G18" s="85">
        <v>0.66666666666666663</v>
      </c>
      <c r="H18" s="82">
        <f t="shared" si="2"/>
        <v>1.182671627458886</v>
      </c>
      <c r="I18" s="85">
        <v>0</v>
      </c>
      <c r="J18" s="82">
        <f t="shared" si="3"/>
        <v>-0.5351003296255924</v>
      </c>
      <c r="K18" s="85">
        <v>0.56140350877192979</v>
      </c>
      <c r="L18" s="82">
        <f t="shared" si="4"/>
        <v>1.1896914638802529</v>
      </c>
      <c r="M18" s="85">
        <v>0.68421052631578949</v>
      </c>
      <c r="N18" s="82">
        <f t="shared" si="5"/>
        <v>1.3779469536267901</v>
      </c>
      <c r="O18" s="85">
        <v>0</v>
      </c>
      <c r="P18" s="82">
        <f t="shared" si="6"/>
        <v>-0.47643971073619362</v>
      </c>
      <c r="Q18" s="21">
        <v>57</v>
      </c>
      <c r="R18">
        <v>5</v>
      </c>
    </row>
    <row r="19" spans="1:18">
      <c r="A19" t="s">
        <v>15</v>
      </c>
      <c r="B19" s="21" t="s">
        <v>16</v>
      </c>
      <c r="C19" s="85">
        <v>0.83720930232558144</v>
      </c>
      <c r="D19" s="82">
        <f t="shared" si="0"/>
        <v>0.72568126864203253</v>
      </c>
      <c r="E19" s="85">
        <v>1.1627906976744186E-2</v>
      </c>
      <c r="F19" s="82">
        <f t="shared" si="1"/>
        <v>-1.044299262381351</v>
      </c>
      <c r="G19" s="85">
        <v>0.15116279069767441</v>
      </c>
      <c r="H19" s="82">
        <f t="shared" si="2"/>
        <v>-0.95713780887207933</v>
      </c>
      <c r="I19" s="85">
        <v>6.9767441860465115E-2</v>
      </c>
      <c r="J19" s="82">
        <f t="shared" si="3"/>
        <v>-0.19456288544316047</v>
      </c>
      <c r="K19" s="85">
        <v>2.3255813953488372E-2</v>
      </c>
      <c r="L19" s="82">
        <f t="shared" si="4"/>
        <v>-1.2113330052073197</v>
      </c>
      <c r="M19" s="85">
        <v>0.15116279069767441</v>
      </c>
      <c r="N19" s="82">
        <f t="shared" si="5"/>
        <v>-0.91625864535102541</v>
      </c>
      <c r="O19" s="85">
        <v>0</v>
      </c>
      <c r="P19" s="82">
        <f t="shared" si="6"/>
        <v>-0.47643971073619362</v>
      </c>
      <c r="Q19" s="21">
        <v>86</v>
      </c>
      <c r="R19">
        <v>2</v>
      </c>
    </row>
    <row r="20" spans="1:18">
      <c r="A20" t="s">
        <v>15</v>
      </c>
      <c r="B20" s="21" t="s">
        <v>137</v>
      </c>
      <c r="C20" s="85">
        <v>0.9242424242424242</v>
      </c>
      <c r="D20" s="82">
        <f t="shared" si="0"/>
        <v>1.0696646433076524</v>
      </c>
      <c r="E20" s="85">
        <v>0.14393939393939395</v>
      </c>
      <c r="F20" s="82">
        <f t="shared" si="1"/>
        <v>-0.22122910427915213</v>
      </c>
      <c r="G20" s="85">
        <v>0.62878787878787878</v>
      </c>
      <c r="H20" s="82">
        <f t="shared" si="2"/>
        <v>1.0254402437230155</v>
      </c>
      <c r="I20" s="85">
        <v>0.13636363636363635</v>
      </c>
      <c r="J20" s="82">
        <f t="shared" si="3"/>
        <v>0.13049558400370634</v>
      </c>
      <c r="K20" s="85">
        <v>0.16700000000000001</v>
      </c>
      <c r="L20" s="82">
        <f t="shared" si="4"/>
        <v>-0.56999734343663999</v>
      </c>
      <c r="M20" s="85">
        <v>0.379</v>
      </c>
      <c r="N20" s="82">
        <f t="shared" si="5"/>
        <v>6.4339087853400603E-2</v>
      </c>
      <c r="O20" s="85">
        <v>0</v>
      </c>
      <c r="P20" s="82">
        <f t="shared" si="6"/>
        <v>-0.47643971073619362</v>
      </c>
      <c r="Q20" s="21">
        <v>132</v>
      </c>
      <c r="R20">
        <v>2</v>
      </c>
    </row>
    <row r="21" spans="1:18">
      <c r="A21" t="s">
        <v>15</v>
      </c>
      <c r="B21" s="21" t="s">
        <v>32</v>
      </c>
      <c r="C21" s="85">
        <v>0.70899999999999996</v>
      </c>
      <c r="D21" s="82">
        <f t="shared" si="0"/>
        <v>0.21895615633805146</v>
      </c>
      <c r="E21" s="85">
        <v>0.22800000000000001</v>
      </c>
      <c r="F21" s="82">
        <f t="shared" si="1"/>
        <v>0.30168676575411801</v>
      </c>
      <c r="G21" s="85">
        <v>0.65200000000000002</v>
      </c>
      <c r="H21" s="82">
        <f t="shared" si="2"/>
        <v>1.1217916356763571</v>
      </c>
      <c r="I21" s="85">
        <v>0</v>
      </c>
      <c r="J21" s="82">
        <f t="shared" si="3"/>
        <v>-0.5351003296255924</v>
      </c>
      <c r="K21" s="85">
        <v>0.13900000000000001</v>
      </c>
      <c r="L21" s="82">
        <f t="shared" si="4"/>
        <v>-0.69492342930816542</v>
      </c>
      <c r="M21" s="85">
        <v>0.38</v>
      </c>
      <c r="N21" s="82">
        <f t="shared" si="5"/>
        <v>6.86430280930444E-2</v>
      </c>
      <c r="O21" s="85">
        <v>6.3291139240506328E-3</v>
      </c>
      <c r="P21" s="82">
        <f t="shared" si="6"/>
        <v>-0.30629221202899326</v>
      </c>
      <c r="Q21" s="21">
        <v>158</v>
      </c>
      <c r="R21">
        <v>1</v>
      </c>
    </row>
    <row r="22" spans="1:18">
      <c r="A22" t="s">
        <v>15</v>
      </c>
      <c r="B22" s="21" t="s">
        <v>23</v>
      </c>
      <c r="C22" s="85">
        <v>0.63500000000000001</v>
      </c>
      <c r="D22" s="82">
        <f t="shared" si="0"/>
        <v>-7.3516056132702345E-2</v>
      </c>
      <c r="E22" s="85">
        <v>0.19700000000000001</v>
      </c>
      <c r="F22" s="82">
        <f t="shared" si="1"/>
        <v>0.1088450443972199</v>
      </c>
      <c r="G22" s="85">
        <v>0.59599999999999997</v>
      </c>
      <c r="H22" s="82">
        <f t="shared" si="2"/>
        <v>0.88934075796124579</v>
      </c>
      <c r="I22" s="85">
        <v>0</v>
      </c>
      <c r="J22" s="82">
        <f t="shared" si="3"/>
        <v>-0.5351003296255924</v>
      </c>
      <c r="K22" s="85">
        <v>0.16300000000000001</v>
      </c>
      <c r="L22" s="82">
        <f t="shared" si="4"/>
        <v>-0.58784392713257227</v>
      </c>
      <c r="M22" s="85">
        <v>0.376</v>
      </c>
      <c r="N22" s="82">
        <f t="shared" si="5"/>
        <v>5.1427267134469191E-2</v>
      </c>
      <c r="O22" s="85">
        <v>5.6179775280898875E-3</v>
      </c>
      <c r="P22" s="82">
        <f t="shared" si="6"/>
        <v>-0.32540990851294832</v>
      </c>
      <c r="Q22" s="21">
        <v>178</v>
      </c>
      <c r="R22">
        <v>0</v>
      </c>
    </row>
    <row r="23" spans="1:18">
      <c r="A23" t="s">
        <v>15</v>
      </c>
      <c r="B23" s="21" t="s">
        <v>44</v>
      </c>
      <c r="C23" s="85">
        <v>0.40200000000000002</v>
      </c>
      <c r="D23" s="82">
        <f t="shared" si="0"/>
        <v>-0.99440829269602227</v>
      </c>
      <c r="E23" s="85">
        <v>4.9000000000000002E-2</v>
      </c>
      <c r="F23" s="82">
        <f t="shared" si="1"/>
        <v>-0.81181865756474547</v>
      </c>
      <c r="G23" s="85">
        <v>0.74099999999999999</v>
      </c>
      <c r="H23" s="82">
        <f t="shared" si="2"/>
        <v>1.4912224949021589</v>
      </c>
      <c r="I23" s="85">
        <v>0.9</v>
      </c>
      <c r="J23" s="82">
        <f t="shared" si="3"/>
        <v>3.8578327003277799</v>
      </c>
      <c r="K23" s="85">
        <v>0.10299999999999999</v>
      </c>
      <c r="L23" s="82">
        <f t="shared" si="4"/>
        <v>-0.8555426825715553</v>
      </c>
      <c r="M23" s="85">
        <v>0.40200000000000002</v>
      </c>
      <c r="N23" s="82">
        <f t="shared" si="5"/>
        <v>0.1633297133652081</v>
      </c>
      <c r="O23" s="85">
        <v>0</v>
      </c>
      <c r="P23" s="82">
        <f t="shared" si="6"/>
        <v>-0.47643971073619362</v>
      </c>
      <c r="Q23" s="21">
        <v>224</v>
      </c>
      <c r="R23">
        <v>2</v>
      </c>
    </row>
    <row r="24" spans="1:18">
      <c r="A24" t="s">
        <v>15</v>
      </c>
      <c r="B24" s="21" t="s">
        <v>138</v>
      </c>
      <c r="C24" s="85">
        <v>0.80136986301369861</v>
      </c>
      <c r="D24" s="82">
        <f t="shared" si="0"/>
        <v>0.58403207797638812</v>
      </c>
      <c r="E24" s="85">
        <v>0.19863013698630136</v>
      </c>
      <c r="F24" s="82">
        <f t="shared" si="1"/>
        <v>0.11898563867095856</v>
      </c>
      <c r="G24" s="85">
        <v>0.50342465753424659</v>
      </c>
      <c r="H24" s="82">
        <f t="shared" si="2"/>
        <v>0.50506897919443539</v>
      </c>
      <c r="I24" s="85">
        <v>3.4246575342465752E-2</v>
      </c>
      <c r="J24" s="82">
        <f t="shared" si="3"/>
        <v>-0.36794153853147632</v>
      </c>
      <c r="K24" s="85">
        <v>0.25684931506849318</v>
      </c>
      <c r="L24" s="82">
        <f t="shared" si="4"/>
        <v>-0.16912151308862877</v>
      </c>
      <c r="M24" s="85">
        <v>0.39400000000000002</v>
      </c>
      <c r="N24" s="82">
        <f t="shared" si="5"/>
        <v>0.12889819144805767</v>
      </c>
      <c r="O24" s="85">
        <v>6.8493150684931503E-3</v>
      </c>
      <c r="P24" s="82">
        <f t="shared" si="6"/>
        <v>-0.29230748610785345</v>
      </c>
      <c r="Q24" s="21">
        <v>292</v>
      </c>
      <c r="R24">
        <v>0</v>
      </c>
    </row>
    <row r="25" spans="1:18" s="89" customFormat="1" ht="15.75" thickBot="1">
      <c r="A25" s="89" t="s">
        <v>15</v>
      </c>
      <c r="B25" s="90" t="s">
        <v>48</v>
      </c>
      <c r="C25" s="91">
        <v>0.88</v>
      </c>
      <c r="D25" s="92">
        <f t="shared" si="0"/>
        <v>0.89480410677722633</v>
      </c>
      <c r="E25" s="91">
        <v>4.3999999999999997E-2</v>
      </c>
      <c r="F25" s="92">
        <f t="shared" si="1"/>
        <v>-0.84292216100940642</v>
      </c>
      <c r="G25" s="91">
        <v>0.27300000000000002</v>
      </c>
      <c r="H25" s="92">
        <f t="shared" si="2"/>
        <v>-0.45140269743127043</v>
      </c>
      <c r="I25" s="91">
        <v>1.0999999999999999E-2</v>
      </c>
      <c r="J25" s="92">
        <f t="shared" si="3"/>
        <v>-0.48140892592616236</v>
      </c>
      <c r="K25" s="91">
        <v>6.7000000000000004E-2</v>
      </c>
      <c r="L25" s="92">
        <f t="shared" si="4"/>
        <v>-1.016161935834945</v>
      </c>
      <c r="M25" s="91">
        <v>0.22</v>
      </c>
      <c r="N25" s="92">
        <f t="shared" si="5"/>
        <v>-0.61998741024996373</v>
      </c>
      <c r="O25" s="91">
        <v>0.2</v>
      </c>
      <c r="P25" s="92">
        <f t="shared" si="6"/>
        <v>4.9002212484113397</v>
      </c>
      <c r="Q25" s="90">
        <v>451</v>
      </c>
      <c r="R25" s="89">
        <v>2</v>
      </c>
    </row>
    <row r="26" spans="1:18">
      <c r="A26" t="s">
        <v>141</v>
      </c>
      <c r="B26" s="98" t="s">
        <v>109</v>
      </c>
      <c r="C26" s="85">
        <v>0.125</v>
      </c>
      <c r="D26" s="82">
        <f t="shared" si="0"/>
        <v>-2.0892029258635745</v>
      </c>
      <c r="E26" s="85">
        <v>0.375</v>
      </c>
      <c r="F26" s="82">
        <f t="shared" si="1"/>
        <v>1.2161297670271509</v>
      </c>
      <c r="G26" s="85">
        <v>0.375</v>
      </c>
      <c r="H26" s="82">
        <f t="shared" si="2"/>
        <v>-2.8010027307317959E-2</v>
      </c>
      <c r="I26" s="85">
        <v>0.125</v>
      </c>
      <c r="J26" s="82">
        <f t="shared" si="3"/>
        <v>7.5029257867931493E-2</v>
      </c>
      <c r="K26" s="85">
        <v>0.25</v>
      </c>
      <c r="L26" s="82">
        <f t="shared" si="4"/>
        <v>-0.19968073174604703</v>
      </c>
      <c r="M26" s="85">
        <v>0.125</v>
      </c>
      <c r="N26" s="82">
        <f t="shared" si="5"/>
        <v>-1.0288617330161247</v>
      </c>
      <c r="O26" s="85">
        <v>0</v>
      </c>
      <c r="P26" s="82">
        <f t="shared" si="6"/>
        <v>-0.47643971073619362</v>
      </c>
      <c r="Q26" s="21">
        <v>8</v>
      </c>
      <c r="R26">
        <v>3</v>
      </c>
    </row>
    <row r="27" spans="1:18">
      <c r="A27" t="s">
        <v>141</v>
      </c>
      <c r="B27" s="96" t="s">
        <v>144</v>
      </c>
      <c r="C27" s="85">
        <v>0.52941176470588236</v>
      </c>
      <c r="D27" s="82">
        <f t="shared" si="0"/>
        <v>-0.4908353100158529</v>
      </c>
      <c r="E27" s="85">
        <v>0.17647058823529413</v>
      </c>
      <c r="F27" s="82">
        <f t="shared" si="1"/>
        <v>-1.8862281510858728E-2</v>
      </c>
      <c r="G27" s="85">
        <v>0.11764705882352941</v>
      </c>
      <c r="H27" s="82">
        <f t="shared" si="2"/>
        <v>-1.0962585462186745</v>
      </c>
      <c r="I27" s="85">
        <v>5.8823529411764705E-2</v>
      </c>
      <c r="J27" s="82">
        <f t="shared" si="3"/>
        <v>-0.24798052374628707</v>
      </c>
      <c r="K27" s="85">
        <v>0.17647058823529413</v>
      </c>
      <c r="L27" s="82">
        <f t="shared" si="4"/>
        <v>-0.5277429320389182</v>
      </c>
      <c r="M27" s="85">
        <v>0</v>
      </c>
      <c r="N27" s="82">
        <f t="shared" si="5"/>
        <v>-1.5668542629715998</v>
      </c>
      <c r="O27" s="85">
        <v>5.8823529411764705E-2</v>
      </c>
      <c r="P27" s="82">
        <f t="shared" si="6"/>
        <v>1.1049311596013163</v>
      </c>
      <c r="Q27" s="21">
        <v>17</v>
      </c>
      <c r="R27">
        <v>3</v>
      </c>
    </row>
    <row r="28" spans="1:18">
      <c r="A28" t="s">
        <v>141</v>
      </c>
      <c r="B28" s="25" t="s">
        <v>75</v>
      </c>
      <c r="C28" s="85">
        <v>0.21052631578947367</v>
      </c>
      <c r="D28" s="82">
        <f t="shared" si="0"/>
        <v>-1.7511749420335778</v>
      </c>
      <c r="E28" s="85">
        <v>5.2631578947368418E-2</v>
      </c>
      <c r="F28" s="82">
        <f t="shared" si="1"/>
        <v>-0.78922769190493902</v>
      </c>
      <c r="G28" s="85">
        <v>0</v>
      </c>
      <c r="H28" s="82">
        <f t="shared" si="2"/>
        <v>-1.5846007262924375</v>
      </c>
      <c r="I28" s="85">
        <v>0</v>
      </c>
      <c r="J28" s="82">
        <f t="shared" si="3"/>
        <v>-0.5351003296255924</v>
      </c>
      <c r="K28" s="85">
        <v>0.21052631578947367</v>
      </c>
      <c r="L28" s="82">
        <f t="shared" si="4"/>
        <v>-0.37579833400853585</v>
      </c>
      <c r="M28" s="85">
        <v>0.52631578947368418</v>
      </c>
      <c r="N28" s="82">
        <f t="shared" si="5"/>
        <v>0.69837744210408459</v>
      </c>
      <c r="O28" s="85">
        <v>0</v>
      </c>
      <c r="P28" s="82">
        <f t="shared" si="6"/>
        <v>-0.47643971073619362</v>
      </c>
      <c r="Q28" s="21">
        <v>19</v>
      </c>
      <c r="R28">
        <v>2</v>
      </c>
    </row>
    <row r="29" spans="1:18">
      <c r="A29" t="s">
        <v>141</v>
      </c>
      <c r="B29" s="21" t="s">
        <v>91</v>
      </c>
      <c r="C29" s="85">
        <v>0.36363636363636365</v>
      </c>
      <c r="D29" s="82">
        <f t="shared" si="0"/>
        <v>-1.1460339360162413</v>
      </c>
      <c r="E29" s="85">
        <v>0.13636363636363635</v>
      </c>
      <c r="F29" s="82">
        <f t="shared" si="1"/>
        <v>-0.26835562464985074</v>
      </c>
      <c r="G29" s="85">
        <v>0.18181818181818182</v>
      </c>
      <c r="H29" s="82">
        <f t="shared" si="2"/>
        <v>-0.82989008436025835</v>
      </c>
      <c r="I29" s="85">
        <v>0.18181818181818182</v>
      </c>
      <c r="J29" s="82">
        <f t="shared" si="3"/>
        <v>0.35236088854680603</v>
      </c>
      <c r="K29" s="85">
        <v>0.40909090909090912</v>
      </c>
      <c r="L29" s="82">
        <f t="shared" si="4"/>
        <v>0.51012657434216535</v>
      </c>
      <c r="M29" s="85">
        <v>0.36399999999999999</v>
      </c>
      <c r="N29" s="82">
        <f t="shared" si="5"/>
        <v>-2.2001574125646439E-4</v>
      </c>
      <c r="O29" s="85">
        <v>0</v>
      </c>
      <c r="P29" s="82">
        <f t="shared" si="6"/>
        <v>-0.47643971073619362</v>
      </c>
      <c r="Q29" s="21">
        <v>22</v>
      </c>
      <c r="R29">
        <v>1</v>
      </c>
    </row>
    <row r="30" spans="1:18">
      <c r="A30" t="s">
        <v>141</v>
      </c>
      <c r="B30" s="94" t="s">
        <v>94</v>
      </c>
      <c r="C30" s="85">
        <v>0</v>
      </c>
      <c r="D30" s="82">
        <f t="shared" si="0"/>
        <v>-2.5832438253074157</v>
      </c>
      <c r="E30" s="85">
        <v>0</v>
      </c>
      <c r="F30" s="82">
        <f t="shared" si="1"/>
        <v>-1.1166329913224231</v>
      </c>
      <c r="G30" s="85">
        <v>6.25E-2</v>
      </c>
      <c r="H30" s="82">
        <f t="shared" si="2"/>
        <v>-1.325168943128251</v>
      </c>
      <c r="I30" s="85">
        <v>6.25E-2</v>
      </c>
      <c r="J30" s="82">
        <f t="shared" si="3"/>
        <v>-0.23003553587883047</v>
      </c>
      <c r="K30" s="85">
        <v>0.875</v>
      </c>
      <c r="L30" s="82">
        <f t="shared" si="4"/>
        <v>2.5888479707433585</v>
      </c>
      <c r="M30" s="85">
        <v>3.125E-2</v>
      </c>
      <c r="N30" s="82">
        <f t="shared" si="5"/>
        <v>-1.432356130482731</v>
      </c>
      <c r="O30" s="85">
        <v>0</v>
      </c>
      <c r="P30" s="82">
        <f t="shared" si="6"/>
        <v>-0.47643971073619362</v>
      </c>
      <c r="Q30" s="21">
        <v>32</v>
      </c>
      <c r="R30">
        <v>5</v>
      </c>
    </row>
    <row r="31" spans="1:18">
      <c r="A31" t="s">
        <v>141</v>
      </c>
      <c r="B31" s="94" t="s">
        <v>99</v>
      </c>
      <c r="C31" s="85">
        <v>0.94285714285714284</v>
      </c>
      <c r="D31" s="82">
        <f t="shared" si="0"/>
        <v>1.1432361019261292</v>
      </c>
      <c r="E31" s="85">
        <v>0.2857142857142857</v>
      </c>
      <c r="F31" s="82">
        <f t="shared" si="1"/>
        <v>0.66071006265820464</v>
      </c>
      <c r="G31" s="85">
        <v>0.7142857142857143</v>
      </c>
      <c r="H31" s="82">
        <f t="shared" si="2"/>
        <v>1.3803339384411237</v>
      </c>
      <c r="I31" s="85">
        <v>0</v>
      </c>
      <c r="J31" s="82">
        <f t="shared" si="3"/>
        <v>-0.5351003296255924</v>
      </c>
      <c r="K31" s="85">
        <v>0.25714285714285712</v>
      </c>
      <c r="L31" s="82">
        <f t="shared" si="4"/>
        <v>-0.16781183228902538</v>
      </c>
      <c r="M31" s="85">
        <v>0.68571428571428572</v>
      </c>
      <c r="N31" s="82">
        <f t="shared" si="5"/>
        <v>1.3844190442127207</v>
      </c>
      <c r="O31" s="85">
        <v>0</v>
      </c>
      <c r="P31" s="82">
        <f t="shared" si="6"/>
        <v>-0.47643971073619362</v>
      </c>
      <c r="Q31" s="21">
        <v>35</v>
      </c>
      <c r="R31">
        <v>3</v>
      </c>
    </row>
    <row r="32" spans="1:18">
      <c r="A32" t="s">
        <v>141</v>
      </c>
      <c r="B32" s="96" t="s">
        <v>98</v>
      </c>
      <c r="C32" s="85">
        <v>0.95238095238095233</v>
      </c>
      <c r="D32" s="82">
        <f t="shared" si="0"/>
        <v>1.1808773133123265</v>
      </c>
      <c r="E32" s="85">
        <v>0.52380952380952384</v>
      </c>
      <c r="F32" s="82">
        <f t="shared" si="1"/>
        <v>2.1418292743087282</v>
      </c>
      <c r="G32" s="85">
        <v>0.7857142857142857</v>
      </c>
      <c r="H32" s="82">
        <f t="shared" si="2"/>
        <v>1.6768274049144796</v>
      </c>
      <c r="I32" s="85">
        <v>9.5238095238095233E-2</v>
      </c>
      <c r="J32" s="82">
        <f t="shared" si="3"/>
        <v>-7.0239691535288515E-2</v>
      </c>
      <c r="K32" s="85">
        <v>0.59523809523809523</v>
      </c>
      <c r="L32" s="82">
        <f t="shared" si="4"/>
        <v>1.340649408676672</v>
      </c>
      <c r="M32" s="85">
        <v>0.33333333333333331</v>
      </c>
      <c r="N32" s="82">
        <f t="shared" si="5"/>
        <v>-0.13220751642366638</v>
      </c>
      <c r="O32" s="85">
        <v>2.3809523809523808E-2</v>
      </c>
      <c r="P32" s="82">
        <f t="shared" si="6"/>
        <v>0.16363897487660792</v>
      </c>
      <c r="Q32" s="21">
        <v>42</v>
      </c>
      <c r="R32">
        <v>4</v>
      </c>
    </row>
    <row r="33" spans="1:18">
      <c r="A33" t="s">
        <v>141</v>
      </c>
      <c r="B33" s="96" t="s">
        <v>142</v>
      </c>
      <c r="C33" s="85">
        <v>0.63636363636363635</v>
      </c>
      <c r="D33" s="82">
        <f t="shared" si="0"/>
        <v>-6.8126519047860518E-2</v>
      </c>
      <c r="E33" s="85">
        <v>0.75</v>
      </c>
      <c r="F33" s="82">
        <f t="shared" si="1"/>
        <v>3.5488925253767247</v>
      </c>
      <c r="G33" s="85">
        <v>0.25</v>
      </c>
      <c r="H33" s="82">
        <f t="shared" si="2"/>
        <v>-0.54687359363569121</v>
      </c>
      <c r="I33" s="85">
        <v>6.8181818181818177E-2</v>
      </c>
      <c r="J33" s="82">
        <f t="shared" si="3"/>
        <v>-0.20230237281094304</v>
      </c>
      <c r="K33" s="85">
        <v>0.68181818181818177</v>
      </c>
      <c r="L33" s="82">
        <f t="shared" si="4"/>
        <v>1.7269390990648146</v>
      </c>
      <c r="M33" s="85">
        <v>0.11363636363636363</v>
      </c>
      <c r="N33" s="82">
        <f t="shared" si="5"/>
        <v>-1.0777701448302588</v>
      </c>
      <c r="O33" s="85">
        <v>0</v>
      </c>
      <c r="P33" s="82">
        <f t="shared" si="6"/>
        <v>-0.47643971073619362</v>
      </c>
      <c r="Q33" s="21">
        <v>44</v>
      </c>
      <c r="R33">
        <v>3</v>
      </c>
    </row>
    <row r="34" spans="1:18">
      <c r="A34" t="s">
        <v>141</v>
      </c>
      <c r="B34" s="21" t="s">
        <v>108</v>
      </c>
      <c r="C34" s="85">
        <v>0.8928571428571429</v>
      </c>
      <c r="D34" s="82">
        <f t="shared" ref="D34:D60" si="7">(C34-C$62)/C$63</f>
        <v>0.94561974214859312</v>
      </c>
      <c r="E34" s="85">
        <v>3.5714285714285712E-2</v>
      </c>
      <c r="F34" s="82">
        <f t="shared" ref="F34:F60" si="8">(E34-E$62)/E$63</f>
        <v>-0.89446510957484471</v>
      </c>
      <c r="G34" s="85">
        <v>1.7857142857142856E-2</v>
      </c>
      <c r="H34" s="82">
        <f t="shared" ref="H34:H60" si="9">(G34-G$62)/G$63</f>
        <v>-1.5104773596740986</v>
      </c>
      <c r="I34" s="85">
        <v>0</v>
      </c>
      <c r="J34" s="82">
        <f t="shared" ref="J34:J60" si="10">(I34-I$62)/I$63</f>
        <v>-0.5351003296255924</v>
      </c>
      <c r="K34" s="85">
        <v>0.10714285714285714</v>
      </c>
      <c r="L34" s="82">
        <f t="shared" ref="L34:L60" si="11">(K34-K$62)/K$63</f>
        <v>-0.83705872088648248</v>
      </c>
      <c r="M34" s="85">
        <v>0</v>
      </c>
      <c r="N34" s="82">
        <f t="shared" ref="N34:N60" si="12">(M34-M$62)/M$63</f>
        <v>-1.5668542629715998</v>
      </c>
      <c r="O34" s="85">
        <v>0</v>
      </c>
      <c r="P34" s="82">
        <f t="shared" ref="P34:P60" si="13">(O34-O$62)/O$63</f>
        <v>-0.47643971073619362</v>
      </c>
      <c r="Q34" s="21">
        <v>56</v>
      </c>
      <c r="R34">
        <v>2</v>
      </c>
    </row>
    <row r="35" spans="1:18">
      <c r="A35" t="s">
        <v>141</v>
      </c>
      <c r="B35" s="95" t="s">
        <v>79</v>
      </c>
      <c r="C35" s="85">
        <v>0.5</v>
      </c>
      <c r="D35" s="82">
        <f t="shared" si="7"/>
        <v>-0.60708022753205082</v>
      </c>
      <c r="E35" s="85">
        <v>0.4642857142857143</v>
      </c>
      <c r="F35" s="82">
        <f t="shared" si="8"/>
        <v>1.7715494713960973</v>
      </c>
      <c r="G35" s="85">
        <v>0.125</v>
      </c>
      <c r="H35" s="82">
        <f t="shared" si="9"/>
        <v>-1.0657371599640644</v>
      </c>
      <c r="I35" s="85">
        <v>1.7857142857142856E-2</v>
      </c>
      <c r="J35" s="82">
        <f t="shared" si="10"/>
        <v>-0.4479389599836604</v>
      </c>
      <c r="K35" s="85">
        <v>0.8392857142857143</v>
      </c>
      <c r="L35" s="82">
        <f t="shared" si="11"/>
        <v>2.4295034734582495</v>
      </c>
      <c r="M35" s="85">
        <v>0</v>
      </c>
      <c r="N35" s="82">
        <f t="shared" si="12"/>
        <v>-1.5668542629715998</v>
      </c>
      <c r="O35" s="85">
        <v>0</v>
      </c>
      <c r="P35" s="82">
        <f t="shared" si="13"/>
        <v>-0.47643971073619362</v>
      </c>
      <c r="Q35" s="21">
        <v>56</v>
      </c>
      <c r="R35">
        <v>4</v>
      </c>
    </row>
    <row r="36" spans="1:18">
      <c r="A36" t="s">
        <v>141</v>
      </c>
      <c r="B36" s="21" t="s">
        <v>96</v>
      </c>
      <c r="C36" s="85">
        <v>0.69565217391304346</v>
      </c>
      <c r="D36" s="82">
        <f t="shared" si="7"/>
        <v>0.1662011802930918</v>
      </c>
      <c r="E36" s="85">
        <v>0.10144927536231885</v>
      </c>
      <c r="F36" s="82">
        <f t="shared" si="8"/>
        <v>-0.48554741418437397</v>
      </c>
      <c r="G36" s="85">
        <v>0.36231884057971014</v>
      </c>
      <c r="H36" s="82">
        <f t="shared" si="9"/>
        <v>-8.0648360123239879E-2</v>
      </c>
      <c r="I36" s="85">
        <v>7.2463768115942032E-2</v>
      </c>
      <c r="J36" s="82">
        <f t="shared" si="10"/>
        <v>-0.18140201803514377</v>
      </c>
      <c r="K36" s="85">
        <v>0.17391304347826086</v>
      </c>
      <c r="L36" s="82">
        <f t="shared" si="11"/>
        <v>-0.53915379117953988</v>
      </c>
      <c r="M36" s="85">
        <v>0.27536231884057971</v>
      </c>
      <c r="N36" s="82">
        <f t="shared" si="12"/>
        <v>-0.38171129843200258</v>
      </c>
      <c r="O36" s="85">
        <v>2.8985507246376812E-2</v>
      </c>
      <c r="P36" s="82">
        <f t="shared" si="13"/>
        <v>0.302786515227217</v>
      </c>
      <c r="Q36" s="21">
        <v>69</v>
      </c>
      <c r="R36">
        <v>0</v>
      </c>
    </row>
    <row r="37" spans="1:18">
      <c r="A37" t="s">
        <v>141</v>
      </c>
      <c r="B37" s="86" t="s">
        <v>93</v>
      </c>
      <c r="C37" s="87">
        <v>0.91428571428571426</v>
      </c>
      <c r="D37" s="88">
        <f t="shared" si="7"/>
        <v>1.030312467767537</v>
      </c>
      <c r="E37" s="87">
        <v>0.28599999999999998</v>
      </c>
      <c r="F37" s="88">
        <f t="shared" si="8"/>
        <v>0.66248740571218523</v>
      </c>
      <c r="G37" s="87">
        <v>0.54300000000000004</v>
      </c>
      <c r="H37" s="88">
        <f t="shared" si="9"/>
        <v>0.66934260583801575</v>
      </c>
      <c r="I37" s="87">
        <v>0</v>
      </c>
      <c r="J37" s="88">
        <f t="shared" si="10"/>
        <v>-0.5351003296255924</v>
      </c>
      <c r="K37" s="87">
        <v>0.17100000000000001</v>
      </c>
      <c r="L37" s="88">
        <f t="shared" si="11"/>
        <v>-0.55215075974070782</v>
      </c>
      <c r="M37" s="87">
        <v>0.48599999999999999</v>
      </c>
      <c r="N37" s="88">
        <f t="shared" si="12"/>
        <v>0.52486069349528719</v>
      </c>
      <c r="O37" s="87">
        <v>0</v>
      </c>
      <c r="P37" s="88">
        <f t="shared" si="13"/>
        <v>-0.47643971073619362</v>
      </c>
      <c r="Q37" s="86">
        <v>70</v>
      </c>
      <c r="R37">
        <v>1</v>
      </c>
    </row>
    <row r="38" spans="1:18">
      <c r="A38" t="s">
        <v>141</v>
      </c>
      <c r="B38" s="96" t="s">
        <v>143</v>
      </c>
      <c r="C38" s="85">
        <v>0.30263157894736842</v>
      </c>
      <c r="D38" s="82">
        <f t="shared" si="7"/>
        <v>-1.3871448056012738</v>
      </c>
      <c r="E38" s="85">
        <v>3.9473684210526314E-2</v>
      </c>
      <c r="F38" s="82">
        <f t="shared" si="8"/>
        <v>-0.87107901675930988</v>
      </c>
      <c r="G38" s="85">
        <v>7.8947368421052627E-2</v>
      </c>
      <c r="H38" s="82">
        <f t="shared" si="9"/>
        <v>-1.2568974212429387</v>
      </c>
      <c r="I38" s="85">
        <v>3.9473684210526314E-2</v>
      </c>
      <c r="J38" s="82">
        <f t="shared" si="10"/>
        <v>-0.34242782831184804</v>
      </c>
      <c r="K38" s="85">
        <v>0.34210526315789475</v>
      </c>
      <c r="L38" s="82">
        <f t="shared" si="11"/>
        <v>0.21126034019976009</v>
      </c>
      <c r="M38" s="85">
        <v>0.72368421052631582</v>
      </c>
      <c r="N38" s="82">
        <f t="shared" si="12"/>
        <v>1.5478393315074666</v>
      </c>
      <c r="O38" s="85">
        <v>2.6315789473684209E-2</v>
      </c>
      <c r="P38" s="82">
        <f t="shared" si="13"/>
        <v>0.23101567862532385</v>
      </c>
      <c r="Q38" s="21">
        <v>76</v>
      </c>
      <c r="R38">
        <v>3</v>
      </c>
    </row>
    <row r="39" spans="1:18">
      <c r="A39" t="s">
        <v>141</v>
      </c>
      <c r="B39" s="21" t="s">
        <v>76</v>
      </c>
      <c r="C39" s="85">
        <v>0.5625</v>
      </c>
      <c r="D39" s="82">
        <f t="shared" si="7"/>
        <v>-0.36005977781013027</v>
      </c>
      <c r="E39" s="85">
        <v>3.7999999999999999E-2</v>
      </c>
      <c r="F39" s="82">
        <f t="shared" si="8"/>
        <v>-0.88024636514299948</v>
      </c>
      <c r="G39" s="85">
        <v>6.3E-2</v>
      </c>
      <c r="H39" s="82">
        <f t="shared" si="9"/>
        <v>-1.3230934888629375</v>
      </c>
      <c r="I39" s="85">
        <v>2.5000000000000001E-2</v>
      </c>
      <c r="J39" s="82">
        <f t="shared" si="10"/>
        <v>-0.41307441212688761</v>
      </c>
      <c r="K39" s="85">
        <v>0.32500000000000001</v>
      </c>
      <c r="L39" s="82">
        <f t="shared" si="11"/>
        <v>0.13494271255268164</v>
      </c>
      <c r="M39" s="85">
        <v>0.4375</v>
      </c>
      <c r="N39" s="82">
        <f t="shared" si="12"/>
        <v>0.31611959187256294</v>
      </c>
      <c r="O39" s="85">
        <v>3.7499999999999999E-2</v>
      </c>
      <c r="P39" s="82">
        <f t="shared" si="13"/>
        <v>0.53168421910396879</v>
      </c>
      <c r="Q39" s="21">
        <v>80</v>
      </c>
      <c r="R39">
        <v>1</v>
      </c>
    </row>
    <row r="40" spans="1:18">
      <c r="A40" t="s">
        <v>141</v>
      </c>
      <c r="B40" s="21" t="s">
        <v>100</v>
      </c>
      <c r="C40" s="85">
        <v>0.8928571428571429</v>
      </c>
      <c r="D40" s="82">
        <f t="shared" si="7"/>
        <v>0.94561974214859312</v>
      </c>
      <c r="E40" s="85">
        <v>8.3333333333333329E-2</v>
      </c>
      <c r="F40" s="82">
        <f t="shared" si="8"/>
        <v>-0.59824126724473992</v>
      </c>
      <c r="G40" s="85">
        <v>4.7619047619047616E-2</v>
      </c>
      <c r="H40" s="82">
        <f t="shared" si="9"/>
        <v>-1.3869384153102002</v>
      </c>
      <c r="I40" s="85">
        <v>1.1904761904761904E-2</v>
      </c>
      <c r="J40" s="82">
        <f t="shared" si="10"/>
        <v>-0.47699274986430445</v>
      </c>
      <c r="K40" s="85">
        <v>0.13095238095238096</v>
      </c>
      <c r="L40" s="82">
        <f t="shared" si="11"/>
        <v>-0.73082905602974324</v>
      </c>
      <c r="M40" s="85">
        <v>1.1904761904761904E-2</v>
      </c>
      <c r="N40" s="82">
        <f t="shared" si="12"/>
        <v>-1.5156168791663165</v>
      </c>
      <c r="O40" s="85">
        <v>0</v>
      </c>
      <c r="P40" s="82">
        <f t="shared" si="13"/>
        <v>-0.47643971073619362</v>
      </c>
      <c r="Q40" s="21">
        <v>84</v>
      </c>
      <c r="R40">
        <v>2</v>
      </c>
    </row>
    <row r="41" spans="1:18">
      <c r="A41" t="s">
        <v>141</v>
      </c>
      <c r="B41" s="21" t="s">
        <v>54</v>
      </c>
      <c r="C41" s="85">
        <v>0.5</v>
      </c>
      <c r="D41" s="82">
        <f t="shared" si="7"/>
        <v>-0.60708022753205082</v>
      </c>
      <c r="E41" s="85">
        <v>4.4444444444444446E-2</v>
      </c>
      <c r="F41" s="82">
        <f t="shared" si="8"/>
        <v>-0.84015740514765869</v>
      </c>
      <c r="G41" s="85">
        <v>3.3333333333333333E-2</v>
      </c>
      <c r="H41" s="82">
        <f t="shared" si="9"/>
        <v>-1.4462371086048715</v>
      </c>
      <c r="I41" s="85">
        <v>0</v>
      </c>
      <c r="J41" s="82">
        <f t="shared" si="10"/>
        <v>-0.5351003296255924</v>
      </c>
      <c r="K41" s="85">
        <v>0.82222222222222219</v>
      </c>
      <c r="L41" s="82">
        <f t="shared" si="11"/>
        <v>2.3533722136442528</v>
      </c>
      <c r="M41" s="85">
        <v>0.17777777777777778</v>
      </c>
      <c r="N41" s="82">
        <f t="shared" si="12"/>
        <v>-0.80170933147936863</v>
      </c>
      <c r="O41" s="85">
        <v>2.2222222222222223E-2</v>
      </c>
      <c r="P41" s="82">
        <f t="shared" si="13"/>
        <v>0.12096706250242119</v>
      </c>
      <c r="Q41" s="21">
        <v>90</v>
      </c>
      <c r="R41">
        <v>2</v>
      </c>
    </row>
    <row r="42" spans="1:18">
      <c r="A42" t="s">
        <v>141</v>
      </c>
      <c r="B42" s="21" t="s">
        <v>103</v>
      </c>
      <c r="C42" s="85">
        <v>0.77358490566037741</v>
      </c>
      <c r="D42" s="82">
        <f t="shared" si="7"/>
        <v>0.4742168354016395</v>
      </c>
      <c r="E42" s="85">
        <v>3.7735849056603772E-2</v>
      </c>
      <c r="F42" s="82">
        <f t="shared" si="8"/>
        <v>-0.88188956909856653</v>
      </c>
      <c r="G42" s="85">
        <v>0.57547169811320753</v>
      </c>
      <c r="H42" s="82">
        <f t="shared" si="9"/>
        <v>0.80412965454007301</v>
      </c>
      <c r="I42" s="85">
        <v>9.433962264150943E-3</v>
      </c>
      <c r="J42" s="82">
        <f t="shared" si="10"/>
        <v>-0.48905281358834535</v>
      </c>
      <c r="K42" s="85">
        <v>8.4905660377358486E-2</v>
      </c>
      <c r="L42" s="82">
        <f t="shared" si="11"/>
        <v>-0.93627321919607875</v>
      </c>
      <c r="M42" s="85">
        <v>0.12264150943396226</v>
      </c>
      <c r="N42" s="82">
        <f t="shared" si="12"/>
        <v>-1.0390125354681148</v>
      </c>
      <c r="O42" s="85">
        <v>9.433962264150943E-3</v>
      </c>
      <c r="P42" s="82">
        <f t="shared" si="13"/>
        <v>-0.22282362775753642</v>
      </c>
      <c r="Q42" s="21">
        <v>106</v>
      </c>
      <c r="R42">
        <v>1</v>
      </c>
    </row>
    <row r="43" spans="1:18">
      <c r="A43" t="s">
        <v>141</v>
      </c>
      <c r="B43" s="95" t="s">
        <v>145</v>
      </c>
      <c r="C43" s="85">
        <v>0.45833333333333331</v>
      </c>
      <c r="D43" s="82">
        <f t="shared" si="7"/>
        <v>-0.77176052734666467</v>
      </c>
      <c r="E43" s="85">
        <v>0.13333333333333333</v>
      </c>
      <c r="F43" s="82">
        <f t="shared" si="8"/>
        <v>-0.28720623279813007</v>
      </c>
      <c r="G43" s="85">
        <v>0.14166666666666666</v>
      </c>
      <c r="H43" s="82">
        <f t="shared" si="9"/>
        <v>-0.99655535112028126</v>
      </c>
      <c r="I43" s="85">
        <v>0.43333333333333335</v>
      </c>
      <c r="J43" s="82">
        <f t="shared" si="10"/>
        <v>1.5800155736852908</v>
      </c>
      <c r="K43" s="85">
        <v>0.53333333333333333</v>
      </c>
      <c r="L43" s="82">
        <f t="shared" si="11"/>
        <v>1.06445228004915</v>
      </c>
      <c r="M43" s="85">
        <v>0.76666666666666672</v>
      </c>
      <c r="N43" s="82">
        <f t="shared" si="12"/>
        <v>1.7328332540886475</v>
      </c>
      <c r="O43" s="85">
        <v>4.1666666666666664E-2</v>
      </c>
      <c r="P43" s="82">
        <f t="shared" si="13"/>
        <v>0.64369798908620901</v>
      </c>
      <c r="Q43" s="21">
        <v>120</v>
      </c>
      <c r="R43">
        <v>3</v>
      </c>
    </row>
    <row r="44" spans="1:18">
      <c r="A44" t="s">
        <v>141</v>
      </c>
      <c r="B44" s="95" t="s">
        <v>63</v>
      </c>
      <c r="C44" s="85">
        <v>0.56923076923076921</v>
      </c>
      <c r="D44" s="82">
        <f t="shared" si="7"/>
        <v>-0.33345757553238509</v>
      </c>
      <c r="E44" s="85">
        <v>0.55384615384615388</v>
      </c>
      <c r="F44" s="82">
        <f t="shared" si="8"/>
        <v>2.3286781594707939</v>
      </c>
      <c r="G44" s="85">
        <v>0.5461538461538461</v>
      </c>
      <c r="H44" s="82">
        <f t="shared" si="9"/>
        <v>0.68243393274230058</v>
      </c>
      <c r="I44" s="85">
        <v>0.7846153846153846</v>
      </c>
      <c r="J44" s="82">
        <f t="shared" si="10"/>
        <v>3.2946361580260657</v>
      </c>
      <c r="K44" s="85">
        <v>2.3076923076923078E-2</v>
      </c>
      <c r="L44" s="82">
        <f t="shared" si="11"/>
        <v>-1.2121311529575849</v>
      </c>
      <c r="M44" s="85">
        <v>0.66153846153846152</v>
      </c>
      <c r="N44" s="82">
        <f t="shared" si="12"/>
        <v>1.2803677417158374</v>
      </c>
      <c r="O44" s="85">
        <v>3.0769230769230771E-2</v>
      </c>
      <c r="P44" s="82">
        <f t="shared" si="13"/>
        <v>0.35073889836342692</v>
      </c>
      <c r="Q44" s="21">
        <v>130</v>
      </c>
      <c r="R44">
        <v>4</v>
      </c>
    </row>
    <row r="45" spans="1:18">
      <c r="A45" t="s">
        <v>141</v>
      </c>
      <c r="B45" s="21" t="s">
        <v>146</v>
      </c>
      <c r="C45" s="85">
        <v>0.55319148936170215</v>
      </c>
      <c r="D45" s="82">
        <f t="shared" si="7"/>
        <v>-0.39685005755594815</v>
      </c>
      <c r="E45" s="85">
        <v>0.15602836879432624</v>
      </c>
      <c r="F45" s="82">
        <f t="shared" si="8"/>
        <v>-0.1460272100705908</v>
      </c>
      <c r="G45" s="85">
        <v>0.42553191489361702</v>
      </c>
      <c r="H45" s="82">
        <f t="shared" si="9"/>
        <v>0.18174332929351378</v>
      </c>
      <c r="I45" s="85">
        <v>0.11347517730496454</v>
      </c>
      <c r="J45" s="82">
        <f t="shared" si="10"/>
        <v>1.8776175333067576E-2</v>
      </c>
      <c r="K45" s="85">
        <v>0.26950354609929078</v>
      </c>
      <c r="L45" s="82">
        <f t="shared" si="11"/>
        <v>-0.11266281478893084</v>
      </c>
      <c r="M45" s="85">
        <v>0.38300000000000001</v>
      </c>
      <c r="N45" s="82">
        <f t="shared" si="12"/>
        <v>8.1554848811975819E-2</v>
      </c>
      <c r="O45" s="85">
        <v>1.4184397163120567E-2</v>
      </c>
      <c r="P45" s="82">
        <f t="shared" si="13"/>
        <v>-9.5116238456226743E-2</v>
      </c>
      <c r="Q45" s="21">
        <v>141</v>
      </c>
      <c r="R45">
        <v>0</v>
      </c>
    </row>
    <row r="46" spans="1:18">
      <c r="A46" t="s">
        <v>141</v>
      </c>
      <c r="B46" s="21" t="s">
        <v>69</v>
      </c>
      <c r="C46" s="85">
        <v>0.88666666666666671</v>
      </c>
      <c r="D46" s="82">
        <f t="shared" si="7"/>
        <v>0.92115295474756476</v>
      </c>
      <c r="E46" s="85">
        <v>0.12666666666666668</v>
      </c>
      <c r="F46" s="82">
        <f t="shared" si="8"/>
        <v>-0.32867757072434461</v>
      </c>
      <c r="G46" s="85">
        <v>0.2</v>
      </c>
      <c r="H46" s="82">
        <f t="shared" si="9"/>
        <v>-0.75441902016704043</v>
      </c>
      <c r="I46" s="85">
        <v>0.36666666666666664</v>
      </c>
      <c r="J46" s="82">
        <f t="shared" si="10"/>
        <v>1.2546131270220777</v>
      </c>
      <c r="K46" s="85">
        <v>0.12</v>
      </c>
      <c r="L46" s="82">
        <f t="shared" si="11"/>
        <v>-0.77969470186384338</v>
      </c>
      <c r="M46" s="85">
        <v>0.18</v>
      </c>
      <c r="N46" s="82">
        <f t="shared" si="12"/>
        <v>-0.79214501983571572</v>
      </c>
      <c r="O46" s="85">
        <v>1.3333333333333334E-2</v>
      </c>
      <c r="P46" s="82">
        <f t="shared" si="13"/>
        <v>-0.11799564679302472</v>
      </c>
      <c r="Q46" s="21">
        <v>150</v>
      </c>
      <c r="R46">
        <v>1</v>
      </c>
    </row>
    <row r="47" spans="1:18">
      <c r="A47" t="s">
        <v>141</v>
      </c>
      <c r="B47" s="21" t="s">
        <v>106</v>
      </c>
      <c r="C47" s="85">
        <v>0.83333333333333337</v>
      </c>
      <c r="D47" s="82">
        <f t="shared" si="7"/>
        <v>0.7103621709848591</v>
      </c>
      <c r="E47" s="85">
        <v>0.13690476190476192</v>
      </c>
      <c r="F47" s="82">
        <f t="shared" si="8"/>
        <v>-0.26498944462337215</v>
      </c>
      <c r="G47" s="85">
        <v>0.26190476190476192</v>
      </c>
      <c r="H47" s="82">
        <f t="shared" si="9"/>
        <v>-0.49745801589013178</v>
      </c>
      <c r="I47" s="85">
        <v>4.1666666666666664E-2</v>
      </c>
      <c r="J47" s="82">
        <f t="shared" si="10"/>
        <v>-0.33172380046108446</v>
      </c>
      <c r="K47" s="85">
        <v>0.17261904761904762</v>
      </c>
      <c r="L47" s="82">
        <f t="shared" si="11"/>
        <v>-0.5449271425304496</v>
      </c>
      <c r="M47" s="85">
        <v>0.27400000000000002</v>
      </c>
      <c r="N47" s="82">
        <f t="shared" si="12"/>
        <v>-0.38757463730919839</v>
      </c>
      <c r="O47" s="85">
        <v>5.9523809523809521E-3</v>
      </c>
      <c r="P47" s="82">
        <f t="shared" si="13"/>
        <v>-0.31642003933299323</v>
      </c>
      <c r="Q47" s="21">
        <v>168</v>
      </c>
      <c r="R47">
        <v>0</v>
      </c>
    </row>
    <row r="48" spans="1:18">
      <c r="A48" t="s">
        <v>141</v>
      </c>
      <c r="B48" s="21" t="s">
        <v>70</v>
      </c>
      <c r="C48" s="85">
        <v>0.48958333333333331</v>
      </c>
      <c r="D48" s="82">
        <f t="shared" si="7"/>
        <v>-0.64825030248570437</v>
      </c>
      <c r="E48" s="85">
        <v>9.8958333333333329E-2</v>
      </c>
      <c r="F48" s="82">
        <f t="shared" si="8"/>
        <v>-0.50104281898017433</v>
      </c>
      <c r="G48" s="85">
        <v>0.296875</v>
      </c>
      <c r="H48" s="82">
        <f t="shared" si="9"/>
        <v>-0.35229975626255122</v>
      </c>
      <c r="I48" s="85">
        <v>6.25E-2</v>
      </c>
      <c r="J48" s="82">
        <f t="shared" si="10"/>
        <v>-0.23003553587883047</v>
      </c>
      <c r="K48" s="85">
        <v>0.38020833333333331</v>
      </c>
      <c r="L48" s="82">
        <f t="shared" si="11"/>
        <v>0.38126274793924564</v>
      </c>
      <c r="M48" s="85">
        <v>0.63020833333333337</v>
      </c>
      <c r="N48" s="82">
        <f t="shared" si="12"/>
        <v>1.1455247422205872</v>
      </c>
      <c r="O48" s="85">
        <v>2.6041666666666668E-2</v>
      </c>
      <c r="P48" s="82">
        <f t="shared" si="13"/>
        <v>0.22364635165280813</v>
      </c>
      <c r="Q48" s="21">
        <v>192</v>
      </c>
      <c r="R48">
        <v>1</v>
      </c>
    </row>
    <row r="49" spans="1:18">
      <c r="A49" t="s">
        <v>141</v>
      </c>
      <c r="B49" s="97" t="s">
        <v>87</v>
      </c>
      <c r="C49" s="85">
        <v>0.89119170984455953</v>
      </c>
      <c r="D49" s="82">
        <f t="shared" si="7"/>
        <v>0.93903740596059182</v>
      </c>
      <c r="E49" s="85">
        <v>0.59067357512953367</v>
      </c>
      <c r="F49" s="82">
        <f t="shared" si="8"/>
        <v>2.5577705244199112</v>
      </c>
      <c r="G49" s="85">
        <v>0.89637305699481862</v>
      </c>
      <c r="H49" s="82">
        <f t="shared" si="9"/>
        <v>2.1361618426115441</v>
      </c>
      <c r="I49" s="85">
        <v>2.5906735751295335E-2</v>
      </c>
      <c r="J49" s="82">
        <f t="shared" si="10"/>
        <v>-0.40864860164766004</v>
      </c>
      <c r="K49" s="85">
        <v>0.66321243523316065</v>
      </c>
      <c r="L49" s="82">
        <f t="shared" si="11"/>
        <v>1.6439268456510936</v>
      </c>
      <c r="M49" s="85">
        <v>0.84974093264248707</v>
      </c>
      <c r="N49" s="82">
        <f t="shared" si="12"/>
        <v>2.0903799303008528</v>
      </c>
      <c r="O49" s="85">
        <v>0</v>
      </c>
      <c r="P49" s="82">
        <f t="shared" si="13"/>
        <v>-0.47643971073619362</v>
      </c>
      <c r="Q49" s="21">
        <v>193</v>
      </c>
      <c r="R49">
        <v>4</v>
      </c>
    </row>
    <row r="50" spans="1:18">
      <c r="A50" t="s">
        <v>141</v>
      </c>
      <c r="B50" s="21" t="s">
        <v>65</v>
      </c>
      <c r="C50" s="85">
        <v>0.49545454545454548</v>
      </c>
      <c r="D50" s="82">
        <f t="shared" si="7"/>
        <v>-0.62504535114819049</v>
      </c>
      <c r="E50" s="85">
        <v>0.19545454545454546</v>
      </c>
      <c r="F50" s="82">
        <f t="shared" si="8"/>
        <v>9.923123424159741E-2</v>
      </c>
      <c r="G50" s="85">
        <v>0.318</v>
      </c>
      <c r="H50" s="82">
        <f t="shared" si="9"/>
        <v>-0.26461181355305613</v>
      </c>
      <c r="I50" s="85">
        <v>8.6363636363636365E-2</v>
      </c>
      <c r="J50" s="82">
        <f t="shared" si="10"/>
        <v>-0.11355625099370317</v>
      </c>
      <c r="K50" s="85">
        <v>0.44090909090909092</v>
      </c>
      <c r="L50" s="82">
        <f t="shared" si="11"/>
        <v>0.65208803555980777</v>
      </c>
      <c r="M50" s="85">
        <v>0.51800000000000002</v>
      </c>
      <c r="N50" s="82">
        <f t="shared" si="12"/>
        <v>0.66258678116388892</v>
      </c>
      <c r="O50" s="85">
        <v>3.6363636363636362E-2</v>
      </c>
      <c r="P50" s="82">
        <f t="shared" si="13"/>
        <v>0.50113500910881237</v>
      </c>
      <c r="Q50" s="21">
        <v>220</v>
      </c>
      <c r="R50">
        <v>0</v>
      </c>
    </row>
    <row r="51" spans="1:18">
      <c r="A51" t="s">
        <v>141</v>
      </c>
      <c r="B51" s="21" t="s">
        <v>61</v>
      </c>
      <c r="C51" s="85">
        <v>0.45</v>
      </c>
      <c r="D51" s="82">
        <f t="shared" si="7"/>
        <v>-0.80469658730958726</v>
      </c>
      <c r="E51" s="85">
        <v>9.0909090909090912E-2</v>
      </c>
      <c r="F51" s="82">
        <f t="shared" si="8"/>
        <v>-0.55111474687404149</v>
      </c>
      <c r="G51" s="85">
        <v>0.22272727272727272</v>
      </c>
      <c r="H51" s="82">
        <f t="shared" si="9"/>
        <v>-0.66008018992551809</v>
      </c>
      <c r="I51" s="85">
        <v>1.8181818181818181E-2</v>
      </c>
      <c r="J51" s="82">
        <f t="shared" si="10"/>
        <v>-0.44635420780835261</v>
      </c>
      <c r="K51" s="85">
        <v>0.53636363636363638</v>
      </c>
      <c r="L51" s="82">
        <f t="shared" si="11"/>
        <v>1.0779724192127351</v>
      </c>
      <c r="M51" s="85">
        <v>0.4</v>
      </c>
      <c r="N51" s="82">
        <f t="shared" si="12"/>
        <v>0.15472183288592051</v>
      </c>
      <c r="O51" s="85">
        <v>1.3636363636363636E-2</v>
      </c>
      <c r="P51" s="82">
        <f t="shared" si="13"/>
        <v>-0.10984919079431638</v>
      </c>
      <c r="Q51" s="21">
        <v>220</v>
      </c>
      <c r="R51">
        <v>1</v>
      </c>
    </row>
    <row r="52" spans="1:18">
      <c r="A52" t="s">
        <v>141</v>
      </c>
      <c r="B52" s="21" t="s">
        <v>59</v>
      </c>
      <c r="C52" s="85">
        <v>0.22943722943722944</v>
      </c>
      <c r="D52" s="82">
        <f t="shared" si="7"/>
        <v>-1.6764328237308412</v>
      </c>
      <c r="E52" s="85">
        <v>0.18614718614718614</v>
      </c>
      <c r="F52" s="82">
        <f t="shared" si="8"/>
        <v>4.1332937786167791E-2</v>
      </c>
      <c r="G52" s="85">
        <v>0.42857142857142855</v>
      </c>
      <c r="H52" s="82">
        <f t="shared" si="9"/>
        <v>0.19436007254769902</v>
      </c>
      <c r="I52" s="85">
        <v>4.3290043290043288E-2</v>
      </c>
      <c r="J52" s="82">
        <f t="shared" si="10"/>
        <v>-0.32380003958454523</v>
      </c>
      <c r="K52" s="85">
        <v>0.42857142857142855</v>
      </c>
      <c r="L52" s="82">
        <f t="shared" si="11"/>
        <v>0.59704175467949727</v>
      </c>
      <c r="M52" s="85">
        <v>0.52380952380952384</v>
      </c>
      <c r="N52" s="82">
        <f t="shared" si="12"/>
        <v>0.68759062446086727</v>
      </c>
      <c r="O52" s="85">
        <v>3.4632034632034632E-2</v>
      </c>
      <c r="P52" s="82">
        <f t="shared" si="13"/>
        <v>0.45458383197333591</v>
      </c>
      <c r="Q52" s="21">
        <v>231</v>
      </c>
      <c r="R52">
        <v>1</v>
      </c>
    </row>
    <row r="53" spans="1:18">
      <c r="A53" t="s">
        <v>141</v>
      </c>
      <c r="B53" s="21" t="s">
        <v>89</v>
      </c>
      <c r="C53" s="85">
        <v>0.91269841269841268</v>
      </c>
      <c r="D53" s="82">
        <f t="shared" si="7"/>
        <v>1.024038932536504</v>
      </c>
      <c r="E53" s="85">
        <v>0.12301587301587301</v>
      </c>
      <c r="F53" s="82">
        <f t="shared" si="8"/>
        <v>-0.35138806530298611</v>
      </c>
      <c r="G53" s="85">
        <v>0.28968253968253971</v>
      </c>
      <c r="H53" s="82">
        <f t="shared" si="9"/>
        <v>-0.38215500115049322</v>
      </c>
      <c r="I53" s="85">
        <v>1.1904761904761904E-2</v>
      </c>
      <c r="J53" s="82">
        <f t="shared" si="10"/>
        <v>-0.47699274986430445</v>
      </c>
      <c r="K53" s="85">
        <v>0.15476190476190477</v>
      </c>
      <c r="L53" s="82">
        <f t="shared" si="11"/>
        <v>-0.624599391173004</v>
      </c>
      <c r="M53" s="85">
        <v>0.26200000000000001</v>
      </c>
      <c r="N53" s="82">
        <f t="shared" si="12"/>
        <v>-0.43922192018492406</v>
      </c>
      <c r="O53" s="85">
        <v>0</v>
      </c>
      <c r="P53" s="82">
        <f t="shared" si="13"/>
        <v>-0.47643971073619362</v>
      </c>
      <c r="Q53" s="21">
        <v>252</v>
      </c>
      <c r="R53">
        <v>1</v>
      </c>
    </row>
    <row r="54" spans="1:18">
      <c r="A54" t="s">
        <v>141</v>
      </c>
      <c r="B54" s="21" t="s">
        <v>81</v>
      </c>
      <c r="C54" s="85">
        <v>0.88929889298892983</v>
      </c>
      <c r="D54" s="82">
        <f t="shared" si="7"/>
        <v>0.93155637442588979</v>
      </c>
      <c r="E54" s="85">
        <v>0.18819188191881919</v>
      </c>
      <c r="F54" s="82">
        <f t="shared" si="8"/>
        <v>5.4052378181422243E-2</v>
      </c>
      <c r="G54" s="85">
        <v>0.43911439114391143</v>
      </c>
      <c r="H54" s="82">
        <f t="shared" si="9"/>
        <v>0.23812294582789925</v>
      </c>
      <c r="I54" s="85">
        <v>1.107011070110701E-2</v>
      </c>
      <c r="J54" s="82">
        <f t="shared" si="10"/>
        <v>-0.4810667130209999</v>
      </c>
      <c r="K54" s="85">
        <v>0.29151291512915128</v>
      </c>
      <c r="L54" s="82">
        <f t="shared" si="11"/>
        <v>-1.4464803167414983E-2</v>
      </c>
      <c r="M54" s="85">
        <v>0.376</v>
      </c>
      <c r="N54" s="82">
        <f t="shared" si="12"/>
        <v>5.1427267134469191E-2</v>
      </c>
      <c r="O54" s="85">
        <v>0</v>
      </c>
      <c r="P54" s="82">
        <f t="shared" si="13"/>
        <v>-0.47643971073619362</v>
      </c>
      <c r="Q54" s="21">
        <v>271</v>
      </c>
      <c r="R54">
        <v>0</v>
      </c>
    </row>
    <row r="55" spans="1:18">
      <c r="A55" t="s">
        <v>141</v>
      </c>
      <c r="B55" s="95" t="s">
        <v>86</v>
      </c>
      <c r="C55" s="85">
        <v>0.85599999999999998</v>
      </c>
      <c r="D55" s="82">
        <f t="shared" si="7"/>
        <v>0.79994825408400883</v>
      </c>
      <c r="E55" s="85">
        <v>0.34699999999999998</v>
      </c>
      <c r="F55" s="82">
        <f t="shared" si="8"/>
        <v>1.0419501477370492</v>
      </c>
      <c r="G55" s="85">
        <v>0.84501845018450183</v>
      </c>
      <c r="H55" s="82">
        <f t="shared" si="9"/>
        <v>1.9229935671156055</v>
      </c>
      <c r="I55" s="85">
        <v>3.6900369003690036E-3</v>
      </c>
      <c r="J55" s="82">
        <f t="shared" si="10"/>
        <v>-0.51708912409072827</v>
      </c>
      <c r="K55" s="85">
        <v>0.66100000000000003</v>
      </c>
      <c r="L55" s="82">
        <f t="shared" si="11"/>
        <v>1.6340557430109861</v>
      </c>
      <c r="M55" s="85">
        <v>0.83</v>
      </c>
      <c r="N55" s="82">
        <f t="shared" si="12"/>
        <v>2.0054161359327547</v>
      </c>
      <c r="O55" s="85">
        <v>0</v>
      </c>
      <c r="P55" s="82">
        <f t="shared" si="13"/>
        <v>-0.47643971073619362</v>
      </c>
      <c r="Q55" s="21">
        <v>271</v>
      </c>
      <c r="R55">
        <v>4</v>
      </c>
    </row>
    <row r="56" spans="1:18">
      <c r="A56" t="s">
        <v>141</v>
      </c>
      <c r="B56" s="21" t="s">
        <v>72</v>
      </c>
      <c r="C56" s="85">
        <v>0.90252707581227432</v>
      </c>
      <c r="D56" s="82">
        <f t="shared" si="7"/>
        <v>0.98383848114631123</v>
      </c>
      <c r="E56" s="85">
        <v>2.5270758122743681E-2</v>
      </c>
      <c r="F56" s="82">
        <f t="shared" si="8"/>
        <v>-0.95943116885843249</v>
      </c>
      <c r="G56" s="85">
        <v>8.3032490974729242E-2</v>
      </c>
      <c r="H56" s="82">
        <f t="shared" si="9"/>
        <v>-1.2399404511862258</v>
      </c>
      <c r="I56" s="85">
        <v>9.0252707581227443E-2</v>
      </c>
      <c r="J56" s="82">
        <f t="shared" si="10"/>
        <v>-9.4573551651928919E-2</v>
      </c>
      <c r="K56" s="85">
        <v>0.16967509025270758</v>
      </c>
      <c r="L56" s="82">
        <f t="shared" si="11"/>
        <v>-0.55806203791436049</v>
      </c>
      <c r="M56" s="85">
        <v>0.23104693140794225</v>
      </c>
      <c r="N56" s="82">
        <f t="shared" si="12"/>
        <v>-0.57244207763873611</v>
      </c>
      <c r="O56" s="85">
        <v>1.0830324909747292E-2</v>
      </c>
      <c r="P56" s="82">
        <f t="shared" si="13"/>
        <v>-0.18528478515058716</v>
      </c>
      <c r="Q56" s="21">
        <v>277</v>
      </c>
      <c r="R56">
        <v>1</v>
      </c>
    </row>
    <row r="57" spans="1:18">
      <c r="A57" t="s">
        <v>141</v>
      </c>
      <c r="B57" s="21" t="s">
        <v>85</v>
      </c>
      <c r="C57" s="85">
        <v>0.81</v>
      </c>
      <c r="D57" s="82">
        <f t="shared" si="7"/>
        <v>0.61814120308867548</v>
      </c>
      <c r="E57" s="85">
        <v>0.10126582278481013</v>
      </c>
      <c r="F57" s="82">
        <f t="shared" si="8"/>
        <v>-0.48668861775966887</v>
      </c>
      <c r="G57" s="85">
        <v>0.41499999999999998</v>
      </c>
      <c r="H57" s="82">
        <f t="shared" si="9"/>
        <v>0.13802631391776138</v>
      </c>
      <c r="I57" s="85">
        <v>1.5822784810126583E-2</v>
      </c>
      <c r="J57" s="82">
        <f t="shared" si="10"/>
        <v>-0.45786873627198182</v>
      </c>
      <c r="K57" s="85">
        <v>0.18670886075949367</v>
      </c>
      <c r="L57" s="82">
        <f t="shared" si="11"/>
        <v>-0.4820633851626957</v>
      </c>
      <c r="M57" s="85">
        <v>0.24399999999999999</v>
      </c>
      <c r="N57" s="82">
        <f t="shared" si="12"/>
        <v>-0.51669284449851249</v>
      </c>
      <c r="O57" s="85">
        <v>0</v>
      </c>
      <c r="P57" s="82">
        <f t="shared" si="13"/>
        <v>-0.47643971073619362</v>
      </c>
      <c r="Q57" s="21">
        <v>316</v>
      </c>
      <c r="R57">
        <v>1</v>
      </c>
    </row>
    <row r="58" spans="1:18">
      <c r="A58" t="s">
        <v>141</v>
      </c>
      <c r="B58" s="21" t="s">
        <v>57</v>
      </c>
      <c r="C58" s="85">
        <v>0.5</v>
      </c>
      <c r="D58" s="82">
        <f t="shared" si="7"/>
        <v>-0.60708022753205082</v>
      </c>
      <c r="E58" s="85">
        <v>0.222</v>
      </c>
      <c r="F58" s="82">
        <f t="shared" si="8"/>
        <v>0.26436256162052479</v>
      </c>
      <c r="G58" s="85">
        <v>0.48499999999999999</v>
      </c>
      <c r="H58" s="82">
        <f t="shared" si="9"/>
        <v>0.4285899110616504</v>
      </c>
      <c r="I58" s="85">
        <v>0.3</v>
      </c>
      <c r="J58" s="82">
        <f t="shared" si="10"/>
        <v>0.929210680358865</v>
      </c>
      <c r="K58" s="85">
        <v>0.56799999999999995</v>
      </c>
      <c r="L58" s="82">
        <f t="shared" si="11"/>
        <v>1.2191226720805621</v>
      </c>
      <c r="M58" s="85">
        <v>0.5</v>
      </c>
      <c r="N58" s="82">
        <f t="shared" si="12"/>
        <v>0.58511585685030043</v>
      </c>
      <c r="O58" s="85">
        <v>0</v>
      </c>
      <c r="P58" s="82">
        <f t="shared" si="13"/>
        <v>-0.47643971073619362</v>
      </c>
      <c r="Q58" s="21">
        <v>338</v>
      </c>
      <c r="R58">
        <v>1</v>
      </c>
    </row>
    <row r="59" spans="1:18">
      <c r="A59" t="s">
        <v>141</v>
      </c>
      <c r="B59" s="21" t="s">
        <v>74</v>
      </c>
      <c r="C59" s="85">
        <v>0.73242630385487528</v>
      </c>
      <c r="D59" s="82">
        <f t="shared" si="7"/>
        <v>0.3115445741549101</v>
      </c>
      <c r="E59" s="85">
        <v>0.17006802721088435</v>
      </c>
      <c r="F59" s="82">
        <f t="shared" si="8"/>
        <v>-5.8690697286335088E-2</v>
      </c>
      <c r="G59" s="85">
        <v>0.34499999999999997</v>
      </c>
      <c r="H59" s="82">
        <f t="shared" si="9"/>
        <v>-0.15253728322612764</v>
      </c>
      <c r="I59" s="85">
        <v>6.3492063492063489E-2</v>
      </c>
      <c r="J59" s="82">
        <f t="shared" si="10"/>
        <v>-0.22519323756538984</v>
      </c>
      <c r="K59" s="85">
        <v>0.17687074829931973</v>
      </c>
      <c r="L59" s="82">
        <f t="shared" si="11"/>
        <v>-0.52595755952031764</v>
      </c>
      <c r="M59" s="85">
        <v>0.28999999999999998</v>
      </c>
      <c r="N59" s="82">
        <f t="shared" si="12"/>
        <v>-0.31871159347489775</v>
      </c>
      <c r="O59" s="85">
        <v>2.0408163265306121E-2</v>
      </c>
      <c r="P59" s="82">
        <f t="shared" si="13"/>
        <v>7.2199162646207668E-2</v>
      </c>
      <c r="Q59" s="21">
        <v>441</v>
      </c>
      <c r="R59">
        <v>1</v>
      </c>
    </row>
    <row r="60" spans="1:18">
      <c r="A60" t="s">
        <v>141</v>
      </c>
      <c r="B60" s="21" t="s">
        <v>83</v>
      </c>
      <c r="C60" s="85">
        <v>0.85413005272407738</v>
      </c>
      <c r="D60" s="82">
        <f t="shared" si="7"/>
        <v>0.79255761061113383</v>
      </c>
      <c r="E60" s="85">
        <v>9.5000000000000001E-2</v>
      </c>
      <c r="F60" s="82">
        <f t="shared" si="8"/>
        <v>-0.52566642587386425</v>
      </c>
      <c r="G60" s="85">
        <v>0.30755711775043937</v>
      </c>
      <c r="H60" s="82">
        <f t="shared" si="9"/>
        <v>-0.3079592625670905</v>
      </c>
      <c r="I60" s="85">
        <v>1.5817223198594025E-2</v>
      </c>
      <c r="J60" s="82">
        <f t="shared" si="10"/>
        <v>-0.45789588270198311</v>
      </c>
      <c r="K60" s="85">
        <v>6.9000000000000006E-2</v>
      </c>
      <c r="L60" s="82">
        <f t="shared" si="11"/>
        <v>-1.0072386439869787</v>
      </c>
      <c r="M60" s="85">
        <v>0.2</v>
      </c>
      <c r="N60" s="82">
        <f t="shared" si="12"/>
        <v>-0.70606621504283973</v>
      </c>
      <c r="O60" s="85">
        <v>5.272407732864675E-3</v>
      </c>
      <c r="P60" s="82">
        <f t="shared" si="13"/>
        <v>-0.33469996664618834</v>
      </c>
      <c r="Q60" s="21">
        <v>569</v>
      </c>
      <c r="R60">
        <v>1</v>
      </c>
    </row>
    <row r="62" spans="1:18">
      <c r="B62" s="24" t="s">
        <v>147</v>
      </c>
      <c r="C62" s="29">
        <f>AVERAGE(C2:C60)</f>
        <v>0.65360070092766154</v>
      </c>
      <c r="D62" s="29"/>
      <c r="E62" s="29">
        <f>AVERAGE(E2:E60)</f>
        <v>0.17950276780059909</v>
      </c>
      <c r="F62" s="29"/>
      <c r="G62" s="29">
        <f>AVERAGE(G2:G60)</f>
        <v>0.38174792689375092</v>
      </c>
      <c r="H62" s="29"/>
      <c r="I62" s="29">
        <f>AVERAGE(I2:I60)</f>
        <v>0.10962841759236765</v>
      </c>
      <c r="J62" s="29"/>
      <c r="K62" s="29">
        <f>AVERAGE(K2:K60)</f>
        <v>0.29475494809498148</v>
      </c>
      <c r="L62" s="29"/>
      <c r="M62" s="29">
        <f>AVERAGE(M2:M60)</f>
        <v>0.36405111960877845</v>
      </c>
      <c r="N62" s="29"/>
      <c r="O62" s="29">
        <f>AVERAGE(O2:O60)</f>
        <v>1.7722512702818178E-2</v>
      </c>
      <c r="P62" s="29"/>
      <c r="Q62" s="28"/>
    </row>
    <row r="63" spans="1:18">
      <c r="B63" s="23" t="s">
        <v>113</v>
      </c>
      <c r="C63" s="106">
        <f>_xlfn.STDEV.P(C2:C60)</f>
        <v>0.25301548948825248</v>
      </c>
      <c r="D63" s="106"/>
      <c r="E63" s="106">
        <f>_xlfn.STDEV.P(E2:E60)</f>
        <v>0.16075359513425699</v>
      </c>
      <c r="F63" s="106"/>
      <c r="G63" s="106">
        <f>_xlfn.STDEV.P(G2:G60)</f>
        <v>0.24091111442750876</v>
      </c>
      <c r="H63" s="106"/>
      <c r="I63" s="106">
        <f>_xlfn.STDEV.P(I2:I60)</f>
        <v>0.20487450955052525</v>
      </c>
      <c r="J63" s="106"/>
      <c r="K63" s="106">
        <f>_xlfn.STDEV.P(K2:K60)</f>
        <v>0.22413253248641238</v>
      </c>
      <c r="L63" s="106"/>
      <c r="M63" s="106">
        <f>_xlfn.STDEV.P(M2:M60)</f>
        <v>0.23234523351159755</v>
      </c>
      <c r="N63" s="106"/>
      <c r="O63" s="106">
        <f>_xlfn.STDEV.P(O2:O60)</f>
        <v>3.7197807620681721E-2</v>
      </c>
      <c r="P63" s="106"/>
    </row>
    <row r="65" spans="2:15">
      <c r="B65" s="84" t="s">
        <v>114</v>
      </c>
      <c r="C65" s="107">
        <f>MEDIAN(C2:C60)</f>
        <v>0.69565217391304346</v>
      </c>
      <c r="E65" s="107">
        <f>MEDIAN(E2:E60)</f>
        <v>0.14285714285714285</v>
      </c>
      <c r="G65" s="107">
        <f>MEDIAN(G2:G60)</f>
        <v>0.36231884057971014</v>
      </c>
      <c r="I65" s="107">
        <f>MEDIAN(I2:I60)</f>
        <v>3.9473684210526314E-2</v>
      </c>
      <c r="K65" s="107">
        <f>MEDIAN(K2:K60)</f>
        <v>0.25</v>
      </c>
      <c r="M65" s="107">
        <f>MEDIAN(M2:M60)</f>
        <v>0.376</v>
      </c>
      <c r="O65" s="107">
        <f>MEDIAN(O2:O60)</f>
        <v>0</v>
      </c>
    </row>
    <row r="66" spans="2:15">
      <c r="B66" s="84" t="s">
        <v>116</v>
      </c>
      <c r="C66" s="107">
        <f>MIN(C2:C60)</f>
        <v>0</v>
      </c>
      <c r="E66" s="107">
        <f>MIN(E2:E60)</f>
        <v>0</v>
      </c>
      <c r="G66" s="107">
        <f>MIN(G2:G60)</f>
        <v>0</v>
      </c>
      <c r="I66" s="107">
        <f>MIN(I2:I60)</f>
        <v>0</v>
      </c>
      <c r="K66" s="107">
        <f>MIN(K2:K60)</f>
        <v>0</v>
      </c>
      <c r="M66" s="107">
        <f>MIN(M2:M60)</f>
        <v>0</v>
      </c>
      <c r="O66" s="107">
        <f>MIN(O2:O60)</f>
        <v>0</v>
      </c>
    </row>
    <row r="67" spans="2:15">
      <c r="B67" s="84" t="s">
        <v>115</v>
      </c>
      <c r="C67" s="107">
        <f>MAX(C2:C60)</f>
        <v>1</v>
      </c>
      <c r="E67" s="107">
        <f>MAX(E2:E60)</f>
        <v>0.75</v>
      </c>
      <c r="G67" s="107">
        <f>MAX(G2:G60)</f>
        <v>0.89637305699481862</v>
      </c>
      <c r="I67" s="107">
        <f>MAX(I2:I60)</f>
        <v>1</v>
      </c>
      <c r="K67" s="107">
        <f>MAX(K2:K60)</f>
        <v>0.875</v>
      </c>
      <c r="M67" s="107">
        <f>MAX(M2:M60)</f>
        <v>0.84974093264248707</v>
      </c>
      <c r="O67" s="107">
        <f>MAX(O2:O60)</f>
        <v>0.2</v>
      </c>
    </row>
    <row r="68" spans="2:15">
      <c r="B68" s="84" t="s">
        <v>117</v>
      </c>
      <c r="C68" s="107">
        <f>C67-C66</f>
        <v>1</v>
      </c>
      <c r="E68" s="107">
        <f>E67-E66</f>
        <v>0.75</v>
      </c>
      <c r="G68" s="107">
        <f>G67-G66</f>
        <v>0.89637305699481862</v>
      </c>
      <c r="I68" s="107">
        <f>I67-I66</f>
        <v>1</v>
      </c>
      <c r="K68" s="107">
        <f>K67-K66</f>
        <v>0.875</v>
      </c>
      <c r="M68" s="107">
        <f>M67-M66</f>
        <v>0.84974093264248707</v>
      </c>
      <c r="O68" s="107">
        <f>O67-O66</f>
        <v>0.2</v>
      </c>
    </row>
  </sheetData>
  <sortState xmlns:xlrd2="http://schemas.microsoft.com/office/spreadsheetml/2017/richdata2" ref="A27:R60">
    <sortCondition ref="Q26:Q60"/>
  </sortState>
  <conditionalFormatting sqref="D2:D60">
    <cfRule type="cellIs" dxfId="3" priority="13" operator="lessThan">
      <formula>-1</formula>
    </cfRule>
    <cfRule type="cellIs" priority="14" operator="greaterThan">
      <formula>1</formula>
    </cfRule>
    <cfRule type="cellIs" dxfId="2" priority="15" operator="greaterThan">
      <formula>1</formula>
    </cfRule>
  </conditionalFormatting>
  <conditionalFormatting sqref="F2:F60 H2:H60 J2:J60 L2:L60 N2:N60 P2:P60">
    <cfRule type="cellIs" dxfId="1" priority="11" operator="lessThan">
      <formula>-1</formula>
    </cfRule>
    <cfRule type="cellIs" dxfId="0" priority="12" operator="greaterThan">
      <formula>1</formula>
    </cfRule>
  </conditionalFormatting>
  <pageMargins left="0.25" right="0.25" top="0.5" bottom="0.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6BDC-EFD0-4AF0-A74F-4078D03AE395}">
  <dimension ref="A1:D54"/>
  <sheetViews>
    <sheetView workbookViewId="0">
      <selection activeCell="D43" sqref="D43"/>
    </sheetView>
  </sheetViews>
  <sheetFormatPr defaultRowHeight="15"/>
  <sheetData>
    <row r="1" spans="1:4">
      <c r="A1" t="s">
        <v>149</v>
      </c>
      <c r="B1" t="s">
        <v>13</v>
      </c>
    </row>
    <row r="2" spans="1:4">
      <c r="A2" s="81">
        <v>0</v>
      </c>
      <c r="B2">
        <v>-0.57560465373584291</v>
      </c>
      <c r="C2">
        <v>1</v>
      </c>
      <c r="D2" s="81">
        <f>C2/$C$52</f>
        <v>1.9607843137254902E-2</v>
      </c>
    </row>
    <row r="3" spans="1:4">
      <c r="A3" s="81">
        <v>2.6337696888544351E-3</v>
      </c>
      <c r="B3">
        <v>-0.56414456369928934</v>
      </c>
      <c r="C3">
        <v>2</v>
      </c>
      <c r="D3" s="81">
        <f t="shared" ref="D3:D52" si="0">C3/$C$52</f>
        <v>3.9215686274509803E-2</v>
      </c>
    </row>
    <row r="4" spans="1:4">
      <c r="A4" s="81">
        <v>3.3033633033633038E-3</v>
      </c>
      <c r="B4">
        <v>-0.56123101998943259</v>
      </c>
      <c r="C4">
        <v>3</v>
      </c>
      <c r="D4" s="81">
        <f t="shared" si="0"/>
        <v>5.8823529411764705E-2</v>
      </c>
    </row>
    <row r="5" spans="1:4">
      <c r="A5" s="81">
        <v>5.5432561119764913E-3</v>
      </c>
      <c r="B5">
        <v>-0.55148477172499122</v>
      </c>
      <c r="C5">
        <v>4</v>
      </c>
      <c r="D5" s="81">
        <f t="shared" si="0"/>
        <v>7.8431372549019607E-2</v>
      </c>
    </row>
    <row r="6" spans="1:4">
      <c r="A6" s="81">
        <v>5.5538597205263872E-3</v>
      </c>
      <c r="B6">
        <v>-0.551438633177187</v>
      </c>
      <c r="C6">
        <v>5</v>
      </c>
      <c r="D6" s="81">
        <f t="shared" si="0"/>
        <v>9.8039215686274508E-2</v>
      </c>
    </row>
    <row r="7" spans="1:4">
      <c r="A7" s="81">
        <v>6.0440056942984727E-3</v>
      </c>
      <c r="B7">
        <v>-0.54930590417880387</v>
      </c>
      <c r="C7">
        <v>6</v>
      </c>
      <c r="D7" s="81">
        <f t="shared" si="0"/>
        <v>0.11764705882352941</v>
      </c>
    </row>
    <row r="8" spans="1:4">
      <c r="A8" s="81">
        <v>6.9249489448604488E-3</v>
      </c>
      <c r="B8">
        <v>-0.54547273341552216</v>
      </c>
      <c r="C8">
        <v>7</v>
      </c>
      <c r="D8" s="81">
        <f t="shared" si="0"/>
        <v>0.13725490196078433</v>
      </c>
    </row>
    <row r="9" spans="1:4">
      <c r="A9" s="81">
        <v>7.7634970642990117E-3</v>
      </c>
      <c r="B9">
        <v>-0.54182403285168179</v>
      </c>
      <c r="C9">
        <v>8</v>
      </c>
      <c r="D9" s="81">
        <f t="shared" si="0"/>
        <v>0.15686274509803921</v>
      </c>
    </row>
    <row r="10" spans="1:4">
      <c r="A10" s="81">
        <v>1.0191733459060191E-2</v>
      </c>
      <c r="B10">
        <v>-0.53125826173214885</v>
      </c>
      <c r="C10">
        <v>9</v>
      </c>
      <c r="D10" s="81">
        <f t="shared" si="0"/>
        <v>0.17647058823529413</v>
      </c>
    </row>
    <row r="11" spans="1:4">
      <c r="A11" s="81">
        <v>1.1148851148851148E-2</v>
      </c>
      <c r="B11">
        <v>-0.52709363984170809</v>
      </c>
      <c r="C11">
        <v>10</v>
      </c>
      <c r="D11" s="81">
        <f t="shared" si="0"/>
        <v>0.19607843137254902</v>
      </c>
    </row>
    <row r="12" spans="1:4">
      <c r="A12" s="81">
        <v>1.2107035821321535E-2</v>
      </c>
      <c r="B12">
        <v>-0.52292437528352553</v>
      </c>
      <c r="C12">
        <v>11</v>
      </c>
      <c r="D12" s="81">
        <f t="shared" si="0"/>
        <v>0.21568627450980393</v>
      </c>
    </row>
    <row r="13" spans="1:4">
      <c r="A13" s="81">
        <v>1.4349413298565839E-2</v>
      </c>
      <c r="B13">
        <v>-0.51316731569934559</v>
      </c>
      <c r="C13">
        <v>12</v>
      </c>
      <c r="D13" s="81">
        <f t="shared" si="0"/>
        <v>0.23529411764705882</v>
      </c>
    </row>
    <row r="14" spans="1:4">
      <c r="A14" s="81">
        <v>1.7703777703777703E-2</v>
      </c>
      <c r="B14">
        <v>-0.4985717653511833</v>
      </c>
      <c r="C14">
        <v>13</v>
      </c>
      <c r="D14" s="81">
        <f t="shared" si="0"/>
        <v>0.25490196078431371</v>
      </c>
    </row>
    <row r="15" spans="1:4">
      <c r="A15" s="81">
        <v>1.8586442123676172E-2</v>
      </c>
      <c r="B15">
        <v>-0.49473110541538662</v>
      </c>
      <c r="C15">
        <v>14</v>
      </c>
      <c r="D15" s="81">
        <f t="shared" si="0"/>
        <v>0.27450980392156865</v>
      </c>
    </row>
    <row r="16" spans="1:4">
      <c r="A16" s="81">
        <v>1.9102564102564102E-2</v>
      </c>
      <c r="B16">
        <v>-0.49248534931418686</v>
      </c>
      <c r="C16">
        <v>15</v>
      </c>
      <c r="D16" s="81">
        <f t="shared" si="0"/>
        <v>0.29411764705882354</v>
      </c>
    </row>
    <row r="17" spans="1:4">
      <c r="A17" s="81">
        <v>2.3504095904095901E-2</v>
      </c>
      <c r="B17">
        <v>-0.47333335172010399</v>
      </c>
      <c r="C17">
        <v>16</v>
      </c>
      <c r="D17" s="81">
        <f t="shared" si="0"/>
        <v>0.31372549019607843</v>
      </c>
    </row>
    <row r="18" spans="1:4">
      <c r="A18" s="81">
        <v>2.3952609890109892E-2</v>
      </c>
      <c r="B18">
        <v>-0.4713817723226626</v>
      </c>
      <c r="C18">
        <v>17</v>
      </c>
      <c r="D18" s="81">
        <f t="shared" si="0"/>
        <v>0.33333333333333331</v>
      </c>
    </row>
    <row r="19" spans="1:4">
      <c r="A19" s="81">
        <v>2.6008713508713512E-2</v>
      </c>
      <c r="B19">
        <v>-0.46243522977059531</v>
      </c>
      <c r="C19">
        <v>18</v>
      </c>
      <c r="D19" s="81">
        <f t="shared" si="0"/>
        <v>0.35294117647058826</v>
      </c>
    </row>
    <row r="20" spans="1:4">
      <c r="A20" s="81">
        <v>2.7250974831619996E-2</v>
      </c>
      <c r="B20">
        <v>-0.45702988750787499</v>
      </c>
      <c r="C20">
        <v>19</v>
      </c>
      <c r="D20" s="81">
        <f t="shared" si="0"/>
        <v>0.37254901960784315</v>
      </c>
    </row>
    <row r="21" spans="1:4">
      <c r="A21" s="81">
        <v>2.7797202797202797E-2</v>
      </c>
      <c r="B21">
        <v>-0.45465313387882661</v>
      </c>
      <c r="C21">
        <v>20</v>
      </c>
      <c r="D21" s="81">
        <f t="shared" si="0"/>
        <v>0.39215686274509803</v>
      </c>
    </row>
    <row r="22" spans="1:4">
      <c r="A22" s="81">
        <v>3.5772727272727275E-2</v>
      </c>
      <c r="B22">
        <v>-0.41994993679783865</v>
      </c>
      <c r="C22">
        <v>21</v>
      </c>
      <c r="D22" s="81">
        <f t="shared" si="0"/>
        <v>0.41176470588235292</v>
      </c>
    </row>
    <row r="23" spans="1:4">
      <c r="A23" s="81">
        <v>4.148717948717949E-2</v>
      </c>
      <c r="B23">
        <v>-0.39508514426706498</v>
      </c>
      <c r="C23">
        <v>22</v>
      </c>
      <c r="D23" s="81">
        <f t="shared" si="0"/>
        <v>0.43137254901960786</v>
      </c>
    </row>
    <row r="24" spans="1:4">
      <c r="A24" s="81">
        <v>4.6378968253968256E-2</v>
      </c>
      <c r="B24">
        <v>-0.37379993472712814</v>
      </c>
      <c r="C24">
        <v>23</v>
      </c>
      <c r="D24" s="81">
        <f t="shared" si="0"/>
        <v>0.45098039215686275</v>
      </c>
    </row>
    <row r="25" spans="1:4">
      <c r="A25" s="81">
        <v>5.6043822843822845E-2</v>
      </c>
      <c r="B25">
        <v>-0.3317461043338914</v>
      </c>
      <c r="C25">
        <v>24</v>
      </c>
      <c r="D25" s="81">
        <f t="shared" si="0"/>
        <v>0.47058823529411764</v>
      </c>
    </row>
    <row r="26" spans="1:4">
      <c r="A26" s="81">
        <v>6.3921367521367525E-2</v>
      </c>
      <c r="B26">
        <v>-0.29746923811674603</v>
      </c>
      <c r="C26">
        <v>25</v>
      </c>
      <c r="D26" s="81">
        <f t="shared" si="0"/>
        <v>0.49019607843137253</v>
      </c>
    </row>
    <row r="27" spans="1:4">
      <c r="A27" s="81">
        <v>6.4235897435897443E-2</v>
      </c>
      <c r="B27">
        <v>-0.29610065180680556</v>
      </c>
      <c r="C27">
        <v>26</v>
      </c>
      <c r="D27" s="81">
        <f t="shared" si="0"/>
        <v>0.50980392156862742</v>
      </c>
    </row>
    <row r="28" spans="1:4">
      <c r="A28" s="81">
        <v>6.7729086538461533E-2</v>
      </c>
      <c r="B28">
        <v>-0.28090104578221625</v>
      </c>
      <c r="C28">
        <v>27</v>
      </c>
      <c r="D28" s="81">
        <f t="shared" si="0"/>
        <v>0.52941176470588236</v>
      </c>
    </row>
    <row r="29" spans="1:4">
      <c r="A29" s="81">
        <v>7.0337750484809308E-2</v>
      </c>
      <c r="B29">
        <v>-0.26955019615144998</v>
      </c>
      <c r="C29">
        <v>28</v>
      </c>
      <c r="D29" s="81">
        <f t="shared" si="0"/>
        <v>0.5490196078431373</v>
      </c>
    </row>
    <row r="30" spans="1:4">
      <c r="A30" s="81">
        <v>7.1237789987789998E-2</v>
      </c>
      <c r="B30">
        <v>-0.26563393354722048</v>
      </c>
      <c r="C30">
        <v>29</v>
      </c>
      <c r="D30" s="81">
        <f t="shared" si="0"/>
        <v>0.56862745098039214</v>
      </c>
    </row>
    <row r="31" spans="1:4">
      <c r="A31" s="81">
        <v>7.5668081918081914E-2</v>
      </c>
      <c r="B31">
        <v>-0.24635679453836296</v>
      </c>
      <c r="C31">
        <v>30</v>
      </c>
      <c r="D31" s="81">
        <f t="shared" si="0"/>
        <v>0.58823529411764708</v>
      </c>
    </row>
    <row r="32" spans="1:4">
      <c r="A32" s="81">
        <v>7.6084841628959274E-2</v>
      </c>
      <c r="B32">
        <v>-0.24454338472106796</v>
      </c>
      <c r="C32">
        <v>31</v>
      </c>
      <c r="D32" s="81">
        <f t="shared" si="0"/>
        <v>0.60784313725490191</v>
      </c>
    </row>
    <row r="33" spans="1:4">
      <c r="A33" s="81">
        <v>9.7103825136612018E-2</v>
      </c>
      <c r="B33">
        <v>-0.15308533336073518</v>
      </c>
      <c r="C33">
        <v>32</v>
      </c>
      <c r="D33" s="81">
        <f t="shared" si="0"/>
        <v>0.62745098039215685</v>
      </c>
    </row>
    <row r="34" spans="1:4">
      <c r="A34" s="81">
        <v>9.9150641025641001E-2</v>
      </c>
      <c r="B34">
        <v>-0.14417920368820358</v>
      </c>
      <c r="C34">
        <v>33</v>
      </c>
      <c r="D34" s="81">
        <f t="shared" si="0"/>
        <v>0.6470588235294118</v>
      </c>
    </row>
    <row r="35" spans="1:4">
      <c r="A35" s="81">
        <v>0.10100558659217877</v>
      </c>
      <c r="B35">
        <v>-0.13610794244794117</v>
      </c>
      <c r="C35">
        <v>34</v>
      </c>
      <c r="D35" s="81">
        <f t="shared" si="0"/>
        <v>0.66666666666666663</v>
      </c>
    </row>
    <row r="36" spans="1:4">
      <c r="A36" s="81">
        <v>0.10402435897435898</v>
      </c>
      <c r="B36">
        <v>-0.12297262410706752</v>
      </c>
      <c r="C36">
        <v>35</v>
      </c>
      <c r="D36" s="81">
        <f t="shared" si="0"/>
        <v>0.68627450980392157</v>
      </c>
    </row>
    <row r="37" spans="1:4">
      <c r="A37" s="81">
        <v>0.11235500610500614</v>
      </c>
      <c r="B37">
        <v>-8.6724213099839853E-2</v>
      </c>
      <c r="C37">
        <v>36</v>
      </c>
      <c r="D37" s="81">
        <f t="shared" si="0"/>
        <v>0.70588235294117652</v>
      </c>
    </row>
    <row r="38" spans="1:4">
      <c r="A38" s="81">
        <v>0.12976762820512822</v>
      </c>
      <c r="B38">
        <v>-1.0958204445272268E-2</v>
      </c>
      <c r="C38">
        <v>37</v>
      </c>
      <c r="D38" s="81">
        <f t="shared" si="0"/>
        <v>0.72549019607843135</v>
      </c>
    </row>
    <row r="39" spans="1:4">
      <c r="A39" s="81">
        <v>0.1363913863913864</v>
      </c>
      <c r="B39">
        <v>1.7863171059240738E-2</v>
      </c>
      <c r="C39">
        <v>38</v>
      </c>
      <c r="D39" s="81">
        <f t="shared" si="0"/>
        <v>0.74509803921568629</v>
      </c>
    </row>
    <row r="40" spans="1:4">
      <c r="A40" s="81">
        <v>0.14289534412955468</v>
      </c>
      <c r="B40">
        <v>4.6163269427282903E-2</v>
      </c>
      <c r="C40">
        <v>39</v>
      </c>
      <c r="D40" s="81">
        <f t="shared" si="0"/>
        <v>0.76470588235294112</v>
      </c>
    </row>
    <row r="41" spans="1:4">
      <c r="A41" s="81">
        <v>0.15480769230769231</v>
      </c>
      <c r="B41">
        <v>9.7996420687980756E-2</v>
      </c>
      <c r="C41">
        <v>40</v>
      </c>
      <c r="D41" s="81">
        <f t="shared" si="0"/>
        <v>0.78431372549019607</v>
      </c>
    </row>
    <row r="42" spans="1:4">
      <c r="A42" s="81">
        <v>0.15619885433715225</v>
      </c>
      <c r="B42">
        <v>0.10404966147836284</v>
      </c>
      <c r="C42">
        <v>41</v>
      </c>
      <c r="D42" s="81">
        <f t="shared" si="0"/>
        <v>0.80392156862745101</v>
      </c>
    </row>
    <row r="43" spans="1:4">
      <c r="A43" s="81">
        <v>0.20248901617288295</v>
      </c>
      <c r="B43">
        <v>0.30546796494241818</v>
      </c>
      <c r="C43">
        <v>42</v>
      </c>
      <c r="D43" s="81">
        <f t="shared" si="0"/>
        <v>0.82352941176470584</v>
      </c>
    </row>
    <row r="44" spans="1:4">
      <c r="A44" s="81">
        <v>0.23833155270655274</v>
      </c>
      <c r="B44">
        <v>0.46142643676801648</v>
      </c>
      <c r="C44">
        <v>43</v>
      </c>
      <c r="D44" s="81">
        <f t="shared" si="0"/>
        <v>0.84313725490196079</v>
      </c>
    </row>
    <row r="45" spans="1:4">
      <c r="A45" s="81">
        <v>0.24898504273504277</v>
      </c>
      <c r="B45">
        <v>0.50778202945582118</v>
      </c>
      <c r="C45">
        <v>44</v>
      </c>
      <c r="D45" s="81">
        <f t="shared" si="0"/>
        <v>0.86274509803921573</v>
      </c>
    </row>
    <row r="46" spans="1:4">
      <c r="A46" s="81">
        <v>0.26493076923076925</v>
      </c>
      <c r="B46">
        <v>0.57716526448681116</v>
      </c>
      <c r="C46">
        <v>45</v>
      </c>
      <c r="D46" s="81">
        <f t="shared" si="0"/>
        <v>0.88235294117647056</v>
      </c>
    </row>
    <row r="47" spans="1:4">
      <c r="A47" s="81">
        <v>0.27884259259259259</v>
      </c>
      <c r="B47">
        <v>0.63769855597915515</v>
      </c>
      <c r="C47">
        <v>46</v>
      </c>
      <c r="D47" s="81">
        <f t="shared" si="0"/>
        <v>0.90196078431372551</v>
      </c>
    </row>
    <row r="48" spans="1:4">
      <c r="A48" s="81">
        <v>0.30360805860805862</v>
      </c>
      <c r="B48">
        <v>0.74545834664555022</v>
      </c>
      <c r="C48">
        <v>47</v>
      </c>
      <c r="D48" s="81">
        <f t="shared" si="0"/>
        <v>0.92156862745098034</v>
      </c>
    </row>
    <row r="49" spans="1:4">
      <c r="A49" s="81">
        <v>0.30445283882783886</v>
      </c>
      <c r="B49">
        <v>0.74913416439861724</v>
      </c>
      <c r="C49">
        <v>48</v>
      </c>
      <c r="D49" s="81">
        <f t="shared" si="0"/>
        <v>0.94117647058823528</v>
      </c>
    </row>
    <row r="50" spans="1:4">
      <c r="A50" s="81">
        <v>0.4311769579626723</v>
      </c>
      <c r="B50">
        <v>1.3005376607763932</v>
      </c>
      <c r="C50">
        <v>49</v>
      </c>
      <c r="D50" s="81">
        <f t="shared" si="0"/>
        <v>0.96078431372549022</v>
      </c>
    </row>
    <row r="51" spans="1:4">
      <c r="A51" s="81">
        <v>0.98678944512277822</v>
      </c>
      <c r="B51">
        <v>3.7181253318752372</v>
      </c>
      <c r="C51">
        <v>50</v>
      </c>
      <c r="D51" s="81">
        <f t="shared" si="0"/>
        <v>0.98039215686274506</v>
      </c>
    </row>
    <row r="52" spans="1:4">
      <c r="A52" s="81">
        <v>1.31491452991453</v>
      </c>
      <c r="B52">
        <v>5.1458671085682646</v>
      </c>
      <c r="C52">
        <v>51</v>
      </c>
      <c r="D52" s="81">
        <f t="shared" si="0"/>
        <v>1</v>
      </c>
    </row>
    <row r="54" spans="1:4">
      <c r="A54">
        <f>COUNTA(A2:A52)</f>
        <v>51</v>
      </c>
    </row>
  </sheetData>
  <sortState xmlns:xlrd2="http://schemas.microsoft.com/office/spreadsheetml/2017/richdata2" ref="A2:B52">
    <sortCondition ref="A2:A5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38C83A327AE4ABB95839B9188245F" ma:contentTypeVersion="16" ma:contentTypeDescription="Create a new document." ma:contentTypeScope="" ma:versionID="352bee862ed1bab21e1a016a6c703b06">
  <xsd:schema xmlns:xsd="http://www.w3.org/2001/XMLSchema" xmlns:xs="http://www.w3.org/2001/XMLSchema" xmlns:p="http://schemas.microsoft.com/office/2006/metadata/properties" xmlns:ns2="6aa2b605-7095-4358-b992-40cf26629676" xmlns:ns3="1c77d65b-a972-4e6d-ac23-10e33292bf01" targetNamespace="http://schemas.microsoft.com/office/2006/metadata/properties" ma:root="true" ma:fieldsID="9d198ca1c0606aaa6c1c484fa8eff1fb" ns2:_="" ns3:_="">
    <xsd:import namespace="6aa2b605-7095-4358-b992-40cf26629676"/>
    <xsd:import namespace="1c77d65b-a972-4e6d-ac23-10e33292bf0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2b605-7095-4358-b992-40cf266296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0c02f76e-25ad-4165-bbcf-8b40f38f7fd3}" ma:internalName="TaxCatchAll" ma:showField="CatchAllData" ma:web="6aa2b605-7095-4358-b992-40cf266296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7d65b-a972-4e6d-ac23-10e33292bf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f5aa37d-3231-4550-bec8-2c995580a6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77d65b-a972-4e6d-ac23-10e33292bf01">
      <Terms xmlns="http://schemas.microsoft.com/office/infopath/2007/PartnerControls"/>
    </lcf76f155ced4ddcb4097134ff3c332f>
    <TaxCatchAll xmlns="6aa2b605-7095-4358-b992-40cf266296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A0D172-AEC3-4210-B3CE-8B0427C95499}"/>
</file>

<file path=customXml/itemProps2.xml><?xml version="1.0" encoding="utf-8"?>
<ds:datastoreItem xmlns:ds="http://schemas.openxmlformats.org/officeDocument/2006/customXml" ds:itemID="{E7DA57A3-4DE9-4E1A-919C-A97BDC0BF08F}"/>
</file>

<file path=customXml/itemProps3.xml><?xml version="1.0" encoding="utf-8"?>
<ds:datastoreItem xmlns:ds="http://schemas.openxmlformats.org/officeDocument/2006/customXml" ds:itemID="{69305983-DCAC-49DF-9874-EBCADAC88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 Levine</dc:creator>
  <cp:keywords/>
  <dc:description/>
  <cp:lastModifiedBy>Jay Levine</cp:lastModifiedBy>
  <cp:revision/>
  <dcterms:created xsi:type="dcterms:W3CDTF">2024-05-01T14:07:19Z</dcterms:created>
  <dcterms:modified xsi:type="dcterms:W3CDTF">2025-06-11T19:53:03Z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0x010100DDB38C83A327AE4ABB95839B9188245F</vt:lpwstr>
  </property>
</Properties>
</file>