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ew Durney\Desktop\"/>
    </mc:Choice>
  </mc:AlternateContent>
  <xr:revisionPtr revIDLastSave="0" documentId="13_ncr:1_{8FFB4466-3A0C-4DFF-9C27-BD55238C4B19}" xr6:coauthVersionLast="47" xr6:coauthVersionMax="47" xr10:uidLastSave="{00000000-0000-0000-0000-000000000000}"/>
  <bookViews>
    <workbookView xWindow="-110" yWindow="-110" windowWidth="19420" windowHeight="10300" tabRatio="933" activeTab="6" xr2:uid="{00000000-000D-0000-FFFF-FFFF00000000}"/>
  </bookViews>
  <sheets>
    <sheet name="Crowdfunding" sheetId="1" r:id="rId1"/>
    <sheet name="Parent Category Outcomes" sheetId="2" r:id="rId2"/>
    <sheet name="Sub-Category Outcomes" sheetId="3" r:id="rId3"/>
    <sheet name="Outcomes by Time" sheetId="9" r:id="rId4"/>
    <sheet name="Sheet9" sheetId="10" state="hidden" r:id="rId5"/>
    <sheet name="Crowdfunding Goal Analysis" sheetId="13" r:id="rId6"/>
    <sheet name="Statistical Analysis" sheetId="12" r:id="rId7"/>
  </sheets>
  <definedNames>
    <definedName name="_xlcn.WorksheetConnection_CrowdfundingA1T1001" hidden="1">Crowdfunding!$A$1:$T$1001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G3" i="13"/>
  <c r="G4" i="13"/>
  <c r="G5" i="13"/>
  <c r="G6" i="13"/>
  <c r="G7" i="13"/>
  <c r="G8" i="13"/>
  <c r="G9" i="13"/>
  <c r="G10" i="13"/>
  <c r="G11" i="13"/>
  <c r="G12" i="13"/>
  <c r="G13" i="13"/>
  <c r="F3" i="13"/>
  <c r="F4" i="13"/>
  <c r="F5" i="13"/>
  <c r="F6" i="13"/>
  <c r="F7" i="13"/>
  <c r="F8" i="13"/>
  <c r="F9" i="13"/>
  <c r="F10" i="13"/>
  <c r="F11" i="13"/>
  <c r="F12" i="13"/>
  <c r="F13" i="13"/>
  <c r="E3" i="13"/>
  <c r="E4" i="13"/>
  <c r="E5" i="13"/>
  <c r="E6" i="13"/>
  <c r="E7" i="13"/>
  <c r="E8" i="13"/>
  <c r="E9" i="13"/>
  <c r="E10" i="13"/>
  <c r="E11" i="13"/>
  <c r="E12" i="13"/>
  <c r="E13" i="13"/>
  <c r="D13" i="13"/>
  <c r="D12" i="13"/>
  <c r="D11" i="13"/>
  <c r="D10" i="13"/>
  <c r="D9" i="13"/>
  <c r="D8" i="13"/>
  <c r="D7" i="13"/>
  <c r="D6" i="13"/>
  <c r="D5" i="13"/>
  <c r="D4" i="13"/>
  <c r="D3" i="13"/>
  <c r="D2" i="13"/>
  <c r="C2" i="13"/>
  <c r="C13" i="13"/>
  <c r="C12" i="13"/>
  <c r="C11" i="13"/>
  <c r="C10" i="13"/>
  <c r="C9" i="13"/>
  <c r="C8" i="13"/>
  <c r="C7" i="13"/>
  <c r="C6" i="13"/>
  <c r="C5" i="13"/>
  <c r="C4" i="13"/>
  <c r="C3" i="13"/>
  <c r="B13" i="13"/>
  <c r="B12" i="13"/>
  <c r="B11" i="13"/>
  <c r="B10" i="13"/>
  <c r="B9" i="13"/>
  <c r="B8" i="13"/>
  <c r="B7" i="13"/>
  <c r="B6" i="13"/>
  <c r="B5" i="13"/>
  <c r="B4" i="13"/>
  <c r="B3" i="13"/>
  <c r="B2" i="13"/>
  <c r="I4" i="12"/>
  <c r="H4" i="12"/>
  <c r="I7" i="12"/>
  <c r="I6" i="12"/>
  <c r="I5" i="12"/>
  <c r="I3" i="12"/>
  <c r="I2" i="12"/>
  <c r="H6" i="12"/>
  <c r="H7" i="12"/>
  <c r="H5" i="12"/>
  <c r="H3" i="12"/>
  <c r="H2" i="12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E2" i="13" l="1"/>
  <c r="H2" i="13" s="1"/>
  <c r="G2" i="13" l="1"/>
  <c r="F2" i="13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23B4D3-66FB-4521-94A2-34C15099E0A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F5AF6CA-854F-44DE-8BF6-D8DD613B9473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<sst xmlns="http://schemas.openxmlformats.org/spreadsheetml/2006/main" count="9083" uniqueCount="2116">
  <si>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</si>
  <si>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</si>
  <si>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</si>
  <si>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</si>
  <si>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</si>
  <si>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</si>
  <si>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</si>
  <si>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</si>
  <si>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</si>
  <si>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</si>
  <si>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</si>
  <si>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</si>
  <si>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</si>
  <si>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</si>
  <si>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</si>
  <si>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</si>
  <si>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</si>
  <si>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</si>
  <si>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</si>
  <si>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</si>
  <si>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</si>
  <si>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</si>
  <si>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</si>
  <si>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</si>
  <si>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</si>
  <si>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</si>
  <si>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</si>
  <si>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</si>
  <si>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</si>
  <si>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</si>
  <si>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</si>
  <si>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</si>
  <si>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</si>
  <si>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</si>
  <si>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</si>
  <si>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</si>
  <si>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</si>
  <si>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</si>
  <si>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</si>
  <si>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</si>
  <si>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</si>
  <si>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</si>
  <si>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</si>
  <si>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</si>
  <si>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</si>
  <si>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</si>
  <si>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</si>
  <si>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</si>
  <si>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</si>
  <si>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</si>
  <si>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</si>
  <si>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</si>
  <si>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</si>
  <si>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</si>
  <si>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</si>
  <si>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</si>
  <si>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</si>
  <si>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</si>
  <si>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</si>
  <si>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</si>
  <si>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</si>
  <si>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</si>
  <si>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</si>
  <si>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</si>
  <si>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</si>
  <si>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</si>
  <si>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</si>
  <si>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</si>
  <si>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</si>
  <si>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</si>
  <si>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</si>
  <si>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</si>
  <si>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</si>
  <si>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</si>
  <si>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</si>
  <si>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</si>
  <si>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</si>
  <si>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</si>
  <si>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</si>
  <si>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</si>
  <si>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</si>
  <si>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</si>
  <si>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</si>
  <si>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</si>
  <si>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</si>
  <si>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</si>
  <si>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</si>
  <si>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</si>
  <si>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</si>
  <si>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</si>
  <si>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</si>
  <si>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</si>
  <si>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</si>
  <si>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</si>
  <si>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</si>
  <si>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</si>
  <si>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</si>
  <si>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</si>
  <si>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</si>
  <si>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</si>
  <si>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</si>
  <si>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</si>
  <si>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</si>
  <si>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</si>
  <si>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</si>
  <si>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</si>
  <si>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</si>
  <si>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</si>
  <si>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</si>
  <si>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</si>
  <si>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</si>
  <si>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</si>
  <si>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</si>
  <si>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</si>
  <si>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</si>
  <si>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</si>
  <si>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</si>
  <si>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</si>
  <si>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</si>
  <si>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</si>
  <si>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</si>
  <si>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</si>
  <si>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</si>
  <si>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</si>
  <si>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</si>
  <si>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</si>
  <si>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</si>
  <si>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</si>
  <si>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</si>
  <si>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</si>
  <si>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</si>
  <si>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</si>
  <si>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</si>
  <si>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</si>
  <si>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</si>
  <si>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</si>
  <si>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</si>
  <si>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</si>
  <si>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</si>
  <si>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</si>
  <si>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</si>
  <si>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</si>
  <si>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</si>
  <si>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</si>
  <si>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</si>
  <si>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</si>
  <si>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</si>
  <si>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</si>
  <si>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</si>
  <si>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</si>
  <si>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</si>
  <si>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</si>
  <si>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</si>
  <si>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</si>
  <si>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</si>
  <si>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</si>
  <si>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</si>
  <si>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</si>
  <si>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</si>
  <si>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</si>
  <si>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</si>
  <si>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</si>
  <si>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</si>
  <si>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</si>
  <si>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</si>
  <si>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</si>
  <si>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</si>
  <si>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</si>
  <si>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</si>
  <si>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</si>
  <si>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</si>
  <si>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</si>
  <si>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</si>
  <si>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</si>
  <si>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</si>
  <si>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</si>
  <si>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</si>
  <si>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</si>
  <si>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</si>
  <si>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</si>
  <si>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</si>
  <si>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</si>
  <si>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</si>
  <si>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</si>
  <si>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</si>
  <si>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</si>
  <si>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</si>
  <si>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</si>
  <si>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</si>
  <si>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</si>
  <si>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</si>
  <si>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</si>
  <si>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</si>
  <si>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</si>
  <si>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</si>
  <si>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</si>
  <si>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</si>
  <si>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</si>
  <si>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</si>
  <si>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</si>
  <si>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</si>
  <si>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</si>
  <si>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</si>
  <si>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</si>
  <si>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</si>
  <si>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</si>
  <si>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</si>
  <si>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</si>
  <si>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</si>
  <si>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</si>
  <si>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</si>
  <si>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</si>
  <si>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</si>
  <si>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</si>
  <si>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</si>
  <si>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</si>
  <si>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</si>
  <si>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</si>
  <si>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</si>
  <si>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</si>
  <si>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</si>
  <si>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</si>
  <si>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</si>
  <si>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</si>
  <si>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</si>
  <si>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</si>
  <si>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</si>
  <si>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</si>
  <si>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</si>
  <si>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</si>
  <si>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</si>
  <si>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</si>
  <si>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</si>
  <si>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</si>
  <si>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</si>
  <si>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</si>
  <si>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</si>
  <si>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</si>
  <si>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</si>
  <si>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</si>
  <si>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</si>
  <si>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</si>
  <si>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</si>
  <si>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</si>
  <si>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</si>
  <si>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</si>
  <si>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</si>
  <si>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</si>
  <si>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</si>
  <si>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</si>
  <si>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</si>
  <si>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</si>
  <si>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</si>
  <si>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</si>
  <si>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</si>
  <si>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</si>
  <si>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</si>
  <si>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</si>
  <si>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</si>
  <si>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</si>
  <si>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</si>
  <si>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</si>
  <si>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</si>
  <si>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</si>
  <si>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</si>
  <si>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</si>
  <si>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</si>
  <si>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</si>
  <si>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</si>
  <si>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</si>
  <si>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</si>
  <si>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</si>
  <si>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</si>
  <si>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</si>
  <si>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</si>
  <si>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</si>
  <si>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</si>
  <si>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</si>
  <si>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</si>
  <si>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</si>
  <si>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</si>
  <si>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</si>
  <si>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</si>
  <si>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</si>
  <si>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</si>
  <si>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</si>
  <si>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</si>
  <si>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</si>
  <si>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</si>
  <si>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</si>
  <si>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</si>
  <si>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</si>
  <si>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</si>
  <si>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</si>
  <si>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</si>
  <si>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</si>
  <si>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</si>
  <si>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</si>
  <si>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</si>
  <si>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</si>
  <si>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</si>
  <si>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</si>
  <si>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</si>
  <si>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</si>
  <si>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</si>
  <si>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</si>
  <si>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</si>
  <si>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</si>
  <si>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</si>
  <si>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</si>
  <si>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</si>
  <si>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</si>
  <si>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</si>
  <si>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</si>
  <si>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</si>
  <si>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</si>
  <si>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</si>
  <si>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</si>
  <si>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</si>
  <si>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</si>
  <si>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</si>
  <si>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</si>
  <si>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</si>
  <si>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</si>
  <si>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</si>
  <si>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</si>
  <si>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</si>
  <si>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</si>
  <si>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</si>
  <si>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</si>
  <si>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</si>
  <si>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</si>
  <si>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</si>
  <si>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</si>
  <si>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</si>
  <si>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</si>
  <si>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</si>
  <si>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</si>
  <si>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</si>
  <si>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</si>
  <si>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</si>
  <si>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</si>
  <si>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</si>
  <si>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</si>
  <si>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</si>
  <si>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</si>
  <si>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</si>
  <si>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</si>
  <si>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</si>
  <si>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</si>
  <si>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</si>
  <si>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</si>
  <si>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</si>
  <si>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</si>
  <si>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</si>
  <si>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</si>
  <si>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</si>
  <si>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</si>
  <si>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</si>
  <si>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</si>
  <si>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</si>
  <si>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</si>
  <si>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</si>
  <si>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</si>
  <si>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</si>
  <si>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</si>
  <si>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</si>
  <si>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</si>
  <si>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</si>
  <si>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</si>
  <si>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</si>
  <si>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</si>
  <si>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</si>
  <si>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</si>
  <si>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</si>
  <si>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</si>
  <si>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</si>
  <si>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</si>
  <si>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</si>
  <si>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</si>
  <si>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</si>
  <si>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</si>
  <si>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</si>
  <si>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</si>
  <si>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</si>
  <si>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</si>
  <si>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</si>
  <si>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</si>
  <si>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</si>
  <si>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</si>
  <si>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</si>
  <si>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</si>
  <si>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</si>
  <si>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</si>
  <si>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</si>
  <si>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</si>
  <si>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</si>
  <si>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</si>
  <si>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</si>
  <si>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</si>
  <si>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</si>
  <si>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</si>
  <si>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</si>
  <si>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</si>
  <si>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</si>
  <si>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</si>
  <si>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</si>
  <si>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</si>
  <si>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</si>
  <si>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</si>
  <si>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</si>
  <si>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</si>
  <si>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</si>
  <si>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</si>
  <si>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</si>
  <si>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</si>
  <si>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</si>
  <si>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</si>
  <si>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</si>
  <si>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</si>
  <si>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</si>
  <si>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</si>
  <si>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</si>
  <si>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</si>
  <si>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</si>
  <si>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</si>
  <si>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</si>
  <si>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</si>
  <si>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</si>
  <si>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</si>
  <si>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</si>
  <si>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</si>
  <si>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</si>
  <si>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</si>
  <si>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</si>
  <si>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</si>
  <si>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</si>
  <si>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</si>
  <si>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</si>
  <si>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</si>
  <si>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</si>
  <si>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</si>
  <si>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</si>
  <si>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</si>
  <si>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</si>
  <si>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</si>
  <si>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</si>
  <si>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</si>
  <si>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</si>
  <si>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</si>
  <si>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</si>
  <si>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</si>
  <si>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</si>
  <si>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</si>
  <si>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</si>
  <si>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</si>
  <si>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</si>
  <si>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</si>
  <si>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</si>
  <si>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</si>
  <si>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</si>
  <si>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</si>
  <si>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</si>
  <si>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</si>
  <si>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</si>
  <si>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</si>
  <si>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</si>
  <si>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</si>
  <si>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</si>
  <si>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</si>
  <si>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</si>
  <si>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</si>
  <si>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</si>
  <si>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</si>
  <si>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</si>
  <si>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</si>
  <si>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</si>
  <si>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</si>
  <si>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</si>
  <si>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</si>
  <si>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</si>
  <si>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</si>
  <si>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</si>
  <si>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</si>
  <si>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</si>
  <si>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</si>
  <si>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</si>
  <si>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</si>
  <si>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</si>
  <si>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</si>
  <si>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</si>
  <si>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</si>
  <si>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</si>
  <si>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</si>
  <si>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</si>
  <si>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</si>
  <si>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</si>
  <si>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</si>
  <si>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</si>
  <si>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</si>
  <si>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</si>
  <si>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</si>
  <si>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</si>
  <si>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</si>
  <si>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</si>
  <si>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</si>
  <si>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</si>
  <si>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</si>
  <si>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</si>
  <si>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</si>
  <si>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</si>
  <si>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</si>
  <si>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</si>
  <si>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</si>
  <si>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</si>
  <si>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</si>
  <si>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</si>
  <si>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</si>
  <si>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</si>
  <si>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</si>
  <si>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</si>
  <si>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</si>
  <si>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</si>
  <si>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</si>
  <si>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</si>
  <si>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</si>
  <si>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</si>
  <si>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</si>
  <si>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</si>
  <si>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</si>
  <si>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</si>
  <si>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</si>
  <si>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</si>
  <si>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</si>
  <si>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</si>
  <si>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</si>
  <si>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</si>
  <si>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</si>
  <si>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</si>
  <si>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</si>
  <si>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</si>
  <si>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</si>
  <si>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</si>
  <si>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</si>
  <si>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</si>
  <si>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</si>
  <si>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</si>
  <si>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</si>
  <si>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</si>
  <si>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</si>
  <si>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</si>
  <si>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</si>
  <si>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</si>
  <si>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</si>
  <si>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</si>
  <si>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</si>
  <si>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</si>
  <si>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</si>
  <si>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</si>
  <si>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</si>
  <si>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</si>
  <si>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</si>
  <si>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</si>
  <si>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</si>
  <si>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</si>
  <si>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</si>
  <si>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</si>
  <si>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</si>
  <si>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</si>
  <si>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</si>
  <si>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</si>
  <si>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</si>
  <si>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</si>
  <si>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</si>
  <si>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</si>
  <si>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</si>
  <si>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</si>
  <si>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</si>
  <si>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</si>
  <si>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</si>
  <si>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</si>
  <si>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</si>
  <si>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</si>
  <si>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</si>
  <si>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</si>
  <si>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</si>
  <si>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</si>
  <si>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</si>
  <si>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</si>
  <si>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</si>
  <si>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</si>
  <si>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</si>
  <si>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</si>
  <si>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</si>
  <si>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</si>
  <si>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</si>
  <si>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</si>
  <si>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</si>
  <si>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</si>
  <si>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</si>
  <si>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</si>
  <si>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</si>
  <si>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</si>
  <si>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</si>
  <si>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</si>
  <si>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</si>
  <si>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</si>
  <si>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</si>
  <si>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</si>
  <si>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</si>
  <si>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</si>
  <si>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</si>
  <si>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</si>
  <si>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</si>
  <si>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</si>
  <si>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</si>
  <si>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</si>
  <si>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</si>
  <si>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</si>
  <si>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</si>
  <si>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</si>
  <si>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</si>
  <si>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</si>
  <si>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</si>
  <si>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</si>
  <si>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</si>
  <si>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</si>
  <si>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</si>
  <si>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</si>
  <si>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</si>
  <si>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</si>
  <si>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</si>
  <si>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</si>
  <si>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</si>
  <si>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</si>
  <si>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</si>
  <si>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</si>
  <si>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</si>
  <si>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</si>
  <si>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</si>
  <si>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</si>
  <si>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</si>
  <si>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</si>
  <si>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</si>
  <si>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</si>
  <si>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</si>
  <si>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</si>
  <si>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</si>
  <si>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</si>
  <si>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</si>
  <si>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</si>
  <si>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</si>
  <si>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</si>
  <si>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</si>
  <si>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</si>
  <si>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</si>
  <si>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</si>
  <si>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</si>
  <si>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</si>
  <si>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</si>
  <si>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</si>
  <si>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</si>
  <si>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</si>
  <si>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</si>
  <si>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</si>
  <si>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</si>
  <si>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</si>
  <si>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</si>
  <si>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</si>
  <si>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</si>
  <si>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</si>
  <si>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</si>
  <si>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</si>
  <si>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</si>
  <si>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</si>
  <si>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</si>
  <si>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</si>
  <si>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</si>
  <si>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</si>
  <si>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</si>
  <si>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</si>
  <si>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</si>
  <si>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</si>
  <si>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</si>
  <si>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</si>
  <si>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</si>
  <si>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</si>
  <si>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</si>
  <si>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</si>
  <si>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</si>
  <si>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</si>
  <si>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</si>
  <si>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</si>
  <si>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</si>
  <si>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</si>
  <si>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</si>
  <si>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</si>
  <si>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</si>
  <si>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</si>
  <si>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</si>
  <si>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</si>
  <si>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</si>
  <si>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</si>
  <si>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</si>
  <si>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</si>
  <si>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</si>
  <si>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</si>
  <si>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</si>
  <si>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</si>
  <si>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</si>
  <si>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</si>
  <si>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</si>
  <si>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</si>
  <si>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</si>
  <si>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</si>
  <si>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</si>
  <si>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</si>
  <si>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</si>
  <si>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</si>
  <si>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</si>
  <si>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</si>
  <si>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</si>
  <si>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</si>
  <si>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</si>
  <si>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</si>
  <si>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</si>
  <si>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</si>
  <si>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</si>
  <si>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</si>
  <si>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</si>
  <si>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</si>
  <si>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</si>
  <si>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</si>
  <si>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</si>
  <si>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</si>
  <si>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</si>
  <si>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</si>
  <si>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</si>
  <si>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</si>
  <si>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</si>
  <si>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</si>
  <si>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</si>
  <si>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</si>
  <si>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</si>
  <si>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</si>
  <si>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</si>
  <si>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</si>
  <si>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</si>
  <si>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</si>
  <si>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</si>
  <si>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</si>
  <si>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</si>
  <si>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</si>
  <si>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</si>
  <si>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</si>
  <si>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</si>
  <si>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</si>
  <si>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</si>
  <si>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</si>
  <si>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</si>
  <si>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</si>
  <si>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</si>
  <si>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</si>
  <si>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</si>
  <si>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</si>
  <si>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</si>
  <si>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</si>
  <si>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</si>
  <si>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</si>
  <si>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</si>
  <si>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</si>
  <si>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</si>
  <si>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</si>
  <si>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</si>
  <si>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</si>
  <si>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</si>
  <si>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</si>
  <si>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</si>
  <si>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</si>
  <si>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</si>
  <si>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</si>
  <si>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</si>
  <si>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</si>
  <si>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</si>
  <si>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</si>
  <si>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</si>
  <si>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</si>
  <si>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</si>
  <si>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</si>
  <si>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</si>
  <si>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</si>
  <si>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</si>
  <si>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</si>
  <si>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</si>
  <si>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</si>
  <si>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</si>
  <si>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</si>
  <si>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</si>
  <si>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</si>
  <si>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</si>
  <si>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</si>
  <si>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</si>
  <si>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</si>
  <si>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</si>
  <si>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</si>
  <si>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</si>
  <si>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</si>
  <si>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</si>
  <si>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</si>
  <si>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</si>
  <si>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</si>
  <si>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</si>
  <si>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</si>
  <si>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</si>
  <si>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</si>
  <si>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</si>
  <si>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</si>
  <si>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</si>
  <si>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</si>
  <si>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</si>
  <si>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</si>
  <si>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</si>
  <si>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</si>
  <si>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</si>
  <si>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</si>
  <si>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</si>
  <si>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</si>
  <si>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</si>
  <si>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</si>
  <si>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</si>
  <si>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</si>
  <si>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</si>
  <si>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</si>
  <si>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</si>
  <si>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</si>
  <si>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</si>
  <si>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</si>
  <si>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</si>
  <si>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</si>
  <si>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</si>
  <si>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</si>
  <si>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</si>
  <si>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</si>
  <si>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</si>
  <si>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</si>
  <si>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</si>
  <si>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</si>
  <si>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</si>
  <si>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</si>
  <si>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</si>
  <si>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</si>
  <si>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</si>
  <si>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</si>
  <si>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</si>
  <si>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</si>
  <si>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</si>
  <si>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</si>
  <si>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</si>
  <si>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</si>
  <si>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</si>
  <si>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</si>
  <si>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</si>
  <si>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</si>
  <si>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</si>
  <si>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</si>
  <si>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</si>
  <si>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</si>
  <si>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</si>
  <si>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</si>
  <si>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</si>
  <si>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</si>
  <si>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</si>
  <si>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</si>
  <si>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</si>
  <si>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</si>
  <si>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</si>
  <si>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</si>
  <si>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</si>
  <si>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</si>
  <si>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</si>
  <si>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</si>
  <si>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</si>
  <si>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</si>
  <si>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</si>
  <si>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</si>
  <si>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</si>
  <si>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</si>
  <si>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</si>
  <si>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</si>
  <si>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</si>
  <si>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</si>
  <si>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</si>
  <si>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</si>
  <si>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</si>
  <si>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</si>
  <si>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</si>
  <si>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</si>
  <si>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</si>
  <si>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</si>
  <si>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</si>
  <si>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</si>
  <si>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</si>
  <si>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</si>
  <si>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</si>
  <si>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</si>
  <si>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</si>
  <si>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</si>
  <si>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</si>
  <si>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</si>
  <si>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</si>
  <si>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</si>
  <si>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</si>
  <si>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</si>
  <si>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</si>
  <si>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</si>
  <si>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</si>
  <si>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</si>
  <si>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</si>
  <si>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</si>
  <si>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</si>
  <si>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</si>
  <si>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</si>
  <si>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</si>
  <si>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</si>
  <si>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</si>
  <si>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</si>
  <si>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</si>
  <si>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</si>
  <si>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</si>
  <si>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</si>
  <si>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</si>
  <si>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</si>
  <si>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</si>
  <si>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</si>
  <si>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</si>
  <si>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</si>
  <si>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</si>
  <si>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</si>
  <si>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</si>
  <si>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</si>
  <si>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</si>
  <si>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</si>
  <si>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</si>
  <si>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</si>
  <si>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</si>
  <si>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</si>
  <si>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</si>
  <si>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</si>
  <si>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</si>
  <si>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</si>
  <si>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</si>
  <si>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</si>
  <si>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</si>
  <si>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</si>
  <si>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</si>
  <si>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</si>
  <si>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</si>
  <si>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</si>
  <si>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</si>
  <si>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</si>
  <si>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</si>
  <si>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</si>
  <si>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</si>
  <si>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</si>
  <si>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</si>
  <si>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</si>
  <si>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</si>
  <si>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</si>
  <si>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</si>
  <si>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</si>
  <si>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</si>
  <si>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</si>
  <si>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</si>
  <si>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</si>
  <si>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</si>
  <si>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</si>
  <si>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</si>
  <si>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</si>
  <si>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</si>
  <si>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</si>
  <si>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</si>
  <si>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</si>
  <si>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</si>
  <si>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</si>
  <si>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</si>
  <si>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</si>
  <si>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</si>
  <si>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</si>
  <si>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</si>
  <si>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</si>
  <si>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</si>
  <si>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</si>
  <si>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</si>
  <si>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</si>
  <si>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</si>
  <si>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</si>
  <si>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</si>
  <si>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</si>
  <si>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</si>
  <si>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</si>
  <si>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</si>
  <si>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</si>
  <si>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</si>
  <si>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</si>
  <si>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</si>
  <si>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</si>
  <si>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</si>
  <si>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</si>
  <si>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</si>
  <si>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</si>
  <si>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</si>
  <si>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</si>
  <si>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</si>
  <si>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</si>
  <si>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</si>
  <si>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</si>
  <si>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</si>
  <si>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</si>
  <si>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</si>
  <si>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</si>
  <si>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</si>
  <si>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</si>
  <si>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</si>
  <si>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</si>
  <si>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</si>
  <si>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</si>
  <si>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</si>
  <si>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</si>
  <si>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</si>
  <si>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</si>
  <si>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</si>
  <si>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</si>
  <si>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</si>
  <si>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</si>
  <si>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</si>
  <si>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</si>
  <si>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</si>
  <si>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</si>
  <si>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</si>
  <si>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</si>
  <si>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</si>
  <si>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</si>
  <si>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</si>
  <si>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</si>
  <si>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</si>
  <si>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</si>
  <si>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</si>
  <si>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</si>
  <si>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</si>
  <si>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</si>
  <si>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</si>
  <si>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</si>
  <si>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</si>
  <si>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</si>
  <si>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</si>
  <si>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</si>
  <si>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</si>
  <si>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</si>
  <si>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</si>
  <si>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</si>
  <si>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</si>
  <si>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</si>
  <si>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</si>
  <si>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</si>
  <si>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</si>
  <si>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</si>
  <si>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</si>
  <si>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</si>
  <si>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</si>
  <si>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</si>
  <si>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</si>
  <si>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</si>
  <si>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</si>
  <si>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</si>
  <si>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</si>
  <si>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</si>
  <si>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</si>
  <si>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</si>
  <si>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</si>
  <si>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</si>
  <si>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</si>
  <si>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</si>
  <si>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</si>
  <si>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</si>
  <si>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</si>
  <si>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</si>
  <si>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</si>
  <si>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</si>
  <si>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</si>
  <si>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</si>
  <si>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</si>
  <si>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</si>
  <si>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</si>
  <si>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</si>
  <si>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</si>
  <si>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</si>
  <si>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</si>
  <si>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</si>
  <si>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</si>
  <si>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</si>
  <si>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</si>
  <si>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</si>
  <si>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</si>
  <si>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</si>
  <si>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</si>
  <si>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</si>
  <si>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</si>
  <si>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</si>
  <si>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</si>
  <si>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</si>
  <si>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</si>
  <si>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</si>
  <si>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</si>
  <si>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</si>
  <si>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</si>
  <si>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</si>
  <si>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</si>
  <si>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</si>
  <si>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</si>
  <si>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</si>
  <si>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</si>
  <si>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</si>
  <si>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</si>
  <si>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</si>
  <si>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</si>
  <si>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</si>
  <si>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</si>
  <si>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</si>
  <si>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</si>
  <si>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</si>
  <si>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</si>
  <si>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</si>
  <si>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</si>
  <si>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</si>
  <si>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</si>
  <si>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</si>
  <si>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</si>
  <si>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</si>
  <si>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</si>
  <si>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</si>
  <si>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</si>
  <si>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</si>
  <si>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</si>
  <si>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</si>
  <si>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</si>
  <si>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</si>
  <si>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</si>
  <si>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</si>
  <si>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</si>
  <si>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</si>
  <si>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</si>
  <si>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</si>
  <si>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</si>
  <si>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</si>
  <si>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</si>
  <si>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</si>
  <si>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</si>
  <si>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</si>
  <si>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</si>
  <si>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</si>
  <si>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</si>
  <si>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</si>
  <si>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</si>
  <si>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</si>
  <si>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</si>
  <si>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</si>
  <si>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</si>
  <si>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</si>
  <si>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</si>
  <si>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</si>
  <si>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</si>
  <si>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</si>
  <si>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</si>
  <si>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</si>
  <si>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</si>
  <si>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</si>
  <si>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</si>
  <si>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</si>
  <si>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</si>
  <si>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</si>
  <si>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</si>
  <si>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</si>
  <si>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</si>
  <si>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</si>
  <si>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</si>
  <si>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</si>
  <si>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</si>
  <si>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</si>
  <si>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</si>
  <si>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</si>
  <si>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</si>
  <si>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</si>
  <si>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</si>
  <si>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</si>
  <si>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</si>
  <si>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</si>
  <si>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</si>
  <si>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</si>
  <si>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</si>
  <si>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</si>
  <si>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</si>
  <si>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</si>
  <si>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</si>
  <si>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</si>
  <si>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</si>
  <si>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</si>
  <si>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</si>
  <si>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</si>
  <si>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</si>
  <si>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</si>
  <si>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</si>
  <si>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</si>
  <si>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</si>
  <si>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</si>
  <si>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</si>
  <si>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</si>
  <si>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</si>
  <si>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</si>
  <si>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</si>
  <si>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</si>
  <si>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</si>
  <si>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</si>
  <si>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</si>
  <si>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</si>
  <si>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</si>
  <si>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</si>
  <si>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</si>
  <si>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</si>
  <si>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</si>
  <si>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</si>
  <si>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</si>
  <si>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</si>
  <si>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</si>
  <si>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</si>
  <si>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</si>
  <si>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</si>
  <si>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</si>
  <si>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</si>
  <si>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</si>
  <si>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</si>
  <si>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</si>
  <si>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</si>
  <si>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</si>
  <si>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</si>
  <si>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</si>
  <si>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</si>
  <si>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</si>
  <si>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</si>
  <si>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</si>
  <si>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</si>
  <si>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</si>
  <si>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</si>
  <si>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</si>
  <si>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</si>
  <si>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</si>
  <si>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</si>
  <si>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</si>
  <si>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</si>
  <si>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</si>
  <si>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</si>
  <si>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</si>
  <si>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</si>
  <si>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</si>
  <si>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</si>
  <si>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</si>
  <si>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</si>
  <si>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</si>
  <si>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</si>
  <si>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</si>
  <si>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</si>
  <si>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</si>
  <si>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</si>
  <si>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</si>
  <si>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</si>
  <si>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</si>
  <si>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</si>
  <si>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</si>
  <si>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</si>
  <si>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</si>
  <si>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</si>
  <si>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</si>
  <si>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</si>
  <si>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</si>
  <si>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</si>
  <si>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</si>
  <si>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</si>
  <si>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</si>
  <si>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</si>
  <si>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</si>
  <si>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</si>
  <si>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</si>
  <si>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</si>
  <si>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</si>
  <si>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</si>
  <si>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</si>
  <si>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</si>
  <si>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</si>
  <si>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</si>
  <si>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</si>
  <si>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</si>
  <si>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</si>
  <si>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</si>
  <si>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</si>
  <si>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</si>
  <si>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</si>
  <si>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</si>
  <si>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</si>
  <si>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</si>
  <si>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</si>
  <si>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</si>
  <si>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</si>
  <si>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</si>
  <si>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</si>
  <si>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</si>
  <si>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</si>
  <si>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</si>
  <si>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</si>
  <si>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</si>
  <si>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</si>
  <si>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</si>
  <si>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</si>
  <si>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</si>
  <si>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</si>
  <si>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</si>
  <si>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</si>
  <si>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</si>
  <si>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</si>
  <si>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</si>
  <si>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</si>
  <si>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</si>
  <si>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</si>
  <si>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</si>
  <si>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</si>
  <si>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</si>
  <si>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</si>
  <si>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</si>
  <si>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</si>
  <si>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</si>
  <si>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</si>
  <si>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</si>
  <si>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</si>
  <si>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</si>
  <si>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</si>
  <si>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</si>
  <si>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</si>
  <si>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</si>
  <si>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</si>
  <si>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</si>
  <si>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</si>
  <si>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</si>
  <si>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</si>
  <si>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</si>
  <si>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</si>
  <si>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</si>
  <si>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</si>
  <si>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</si>
  <si>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</si>
  <si>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</si>
  <si>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</si>
  <si>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</si>
  <si>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</si>
  <si>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</si>
  <si>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</si>
  <si>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</si>
  <si>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</si>
  <si>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</si>
  <si>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</si>
  <si>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</si>
  <si>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</si>
  <si>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</si>
  <si>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</si>
  <si>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</si>
  <si>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</si>
  <si>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</si>
  <si>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</si>
  <si>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</si>
  <si>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</si>
  <si>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</si>
  <si>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</si>
  <si>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</si>
  <si>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</si>
  <si>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</si>
  <si>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</si>
  <si>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</si>
  <si>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</si>
  <si>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</si>
  <si>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</si>
  <si>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</si>
  <si>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</si>
  <si>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</si>
  <si>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</si>
  <si>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</si>
  <si>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</si>
  <si>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</si>
  <si>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</si>
  <si>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</si>
  <si>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</si>
  <si>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</si>
  <si>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</si>
  <si>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</si>
  <si>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</si>
  <si>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</si>
  <si>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</si>
  <si>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</si>
  <si>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</si>
  <si>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</si>
  <si>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</si>
  <si>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</si>
  <si>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</si>
  <si>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</si>
  <si>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</si>
  <si>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</si>
  <si>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</si>
  <si>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</si>
  <si>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</si>
  <si>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</si>
  <si>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</si>
  <si>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</si>
  <si>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</si>
  <si>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</si>
  <si>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</si>
  <si>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</si>
  <si>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</si>
  <si>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</si>
  <si>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</si>
  <si>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</si>
  <si>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</si>
  <si>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</si>
  <si>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</si>
  <si>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</si>
  <si>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</si>
  <si>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</si>
  <si>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</si>
  <si>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</si>
  <si>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</si>
  <si>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</si>
  <si>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</si>
  <si>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</si>
  <si>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</si>
  <si>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</si>
  <si>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</si>
  <si>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</si>
  <si>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</si>
  <si>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</si>
  <si>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</si>
  <si>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</si>
  <si>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</si>
  <si>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</si>
  <si>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</si>
  <si>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</si>
  <si>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</si>
  <si>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</si>
  <si>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</si>
  <si>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</si>
  <si>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</si>
  <si>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</si>
  <si>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</si>
  <si>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</si>
  <si>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</si>
  <si>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</si>
  <si>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</si>
  <si>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</si>
  <si>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</si>
  <si>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</si>
  <si>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</si>
  <si>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</si>
  <si>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</si>
  <si>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</si>
  <si>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</si>
  <si>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</si>
  <si>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</si>
  <si>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</si>
  <si>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</si>
  <si>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</si>
  <si>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</si>
  <si>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</si>
  <si>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</si>
  <si>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</si>
  <si>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</si>
  <si>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</si>
  <si>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</si>
  <si>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</si>
  <si>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</si>
  <si>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</si>
  <si>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</si>
  <si>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</si>
  <si>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</si>
  <si>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</si>
  <si>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</si>
  <si>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</si>
  <si>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</si>
  <si>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</si>
  <si>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</si>
  <si>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</si>
  <si>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</si>
  <si>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</si>
  <si>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</si>
  <si>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</si>
  <si>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</si>
  <si>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</si>
  <si>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</si>
  <si>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</si>
  <si>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</si>
  <si>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</si>
  <si>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</si>
  <si>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</si>
  <si>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</si>
  <si>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</si>
  <si>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</si>
  <si>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</si>
  <si>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</si>
  <si>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</si>
  <si>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</si>
  <si>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</si>
  <si>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</si>
  <si>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</si>
  <si>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</si>
  <si>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</si>
  <si>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</si>
  <si>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</si>
  <si>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</si>
  <si>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</si>
  <si>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</si>
  <si>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</si>
  <si>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</si>
  <si>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</si>
  <si>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</si>
  <si>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</si>
  <si>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</si>
  <si>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</si>
  <si>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</si>
  <si>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</si>
  <si>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</si>
  <si>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</si>
  <si>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</si>
  <si>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</si>
  <si>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</si>
  <si>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</si>
  <si>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</si>
  <si>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</si>
  <si>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</si>
  <si>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</si>
  <si>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</si>
  <si>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</si>
  <si>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</si>
  <si>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</si>
  <si>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</si>
  <si>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</si>
  <si>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</si>
  <si>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</si>
  <si>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</si>
  <si>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</si>
  <si>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</si>
  <si>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</si>
  <si>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</si>
  <si>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</si>
  <si>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</si>
  <si>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</si>
  <si>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</si>
  <si>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</si>
  <si>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</si>
  <si>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</si>
  <si>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</si>
  <si>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</si>
  <si>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</si>
  <si>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</si>
  <si>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</si>
  <si>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</si>
  <si>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</si>
  <si>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</si>
  <si>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</si>
  <si>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</si>
  <si>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</si>
  <si>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</si>
  <si>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</si>
  <si>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</si>
  <si>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</si>
  <si>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</si>
  <si>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</si>
  <si>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</si>
  <si>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</si>
  <si>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</si>
  <si>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</si>
  <si>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</si>
  <si>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</si>
  <si>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</si>
  <si>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</si>
  <si>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</si>
  <si>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</si>
  <si>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</si>
  <si>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</si>
  <si>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</si>
  <si>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</si>
  <si>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</si>
  <si>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</si>
  <si>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</si>
  <si>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</si>
  <si>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</si>
  <si>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</si>
  <si>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</si>
  <si>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</si>
  <si>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</si>
  <si>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</si>
  <si>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</si>
  <si>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</si>
  <si>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</si>
  <si>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</si>
  <si>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</si>
  <si>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</si>
  <si>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</si>
  <si>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</si>
  <si>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</si>
  <si>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</si>
  <si>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</si>
  <si>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</si>
  <si>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</si>
  <si>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</si>
  <si>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</si>
  <si>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</si>
  <si>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</si>
  <si>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</si>
  <si>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</si>
  <si>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</si>
  <si>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</si>
  <si>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</si>
  <si>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</si>
  <si>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</si>
  <si>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</si>
  <si>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</si>
  <si>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</si>
  <si>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</si>
  <si>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</si>
  <si>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</si>
  <si>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</si>
  <si>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</si>
  <si>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</si>
  <si>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</si>
  <si>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</si>
  <si>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</si>
  <si>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</si>
  <si>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</si>
  <si>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</si>
  <si>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</si>
  <si>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</si>
  <si>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</si>
  <si>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</si>
  <si>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</si>
  <si>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</si>
  <si>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</si>
  <si>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</si>
  <si>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</si>
  <si>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</si>
  <si>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</si>
  <si>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</si>
  <si>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</si>
  <si>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</si>
  <si>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</si>
  <si>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</si>
  <si>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</si>
  <si>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</si>
  <si>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</si>
  <si>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</si>
  <si>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</si>
  <si>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</si>
  <si>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</si>
  <si>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</si>
  <si>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</si>
  <si>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</si>
  <si>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</si>
  <si>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</si>
  <si>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</si>
  <si>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</si>
  <si>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</si>
  <si>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</si>
  <si>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</si>
  <si>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</si>
  <si>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</si>
  <si>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</si>
  <si>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</si>
  <si>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</si>
  <si>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</si>
  <si>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</si>
  <si>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</si>
  <si>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</si>
  <si>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</si>
  <si>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</si>
  <si>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</si>
  <si>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</si>
  <si>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</si>
  <si>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</si>
  <si>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</si>
  <si>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</si>
  <si>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</si>
  <si>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</si>
  <si>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</si>
  <si>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</si>
  <si>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</si>
  <si>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</si>
  <si>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</si>
  <si>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</si>
  <si>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</si>
  <si>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</si>
  <si>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</si>
  <si>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</si>
  <si>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</si>
  <si>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</si>
  <si>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</si>
  <si>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</si>
  <si>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</si>
  <si>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</si>
  <si>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</si>
  <si>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</si>
  <si>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</si>
  <si>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</si>
  <si>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</si>
  <si>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</si>
  <si>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</si>
  <si>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</si>
  <si>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</si>
  <si>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</si>
  <si>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</si>
  <si>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</si>
  <si>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</si>
  <si>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</si>
  <si>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</si>
  <si>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</si>
  <si>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</si>
  <si>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</si>
  <si>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</si>
  <si>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</si>
  <si>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</si>
  <si>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</si>
  <si>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</si>
  <si>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</si>
  <si>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</si>
  <si>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</si>
  <si>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</si>
  <si>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</si>
  <si>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</si>
  <si>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</si>
  <si>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</si>
  <si>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</si>
  <si>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</si>
  <si>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</si>
  <si>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</si>
  <si>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</si>
  <si>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</si>
  <si>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</si>
  <si>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</si>
  <si>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</si>
  <si>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</si>
  <si>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</si>
  <si>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</si>
  <si>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</si>
  <si>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</si>
  <si>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</si>
  <si>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</si>
  <si>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</si>
  <si>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</si>
  <si>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</si>
  <si>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</si>
  <si>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</si>
  <si>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</si>
  <si>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</si>
  <si>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</si>
  <si>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</si>
  <si>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</si>
  <si>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</si>
  <si>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</si>
  <si>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</si>
  <si>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</si>
  <si>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</si>
  <si>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</si>
  <si>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</si>
  <si>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</si>
  <si>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</si>
  <si>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</si>
  <si>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</si>
  <si>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</si>
  <si>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</si>
  <si>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</si>
  <si>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</si>
  <si>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</si>
  <si>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</si>
  <si>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</si>
  <si>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</si>
  <si>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</si>
  <si>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</si>
  <si>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</si>
  <si>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</si>
  <si>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</si>
  <si>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</si>
  <si>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</si>
  <si>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</si>
  <si>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</si>
  <si>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</si>
  <si>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</si>
  <si>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</si>
  <si>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</si>
  <si>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</si>
  <si>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</si>
  <si>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</si>
  <si>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</si>
  <si>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</si>
  <si>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</si>
  <si>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</si>
  <si>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</si>
  <si>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</si>
  <si>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</si>
  <si>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</si>
  <si>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</si>
  <si>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</si>
  <si>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</si>
  <si>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</si>
  <si>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</si>
  <si>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</si>
  <si>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</si>
  <si>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</si>
  <si>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</si>
  <si>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</si>
  <si>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</si>
  <si>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</si>
  <si>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</si>
  <si>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</si>
  <si>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</si>
  <si>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</si>
  <si>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</si>
  <si>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</si>
  <si>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</si>
  <si>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</si>
  <si>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</si>
  <si>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</si>
  <si>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</si>
  <si>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</si>
  <si>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</si>
  <si>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</si>
  <si>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</si>
  <si>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</si>
  <si>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</si>
  <si>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</si>
  <si>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</si>
  <si>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</si>
  <si>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</si>
  <si>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</si>
  <si>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</si>
  <si>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</si>
  <si>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</si>
  <si>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</si>
  <si>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</si>
  <si>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</si>
  <si>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</si>
  <si>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</si>
  <si>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</si>
  <si>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</si>
  <si>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</si>
  <si>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</si>
  <si>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</si>
  <si>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</si>
  <si>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</si>
  <si>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</si>
  <si>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</si>
  <si>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</si>
  <si>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</si>
  <si>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</si>
  <si>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</si>
  <si>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</si>
  <si>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</si>
  <si>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</si>
  <si>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</si>
  <si>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</si>
  <si>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</si>
  <si>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</si>
  <si>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</si>
  <si>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</si>
  <si>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</si>
  <si>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</si>
  <si>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</si>
  <si>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</si>
  <si>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</si>
  <si>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</si>
  <si>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</si>
  <si>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</si>
  <si>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</si>
  <si>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</si>
  <si>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</si>
  <si>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</si>
  <si>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</si>
  <si>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</si>
  <si>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</si>
  <si>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</si>
  <si>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</si>
  <si>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</si>
  <si>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</si>
  <si>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</si>
  <si>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</si>
  <si>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</si>
  <si>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</si>
  <si>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</si>
  <si>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</si>
  <si>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</si>
  <si>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</si>
  <si>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</si>
  <si>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</si>
  <si>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</si>
  <si>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</si>
  <si>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</si>
  <si>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</si>
  <si>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</si>
  <si>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</si>
  <si>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</si>
  <si>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</si>
  <si>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</si>
  <si>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</si>
  <si>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</si>
  <si>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</si>
  <si>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</si>
  <si>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</si>
  <si>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</si>
  <si>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</si>
  <si>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</si>
  <si>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</si>
  <si>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</si>
  <si>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</si>
  <si>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</si>
  <si>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</si>
  <si>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</si>
  <si>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</si>
  <si>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</si>
  <si>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</si>
  <si>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</si>
  <si>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</si>
  <si>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</si>
  <si>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</si>
  <si>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</si>
  <si>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</si>
  <si>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</si>
  <si>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</si>
  <si>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</si>
  <si>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</si>
  <si>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</si>
  <si>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</si>
  <si>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</si>
  <si>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</si>
  <si>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</si>
  <si>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</si>
  <si>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</si>
  <si>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</si>
  <si>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</si>
  <si>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</si>
  <si>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</si>
  <si>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</si>
  <si>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</si>
  <si>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</si>
  <si>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</si>
  <si>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</si>
  <si>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</si>
  <si>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</si>
  <si>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</si>
  <si>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</si>
  <si>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</si>
  <si>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</si>
  <si>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</si>
  <si>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</si>
  <si>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</si>
  <si>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</si>
  <si>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</si>
  <si>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</si>
  <si>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</si>
  <si>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</si>
  <si>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</si>
  <si>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</si>
  <si>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</si>
  <si>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</si>
  <si>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</si>
  <si>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</si>
  <si>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</si>
  <si>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</si>
  <si>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</si>
  <si>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</si>
  <si>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</si>
  <si>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</si>
  <si>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</si>
  <si>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</si>
  <si>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</si>
  <si>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</si>
  <si>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</si>
  <si>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</si>
  <si>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</si>
  <si>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</si>
  <si>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</si>
  <si>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</si>
  <si>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</si>
  <si>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</si>
  <si>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</si>
  <si>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</si>
  <si>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</si>
  <si>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</si>
  <si>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</si>
  <si>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</si>
  <si>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</si>
  <si>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</si>
  <si>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</si>
  <si>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</si>
  <si>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</si>
  <si>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</si>
  <si>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</si>
  <si>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</si>
  <si>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</si>
  <si>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</si>
  <si>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</si>
  <si>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</si>
  <si>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</si>
  <si>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</si>
  <si>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</si>
  <si>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</si>
  <si>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</si>
  <si>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</si>
  <si>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</si>
  <si>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</si>
  <si>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</si>
  <si>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</si>
  <si>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</si>
  <si>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</si>
  <si>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</si>
  <si>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</si>
  <si>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</si>
  <si>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</si>
  <si>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</si>
  <si>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</si>
  <si>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</si>
  <si>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</si>
  <si>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</si>
  <si>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</si>
  <si>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</si>
  <si>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</si>
  <si>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</si>
  <si>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</si>
  <si>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</si>
  <si>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</si>
  <si>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</si>
  <si>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</si>
  <si>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</si>
  <si>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</si>
  <si>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</si>
  <si>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</si>
  <si>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</si>
  <si>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</si>
  <si>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</si>
  <si>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</si>
  <si>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</si>
  <si>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</si>
  <si>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</si>
  <si>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</si>
  <si>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</si>
  <si>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</si>
  <si>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</si>
  <si>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</si>
  <si>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</si>
  <si>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</si>
  <si>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</si>
  <si>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</si>
  <si>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</si>
  <si>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</si>
  <si>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</si>
  <si>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</si>
  <si>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</si>
  <si>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</si>
  <si>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</si>
  <si>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</si>
  <si>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</si>
  <si>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</si>
  <si>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</si>
  <si>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</si>
  <si>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</si>
  <si>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</si>
  <si>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</si>
  <si>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</si>
  <si>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</si>
  <si>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</si>
  <si>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</si>
  <si>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</si>
  <si>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</si>
  <si>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</si>
  <si>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</si>
  <si>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</si>
  <si>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</si>
  <si>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</si>
  <si>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</si>
  <si>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</si>
  <si>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</si>
  <si>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</si>
  <si>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</si>
  <si>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</si>
  <si>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</si>
  <si>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</si>
  <si>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</si>
  <si>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</si>
  <si>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</si>
  <si>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</si>
  <si>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</si>
  <si>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</si>
  <si>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</si>
  <si>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</si>
  <si>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</si>
  <si>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</si>
  <si>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</si>
  <si>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</si>
  <si>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</si>
  <si>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</si>
  <si>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</si>
  <si>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Variance</t>
  </si>
  <si>
    <t>Standard Deviation</t>
  </si>
  <si>
    <t>Number of Backers/Outcome</t>
  </si>
  <si>
    <t>Successful</t>
  </si>
  <si>
    <t>Failed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</si>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</sst>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2929"/>
        </patternFill>
      </fill>
    </dxf>
  </dxfs>
  <tableStyles count="0" defaultTableStyle="TableStyleMedium2" defaultPivotStyle="PivotStyleLight16"/>
  <colors>
    <mruColors>
      <color rgb="FF008000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MDurney.xlsx]Parent Category 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8-4C85-A911-0B4E5EAB147C}"/>
            </c:ext>
          </c:extLst>
        </c:ser>
        <c:ser>
          <c:idx val="1"/>
          <c:order val="1"/>
          <c:tx>
            <c:strRef>
              <c:f>'Parent 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8-4C85-A911-0B4E5EAB147C}"/>
            </c:ext>
          </c:extLst>
        </c:ser>
        <c:ser>
          <c:idx val="2"/>
          <c:order val="2"/>
          <c:tx>
            <c:strRef>
              <c:f>'Parent 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8-4C85-A911-0B4E5EAB147C}"/>
            </c:ext>
          </c:extLst>
        </c:ser>
        <c:ser>
          <c:idx val="3"/>
          <c:order val="3"/>
          <c:tx>
            <c:strRef>
              <c:f>'Parent 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075-878A-5B5FF82B3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561231"/>
        <c:axId val="854858080"/>
      </c:barChart>
      <c:catAx>
        <c:axId val="6975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58080"/>
        <c:crosses val="autoZero"/>
        <c:auto val="1"/>
        <c:lblAlgn val="ctr"/>
        <c:lblOffset val="100"/>
        <c:noMultiLvlLbl val="0"/>
      </c:catAx>
      <c:valAx>
        <c:axId val="8548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MDurney.xlsx]Sub-Category Outcomes!PivotTable2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F8D-8CDA-3099B70FA722}"/>
            </c:ext>
          </c:extLst>
        </c:ser>
        <c:ser>
          <c:idx val="1"/>
          <c:order val="1"/>
          <c:tx>
            <c:strRef>
              <c:f>'Sub-Category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F8D-8CDA-3099B70FA722}"/>
            </c:ext>
          </c:extLst>
        </c:ser>
        <c:ser>
          <c:idx val="2"/>
          <c:order val="2"/>
          <c:tx>
            <c:strRef>
              <c:f>'Sub-Category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F8D-8CDA-3099B70FA722}"/>
            </c:ext>
          </c:extLst>
        </c:ser>
        <c:ser>
          <c:idx val="3"/>
          <c:order val="3"/>
          <c:tx>
            <c:strRef>
              <c:f>'Sub-Category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F8D-8CDA-3099B70F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905535"/>
        <c:axId val="1049905055"/>
      </c:barChart>
      <c:catAx>
        <c:axId val="10499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05055"/>
        <c:crosses val="autoZero"/>
        <c:auto val="1"/>
        <c:lblAlgn val="ctr"/>
        <c:lblOffset val="100"/>
        <c:noMultiLvlLbl val="0"/>
      </c:catAx>
      <c:valAx>
        <c:axId val="10499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MDurney.xlsx]Outcomes by Time!PivotTable8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4-4315-9FBD-D18ACBEEE769}"/>
            </c:ext>
          </c:extLst>
        </c:ser>
        <c:ser>
          <c:idx val="1"/>
          <c:order val="1"/>
          <c:tx>
            <c:strRef>
              <c:f>'Outcomes by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4-4315-9FBD-D18ACBEEE769}"/>
            </c:ext>
          </c:extLst>
        </c:ser>
        <c:ser>
          <c:idx val="2"/>
          <c:order val="2"/>
          <c:tx>
            <c:strRef>
              <c:f>'Outcomes by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4-4315-9FBD-D18ACBEE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27327"/>
        <c:axId val="1146128767"/>
      </c:lineChart>
      <c:catAx>
        <c:axId val="114612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28767"/>
        <c:crosses val="autoZero"/>
        <c:auto val="1"/>
        <c:lblAlgn val="ctr"/>
        <c:lblOffset val="100"/>
        <c:noMultiLvlLbl val="0"/>
      </c:catAx>
      <c:valAx>
        <c:axId val="11461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2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Sheet9!$F$1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7-4903-A935-42A9144D0E91}"/>
            </c:ext>
          </c:extLst>
        </c:ser>
        <c:ser>
          <c:idx val="5"/>
          <c:order val="5"/>
          <c:tx>
            <c:strRef>
              <c:f>Sheet9!$G$1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F7-4903-A935-42A9144D0E91}"/>
            </c:ext>
          </c:extLst>
        </c:ser>
        <c:ser>
          <c:idx val="6"/>
          <c:order val="6"/>
          <c:tx>
            <c:strRef>
              <c:f>Sheet9!$H$1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7-4903-A935-42A9144D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0608"/>
        <c:axId val="50619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Sheet9!$B$1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Sheet9!$A$2:$A$13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Sheet9!$B$2:$B$13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F7-4903-A935-42A9144D0E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F7-4903-A935-42A9144D0E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F7-4903-A935-42A9144D0E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F7-4903-A935-42A9144D0E91}"/>
                  </c:ext>
                </c:extLst>
              </c15:ser>
            </c15:filteredLineSeries>
          </c:ext>
        </c:extLst>
      </c:lineChart>
      <c:catAx>
        <c:axId val="506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168"/>
        <c:crosses val="autoZero"/>
        <c:auto val="1"/>
        <c:lblAlgn val="ctr"/>
        <c:lblOffset val="100"/>
        <c:noMultiLvlLbl val="0"/>
      </c:catAx>
      <c:valAx>
        <c:axId val="506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4-40AF-9BE9-ADDC2D97D6FE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D4-40AF-9BE9-ADDC2D97D6FE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D4-40AF-9BE9-ADDC2D97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37871"/>
        <c:axId val="834941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D4-40AF-9BE9-ADDC2D97D6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D4-40AF-9BE9-ADDC2D97D6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D4-40AF-9BE9-ADDC2D97D6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D4-40AF-9BE9-ADDC2D97D6FE}"/>
                  </c:ext>
                </c:extLst>
              </c15:ser>
            </c15:filteredLineSeries>
          </c:ext>
        </c:extLst>
      </c:lineChart>
      <c:catAx>
        <c:axId val="83493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41711"/>
        <c:crosses val="autoZero"/>
        <c:auto val="1"/>
        <c:lblAlgn val="ctr"/>
        <c:lblOffset val="100"/>
        <c:noMultiLvlLbl val="0"/>
      </c:catAx>
      <c:valAx>
        <c:axId val="8349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3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174624</xdr:colOff>
      <xdr:row>0</xdr:row>
      <xdr:rowOff>165100</xdr:rowOff>
    </xdr:from>
    <xdr:to>
      <xdr:col>15</xdr:col>
      <xdr:colOff>101600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B35D4-BEBF-E956-4F9B-5162CD8C9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19050</xdr:rowOff>
    </xdr:from>
    <xdr:to>
      <xdr:col>16</xdr:col>
      <xdr:colOff>107950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D72BB-60C5-6818-D852-8B04BA5CB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63500</xdr:rowOff>
    </xdr:from>
    <xdr:to>
      <xdr:col>14</xdr:col>
      <xdr:colOff>184149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E680C-4243-70EC-DF9C-50FA4CE0C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14</xdr:row>
      <xdr:rowOff>12700</xdr:rowOff>
    </xdr:from>
    <xdr:to>
      <xdr:col>6</xdr:col>
      <xdr:colOff>876300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52F21-6D68-441C-A96C-9F101D5A4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14</xdr:row>
      <xdr:rowOff>57150</xdr:rowOff>
    </xdr:from>
    <xdr:to>
      <xdr:col>6</xdr:col>
      <xdr:colOff>914400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8E32F-2252-AE2B-191D-85E76BE13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Durney" refreshedDate="45372.857848148145" createdVersion="8" refreshedVersion="8" minRefreshableVersion="3" recordCount="1000" xr:uid="{AB6A93FC-D650-4029-8776-7661A5965BD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hew Durney" refreshedDate="45372.947585300928" backgroundQuery="1" createdVersion="8" refreshedVersion="8" minRefreshableVersion="3" recordCount="0" supportSubquery="1" supportAdvancedDrill="1" xr:uid="{D39CED6F-C566-4F72-A603-151687E06776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289F9-FF2F-478E-8DD4-1E436A05DF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B743C-DEE4-4A0A-A087-4578BE24D8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70075-D34C-42D4-9053-82382972776E}" name="PivotTable8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22" zoomScale="92" workbookViewId="0">
      <selection activeCell="F12" sqref="F12"/>
    </sheetView>
  </sheetViews>
  <sheetFormatPr defaultColWidth="10.6640625" defaultRowHeight="15.5" x14ac:dyDescent="0.35"/>
  <cols>
    <col min="1" max="1" width="3.83203125" bestFit="1" customWidth="1"/>
    <col min="2" max="2" width="31.08203125" bestFit="1" customWidth="1"/>
    <col min="3" max="3" width="49.9140625" style="3" bestFit="1" customWidth="1"/>
    <col min="4" max="4" width="6.75" bestFit="1" customWidth="1"/>
    <col min="5" max="5" width="7.4140625" bestFit="1" customWidth="1"/>
    <col min="6" max="6" width="14" bestFit="1" customWidth="1"/>
    <col min="7" max="7" width="9.1640625" bestFit="1" customWidth="1"/>
    <col min="8" max="8" width="13.1640625" bestFit="1" customWidth="1"/>
    <col min="9" max="9" width="15.83203125" bestFit="1" customWidth="1"/>
    <col min="10" max="10" width="7.25" bestFit="1" customWidth="1"/>
    <col min="11" max="11" width="8" bestFit="1" customWidth="1"/>
    <col min="12" max="12" width="11.1640625" bestFit="1" customWidth="1"/>
    <col min="13" max="13" width="10.75" bestFit="1" customWidth="1"/>
    <col min="14" max="14" width="21.9140625" bestFit="1" customWidth="1"/>
    <col min="15" max="15" width="20.5" bestFit="1" customWidth="1"/>
    <col min="16" max="16" width="9" bestFit="1" customWidth="1"/>
    <col min="17" max="17" width="8.1640625" bestFit="1" customWidth="1"/>
    <col min="18" max="18" width="28.83203125" bestFit="1" customWidth="1"/>
    <col min="19" max="19" width="14.4140625" bestFit="1" customWidth="1"/>
    <col min="20" max="20" width="17.08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 * 100</f>
        <v>0</v>
      </c>
      <c r="G2" t="s">
        <v>14</v>
      </c>
      <c r="H2">
        <v>0</v>
      </c>
      <c r="I2" s="4">
        <f ca="1">E2/H2+IF(I2=0,,E2/H2)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 * 100</f>
        <v>1040</v>
      </c>
      <c r="G3" t="s">
        <v>20</v>
      </c>
      <c r="H3">
        <v>158</v>
      </c>
      <c r="I3" s="4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 * 100</f>
        <v>236.14754098360655</v>
      </c>
      <c r="G67" t="s">
        <v>20</v>
      </c>
      <c r="H67">
        <v>236</v>
      </c>
      <c r="I67" s="4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 * 100</f>
        <v>3.202693602693603</v>
      </c>
      <c r="G131" t="s">
        <v>74</v>
      </c>
      <c r="H131">
        <v>55</v>
      </c>
      <c r="I131" s="4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 * 100</f>
        <v>45.636363636363633</v>
      </c>
      <c r="G195" t="s">
        <v>14</v>
      </c>
      <c r="H195">
        <v>65</v>
      </c>
      <c r="I195" s="4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 * 100</f>
        <v>146</v>
      </c>
      <c r="G259" t="s">
        <v>20</v>
      </c>
      <c r="H259">
        <v>92</v>
      </c>
      <c r="I259" s="4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 * 100</f>
        <v>94.144366197183089</v>
      </c>
      <c r="G323" t="s">
        <v>14</v>
      </c>
      <c r="H323">
        <v>2468</v>
      </c>
      <c r="I323" s="4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 * 100</f>
        <v>146.16709511568124</v>
      </c>
      <c r="G387" t="s">
        <v>20</v>
      </c>
      <c r="H387">
        <v>1137</v>
      </c>
      <c r="I387" s="4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 * 100</f>
        <v>967</v>
      </c>
      <c r="G451" t="s">
        <v>20</v>
      </c>
      <c r="H451">
        <v>86</v>
      </c>
      <c r="I451" s="4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 * 100</f>
        <v>39.277108433734945</v>
      </c>
      <c r="G515" t="s">
        <v>74</v>
      </c>
      <c r="H515">
        <v>35</v>
      </c>
      <c r="I515" s="4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 * 100</f>
        <v>18.853658536585368</v>
      </c>
      <c r="G579" t="s">
        <v>74</v>
      </c>
      <c r="H579">
        <v>37</v>
      </c>
      <c r="I579" s="4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 * 100</f>
        <v>119.96808510638297</v>
      </c>
      <c r="G643" t="s">
        <v>20</v>
      </c>
      <c r="H643">
        <v>194</v>
      </c>
      <c r="I643" s="4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 * 100</f>
        <v>99.026517383618156</v>
      </c>
      <c r="G707" t="s">
        <v>14</v>
      </c>
      <c r="H707">
        <v>2025</v>
      </c>
      <c r="I707" s="4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 * 100</f>
        <v>86.867834394904463</v>
      </c>
      <c r="G771" t="s">
        <v>14</v>
      </c>
      <c r="H771">
        <v>3410</v>
      </c>
      <c r="I771" s="4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 * 100</f>
        <v>157.69117647058823</v>
      </c>
      <c r="G835" t="s">
        <v>20</v>
      </c>
      <c r="H835">
        <v>165</v>
      </c>
      <c r="I835" s="4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 * 100</f>
        <v>27.693181818181817</v>
      </c>
      <c r="G899" t="s">
        <v>14</v>
      </c>
      <c r="H899">
        <v>27</v>
      </c>
      <c r="I899" s="4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 * 100</f>
        <v>119.29824561403508</v>
      </c>
      <c r="G963" t="s">
        <v>20</v>
      </c>
      <c r="H963">
        <v>155</v>
      </c>
      <c r="I963" s="4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ellIs" dxfId="14" priority="2" stopIfTrue="1" operator="lessThan">
      <formula>100</formula>
    </cfRule>
    <cfRule type="cellIs" dxfId="13" priority="3" operator="lessThan">
      <formula>200</formula>
    </cfRule>
    <cfRule type="cellIs" dxfId="12" priority="4" operator="greaterThanOrEqual">
      <formula>200</formula>
    </cfRule>
  </conditionalFormatting>
  <conditionalFormatting sqref="G1:G1001">
    <cfRule type="containsText" dxfId="11" priority="5" operator="containsText" text="canceled">
      <formula>NOT(ISERROR(SEARCH("canceled",G1)))</formula>
    </cfRule>
    <cfRule type="containsText" dxfId="10" priority="6" operator="containsText" text="live">
      <formula>NOT(ISERROR(SEARCH("live",G1)))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AF7C-A874-45FE-88F7-AA697A45ACE2}">
  <dimension ref="A2:F15"/>
  <sheetViews>
    <sheetView topLeftCell="A4" workbookViewId="0">
      <selection activeCell="F19" sqref="F1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6" t="s">
        <v>6</v>
      </c>
      <c r="B2" t="s">
        <v>2070</v>
      </c>
    </row>
    <row r="4" spans="1:6" x14ac:dyDescent="0.35">
      <c r="A4" s="6" t="s">
        <v>2068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7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7" t="s">
        <v>2064</v>
      </c>
      <c r="E9">
        <v>4</v>
      </c>
      <c r="F9">
        <v>4</v>
      </c>
    </row>
    <row r="10" spans="1:6" x14ac:dyDescent="0.35">
      <c r="A10" s="7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7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7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7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7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7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4927-C4F5-468B-AB81-BF605D7BDC2A}">
  <dimension ref="A1:F30"/>
  <sheetViews>
    <sheetView topLeftCell="A7" workbookViewId="0">
      <selection activeCell="E2" sqref="E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2070</v>
      </c>
    </row>
    <row r="2" spans="1:6" x14ac:dyDescent="0.35">
      <c r="A2" s="6" t="s">
        <v>2031</v>
      </c>
      <c r="B2" t="s">
        <v>2070</v>
      </c>
    </row>
    <row r="4" spans="1:6" x14ac:dyDescent="0.35">
      <c r="A4" s="6" t="s">
        <v>2068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2254-B7AA-4ADC-A7CB-DEE4CCFEADA0}">
  <dimension ref="A1:E18"/>
  <sheetViews>
    <sheetView topLeftCell="A4" workbookViewId="0">
      <selection activeCell="F10" sqref="F10"/>
    </sheetView>
  </sheetViews>
  <sheetFormatPr defaultRowHeight="15.5" x14ac:dyDescent="0.35"/>
  <cols>
    <col min="1" max="1" width="26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2031</v>
      </c>
      <c r="B1" t="s" vm="2">
        <v>2086</v>
      </c>
    </row>
    <row r="2" spans="1:5" x14ac:dyDescent="0.35">
      <c r="A2" s="6" t="s">
        <v>2085</v>
      </c>
      <c r="B2" t="s" vm="1">
        <v>2086</v>
      </c>
    </row>
    <row r="4" spans="1:5" x14ac:dyDescent="0.35">
      <c r="A4" s="6" t="s">
        <v>2068</v>
      </c>
      <c r="B4" s="6" t="s">
        <v>2069</v>
      </c>
    </row>
    <row r="5" spans="1:5" x14ac:dyDescent="0.3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534-D0B9-4CA2-A210-958BC3242A76}">
  <dimension ref="A1:H13"/>
  <sheetViews>
    <sheetView workbookViewId="0">
      <selection activeCell="E14" sqref="E14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s="9" customFormat="1" x14ac:dyDescent="0.35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35">
      <c r="A2" t="s">
        <v>2095</v>
      </c>
      <c r="B2">
        <f>COUNTIFS(Crowdfunding!D2:D1001,"&lt;1000",Crowdfunding!G2:G1001, "successful")</f>
        <v>30</v>
      </c>
      <c r="C2">
        <f>COUNTIFS(Crowdfunding!D2:D1001,"&lt;1000",Crowdfunding!G2:G1001, "failed")</f>
        <v>20</v>
      </c>
      <c r="D2">
        <f>COUNTIFS(Crowdfunding!D2:D1001,"&lt;1000",Crowdfunding!G2:G1001, "canceled")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t="s">
        <v>2096</v>
      </c>
      <c r="B3">
        <f>COUNTIFS(Crowdfunding!D2:D1001,"&gt;=1000",Crowdfunding!D2:D1001,"&lt;5000",Crowdfunding!G2:G1001, "successful")</f>
        <v>191</v>
      </c>
      <c r="C3">
        <f>COUNTIFS(Crowdfunding!D2:D1001,"&gt;=1000",Crowdfunding!D2:D1001,"&lt;5000",Crowdfunding!G2:G1001, "failed")</f>
        <v>38</v>
      </c>
      <c r="D3">
        <f>COUNTIFS(Crowdfunding!D2:D1001,"&gt;=1000",Crowdfunding!D2:D1001,"&lt;5000",Crowdfunding!G2:G1001, "canceled")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5">
      <c r="A4" t="s">
        <v>2097</v>
      </c>
      <c r="B4">
        <f>COUNTIFS(Crowdfunding!D2:D1001,"&gt;=5000",Crowdfunding!D2:D1001,"&lt;10000",Crowdfunding!G2:G1001, "successful")</f>
        <v>164</v>
      </c>
      <c r="C4">
        <f>COUNTIFS(Crowdfunding!D2:D1001,"&gt;=5000",Crowdfunding!D2:D1001,"&lt;10000",Crowdfunding!G2:G1001, "failed")</f>
        <v>126</v>
      </c>
      <c r="D4">
        <f>COUNTIFS(Crowdfunding!D2:D1001,"&gt;=5000",Crowdfunding!D2:D1001,"&lt;10000",Crowdfunding!G2:G1001,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t="s">
        <v>2098</v>
      </c>
      <c r="B5">
        <f>COUNTIFS(Crowdfunding!D2:D1001,"&gt;=10000",Crowdfunding!D2:D1001,"&lt;15000",Crowdfunding!G2:G1001, "successful")</f>
        <v>4</v>
      </c>
      <c r="C5">
        <f>COUNTIFS(Crowdfunding!D2:D1001,"&gt;=10000",Crowdfunding!D2:D1001,"&lt;15000",Crowdfunding!G2:G1001, "failed")</f>
        <v>5</v>
      </c>
      <c r="D5">
        <f>COUNTIFS(Crowdfunding!D2:D1001,"&gt;=10000",Crowdfunding!D2:D1001,"&lt;15000",Crowdfunding!G2:G1001,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t="s">
        <v>2099</v>
      </c>
      <c r="B6">
        <f>COUNTIFS(Crowdfunding!D2:D1001,"&gt;=15000",Crowdfunding!D2:D1001,"&lt;20000",Crowdfunding!G2:G1001, "successful")</f>
        <v>10</v>
      </c>
      <c r="C6">
        <f>COUNTIFS(Crowdfunding!D2:D1001,"&gt;=15000",Crowdfunding!D2:D1001,"&lt;20000",Crowdfunding!G2:G1001, "failed")</f>
        <v>0</v>
      </c>
      <c r="D6">
        <f>COUNTIFS(Crowdfunding!D2:D1001,"&gt;=15000",Crowdfunding!D2:D1001,"&lt;20000",Crowdfunding!G2:G1001,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t="s">
        <v>2100</v>
      </c>
      <c r="B7">
        <f>COUNTIFS(Crowdfunding!D2:D1001,"&gt;=20000",Crowdfunding!D2:D1001,"&lt;25000",Crowdfunding!G2:G1001, "successful")</f>
        <v>7</v>
      </c>
      <c r="C7">
        <f>COUNTIFS(Crowdfunding!D2:D1001,"&gt;=20000",Crowdfunding!D2:D1001,"&lt;25000",Crowdfunding!G2:G1001, "failed")</f>
        <v>0</v>
      </c>
      <c r="D7">
        <f>COUNTIFS(Crowdfunding!D2:D1001,"&gt;=20000",Crowdfunding!D2:D1001,"&lt;25000",Crowdfunding!G2:G1001,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t="s">
        <v>2101</v>
      </c>
      <c r="B8">
        <f>COUNTIFS(Crowdfunding!D2:D1001,"&gt;=25000",Crowdfunding!D2:D1001,"&lt;30000",Crowdfunding!G2:G1001, "successful")</f>
        <v>11</v>
      </c>
      <c r="C8">
        <f>COUNTIFS(Crowdfunding!D2:D1001,"&gt;=25000",Crowdfunding!D2:D1001,"&lt;30000",Crowdfunding!G2:G1001, "failed")</f>
        <v>3</v>
      </c>
      <c r="D8">
        <f>COUNTIFS(Crowdfunding!D2:D1001,"&gt;=25000",Crowdfunding!D2:D1001,"&lt;30000",Crowdfunding!G2:G1001,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t="s">
        <v>2102</v>
      </c>
      <c r="B9">
        <f>COUNTIFS(Crowdfunding!D2:D1001,"&gt;=30000",Crowdfunding!D2:D1001,"&lt;35000",Crowdfunding!G2:G1001, "successful")</f>
        <v>7</v>
      </c>
      <c r="C9">
        <f>COUNTIFS(Crowdfunding!D2:D1001,"&gt;=30000",Crowdfunding!D2:D1001,"&lt;35000",Crowdfunding!G2:G1001, "failed")</f>
        <v>0</v>
      </c>
      <c r="D9">
        <f>COUNTIFS(Crowdfunding!D2:D1001,"&gt;=30000",Crowdfunding!D2:D1001,"&lt;35000",Crowdfunding!G2:G1001,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t="s">
        <v>2103</v>
      </c>
      <c r="B10">
        <f>COUNTIFS(Crowdfunding!D2:D1001,"&gt;=35000",Crowdfunding!D2:D1001,"&lt;40000",Crowdfunding!G2:G1001, "successful")</f>
        <v>8</v>
      </c>
      <c r="C10">
        <f>COUNTIFS(Crowdfunding!D2:D1001,"&gt;=35000",Crowdfunding!D2:D1001,"&lt;40000",Crowdfunding!G2:G1001, "failed")</f>
        <v>3</v>
      </c>
      <c r="D10">
        <f>COUNTIFS(Crowdfunding!D2:D1001,"&gt;=35000",Crowdfunding!D2:D1001,"&lt;40000",Crowdfunding!G2:G1001,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t="s">
        <v>2104</v>
      </c>
      <c r="B11">
        <f>COUNTIFS(Crowdfunding!D2:D1001,"&gt;=40000",Crowdfunding!D2:D1001,"&lt;45000",Crowdfunding!G2:G1001, "successful")</f>
        <v>11</v>
      </c>
      <c r="C11">
        <f>COUNTIFS(Crowdfunding!D2:D1001,"&gt;=40000",Crowdfunding!D2:D1001,"&lt;45000",Crowdfunding!G2:G1001, "failed")</f>
        <v>3</v>
      </c>
      <c r="D11">
        <f>COUNTIFS(Crowdfunding!D2:D1001,"&gt;=40000",Crowdfunding!D2:D1001,"&lt;45000",Crowdfunding!G2:G1001,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t="s">
        <v>2105</v>
      </c>
      <c r="B12">
        <f>COUNTIFS(Crowdfunding!D2:D1001,"&gt;=45000",Crowdfunding!D2:D1001,"&lt;50000",Crowdfunding!G2:G1001, "successful")</f>
        <v>8</v>
      </c>
      <c r="C12">
        <f>COUNTIFS(Crowdfunding!D2:D1001,"&gt;=45000",Crowdfunding!D2:D1001,"&lt;50000",Crowdfunding!G2:G1001, "failed")</f>
        <v>3</v>
      </c>
      <c r="D12">
        <f>COUNTIFS(Crowdfunding!D2:D1001,"&gt;=45000",Crowdfunding!D2:D1001,"&lt;50000",Crowdfunding!G2:G1001,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t="s">
        <v>2106</v>
      </c>
      <c r="B13">
        <f>COUNTIFS(Crowdfunding!D2:D1001,"&gt;=50000",Crowdfunding!G2:G1001, "successful")</f>
        <v>114</v>
      </c>
      <c r="C13">
        <f>COUNTIFS(Crowdfunding!D2:D1001,"&gt;=50000",Crowdfunding!G2:G1001, "failed")</f>
        <v>163</v>
      </c>
      <c r="D13">
        <f>COUNTIFS(Crowdfunding!D2:D1001,"&gt;=50000",Crowdfunding!G2:G1001,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C237-D89F-4D0C-BD2A-EF68A0AB5556}">
  <dimension ref="A1:H13"/>
  <sheetViews>
    <sheetView topLeftCell="A19" workbookViewId="0">
      <selection activeCell="G4" sqref="G4"/>
    </sheetView>
  </sheetViews>
  <sheetFormatPr defaultRowHeight="15.5" x14ac:dyDescent="0.35"/>
  <cols>
    <col min="1" max="1" width="26.6640625" style="9" bestFit="1" customWidth="1"/>
    <col min="2" max="2" width="16.75" bestFit="1" customWidth="1"/>
    <col min="3" max="3" width="13.1640625" bestFit="1" customWidth="1"/>
    <col min="4" max="4" width="15.75" bestFit="1" customWidth="1"/>
    <col min="5" max="5" width="12.1640625" bestFit="1" customWidth="1"/>
    <col min="6" max="6" width="19.25" bestFit="1" customWidth="1"/>
    <col min="7" max="7" width="15.58203125" bestFit="1" customWidth="1"/>
    <col min="8" max="8" width="18.25" bestFit="1" customWidth="1"/>
  </cols>
  <sheetData>
    <row r="1" spans="1:8" x14ac:dyDescent="0.35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35">
      <c r="A2" s="12" t="s">
        <v>2095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s="12" t="s">
        <v>2096</v>
      </c>
      <c r="B3">
        <f>COUNTIFS(Crowdfunding!D2:D1001,"&gt;=1000",Crowdfunding!D2:D1001,"&lt;5000",Crowdfunding!G2:G1001,"successful")</f>
        <v>191</v>
      </c>
      <c r="C3">
        <f>COUNTIFS(Crowdfunding!D2:D1001,"&gt;=1000",Crowdfunding!D2:D1001,"&lt;5000",Crowdfunding!G2:G1001,"failed")</f>
        <v>38</v>
      </c>
      <c r="D3">
        <f>COUNTIFS(Crowdfunding!D2:D1001,"&gt;=1000",Crowdfunding!D2:D1001,"&lt;5000",Crowdfunding!G2:G1001,"canceled")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5">
      <c r="A4" s="12" t="s">
        <v>2097</v>
      </c>
      <c r="B4">
        <f>COUNTIFS(Crowdfunding!D2:D1001,"&gt;=5000",Crowdfunding!D2:D1001,"&lt;10000",Crowdfunding!G2:G1001,"successful")</f>
        <v>164</v>
      </c>
      <c r="C4">
        <f>COUNTIFS(Crowdfunding!D2:D1001,"&gt;=5000",Crowdfunding!D2:D1001,"&lt;10000",Crowdfunding!G2:G1001,"failed")</f>
        <v>126</v>
      </c>
      <c r="D4">
        <f>COUNTIFS(Crowdfunding!D2:D1001,"&gt;=5000",Crowdfunding!D2:D1001,"&lt;10000",Crowdfunding!G2:G1001,"canceled")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s="12" t="s">
        <v>2098</v>
      </c>
      <c r="B5">
        <f>COUNTIFS(Crowdfunding!D2:D1001,"&gt;=10000",Crowdfunding!D2:D1001,"&lt;15000",Crowdfunding!G2:G1001,"successful")</f>
        <v>4</v>
      </c>
      <c r="C5">
        <f>COUNTIFS(Crowdfunding!D2:D1001,"&gt;=10000",Crowdfunding!D2:D1001,"&lt;15000",Crowdfunding!G2:G1001,"successful")</f>
        <v>4</v>
      </c>
      <c r="D5">
        <f>COUNTIFS(Crowdfunding!D2:D1001,"&gt;=10000",Crowdfunding!D2:D1001,"&lt;15000",Crowdfunding!G2:G1001,"canceled")</f>
        <v>0</v>
      </c>
      <c r="E5">
        <f t="shared" si="0"/>
        <v>8</v>
      </c>
      <c r="F5" s="10">
        <f t="shared" si="1"/>
        <v>0.5</v>
      </c>
      <c r="G5" s="10">
        <f t="shared" si="2"/>
        <v>0.5</v>
      </c>
      <c r="H5" s="10">
        <f t="shared" si="3"/>
        <v>0</v>
      </c>
    </row>
    <row r="6" spans="1:8" x14ac:dyDescent="0.35">
      <c r="A6" s="12" t="s">
        <v>2099</v>
      </c>
      <c r="B6">
        <f>COUNTIFS(Crowdfunding!D2:D1001,"&gt;=15000",Crowdfunding!D2:D1001,"&lt;20000",Crowdfunding!G2:G1001,"successful")</f>
        <v>10</v>
      </c>
      <c r="C6">
        <f>COUNTIFS(Crowdfunding!D2:D1001,"&gt;=15000",Crowdfunding!D2:D1001,"&lt;20000",Crowdfunding!G2:G1001,"failed")</f>
        <v>0</v>
      </c>
      <c r="D6">
        <f>COUNTIFS(Crowdfunding!D2:D1001,"&gt;=15000",Crowdfunding!D2:D1001,"&lt;20000",Crowdfunding!G2:G1001,"canceled")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s="12" t="s">
        <v>2100</v>
      </c>
      <c r="B7">
        <f>COUNTIFS(Crowdfunding!D2:D1001,"&gt;=20000",Crowdfunding!D2:D1001,"&lt;25000",Crowdfunding!G2:G1001,"successful")</f>
        <v>7</v>
      </c>
      <c r="C7">
        <f>COUNTIFS(Crowdfunding!D2:D1001,"&gt;=20000",Crowdfunding!D2:D1001,"&lt;25000",Crowdfunding!G2:G1001,"failed")</f>
        <v>0</v>
      </c>
      <c r="D7">
        <f>COUNTIFS(Crowdfunding!D2:D1001,"&gt;=20000",Crowdfunding!D2:D1001,"&lt;25000",Crowdfunding!G2:G1001,"canceled")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s="12" t="s">
        <v>2101</v>
      </c>
      <c r="B8">
        <f>COUNTIFS(Crowdfunding!D2:D1001,"&gt;=25000",Crowdfunding!D2:D1001,"&lt;30000",Crowdfunding!G2:G1001,"successful")</f>
        <v>11</v>
      </c>
      <c r="C8">
        <f>COUNTIFS(Crowdfunding!D2:D1001,"&gt;=25000",Crowdfunding!D2:D1001,"&lt;30000",Crowdfunding!G2:G1001,"failed")</f>
        <v>3</v>
      </c>
      <c r="D8">
        <f>COUNTIFS(Crowdfunding!D2:D1001,"&gt;=25000",Crowdfunding!D2:D1001,"&lt;30000",Crowdfunding!G2:G1001,"canceled")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s="12" t="s">
        <v>2102</v>
      </c>
      <c r="B9">
        <f>COUNTIFS(Crowdfunding!D2:D1001,"&gt;=30000",Crowdfunding!D2:D1001,"&lt;35000",Crowdfunding!G2:G1001,"successful")</f>
        <v>7</v>
      </c>
      <c r="C9">
        <f>COUNTIFS(Crowdfunding!D2:D1001,"&gt;=30000",Crowdfunding!D2:D1001,"&lt;35000",Crowdfunding!G2:G1001,"failed")</f>
        <v>0</v>
      </c>
      <c r="D9">
        <f>COUNTIFS(Crowdfunding!D2:D1001,"&gt;=30000",Crowdfunding!D2:D1001,"&lt;35000",Crowdfunding!G2:G1001,"canceled")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s="12" t="s">
        <v>2103</v>
      </c>
      <c r="B10">
        <f>COUNTIFS(Crowdfunding!D2:D1001,"&gt;=35000",Crowdfunding!D2:D1001,"&lt;40000",Crowdfunding!G2:G1001,"successful")</f>
        <v>8</v>
      </c>
      <c r="C10">
        <f>COUNTIFS(Crowdfunding!D2:D1001,"&gt;=35000",Crowdfunding!D2:D1001,"&lt;40000",Crowdfunding!G2:G1001,"failed")</f>
        <v>3</v>
      </c>
      <c r="D10">
        <f>COUNTIFS(Crowdfunding!D2:D1001,"&gt;=35000",Crowdfunding!D2:D1001,"&lt;40000",Crowdfunding!G2:G1001,"canceled")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s="12" t="s">
        <v>2104</v>
      </c>
      <c r="B11">
        <f>COUNTIFS(Crowdfunding!D2:D1001,"&gt;=40000",Crowdfunding!D2:D1001,"&lt;45000",Crowdfunding!G2:G1001,"successful")</f>
        <v>11</v>
      </c>
      <c r="C11">
        <f>COUNTIFS(Crowdfunding!D2:D1001,"&gt;=40000",Crowdfunding!D2:D1001,"&lt;45000",Crowdfunding!G2:G1001,"failed")</f>
        <v>3</v>
      </c>
      <c r="D11">
        <f>COUNTIFS(Crowdfunding!D2:D1001,"&gt;=40000",Crowdfunding!D2:D1001,"&lt;45000",Crowdfunding!G2:G1001,"canceled")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s="12" t="s">
        <v>2105</v>
      </c>
      <c r="B12">
        <f>COUNTIFS(Crowdfunding!D2:D1001,"&gt;=45000",Crowdfunding!D2:D1001,"&lt;50000",Crowdfunding!G2:G1001,"successful")</f>
        <v>8</v>
      </c>
      <c r="C12">
        <f>COUNTIFS(Crowdfunding!D2:D1001,"&gt;=45000",Crowdfunding!D2:D1001,"&lt;50000",Crowdfunding!G2:G1001,"failed")</f>
        <v>3</v>
      </c>
      <c r="D12">
        <f>COUNTIFS(Crowdfunding!D2:D1001,"&gt;=45000",Crowdfunding!D2:D1001,"&lt;50000",Crowdfunding!G2:G1001,"canceled")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s="12" t="s">
        <v>2106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EF8C-8512-436E-8D3C-5FF516A05EF7}">
  <dimension ref="A1:I566"/>
  <sheetViews>
    <sheetView tabSelected="1" workbookViewId="0">
      <selection activeCell="G5" sqref="G5"/>
    </sheetView>
  </sheetViews>
  <sheetFormatPr defaultRowHeight="15.5" x14ac:dyDescent="0.35"/>
  <cols>
    <col min="1" max="1" width="8.9140625" bestFit="1" customWidth="1"/>
    <col min="2" max="2" width="13.08203125" bestFit="1" customWidth="1"/>
    <col min="4" max="4" width="8.1640625" bestFit="1" customWidth="1"/>
    <col min="5" max="5" width="13.08203125" bestFit="1" customWidth="1"/>
    <col min="7" max="7" width="25.58203125" style="9" bestFit="1" customWidth="1"/>
    <col min="8" max="9" width="11.75" bestFit="1" customWidth="1"/>
  </cols>
  <sheetData>
    <row r="1" spans="1:9" x14ac:dyDescent="0.35">
      <c r="A1" s="1" t="s">
        <v>4</v>
      </c>
      <c r="B1" s="1" t="s">
        <v>5</v>
      </c>
      <c r="D1" s="1" t="s">
        <v>4</v>
      </c>
      <c r="E1" s="1" t="s">
        <v>5</v>
      </c>
      <c r="G1" s="9" t="s">
        <v>2112</v>
      </c>
      <c r="H1" s="9" t="s">
        <v>2113</v>
      </c>
      <c r="I1" s="9" t="s">
        <v>2114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s="9" t="s">
        <v>2107</v>
      </c>
      <c r="H2" s="5">
        <f>AVERAGE(B2:B566)</f>
        <v>851.14690265486729</v>
      </c>
      <c r="I2" s="5">
        <f>AVERAGE(E2:E365)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s="9" t="s">
        <v>2108</v>
      </c>
      <c r="H3" s="5">
        <f>MEDIAN(B2:B566)</f>
        <v>201</v>
      </c>
      <c r="I3" s="5">
        <f>MEDIAN(E2:E365)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s="9" t="s">
        <v>2115</v>
      </c>
      <c r="H4">
        <f>MIN(B2:B566)</f>
        <v>16</v>
      </c>
      <c r="I4">
        <f>MIN(E2:E365)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s="9" t="s">
        <v>2109</v>
      </c>
      <c r="H5" s="5">
        <f>MAX(B2:B566)</f>
        <v>7295</v>
      </c>
      <c r="I5" s="5">
        <f>MAX(E2:E365)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s="9" t="s">
        <v>2110</v>
      </c>
      <c r="H6" s="5">
        <f>_xlfn.VAR.P(B2:B566)</f>
        <v>1603373.7324019109</v>
      </c>
      <c r="I6" s="5">
        <f>_xlfn.VAR.P(E2:E365)</f>
        <v>921574.68174133555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s="9" t="s">
        <v>2111</v>
      </c>
      <c r="H7" s="5">
        <f>_xlfn.STDEV.P(B2:B566)</f>
        <v>1266.2439466397898</v>
      </c>
      <c r="I7" s="5">
        <f>_xlfn.STDEV.P(E2:E365)</f>
        <v>959.98681331637863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047F81290F447B0FC317D3E7C4D73" ma:contentTypeVersion="5" ma:contentTypeDescription="Create a new document." ma:contentTypeScope="" ma:versionID="c2b0328806133b8ececc067aff5c2e87">
  <xsd:schema xmlns:xsd="http://www.w3.org/2001/XMLSchema" xmlns:xs="http://www.w3.org/2001/XMLSchema" xmlns:p="http://schemas.microsoft.com/office/2006/metadata/properties" xmlns:ns3="cef0af74-2d27-4afa-acf1-c70b0ff42d8a" targetNamespace="http://schemas.microsoft.com/office/2006/metadata/properties" ma:root="true" ma:fieldsID="f31e4dabaf06499b4570d7fe6cf59dfa" ns3:_="">
    <xsd:import namespace="cef0af74-2d27-4afa-acf1-c70b0ff42d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0af74-2d27-4afa-acf1-c70b0ff42d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D6F4D9-7A6D-4DE4-AFE8-96D7ACD44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f0af74-2d27-4afa-acf1-c70b0ff42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0267EE-B788-4D8E-9876-295E41CDFAFC}">
  <ds:schemaRefs>
    <ds:schemaRef ds:uri="cef0af74-2d27-4afa-acf1-c70b0ff42d8a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14AD727-13B4-45D7-B9AF-CAB5FD4E7A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Category Outcomes</vt:lpstr>
      <vt:lpstr>Sub-Category Outcomes</vt:lpstr>
      <vt:lpstr>Outcomes by Time</vt:lpstr>
      <vt:lpstr>Sheet9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MATTHEW.DURNEY@baruchmail.cuny.edu</cp:lastModifiedBy>
  <dcterms:created xsi:type="dcterms:W3CDTF">2021-09-29T18:52:28Z</dcterms:created>
  <dcterms:modified xsi:type="dcterms:W3CDTF">2024-03-22T04:39:05Z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0x01010091C047F81290F447B0FC317D3E7C4D73</vt:lpwstr>
  </property>
</Properties>
</file>