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opez/Documents/Python/Correlaciones/Resources/"/>
    </mc:Choice>
  </mc:AlternateContent>
  <xr:revisionPtr revIDLastSave="0" documentId="13_ncr:1_{C14E32E4-4E2F-544C-8090-39564BBF9427}" xr6:coauthVersionLast="47" xr6:coauthVersionMax="47" xr10:uidLastSave="{00000000-0000-0000-0000-000000000000}"/>
  <bookViews>
    <workbookView xWindow="200" yWindow="3280" windowWidth="25600" windowHeight="14460" activeTab="4" xr2:uid="{D959962B-4E52-3E4E-A961-EFC8F4AB8B5B}"/>
  </bookViews>
  <sheets>
    <sheet name="Cu" sheetId="10" r:id="rId1"/>
    <sheet name="f-&gt; angulo de rozamiento" sheetId="11" r:id="rId2"/>
    <sheet name="E-&gt;Mod Elasticidad Arenas" sheetId="7" r:id="rId3"/>
    <sheet name="E-&gt;Mod Elasticidad Arcillas" sheetId="9" r:id="rId4"/>
    <sheet name="E-&gt;Mod Elasticidad CTE" sheetId="12" r:id="rId5"/>
    <sheet name="Coef. Poisson" sheetId="8" r:id="rId6"/>
    <sheet name="Cc" sheetId="3" r:id="rId7"/>
    <sheet name="Cs" sheetId="1" r:id="rId8"/>
    <sheet name="Ko" sheetId="5" r:id="rId9"/>
    <sheet name="OCR" sheetId="6" r:id="rId10"/>
    <sheet name="K30" sheetId="13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3" l="1"/>
  <c r="H17" i="13" s="1"/>
  <c r="H12" i="13"/>
  <c r="H16" i="13" s="1"/>
  <c r="E11" i="12"/>
  <c r="E10" i="12"/>
  <c r="E9" i="12"/>
  <c r="D11" i="12"/>
  <c r="D10" i="12"/>
  <c r="E8" i="12"/>
  <c r="D9" i="12"/>
  <c r="D8" i="12"/>
  <c r="F26" i="10"/>
  <c r="F24" i="10"/>
  <c r="F23" i="10"/>
  <c r="F22" i="10"/>
  <c r="D12" i="5"/>
  <c r="D15" i="7"/>
  <c r="D21" i="7"/>
  <c r="D23" i="7"/>
  <c r="D22" i="7"/>
  <c r="D20" i="7"/>
  <c r="D19" i="7"/>
  <c r="D24" i="11"/>
  <c r="D18" i="10"/>
  <c r="D17" i="10"/>
  <c r="D16" i="10"/>
  <c r="D13" i="9"/>
  <c r="D12" i="9"/>
  <c r="D21" i="10"/>
  <c r="D20" i="10"/>
  <c r="D23" i="11"/>
  <c r="D22" i="11"/>
  <c r="D20" i="11"/>
  <c r="D21" i="11"/>
  <c r="D30" i="10"/>
  <c r="D29" i="10"/>
  <c r="D19" i="11" l="1"/>
  <c r="D18" i="11"/>
  <c r="D17" i="11"/>
  <c r="D16" i="11"/>
  <c r="D15" i="11"/>
  <c r="D14" i="11"/>
  <c r="D13" i="11"/>
  <c r="D12" i="11"/>
  <c r="D11" i="11"/>
  <c r="D10" i="11"/>
  <c r="D22" i="9"/>
  <c r="D21" i="9"/>
  <c r="D20" i="9"/>
  <c r="D19" i="9"/>
  <c r="D18" i="9"/>
  <c r="D17" i="9"/>
  <c r="D16" i="9"/>
  <c r="D15" i="9"/>
  <c r="D14" i="9"/>
  <c r="D25" i="10"/>
  <c r="D24" i="10"/>
  <c r="D23" i="10"/>
  <c r="D28" i="10"/>
  <c r="D27" i="10"/>
  <c r="D26" i="10"/>
  <c r="D22" i="10"/>
  <c r="D15" i="10"/>
  <c r="D14" i="10"/>
  <c r="D13" i="10"/>
  <c r="D12" i="10"/>
  <c r="D19" i="10"/>
  <c r="D14" i="7"/>
  <c r="D18" i="7"/>
  <c r="D17" i="7"/>
  <c r="D16" i="7"/>
  <c r="D11" i="7"/>
  <c r="D13" i="7"/>
  <c r="D12" i="7"/>
  <c r="D10" i="7"/>
  <c r="D9" i="7"/>
  <c r="D11" i="9"/>
  <c r="D10" i="9"/>
  <c r="D13" i="1"/>
  <c r="D11" i="6"/>
  <c r="D10" i="6"/>
  <c r="D9" i="6"/>
  <c r="D8" i="6"/>
  <c r="D19" i="5"/>
  <c r="D20" i="5"/>
  <c r="D16" i="5"/>
  <c r="D17" i="5"/>
  <c r="D18" i="5"/>
  <c r="D15" i="5"/>
  <c r="D14" i="5"/>
  <c r="D13" i="5"/>
  <c r="C24" i="3"/>
  <c r="M17" i="3"/>
  <c r="M16" i="3"/>
  <c r="M15" i="3"/>
  <c r="M14" i="3"/>
  <c r="M13" i="3"/>
  <c r="M12" i="3"/>
  <c r="M10" i="3"/>
  <c r="M11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31" i="3" s="1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H28" i="3" l="1"/>
  <c r="M31" i="3"/>
  <c r="M30" i="3"/>
  <c r="M29" i="3"/>
  <c r="M28" i="3"/>
  <c r="M27" i="3"/>
  <c r="C27" i="3"/>
  <c r="C31" i="3"/>
  <c r="C28" i="3"/>
  <c r="C29" i="3"/>
  <c r="C30" i="3"/>
  <c r="H29" i="3"/>
  <c r="H30" i="3"/>
  <c r="H27" i="3"/>
  <c r="D12" i="1"/>
</calcChain>
</file>

<file path=xl/sharedStrings.xml><?xml version="1.0" encoding="utf-8"?>
<sst xmlns="http://schemas.openxmlformats.org/spreadsheetml/2006/main" count="518" uniqueCount="247">
  <si>
    <t>Símbolo</t>
  </si>
  <si>
    <t>Descripción</t>
  </si>
  <si>
    <t>Valor</t>
  </si>
  <si>
    <t>unidad</t>
  </si>
  <si>
    <t>Nspt</t>
  </si>
  <si>
    <t>Golpeo ensayo SPT</t>
  </si>
  <si>
    <t>golpeos</t>
  </si>
  <si>
    <t>s'</t>
  </si>
  <si>
    <t>Tensón efectiva cota muestra</t>
  </si>
  <si>
    <t>kPa</t>
  </si>
  <si>
    <t>IP</t>
  </si>
  <si>
    <t>Índice de Plasticidad</t>
  </si>
  <si>
    <t>%</t>
  </si>
  <si>
    <t>LL</t>
  </si>
  <si>
    <t>Límite líquido</t>
  </si>
  <si>
    <t>ATENCIÓN SE USAN CUATRO GRUPOS DE PARÁMETROS</t>
  </si>
  <si>
    <t>Tabla de estimación de valores Cu</t>
  </si>
  <si>
    <t>ID</t>
  </si>
  <si>
    <t>Autor</t>
  </si>
  <si>
    <t>Aplicación</t>
  </si>
  <si>
    <t>Cu (kPa)</t>
  </si>
  <si>
    <t>Parámetros</t>
  </si>
  <si>
    <t>Criterio</t>
  </si>
  <si>
    <t>Terzaghi y Peck</t>
  </si>
  <si>
    <t>Arcillas</t>
  </si>
  <si>
    <t>DM-7</t>
  </si>
  <si>
    <t>Arcilla de baja plasticidad</t>
  </si>
  <si>
    <t>Arcilla de media plasticidad</t>
  </si>
  <si>
    <t>Arcilla de alta plasticidad</t>
  </si>
  <si>
    <t>Sanglerat</t>
  </si>
  <si>
    <t>Arcilla media plasticidad</t>
  </si>
  <si>
    <t>Arcilla limosa</t>
  </si>
  <si>
    <t>Arcilla limo arenosa</t>
  </si>
  <si>
    <t>Sowers</t>
  </si>
  <si>
    <t>Arcilas de baja plasticidad y limos arcillosos</t>
  </si>
  <si>
    <t>Shioi-Fukui</t>
  </si>
  <si>
    <t>Arcillas de media plasticidad</t>
  </si>
  <si>
    <t>Arcillas de alta plasticidad</t>
  </si>
  <si>
    <t>Bjerrum &amp; Simons 1960</t>
  </si>
  <si>
    <t>Arcillas IP&gt;50</t>
  </si>
  <si>
    <t>IP,s`</t>
  </si>
  <si>
    <t>Arcilla NC IP&gt;10</t>
  </si>
  <si>
    <t>Skiempton 1954</t>
  </si>
  <si>
    <t>Arcillas NC, IP&lt;60</t>
  </si>
  <si>
    <t>Lambe &amp; Whitman, 1969</t>
  </si>
  <si>
    <t>Todo tipo de arcillas</t>
  </si>
  <si>
    <t>Karlson &amp; Viberg 1697</t>
  </si>
  <si>
    <t>Arcillas LL&gt;40</t>
  </si>
  <si>
    <t>LL,s´</t>
  </si>
  <si>
    <t>Mesri 1975</t>
  </si>
  <si>
    <t>Arcillas blandas</t>
  </si>
  <si>
    <t>s`</t>
  </si>
  <si>
    <t>Larsson, 1980</t>
  </si>
  <si>
    <t>Arcillas inorgánicas</t>
  </si>
  <si>
    <t>Sanglerat 1</t>
  </si>
  <si>
    <t>Sanglerat 2</t>
  </si>
  <si>
    <t>SE USAN VARIOS TIPOS DE PARÁMETROS</t>
  </si>
  <si>
    <t>RECOMENDABLE USAR EL Nsptx60</t>
  </si>
  <si>
    <t>Tabla de estimación de valores del ángulo de rozamiento efectivo</t>
  </si>
  <si>
    <t>f (º)</t>
  </si>
  <si>
    <t>Jimenes Salas y Justo Alpañes, 1975</t>
  </si>
  <si>
    <t>Suelos arcillosos y limosos C03&lt;12%</t>
  </si>
  <si>
    <t>Suelos compactados al 95 % PN</t>
  </si>
  <si>
    <t>Peck</t>
  </si>
  <si>
    <t>Arenas</t>
  </si>
  <si>
    <t>Muromachi, 1974</t>
  </si>
  <si>
    <t>Terzaghi &amp; Peck 1948</t>
  </si>
  <si>
    <t>Kishida, 1969</t>
  </si>
  <si>
    <t>Japan National Railway, 1999</t>
  </si>
  <si>
    <t>Japan Road Bureau, 1986</t>
  </si>
  <si>
    <t>Hatanaka &amp; Uchida, 1996</t>
  </si>
  <si>
    <t>Montenegro &amp; Gonzalez</t>
  </si>
  <si>
    <t>Shioi-Fukuni 1982</t>
  </si>
  <si>
    <t>Arenas finas y limos</t>
  </si>
  <si>
    <t>Arenas medias gruesas</t>
  </si>
  <si>
    <t>Owasaki &amp; Iwasaki</t>
  </si>
  <si>
    <t>Arenas medias a gruesas y finas con grava</t>
  </si>
  <si>
    <t>Arenas en general</t>
  </si>
  <si>
    <t>Schmertmann 1978</t>
  </si>
  <si>
    <t>Arenas arcillosas</t>
  </si>
  <si>
    <t xml:space="preserve">Golpeo ensayo SPT </t>
  </si>
  <si>
    <t>RECOMENDABLE USAR EL Nspt X 0,60</t>
  </si>
  <si>
    <t>Tabla de estimación de valores del módulo de elasticidad para arenas</t>
  </si>
  <si>
    <t>E (MPa)</t>
  </si>
  <si>
    <t>Webb, 1974</t>
  </si>
  <si>
    <t>Casos intermedios</t>
  </si>
  <si>
    <t>Denver, 1982</t>
  </si>
  <si>
    <t>Meigh y Nixon, 1961</t>
  </si>
  <si>
    <t>Limos y limos arenosos</t>
  </si>
  <si>
    <t>Meigh y Nixon, 1691</t>
  </si>
  <si>
    <t>Arenas finas</t>
  </si>
  <si>
    <t>Wrench y Nowatzki, 1986</t>
  </si>
  <si>
    <t>Gravas</t>
  </si>
  <si>
    <t>Bowles, 1996</t>
  </si>
  <si>
    <t>Arenas normalmente consolidadas</t>
  </si>
  <si>
    <t>Bowles,1996</t>
  </si>
  <si>
    <t>Gravas N&lt;=15</t>
  </si>
  <si>
    <t>Gravas N&gt;15</t>
  </si>
  <si>
    <t>Begueman 1974</t>
  </si>
  <si>
    <t>Gravas y arenas N&lt;=15</t>
  </si>
  <si>
    <t>Gravas y arenas N&gt;15</t>
  </si>
  <si>
    <t>Schertmann 1970</t>
  </si>
  <si>
    <t>D'Polonia y otros</t>
  </si>
  <si>
    <t>Arenas preconsolidadas</t>
  </si>
  <si>
    <t>Índice de plasticidad</t>
  </si>
  <si>
    <t>Cu</t>
  </si>
  <si>
    <t>Cohesión sin drenaje</t>
  </si>
  <si>
    <t>ATENCIÓN SE USAN VARIAS PROCEDENCIAS DE PARÁMETROS, Cu y el conjunto (Nspt,IP)</t>
  </si>
  <si>
    <t>Tabla de estimación de valores de E para arcillas</t>
  </si>
  <si>
    <t>Stroud, 1974 limite superior</t>
  </si>
  <si>
    <t>Nspt,IP</t>
  </si>
  <si>
    <t>Stroud, 1974 limite inferior</t>
  </si>
  <si>
    <t>Stroud y Buttler</t>
  </si>
  <si>
    <t>Arcillas media platicidad</t>
  </si>
  <si>
    <t>Arcillas de baja plasticidad</t>
  </si>
  <si>
    <t>CTE-DB-SE-C, TABLA F,2</t>
  </si>
  <si>
    <t>IP&lt;30, OCR&lt;3</t>
  </si>
  <si>
    <t>IP&lt;30, 3&lt;OCR&lt;5</t>
  </si>
  <si>
    <t>IP&lt;30, OCR&gt;5</t>
  </si>
  <si>
    <t>30&lt;IP&lt;50, OCR&lt;3</t>
  </si>
  <si>
    <t>30&lt;IP&lt;50, 3&lt;OCR&lt;5</t>
  </si>
  <si>
    <t>30&lt;IP&lt;50, OCR&gt;5</t>
  </si>
  <si>
    <t>IP&gt;50, OCR&lt;3</t>
  </si>
  <si>
    <t>IP&gt;50, 3&lt;OCR&lt;5</t>
  </si>
  <si>
    <t>IP&gt;50, OCR&gt;5</t>
  </si>
  <si>
    <t>REFERENCIA TABLA D,23 VALORES ORIENTATIVOS DE RESISTENCIA A COMPRESION DE SUELOS COHESIVOS Y MÓDULO DE ELASTICIDAD DE SUELOS</t>
  </si>
  <si>
    <t>qu (KPa)</t>
  </si>
  <si>
    <t>Suelos muy flojos o muy blandos</t>
  </si>
  <si>
    <t>N&lt;10</t>
  </si>
  <si>
    <t>Suelos flojos o blandos</t>
  </si>
  <si>
    <t>N entre 10 a 25</t>
  </si>
  <si>
    <t>Suelos medios</t>
  </si>
  <si>
    <t>N entre 25 a 50</t>
  </si>
  <si>
    <t>Suelos compactos o duros</t>
  </si>
  <si>
    <t xml:space="preserve">N=50 o Rechazo </t>
  </si>
  <si>
    <t>Tabla de estimación de valores del coeficiente de Poisson</t>
  </si>
  <si>
    <t>nu</t>
  </si>
  <si>
    <t>CTE DB SE C tabla D,24</t>
  </si>
  <si>
    <t>Arcillas normalmente consolidadas</t>
  </si>
  <si>
    <t>Arcillas medias</t>
  </si>
  <si>
    <t>Arcillas duras preconsolidadas</t>
  </si>
  <si>
    <t>Arenas y suelos granulares</t>
  </si>
  <si>
    <t>Límite Líquido</t>
  </si>
  <si>
    <t>e</t>
  </si>
  <si>
    <t>Índice de poros</t>
  </si>
  <si>
    <t>w</t>
  </si>
  <si>
    <t>Humedad</t>
  </si>
  <si>
    <t>ATENCIÓN</t>
  </si>
  <si>
    <t>SE USAN VARIOS TIPOS DE PARÁMETRIOS</t>
  </si>
  <si>
    <t>Tabla de estimación de valores de Cc (LL)</t>
  </si>
  <si>
    <t>Tabla de estimación de valores de Cc (e)</t>
  </si>
  <si>
    <t>Tabla de estimación de valores de Cc (w)</t>
  </si>
  <si>
    <t>Cc</t>
  </si>
  <si>
    <t>Azzouz el al1976</t>
  </si>
  <si>
    <t>Bowles 1989</t>
  </si>
  <si>
    <t>Herrero 1983</t>
  </si>
  <si>
    <t>Cozzolino 1961</t>
  </si>
  <si>
    <t>Koppula 1981</t>
  </si>
  <si>
    <t>Mayne 1980</t>
  </si>
  <si>
    <t>Moh, Chin, Lin y Woo 1989</t>
  </si>
  <si>
    <t>Nishant Dayal et al 2006</t>
  </si>
  <si>
    <t>Hough 1957</t>
  </si>
  <si>
    <t>Shouka 1964</t>
  </si>
  <si>
    <t>Yoon et al 2004</t>
  </si>
  <si>
    <t>Skempton 1944</t>
  </si>
  <si>
    <t>Terzaghi y Peck 1967</t>
  </si>
  <si>
    <t>Tsuchida 1991</t>
  </si>
  <si>
    <t>Nishida 1956</t>
  </si>
  <si>
    <t>Yamagutshi 1959</t>
  </si>
  <si>
    <t>Shorten 1995</t>
  </si>
  <si>
    <t>Sowers 1970</t>
  </si>
  <si>
    <t>Jimenez Salas</t>
  </si>
  <si>
    <t>Parámetro LL</t>
  </si>
  <si>
    <t>parámetro e</t>
  </si>
  <si>
    <t>Parámetro w</t>
  </si>
  <si>
    <t>min</t>
  </si>
  <si>
    <t>max</t>
  </si>
  <si>
    <t>promedio</t>
  </si>
  <si>
    <t>desviacion</t>
  </si>
  <si>
    <t>n</t>
  </si>
  <si>
    <t>Gs</t>
  </si>
  <si>
    <t>Peso específico relativo</t>
  </si>
  <si>
    <t>Tabla de estimación de valores de Cs</t>
  </si>
  <si>
    <t>Cs</t>
  </si>
  <si>
    <t>Parámetro</t>
  </si>
  <si>
    <t xml:space="preserve">Nagaraj &amp; Srinavasa Murthy 1985 </t>
  </si>
  <si>
    <t>Todos las arcillas inorgánicas</t>
  </si>
  <si>
    <t>IP, Gs</t>
  </si>
  <si>
    <t>Nakase et all 1988</t>
  </si>
  <si>
    <t>Mejor si IP&lt;50</t>
  </si>
  <si>
    <t xml:space="preserve">IP </t>
  </si>
  <si>
    <t>f</t>
  </si>
  <si>
    <t>ángulo de rozamiento</t>
  </si>
  <si>
    <t>º</t>
  </si>
  <si>
    <t>OCR</t>
  </si>
  <si>
    <t>Grado de sobreconsolidación</t>
  </si>
  <si>
    <t>adimensional</t>
  </si>
  <si>
    <t>Tabla de estimación de valores de K0</t>
  </si>
  <si>
    <t>Ko</t>
  </si>
  <si>
    <t>Alpan 1967</t>
  </si>
  <si>
    <t>Holtz &amp; Kovacs 1981</t>
  </si>
  <si>
    <t xml:space="preserve">Jacky </t>
  </si>
  <si>
    <t>Suelos granulares</t>
  </si>
  <si>
    <t>Brooker &amp; Ireland 1965</t>
  </si>
  <si>
    <t>Arcillas sobreconsoliadadas</t>
  </si>
  <si>
    <t>Massarcsch 1979</t>
  </si>
  <si>
    <t>Basadas en ensayos de laboratorio</t>
  </si>
  <si>
    <t>Arcillas NC y 0&lt;IP&lt;40 %</t>
  </si>
  <si>
    <t>Arcillas NC y 40&lt;IP&lt;80 %</t>
  </si>
  <si>
    <t>f, OCR</t>
  </si>
  <si>
    <t>Suelos granulares sobreconsolidados</t>
  </si>
  <si>
    <t>KD</t>
  </si>
  <si>
    <t>Parámetro dilatométrico</t>
  </si>
  <si>
    <t>--</t>
  </si>
  <si>
    <t>Kulhawy &amp; Mayne, 1990</t>
  </si>
  <si>
    <t>Arcillas no sensitivas</t>
  </si>
  <si>
    <t>Arcillas sensitivas</t>
  </si>
  <si>
    <t xml:space="preserve">Loess </t>
  </si>
  <si>
    <t>Arcillas fisuradas</t>
  </si>
  <si>
    <t>Tipo de suelo</t>
  </si>
  <si>
    <t>k30 (MN/m3)</t>
  </si>
  <si>
    <t>Arcilla blanda</t>
  </si>
  <si>
    <t>Cálculo del Ksb</t>
  </si>
  <si>
    <t>Arcilla media</t>
  </si>
  <si>
    <t>Arcilla dura</t>
  </si>
  <si>
    <t>B</t>
  </si>
  <si>
    <t>m</t>
  </si>
  <si>
    <t>Limo</t>
  </si>
  <si>
    <t>L</t>
  </si>
  <si>
    <t>Arena floja</t>
  </si>
  <si>
    <t>K30</t>
  </si>
  <si>
    <t>MN/m3</t>
  </si>
  <si>
    <t>Arena media</t>
  </si>
  <si>
    <t>Arena compacta</t>
  </si>
  <si>
    <t>Grava arenosa floja</t>
  </si>
  <si>
    <t>Grava arenosa compacta</t>
  </si>
  <si>
    <t>Cimentación Cuadrada</t>
  </si>
  <si>
    <t>Margas arcillosas</t>
  </si>
  <si>
    <t>Suelo Cohesivo</t>
  </si>
  <si>
    <t>KsB</t>
  </si>
  <si>
    <t>Rocas algo alteradas</t>
  </si>
  <si>
    <t>Suelo Granular</t>
  </si>
  <si>
    <t>Rocas sanas</t>
  </si>
  <si>
    <t>&gt;5000</t>
  </si>
  <si>
    <t>Cimentación rectangular</t>
  </si>
  <si>
    <t xml:space="preserve">Fuente CTE-DB-C </t>
  </si>
  <si>
    <t>KsBL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</si>
</sst>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4" borderId="1" xfId="0" applyFill="1" applyBorder="1"/>
    <xf numFmtId="0" fontId="2" fillId="0" borderId="0" xfId="0" applyFon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3" xfId="0" applyFill="1" applyBorder="1"/>
    <xf numFmtId="0" fontId="3" fillId="0" borderId="0" xfId="0" applyFont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4" fillId="0" borderId="0" xfId="0" applyFont="1"/>
    <xf numFmtId="165" fontId="0" fillId="0" borderId="0" xfId="0" applyNumberFormat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2" borderId="2" xfId="0" applyFill="1" applyBorder="1"/>
    <xf numFmtId="0" fontId="0" fillId="0" borderId="0" xfId="0" applyAlignment="1">
      <alignment horizontal="right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Normal 2" xfId="1" xr:uid="{79C1B68B-B1E2-491B-9D55-1D10772F47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BAFF-FB72-4E14-88D5-DD74A38B0723}">
  <dimension ref="A1:F30"/>
  <sheetViews>
    <sheetView topLeftCell="A10" workbookViewId="0">
      <selection activeCell="E29" sqref="E29"/>
    </sheetView>
  </sheetViews>
  <sheetFormatPr baseColWidth="10" defaultColWidth="11" defaultRowHeight="16" x14ac:dyDescent="0.2"/>
  <cols>
    <col min="2" max="2" width="29.1640625" bestFit="1" customWidth="1"/>
    <col min="3" max="3" width="37.1640625" bestFit="1" customWidth="1"/>
    <col min="4" max="4" width="9.6640625" bestFit="1" customWidth="1"/>
  </cols>
  <sheetData>
    <row r="1" spans="1:6" x14ac:dyDescent="0.2">
      <c r="A1" s="10" t="s">
        <v>0</v>
      </c>
      <c r="B1" s="10" t="s">
        <v>1</v>
      </c>
      <c r="C1" s="10" t="s">
        <v>2</v>
      </c>
      <c r="D1" s="10" t="s">
        <v>3</v>
      </c>
    </row>
    <row r="2" spans="1:6" x14ac:dyDescent="0.2">
      <c r="A2" s="23" t="s">
        <v>4</v>
      </c>
      <c r="B2" s="23" t="s">
        <v>5</v>
      </c>
      <c r="C2" s="16">
        <v>20</v>
      </c>
      <c r="D2" s="16" t="s">
        <v>6</v>
      </c>
    </row>
    <row r="3" spans="1:6" x14ac:dyDescent="0.2">
      <c r="A3" s="23" t="s">
        <v>7</v>
      </c>
      <c r="B3" s="23" t="s">
        <v>8</v>
      </c>
      <c r="C3" s="16">
        <v>150</v>
      </c>
      <c r="D3" s="22" t="s">
        <v>9</v>
      </c>
    </row>
    <row r="4" spans="1:6" x14ac:dyDescent="0.2">
      <c r="A4" s="24" t="s">
        <v>10</v>
      </c>
      <c r="B4" s="24" t="s">
        <v>11</v>
      </c>
      <c r="C4" s="17">
        <v>50</v>
      </c>
      <c r="D4" s="17" t="s">
        <v>12</v>
      </c>
    </row>
    <row r="5" spans="1:6" x14ac:dyDescent="0.2">
      <c r="A5" s="24" t="s">
        <v>13</v>
      </c>
      <c r="B5" s="24" t="s">
        <v>14</v>
      </c>
      <c r="C5" s="17">
        <v>25</v>
      </c>
      <c r="D5" s="17" t="s">
        <v>12</v>
      </c>
    </row>
    <row r="7" spans="1:6" x14ac:dyDescent="0.2">
      <c r="C7" s="26" t="s">
        <v>15</v>
      </c>
    </row>
    <row r="10" spans="1:6" x14ac:dyDescent="0.2">
      <c r="A10" s="32" t="s">
        <v>16</v>
      </c>
      <c r="B10" s="32"/>
      <c r="C10" s="32"/>
      <c r="D10" s="32"/>
      <c r="E10" s="32"/>
      <c r="F10" s="32"/>
    </row>
    <row r="11" spans="1:6" x14ac:dyDescent="0.2">
      <c r="A11" s="4" t="s">
        <v>17</v>
      </c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6" x14ac:dyDescent="0.2">
      <c r="A12" s="1">
        <v>1</v>
      </c>
      <c r="B12" t="s">
        <v>23</v>
      </c>
      <c r="C12" t="s">
        <v>24</v>
      </c>
      <c r="D12" s="13">
        <f>0.067*C2*98.1</f>
        <v>131.45400000000001</v>
      </c>
      <c r="E12" s="14" t="s">
        <v>4</v>
      </c>
    </row>
    <row r="13" spans="1:6" x14ac:dyDescent="0.2">
      <c r="A13" s="1">
        <v>2</v>
      </c>
      <c r="B13" t="s">
        <v>25</v>
      </c>
      <c r="C13" s="21" t="s">
        <v>26</v>
      </c>
      <c r="D13" s="13">
        <f>0.038*C2*98.1</f>
        <v>74.555999999999997</v>
      </c>
      <c r="E13" s="14" t="s">
        <v>4</v>
      </c>
    </row>
    <row r="14" spans="1:6" x14ac:dyDescent="0.2">
      <c r="A14" s="1">
        <v>3</v>
      </c>
      <c r="B14" t="s">
        <v>25</v>
      </c>
      <c r="C14" s="21" t="s">
        <v>27</v>
      </c>
      <c r="D14" s="13">
        <f>0.074*C2*98.1</f>
        <v>145.18799999999999</v>
      </c>
      <c r="E14" s="14" t="s">
        <v>4</v>
      </c>
    </row>
    <row r="15" spans="1:6" x14ac:dyDescent="0.2">
      <c r="A15" s="1">
        <v>4</v>
      </c>
      <c r="B15" t="s">
        <v>25</v>
      </c>
      <c r="C15" s="21" t="s">
        <v>28</v>
      </c>
      <c r="D15" s="19">
        <f>0.125*C2*98.1</f>
        <v>245.25</v>
      </c>
      <c r="E15" s="14" t="s">
        <v>4</v>
      </c>
    </row>
    <row r="16" spans="1:6" x14ac:dyDescent="0.2">
      <c r="A16" s="1">
        <v>5</v>
      </c>
      <c r="B16" t="s">
        <v>29</v>
      </c>
      <c r="C16" s="21" t="s">
        <v>30</v>
      </c>
      <c r="D16" s="19">
        <f>0.125*C2*98.1</f>
        <v>245.25</v>
      </c>
      <c r="E16" s="14" t="s">
        <v>4</v>
      </c>
    </row>
    <row r="17" spans="1:6" x14ac:dyDescent="0.2">
      <c r="A17" s="1">
        <v>6</v>
      </c>
      <c r="B17" t="s">
        <v>29</v>
      </c>
      <c r="C17" s="21" t="s">
        <v>31</v>
      </c>
      <c r="D17" s="19">
        <f>0.1*C2*98.1</f>
        <v>196.2</v>
      </c>
      <c r="E17" s="14" t="s">
        <v>4</v>
      </c>
    </row>
    <row r="18" spans="1:6" x14ac:dyDescent="0.2">
      <c r="A18" s="1">
        <v>7</v>
      </c>
      <c r="B18" t="s">
        <v>29</v>
      </c>
      <c r="C18" s="21" t="s">
        <v>32</v>
      </c>
      <c r="D18" s="19">
        <f>0.067*C2*98.4</f>
        <v>131.85600000000002</v>
      </c>
      <c r="E18" s="14" t="s">
        <v>4</v>
      </c>
    </row>
    <row r="19" spans="1:6" x14ac:dyDescent="0.2">
      <c r="A19" s="1">
        <v>5</v>
      </c>
      <c r="B19" t="s">
        <v>33</v>
      </c>
      <c r="C19" t="s">
        <v>34</v>
      </c>
      <c r="D19" s="19">
        <f>0.5*191.57*C2/15</f>
        <v>127.71333333333332</v>
      </c>
      <c r="E19" s="14" t="s">
        <v>4</v>
      </c>
    </row>
    <row r="20" spans="1:6" x14ac:dyDescent="0.2">
      <c r="A20" s="1">
        <v>6</v>
      </c>
      <c r="B20" t="s">
        <v>35</v>
      </c>
      <c r="C20" t="s">
        <v>36</v>
      </c>
      <c r="D20" s="19">
        <f>0.025*C2*98.1</f>
        <v>49.05</v>
      </c>
      <c r="E20" s="14" t="s">
        <v>4</v>
      </c>
    </row>
    <row r="21" spans="1:6" x14ac:dyDescent="0.2">
      <c r="A21" s="1">
        <v>7</v>
      </c>
      <c r="B21" t="s">
        <v>35</v>
      </c>
      <c r="C21" t="s">
        <v>37</v>
      </c>
      <c r="D21" s="19">
        <f>0.05*C2*98.1</f>
        <v>98.1</v>
      </c>
      <c r="E21" s="14" t="s">
        <v>4</v>
      </c>
    </row>
    <row r="22" spans="1:6" x14ac:dyDescent="0.2">
      <c r="A22" s="1">
        <v>8</v>
      </c>
      <c r="B22" t="s">
        <v>38</v>
      </c>
      <c r="C22" t="s">
        <v>39</v>
      </c>
      <c r="D22" s="19">
        <f>0.45*C3*SQRT(C4/100)</f>
        <v>47.72970773009196</v>
      </c>
      <c r="E22" t="s">
        <v>40</v>
      </c>
      <c r="F22" t="str">
        <f>IF(C4&lt;50,"No aplica","Aplica")</f>
        <v>Aplica</v>
      </c>
    </row>
    <row r="23" spans="1:6" x14ac:dyDescent="0.2">
      <c r="A23" s="1">
        <v>9</v>
      </c>
      <c r="B23" t="s">
        <v>23</v>
      </c>
      <c r="C23" t="s">
        <v>41</v>
      </c>
      <c r="D23" s="13">
        <f>(0.11+0.0037*C4)*C3</f>
        <v>44.25</v>
      </c>
      <c r="E23" s="14" t="s">
        <v>40</v>
      </c>
      <c r="F23" t="str">
        <f>IF(C4&gt;10,"Aplica","No aplica")</f>
        <v>Aplica</v>
      </c>
    </row>
    <row r="24" spans="1:6" x14ac:dyDescent="0.2">
      <c r="A24" s="1">
        <v>10</v>
      </c>
      <c r="B24" t="s">
        <v>42</v>
      </c>
      <c r="C24" t="s">
        <v>43</v>
      </c>
      <c r="D24" s="13">
        <f>(0.11+0.0037*LOG10(C4))*C3</f>
        <v>17.44292835240649</v>
      </c>
      <c r="E24" t="s">
        <v>40</v>
      </c>
      <c r="F24" t="str">
        <f>IF(C4&lt;60,"Aplica","No aplica")</f>
        <v>Aplica</v>
      </c>
    </row>
    <row r="25" spans="1:6" x14ac:dyDescent="0.2">
      <c r="A25" s="1">
        <v>11</v>
      </c>
      <c r="B25" t="s">
        <v>44</v>
      </c>
      <c r="C25" t="s">
        <v>45</v>
      </c>
      <c r="D25" s="13">
        <f>(0.14+0.003*C4)*C3</f>
        <v>43.500000000000007</v>
      </c>
      <c r="E25" t="s">
        <v>40</v>
      </c>
    </row>
    <row r="26" spans="1:6" x14ac:dyDescent="0.2">
      <c r="A26" s="1">
        <v>12</v>
      </c>
      <c r="B26" t="s">
        <v>46</v>
      </c>
      <c r="C26" t="s">
        <v>47</v>
      </c>
      <c r="D26" s="13">
        <f>0.5*C5*C3/100</f>
        <v>18.75</v>
      </c>
      <c r="E26" t="s">
        <v>48</v>
      </c>
      <c r="F26" t="str">
        <f>IF(C5&gt;40,"Aplica","No aplica")</f>
        <v>No aplica</v>
      </c>
    </row>
    <row r="27" spans="1:6" x14ac:dyDescent="0.2">
      <c r="A27" s="1">
        <v>13</v>
      </c>
      <c r="B27" t="s">
        <v>49</v>
      </c>
      <c r="C27" t="s">
        <v>50</v>
      </c>
      <c r="D27" s="13">
        <f>0.22*C3</f>
        <v>33</v>
      </c>
      <c r="E27" s="14" t="s">
        <v>51</v>
      </c>
    </row>
    <row r="28" spans="1:6" x14ac:dyDescent="0.2">
      <c r="A28" s="1">
        <v>14</v>
      </c>
      <c r="B28" t="s">
        <v>52</v>
      </c>
      <c r="C28" t="s">
        <v>53</v>
      </c>
      <c r="D28" s="13">
        <f>0.33*C3</f>
        <v>49.5</v>
      </c>
      <c r="E28" s="14" t="s">
        <v>51</v>
      </c>
    </row>
    <row r="29" spans="1:6" x14ac:dyDescent="0.2">
      <c r="A29" s="1">
        <v>15</v>
      </c>
      <c r="B29" t="s">
        <v>54</v>
      </c>
      <c r="C29" t="s">
        <v>24</v>
      </c>
      <c r="D29" s="18">
        <f>98.1*C2/10</f>
        <v>196.2</v>
      </c>
      <c r="E29" t="s">
        <v>4</v>
      </c>
    </row>
    <row r="30" spans="1:6" x14ac:dyDescent="0.2">
      <c r="A30" s="1">
        <v>16</v>
      </c>
      <c r="B30" t="s">
        <v>55</v>
      </c>
      <c r="C30" t="s">
        <v>24</v>
      </c>
      <c r="D30" s="19">
        <f>C2*98.1/15.6</f>
        <v>125.76923076923077</v>
      </c>
      <c r="E30" t="s">
        <v>4</v>
      </c>
    </row>
  </sheetData>
  <sheetProtection algorithmName="SHA-512" hashValue="4GmG1EaKBv31h4j1qR1fPVXsqvGlFjXSMrZXLyfDvGX3b71EzOqKV/lZGbwNCTyFrmgijxdQM2aeOoM10JyrOw==" saltValue="4jqaATz7frjP1ytJwYze7g==" spinCount="100000" sheet="1" objects="1" scenarios="1"/>
  <protectedRanges>
    <protectedRange sqref="C2:C5" name="Rango1"/>
  </protectedRanges>
  <mergeCells count="1">
    <mergeCell ref="A10:F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81E7-3FB7-47A5-893C-07033B8A2BDD}">
  <dimension ref="A1:E16"/>
  <sheetViews>
    <sheetView workbookViewId="0">
      <selection activeCell="C3" sqref="C3"/>
    </sheetView>
  </sheetViews>
  <sheetFormatPr baseColWidth="10" defaultColWidth="11" defaultRowHeight="16" x14ac:dyDescent="0.2"/>
  <cols>
    <col min="2" max="2" width="29.1640625" bestFit="1" customWidth="1"/>
    <col min="3" max="3" width="31.6640625" bestFit="1" customWidth="1"/>
    <col min="4" max="4" width="9.1640625" bestFit="1" customWidth="1"/>
  </cols>
  <sheetData>
    <row r="1" spans="1:5" x14ac:dyDescent="0.2">
      <c r="A1" s="10" t="s">
        <v>0</v>
      </c>
      <c r="B1" s="10" t="s">
        <v>1</v>
      </c>
      <c r="C1" s="10" t="s">
        <v>2</v>
      </c>
      <c r="D1" s="10" t="s">
        <v>3</v>
      </c>
    </row>
    <row r="2" spans="1:5" x14ac:dyDescent="0.2">
      <c r="A2" s="7" t="s">
        <v>211</v>
      </c>
      <c r="B2" s="7" t="s">
        <v>212</v>
      </c>
      <c r="C2" s="9">
        <v>20</v>
      </c>
      <c r="D2" s="8" t="s">
        <v>213</v>
      </c>
    </row>
    <row r="6" spans="1:5" x14ac:dyDescent="0.2">
      <c r="A6" s="32" t="s">
        <v>197</v>
      </c>
      <c r="B6" s="32"/>
      <c r="C6" s="32"/>
      <c r="D6" s="32"/>
      <c r="E6" s="32"/>
    </row>
    <row r="7" spans="1:5" x14ac:dyDescent="0.2">
      <c r="A7" s="4" t="s">
        <v>17</v>
      </c>
      <c r="B7" s="4" t="s">
        <v>18</v>
      </c>
      <c r="C7" s="4" t="s">
        <v>19</v>
      </c>
      <c r="D7" s="4" t="s">
        <v>194</v>
      </c>
      <c r="E7" s="4" t="s">
        <v>21</v>
      </c>
    </row>
    <row r="8" spans="1:5" x14ac:dyDescent="0.2">
      <c r="A8" s="1">
        <v>1</v>
      </c>
      <c r="B8" s="1" t="s">
        <v>214</v>
      </c>
      <c r="C8" s="1" t="s">
        <v>215</v>
      </c>
      <c r="D8" s="13">
        <f>(C2/2)^1.56</f>
        <v>36.307805477010156</v>
      </c>
      <c r="E8" s="14" t="s">
        <v>211</v>
      </c>
    </row>
    <row r="9" spans="1:5" x14ac:dyDescent="0.2">
      <c r="A9" s="1">
        <v>2</v>
      </c>
      <c r="B9" s="1" t="s">
        <v>214</v>
      </c>
      <c r="C9" s="1" t="s">
        <v>216</v>
      </c>
      <c r="D9" s="13">
        <f>(0.35*C2)^1.56</f>
        <v>20.813875018770506</v>
      </c>
      <c r="E9" s="14" t="s">
        <v>211</v>
      </c>
    </row>
    <row r="10" spans="1:5" x14ac:dyDescent="0.2">
      <c r="A10" s="1">
        <v>3</v>
      </c>
      <c r="B10" s="1" t="s">
        <v>214</v>
      </c>
      <c r="C10" s="1" t="s">
        <v>217</v>
      </c>
      <c r="D10" s="13">
        <f>(0.27*C2)^1.56</f>
        <v>13.884628536936809</v>
      </c>
      <c r="E10" s="14" t="s">
        <v>211</v>
      </c>
    </row>
    <row r="11" spans="1:5" x14ac:dyDescent="0.2">
      <c r="A11" s="1">
        <v>4</v>
      </c>
      <c r="B11" s="1" t="s">
        <v>214</v>
      </c>
      <c r="C11" s="1" t="s">
        <v>218</v>
      </c>
      <c r="D11" s="13">
        <f>(0.57*C2)^1.56</f>
        <v>44.542190201251181</v>
      </c>
      <c r="E11" s="14" t="s">
        <v>211</v>
      </c>
    </row>
    <row r="12" spans="1:5" x14ac:dyDescent="0.2">
      <c r="A12" s="1"/>
      <c r="B12" s="1"/>
      <c r="C12" s="1"/>
      <c r="D12" s="3"/>
    </row>
    <row r="13" spans="1:5" x14ac:dyDescent="0.2">
      <c r="A13" s="1"/>
      <c r="B13" s="1"/>
      <c r="C13" s="1"/>
      <c r="D13" s="3"/>
    </row>
    <row r="14" spans="1:5" x14ac:dyDescent="0.2">
      <c r="A14" s="1"/>
      <c r="B14" s="1"/>
      <c r="C14" s="1"/>
      <c r="D14" s="3"/>
    </row>
    <row r="15" spans="1:5" x14ac:dyDescent="0.2">
      <c r="A15" s="1"/>
      <c r="B15" s="1"/>
      <c r="C15" s="1"/>
      <c r="D15" s="3"/>
    </row>
    <row r="16" spans="1:5" x14ac:dyDescent="0.2">
      <c r="A16" s="1"/>
      <c r="B16" s="1"/>
      <c r="C16" s="1"/>
      <c r="D16" s="3"/>
    </row>
  </sheetData>
  <sheetProtection algorithmName="SHA-512" hashValue="U7TszxMrCzIr48zcnEfg9eoHroBVnKZjSGDpmxBc2QvCpFa3dZGnAOKVtjLnrS2Z+NkBIJ5JfDyrrRtPOS0TwA==" saltValue="2DVq8lP8EJ6lXePsP6jWPw==" spinCount="100000" sheet="1" objects="1" scenarios="1"/>
  <protectedRanges>
    <protectedRange sqref="C2" name="Rango1"/>
  </protectedRanges>
  <mergeCells count="1">
    <mergeCell ref="A6:E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7F33-1E6B-41FF-9CCD-2DF3ABEF96F1}">
  <dimension ref="A1:I17"/>
  <sheetViews>
    <sheetView topLeftCell="A7" workbookViewId="0">
      <selection activeCell="I24" sqref="I24"/>
    </sheetView>
  </sheetViews>
  <sheetFormatPr baseColWidth="10" defaultColWidth="8.83203125" defaultRowHeight="16" x14ac:dyDescent="0.2"/>
  <cols>
    <col min="1" max="1" width="13.33203125" bestFit="1" customWidth="1"/>
    <col min="2" max="2" width="10.6640625" bestFit="1" customWidth="1"/>
    <col min="7" max="7" width="13.1640625" bestFit="1" customWidth="1"/>
  </cols>
  <sheetData>
    <row r="1" spans="1:9" x14ac:dyDescent="0.2">
      <c r="A1" s="33" t="s">
        <v>219</v>
      </c>
      <c r="B1" s="34" t="s">
        <v>220</v>
      </c>
      <c r="C1" s="34"/>
    </row>
    <row r="2" spans="1:9" x14ac:dyDescent="0.2">
      <c r="A2" s="33"/>
      <c r="B2" s="28" t="s">
        <v>175</v>
      </c>
      <c r="C2" s="28" t="s">
        <v>176</v>
      </c>
    </row>
    <row r="3" spans="1:9" x14ac:dyDescent="0.2">
      <c r="A3" s="29" t="s">
        <v>221</v>
      </c>
      <c r="B3" s="25">
        <v>15</v>
      </c>
      <c r="C3" s="25">
        <v>30</v>
      </c>
      <c r="G3" t="s">
        <v>222</v>
      </c>
    </row>
    <row r="4" spans="1:9" x14ac:dyDescent="0.2">
      <c r="A4" s="29" t="s">
        <v>223</v>
      </c>
      <c r="B4" s="25">
        <v>30</v>
      </c>
      <c r="C4" s="25">
        <v>60</v>
      </c>
    </row>
    <row r="5" spans="1:9" x14ac:dyDescent="0.2">
      <c r="A5" s="29" t="s">
        <v>224</v>
      </c>
      <c r="B5" s="25">
        <v>60</v>
      </c>
      <c r="C5" s="25">
        <v>200</v>
      </c>
      <c r="G5" t="s">
        <v>225</v>
      </c>
      <c r="H5">
        <v>2</v>
      </c>
      <c r="I5" t="s">
        <v>226</v>
      </c>
    </row>
    <row r="6" spans="1:9" x14ac:dyDescent="0.2">
      <c r="A6" s="29" t="s">
        <v>227</v>
      </c>
      <c r="B6" s="25">
        <v>15</v>
      </c>
      <c r="C6" s="25">
        <v>45</v>
      </c>
      <c r="G6" t="s">
        <v>228</v>
      </c>
      <c r="H6">
        <v>2</v>
      </c>
      <c r="I6" t="s">
        <v>226</v>
      </c>
    </row>
    <row r="7" spans="1:9" x14ac:dyDescent="0.2">
      <c r="A7" s="29" t="s">
        <v>229</v>
      </c>
      <c r="B7" s="25">
        <v>10</v>
      </c>
      <c r="C7" s="25">
        <v>30</v>
      </c>
      <c r="G7" t="s">
        <v>230</v>
      </c>
      <c r="H7">
        <v>25</v>
      </c>
      <c r="I7" t="s">
        <v>231</v>
      </c>
    </row>
    <row r="8" spans="1:9" x14ac:dyDescent="0.2">
      <c r="A8" s="29" t="s">
        <v>232</v>
      </c>
      <c r="B8" s="25">
        <v>30</v>
      </c>
      <c r="C8" s="25">
        <v>90</v>
      </c>
    </row>
    <row r="9" spans="1:9" x14ac:dyDescent="0.2">
      <c r="A9" s="29" t="s">
        <v>233</v>
      </c>
      <c r="B9" s="25">
        <v>90</v>
      </c>
      <c r="C9" s="25">
        <v>200</v>
      </c>
    </row>
    <row r="10" spans="1:9" x14ac:dyDescent="0.2">
      <c r="A10" s="29" t="s">
        <v>234</v>
      </c>
      <c r="B10" s="25">
        <v>70</v>
      </c>
      <c r="C10" s="25">
        <v>120</v>
      </c>
    </row>
    <row r="11" spans="1:9" x14ac:dyDescent="0.2">
      <c r="A11" s="29" t="s">
        <v>235</v>
      </c>
      <c r="B11" s="25">
        <v>120</v>
      </c>
      <c r="C11" s="25">
        <v>300</v>
      </c>
      <c r="G11" t="s">
        <v>236</v>
      </c>
    </row>
    <row r="12" spans="1:9" x14ac:dyDescent="0.2">
      <c r="A12" s="29" t="s">
        <v>237</v>
      </c>
      <c r="B12" s="25">
        <v>200</v>
      </c>
      <c r="C12" s="25">
        <v>400</v>
      </c>
      <c r="F12" s="30" t="s">
        <v>238</v>
      </c>
      <c r="G12" t="s">
        <v>239</v>
      </c>
      <c r="H12" s="31">
        <f>H7*0.3/H5</f>
        <v>3.75</v>
      </c>
      <c r="I12" t="s">
        <v>231</v>
      </c>
    </row>
    <row r="13" spans="1:9" x14ac:dyDescent="0.2">
      <c r="A13" s="29" t="s">
        <v>240</v>
      </c>
      <c r="B13" s="25">
        <v>300</v>
      </c>
      <c r="C13" s="25">
        <v>5000</v>
      </c>
      <c r="F13" s="30" t="s">
        <v>241</v>
      </c>
      <c r="G13" t="s">
        <v>239</v>
      </c>
      <c r="H13" s="31">
        <f>H7*((H5+0.3)/(2*H5))^2</f>
        <v>8.2656249999999982</v>
      </c>
      <c r="I13" t="s">
        <v>231</v>
      </c>
    </row>
    <row r="14" spans="1:9" x14ac:dyDescent="0.2">
      <c r="A14" s="29" t="s">
        <v>242</v>
      </c>
      <c r="B14" s="35" t="s">
        <v>243</v>
      </c>
      <c r="C14" s="35"/>
    </row>
    <row r="15" spans="1:9" x14ac:dyDescent="0.2">
      <c r="G15" t="s">
        <v>244</v>
      </c>
    </row>
    <row r="16" spans="1:9" x14ac:dyDescent="0.2">
      <c r="A16" t="s">
        <v>245</v>
      </c>
      <c r="F16" s="30" t="s">
        <v>238</v>
      </c>
      <c r="G16" t="s">
        <v>246</v>
      </c>
      <c r="H16" s="31">
        <f>H12*(1+H5/(2*H6))</f>
        <v>5.625</v>
      </c>
      <c r="I16" t="s">
        <v>231</v>
      </c>
    </row>
    <row r="17" spans="6:9" x14ac:dyDescent="0.2">
      <c r="F17" s="30" t="s">
        <v>241</v>
      </c>
      <c r="G17" t="s">
        <v>246</v>
      </c>
      <c r="H17" s="31">
        <f>H13*(1+H5/(2*H6))</f>
        <v>12.398437499999996</v>
      </c>
      <c r="I17" t="s">
        <v>231</v>
      </c>
    </row>
  </sheetData>
  <sheetProtection algorithmName="SHA-512" hashValue="yKFRurFBnQlYYRJzEy6XWI2aXfrUhxpEmzIG71WW4JwDdWK2txq2z3dIp6cdQsNyGQC3xDpKESW+XCT0uEQCbQ==" saltValue="mMdVNSw0BgdAhvFuLihaPw==" spinCount="100000" sheet="1" objects="1" scenarios="1"/>
  <protectedRanges>
    <protectedRange sqref="H5:H7" name="Rango1"/>
  </protectedRanges>
  <mergeCells count="3">
    <mergeCell ref="A1:A2"/>
    <mergeCell ref="B1:C1"/>
    <mergeCell ref="B14:C14"/>
  </mergeCells>
  <dataValidations count="2">
    <dataValidation type="decimal" operator="greaterThanOrEqual" allowBlank="1" showInputMessage="1" showErrorMessage="1" errorTitle="Error" error="El valor de L debe ser mayor o igual que B" sqref="H6" xr:uid="{58A444DD-3823-441B-A93C-5D53876DC401}">
      <formula1>$H$5</formula1>
    </dataValidation>
    <dataValidation type="decimal" operator="lessThan" allowBlank="1" showInputMessage="1" showErrorMessage="1" errorTitle="Error" error="El ancho B debe ser menor o iguial que L" sqref="H5" xr:uid="{A4D0CC63-136B-4A35-BD9B-D65BBAB8F0FC}">
      <formula1>$H$6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0597-D560-4629-9CFB-B39DC6F4E040}">
  <dimension ref="A1:F24"/>
  <sheetViews>
    <sheetView workbookViewId="0">
      <selection activeCell="C2" sqref="C2"/>
    </sheetView>
  </sheetViews>
  <sheetFormatPr baseColWidth="10" defaultColWidth="11" defaultRowHeight="16" x14ac:dyDescent="0.2"/>
  <cols>
    <col min="2" max="2" width="32.1640625" customWidth="1"/>
    <col min="3" max="3" width="37.1640625" bestFit="1" customWidth="1"/>
    <col min="4" max="4" width="9.1640625" bestFit="1" customWidth="1"/>
  </cols>
  <sheetData>
    <row r="1" spans="1:6" x14ac:dyDescent="0.2">
      <c r="A1" s="10" t="s">
        <v>0</v>
      </c>
      <c r="B1" s="10" t="s">
        <v>1</v>
      </c>
      <c r="C1" s="10" t="s">
        <v>2</v>
      </c>
      <c r="D1" s="10" t="s">
        <v>3</v>
      </c>
    </row>
    <row r="2" spans="1:6" x14ac:dyDescent="0.2">
      <c r="A2" s="23" t="s">
        <v>4</v>
      </c>
      <c r="B2" s="23" t="s">
        <v>5</v>
      </c>
      <c r="C2" s="16">
        <v>30</v>
      </c>
      <c r="D2" s="16" t="s">
        <v>6</v>
      </c>
    </row>
    <row r="3" spans="1:6" x14ac:dyDescent="0.2">
      <c r="A3" s="24" t="s">
        <v>10</v>
      </c>
      <c r="B3" s="24" t="s">
        <v>11</v>
      </c>
      <c r="C3" s="17">
        <v>20</v>
      </c>
      <c r="D3" s="17" t="s">
        <v>12</v>
      </c>
      <c r="F3" s="26" t="s">
        <v>56</v>
      </c>
    </row>
    <row r="4" spans="1:6" x14ac:dyDescent="0.2">
      <c r="F4" s="26" t="s">
        <v>57</v>
      </c>
    </row>
    <row r="8" spans="1:6" x14ac:dyDescent="0.2">
      <c r="A8" s="32" t="s">
        <v>58</v>
      </c>
      <c r="B8" s="32"/>
      <c r="C8" s="32"/>
      <c r="D8" s="32"/>
      <c r="E8" s="32"/>
    </row>
    <row r="9" spans="1:6" x14ac:dyDescent="0.2">
      <c r="A9" s="4" t="s">
        <v>17</v>
      </c>
      <c r="B9" s="4" t="s">
        <v>18</v>
      </c>
      <c r="C9" s="4" t="s">
        <v>19</v>
      </c>
      <c r="D9" s="4" t="s">
        <v>59</v>
      </c>
      <c r="E9" s="4" t="s">
        <v>21</v>
      </c>
    </row>
    <row r="10" spans="1:6" x14ac:dyDescent="0.2">
      <c r="A10" s="1">
        <v>1</v>
      </c>
      <c r="B10" t="s">
        <v>60</v>
      </c>
      <c r="C10" t="s">
        <v>61</v>
      </c>
      <c r="D10" s="13">
        <f>34.9-0.339*C3</f>
        <v>28.119999999999997</v>
      </c>
      <c r="E10" s="14" t="s">
        <v>10</v>
      </c>
    </row>
    <row r="11" spans="1:6" x14ac:dyDescent="0.2">
      <c r="A11" s="1">
        <v>2</v>
      </c>
      <c r="B11" t="s">
        <v>60</v>
      </c>
      <c r="C11" s="21" t="s">
        <v>62</v>
      </c>
      <c r="D11" s="13">
        <f>36.3-0.567*C3</f>
        <v>24.959999999999997</v>
      </c>
      <c r="E11" s="14" t="s">
        <v>10</v>
      </c>
    </row>
    <row r="12" spans="1:6" x14ac:dyDescent="0.2">
      <c r="A12" s="1">
        <v>3</v>
      </c>
      <c r="B12" t="s">
        <v>63</v>
      </c>
      <c r="C12" s="21" t="s">
        <v>64</v>
      </c>
      <c r="D12" s="13">
        <f>27.1+0.3*C2-0.00054*C2^2</f>
        <v>35.614000000000004</v>
      </c>
      <c r="E12" s="14" t="s">
        <v>4</v>
      </c>
    </row>
    <row r="13" spans="1:6" x14ac:dyDescent="0.2">
      <c r="A13" s="1">
        <v>4</v>
      </c>
      <c r="B13" t="s">
        <v>65</v>
      </c>
      <c r="C13" s="21" t="s">
        <v>64</v>
      </c>
      <c r="D13" s="19">
        <f>20+3.5*SQRT(C2)</f>
        <v>39.17028951268081</v>
      </c>
      <c r="E13" s="14" t="s">
        <v>4</v>
      </c>
    </row>
    <row r="14" spans="1:6" x14ac:dyDescent="0.2">
      <c r="A14" s="1">
        <v>5</v>
      </c>
      <c r="B14" t="s">
        <v>66</v>
      </c>
      <c r="C14" t="s">
        <v>64</v>
      </c>
      <c r="D14" s="19">
        <f>28.5+0.25*C2</f>
        <v>36</v>
      </c>
      <c r="E14" s="14" t="s">
        <v>4</v>
      </c>
    </row>
    <row r="15" spans="1:6" x14ac:dyDescent="0.2">
      <c r="A15" s="1">
        <v>6</v>
      </c>
      <c r="B15" t="s">
        <v>67</v>
      </c>
      <c r="C15" t="s">
        <v>64</v>
      </c>
      <c r="D15" s="19">
        <f>15+SQRT(20*C2)</f>
        <v>39.494897427831781</v>
      </c>
      <c r="E15" t="s">
        <v>4</v>
      </c>
    </row>
    <row r="16" spans="1:6" x14ac:dyDescent="0.2">
      <c r="A16" s="1">
        <v>7</v>
      </c>
      <c r="B16" t="s">
        <v>68</v>
      </c>
      <c r="C16" t="s">
        <v>64</v>
      </c>
      <c r="D16" s="13">
        <f>27+0.3*C2</f>
        <v>36</v>
      </c>
      <c r="E16" s="14" t="s">
        <v>4</v>
      </c>
    </row>
    <row r="17" spans="1:5" x14ac:dyDescent="0.2">
      <c r="A17" s="1">
        <v>8</v>
      </c>
      <c r="B17" t="s">
        <v>69</v>
      </c>
      <c r="C17" t="s">
        <v>64</v>
      </c>
      <c r="D17" s="13">
        <f>15+SQRT(9.375*C2)</f>
        <v>31.770509831248422</v>
      </c>
      <c r="E17" t="s">
        <v>4</v>
      </c>
    </row>
    <row r="18" spans="1:5" x14ac:dyDescent="0.2">
      <c r="A18" s="1">
        <v>9</v>
      </c>
      <c r="B18" t="s">
        <v>70</v>
      </c>
      <c r="C18" t="s">
        <v>64</v>
      </c>
      <c r="D18" s="13">
        <f>SQRT(20*C2)+20</f>
        <v>44.494897427831781</v>
      </c>
      <c r="E18" t="s">
        <v>4</v>
      </c>
    </row>
    <row r="19" spans="1:5" x14ac:dyDescent="0.2">
      <c r="A19" s="1">
        <v>10</v>
      </c>
      <c r="B19" t="s">
        <v>71</v>
      </c>
      <c r="C19" t="s">
        <v>64</v>
      </c>
      <c r="D19" s="13">
        <f>12.79+SQRT(25.86*C2)</f>
        <v>40.643186532244385</v>
      </c>
      <c r="E19" t="s">
        <v>4</v>
      </c>
    </row>
    <row r="20" spans="1:5" x14ac:dyDescent="0.2">
      <c r="A20" s="1">
        <v>11</v>
      </c>
      <c r="B20" t="s">
        <v>72</v>
      </c>
      <c r="C20" t="s">
        <v>73</v>
      </c>
      <c r="D20" s="19">
        <f>15+SQRT(15*C2)</f>
        <v>36.213203435596427</v>
      </c>
      <c r="E20" t="s">
        <v>4</v>
      </c>
    </row>
    <row r="21" spans="1:5" x14ac:dyDescent="0.2">
      <c r="A21" s="18">
        <v>12</v>
      </c>
      <c r="B21" t="s">
        <v>72</v>
      </c>
      <c r="C21" t="s">
        <v>74</v>
      </c>
      <c r="D21" s="19">
        <f>0.3*C2+27</f>
        <v>36</v>
      </c>
      <c r="E21" t="s">
        <v>4</v>
      </c>
    </row>
    <row r="22" spans="1:5" x14ac:dyDescent="0.2">
      <c r="A22" s="18">
        <v>13</v>
      </c>
      <c r="B22" t="s">
        <v>75</v>
      </c>
      <c r="C22" t="s">
        <v>76</v>
      </c>
      <c r="D22" s="19">
        <f>15+SQRT(20*C2)</f>
        <v>39.494897427831781</v>
      </c>
      <c r="E22" t="s">
        <v>4</v>
      </c>
    </row>
    <row r="23" spans="1:5" x14ac:dyDescent="0.2">
      <c r="A23" s="18">
        <v>14</v>
      </c>
      <c r="B23" t="s">
        <v>33</v>
      </c>
      <c r="C23" t="s">
        <v>77</v>
      </c>
      <c r="D23" s="19">
        <f>28+0.28*C2</f>
        <v>36.4</v>
      </c>
      <c r="E23" t="s">
        <v>4</v>
      </c>
    </row>
    <row r="24" spans="1:5" x14ac:dyDescent="0.2">
      <c r="A24" s="18">
        <v>15</v>
      </c>
      <c r="B24" t="s">
        <v>78</v>
      </c>
      <c r="C24" t="s">
        <v>79</v>
      </c>
      <c r="D24" s="19">
        <f>24+5.77*LN(0.166*C2)</f>
        <v>33.263330471280959</v>
      </c>
      <c r="E24" t="s">
        <v>4</v>
      </c>
    </row>
  </sheetData>
  <sheetProtection algorithmName="SHA-512" hashValue="9gAgmwLuKEDsYMeltZw9pHNzmBrsz0SZc78m/l6Sy3qMvbFTh3XgRp87zaoxRfbIDrtvuEGsTrQV8h6Mab89AA==" saltValue="hZNR9Egld8pP+/yMWLTChg==" spinCount="100000" sheet="1" objects="1" scenarios="1"/>
  <protectedRanges>
    <protectedRange sqref="C2:C3" name="Rango1"/>
  </protectedRanges>
  <mergeCells count="1">
    <mergeCell ref="A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13E-4D3E-4F54-B9CD-12885E30CD73}">
  <dimension ref="A1:E23"/>
  <sheetViews>
    <sheetView workbookViewId="0">
      <selection activeCell="C2" sqref="C2"/>
    </sheetView>
  </sheetViews>
  <sheetFormatPr baseColWidth="10" defaultColWidth="11" defaultRowHeight="16" x14ac:dyDescent="0.2"/>
  <cols>
    <col min="2" max="2" width="29.1640625" bestFit="1" customWidth="1"/>
    <col min="3" max="3" width="37.1640625" bestFit="1" customWidth="1"/>
    <col min="4" max="4" width="9.1640625" bestFit="1" customWidth="1"/>
  </cols>
  <sheetData>
    <row r="1" spans="1:5" x14ac:dyDescent="0.2">
      <c r="A1" s="10" t="s">
        <v>0</v>
      </c>
      <c r="B1" s="10" t="s">
        <v>1</v>
      </c>
      <c r="C1" s="10" t="s">
        <v>2</v>
      </c>
      <c r="D1" s="10" t="s">
        <v>3</v>
      </c>
    </row>
    <row r="2" spans="1:5" x14ac:dyDescent="0.2">
      <c r="A2" s="15" t="s">
        <v>4</v>
      </c>
      <c r="B2" s="15" t="s">
        <v>80</v>
      </c>
      <c r="C2" s="15">
        <v>25</v>
      </c>
      <c r="D2" s="17" t="s">
        <v>6</v>
      </c>
    </row>
    <row r="4" spans="1:5" x14ac:dyDescent="0.2">
      <c r="B4" t="s">
        <v>81</v>
      </c>
    </row>
    <row r="7" spans="1:5" x14ac:dyDescent="0.2">
      <c r="A7" s="32" t="s">
        <v>82</v>
      </c>
      <c r="B7" s="32"/>
      <c r="C7" s="32"/>
      <c r="D7" s="32"/>
      <c r="E7" s="32"/>
    </row>
    <row r="8" spans="1:5" x14ac:dyDescent="0.2">
      <c r="A8" s="4" t="s">
        <v>17</v>
      </c>
      <c r="B8" s="4" t="s">
        <v>18</v>
      </c>
      <c r="C8" s="4" t="s">
        <v>19</v>
      </c>
      <c r="D8" s="4" t="s">
        <v>83</v>
      </c>
      <c r="E8" s="4" t="s">
        <v>21</v>
      </c>
    </row>
    <row r="9" spans="1:5" x14ac:dyDescent="0.2">
      <c r="A9" s="1">
        <v>1</v>
      </c>
      <c r="B9" t="s">
        <v>84</v>
      </c>
      <c r="C9" t="s">
        <v>79</v>
      </c>
      <c r="D9" s="13">
        <f>3.3*(C2+15)*98.1/1000</f>
        <v>12.949199999999999</v>
      </c>
      <c r="E9" s="14" t="s">
        <v>4</v>
      </c>
    </row>
    <row r="10" spans="1:5" x14ac:dyDescent="0.2">
      <c r="A10" s="1">
        <v>2</v>
      </c>
      <c r="B10" t="s">
        <v>84</v>
      </c>
      <c r="C10" t="s">
        <v>85</v>
      </c>
      <c r="D10" s="13">
        <f>4*(C2+12)*98.1/1000</f>
        <v>14.518799999999999</v>
      </c>
      <c r="E10" s="14" t="s">
        <v>4</v>
      </c>
    </row>
    <row r="11" spans="1:5" x14ac:dyDescent="0.2">
      <c r="A11" s="1">
        <v>3</v>
      </c>
      <c r="B11" t="s">
        <v>86</v>
      </c>
      <c r="C11" t="s">
        <v>64</v>
      </c>
      <c r="D11" s="19">
        <f>7*SQRT(C2)</f>
        <v>35</v>
      </c>
      <c r="E11" s="14" t="s">
        <v>4</v>
      </c>
    </row>
    <row r="12" spans="1:5" x14ac:dyDescent="0.2">
      <c r="A12" s="1">
        <v>5</v>
      </c>
      <c r="B12" t="s">
        <v>87</v>
      </c>
      <c r="C12" t="s">
        <v>88</v>
      </c>
      <c r="D12" s="13">
        <f>5*C2*98.1/1000</f>
        <v>12.262499999999999</v>
      </c>
      <c r="E12" s="14" t="s">
        <v>4</v>
      </c>
    </row>
    <row r="13" spans="1:5" x14ac:dyDescent="0.2">
      <c r="A13" s="1">
        <v>6</v>
      </c>
      <c r="B13" t="s">
        <v>89</v>
      </c>
      <c r="C13" t="s">
        <v>90</v>
      </c>
      <c r="D13" s="19">
        <f>8*C2*98.1/1000</f>
        <v>19.62</v>
      </c>
      <c r="E13" s="14" t="s">
        <v>4</v>
      </c>
    </row>
    <row r="14" spans="1:5" x14ac:dyDescent="0.2">
      <c r="A14" s="1">
        <v>7</v>
      </c>
      <c r="B14" t="s">
        <v>91</v>
      </c>
      <c r="C14" t="s">
        <v>92</v>
      </c>
      <c r="D14" s="19">
        <f>2.22*C2^0.886</f>
        <v>38.452786986443733</v>
      </c>
      <c r="E14" s="14" t="s">
        <v>4</v>
      </c>
    </row>
    <row r="15" spans="1:5" x14ac:dyDescent="0.2">
      <c r="A15" s="1">
        <v>8</v>
      </c>
      <c r="B15" t="s">
        <v>93</v>
      </c>
      <c r="C15" t="s">
        <v>94</v>
      </c>
      <c r="D15" s="19">
        <f>5*(C2+15)*98.1/1000</f>
        <v>19.62</v>
      </c>
      <c r="E15" s="14" t="s">
        <v>4</v>
      </c>
    </row>
    <row r="16" spans="1:5" x14ac:dyDescent="0.2">
      <c r="A16" s="1">
        <v>8</v>
      </c>
      <c r="B16" t="s">
        <v>93</v>
      </c>
      <c r="C16" t="s">
        <v>77</v>
      </c>
      <c r="D16" s="19">
        <f>5*(C2+15)*98.1/1000</f>
        <v>19.62</v>
      </c>
      <c r="E16" s="14" t="s">
        <v>4</v>
      </c>
    </row>
    <row r="17" spans="1:5" x14ac:dyDescent="0.2">
      <c r="A17" s="1">
        <v>9</v>
      </c>
      <c r="B17" t="s">
        <v>95</v>
      </c>
      <c r="C17" t="s">
        <v>96</v>
      </c>
      <c r="D17" s="19">
        <f>6*(C2+6)*98.1/1000</f>
        <v>18.246599999999997</v>
      </c>
      <c r="E17" t="s">
        <v>4</v>
      </c>
    </row>
    <row r="18" spans="1:5" x14ac:dyDescent="0.2">
      <c r="A18" s="1">
        <v>10</v>
      </c>
      <c r="B18" t="s">
        <v>95</v>
      </c>
      <c r="C18" t="s">
        <v>97</v>
      </c>
      <c r="D18" s="19">
        <f>(6*(C2+6)+20)*98.1/1000</f>
        <v>20.208599999999997</v>
      </c>
      <c r="E18" t="s">
        <v>4</v>
      </c>
    </row>
    <row r="19" spans="1:5" x14ac:dyDescent="0.2">
      <c r="A19" s="1">
        <v>11</v>
      </c>
      <c r="B19" t="s">
        <v>98</v>
      </c>
      <c r="C19" t="s">
        <v>99</v>
      </c>
      <c r="D19" s="19">
        <f>12*(C2+6)*98.1/1000</f>
        <v>36.493199999999995</v>
      </c>
      <c r="E19" t="s">
        <v>4</v>
      </c>
    </row>
    <row r="20" spans="1:5" x14ac:dyDescent="0.2">
      <c r="A20" s="18">
        <v>12</v>
      </c>
      <c r="B20" t="s">
        <v>98</v>
      </c>
      <c r="C20" t="s">
        <v>100</v>
      </c>
      <c r="D20" s="19">
        <f>(40+12*(C2+6))*98.1/1000</f>
        <v>40.417199999999994</v>
      </c>
      <c r="E20" t="s">
        <v>4</v>
      </c>
    </row>
    <row r="21" spans="1:5" x14ac:dyDescent="0.2">
      <c r="A21" s="18">
        <v>13</v>
      </c>
      <c r="B21" t="s">
        <v>101</v>
      </c>
      <c r="C21" t="s">
        <v>64</v>
      </c>
      <c r="D21" s="19">
        <f>8*C2*98.1/1000</f>
        <v>19.62</v>
      </c>
      <c r="E21" t="s">
        <v>4</v>
      </c>
    </row>
    <row r="22" spans="1:5" x14ac:dyDescent="0.2">
      <c r="A22" s="18">
        <v>14</v>
      </c>
      <c r="B22" t="s">
        <v>102</v>
      </c>
      <c r="C22" t="s">
        <v>94</v>
      </c>
      <c r="D22" s="19">
        <f>(215+(10.6*C2))*98.1/1000</f>
        <v>47.088000000000001</v>
      </c>
      <c r="E22" t="s">
        <v>4</v>
      </c>
    </row>
    <row r="23" spans="1:5" x14ac:dyDescent="0.2">
      <c r="A23" s="18">
        <v>15</v>
      </c>
      <c r="B23" t="s">
        <v>102</v>
      </c>
      <c r="C23" t="s">
        <v>103</v>
      </c>
      <c r="D23" s="19">
        <f>(540+(13.5*C2))*98.1/1000</f>
        <v>86.082750000000004</v>
      </c>
      <c r="E23" t="s">
        <v>4</v>
      </c>
    </row>
  </sheetData>
  <sheetProtection algorithmName="SHA-512" hashValue="Ga2sgHbEP6Sm2cHwXPHLeH+nXB1ZKTrD/GAoL9pv7WVlFYcBIC0fb2CQ7HmWxwPtmCAQTCO8LfGaqd+G3FnRXQ==" saltValue="9eCbyjNEiaql5UWrAIGG8w==" spinCount="100000" sheet="1" objects="1" scenarios="1"/>
  <protectedRanges>
    <protectedRange sqref="C2" name="Rango1"/>
  </protectedRanges>
  <mergeCells count="1">
    <mergeCell ref="A7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48AD-3A26-45BE-9D42-5C1556B58276}">
  <dimension ref="A1:E22"/>
  <sheetViews>
    <sheetView workbookViewId="0">
      <selection activeCell="C3" sqref="C3"/>
    </sheetView>
  </sheetViews>
  <sheetFormatPr baseColWidth="10" defaultColWidth="11" defaultRowHeight="16" x14ac:dyDescent="0.2"/>
  <cols>
    <col min="2" max="2" width="29.1640625" bestFit="1" customWidth="1"/>
    <col min="3" max="3" width="31.6640625" bestFit="1" customWidth="1"/>
    <col min="4" max="4" width="9.1640625" bestFit="1" customWidth="1"/>
  </cols>
  <sheetData>
    <row r="1" spans="1:5" x14ac:dyDescent="0.2">
      <c r="A1" s="20" t="s">
        <v>0</v>
      </c>
      <c r="B1" s="20" t="s">
        <v>1</v>
      </c>
      <c r="C1" s="20" t="s">
        <v>2</v>
      </c>
      <c r="D1" s="20" t="s">
        <v>3</v>
      </c>
    </row>
    <row r="2" spans="1:5" x14ac:dyDescent="0.2">
      <c r="A2" s="15" t="s">
        <v>10</v>
      </c>
      <c r="B2" s="15" t="s">
        <v>104</v>
      </c>
      <c r="C2" s="15">
        <v>23</v>
      </c>
      <c r="D2" s="17" t="s">
        <v>12</v>
      </c>
    </row>
    <row r="3" spans="1:5" x14ac:dyDescent="0.2">
      <c r="A3" s="15" t="s">
        <v>4</v>
      </c>
      <c r="B3" s="15" t="s">
        <v>5</v>
      </c>
      <c r="C3" s="15">
        <v>30</v>
      </c>
      <c r="D3" s="17" t="s">
        <v>6</v>
      </c>
    </row>
    <row r="4" spans="1:5" x14ac:dyDescent="0.2">
      <c r="A4" s="15" t="s">
        <v>105</v>
      </c>
      <c r="B4" s="15" t="s">
        <v>106</v>
      </c>
      <c r="C4" s="15">
        <v>200</v>
      </c>
      <c r="D4" s="25" t="s">
        <v>9</v>
      </c>
    </row>
    <row r="6" spans="1:5" x14ac:dyDescent="0.2">
      <c r="B6" s="26" t="s">
        <v>107</v>
      </c>
    </row>
    <row r="8" spans="1:5" x14ac:dyDescent="0.2">
      <c r="A8" s="32" t="s">
        <v>108</v>
      </c>
      <c r="B8" s="32"/>
      <c r="C8" s="32"/>
      <c r="D8" s="32"/>
      <c r="E8" s="32"/>
    </row>
    <row r="9" spans="1:5" x14ac:dyDescent="0.2">
      <c r="A9" s="4" t="s">
        <v>17</v>
      </c>
      <c r="B9" s="4" t="s">
        <v>18</v>
      </c>
      <c r="C9" s="4" t="s">
        <v>19</v>
      </c>
      <c r="D9" s="4" t="s">
        <v>83</v>
      </c>
      <c r="E9" s="4" t="s">
        <v>21</v>
      </c>
    </row>
    <row r="10" spans="1:5" x14ac:dyDescent="0.2">
      <c r="A10" s="1">
        <v>1</v>
      </c>
      <c r="B10" s="1" t="s">
        <v>109</v>
      </c>
      <c r="C10" s="1" t="s">
        <v>24</v>
      </c>
      <c r="D10" s="13">
        <f>C3*(-0.0081*C2^3+1.732*C2^2-127*C2+3703)/1000</f>
        <v>47.990258999999995</v>
      </c>
      <c r="E10" s="14" t="s">
        <v>110</v>
      </c>
    </row>
    <row r="11" spans="1:5" x14ac:dyDescent="0.2">
      <c r="A11" s="1">
        <v>2</v>
      </c>
      <c r="B11" s="1" t="s">
        <v>111</v>
      </c>
      <c r="C11" s="1" t="s">
        <v>24</v>
      </c>
      <c r="D11" s="13">
        <f>C3*(-0.0031*C2^3+0.8591*C2^2-72.041*C2+2410)/1000</f>
        <v>35.094096000000008</v>
      </c>
      <c r="E11" s="14" t="s">
        <v>110</v>
      </c>
    </row>
    <row r="12" spans="1:5" x14ac:dyDescent="0.2">
      <c r="A12" s="1">
        <v>3</v>
      </c>
      <c r="B12" s="1" t="s">
        <v>112</v>
      </c>
      <c r="C12" s="1" t="s">
        <v>113</v>
      </c>
      <c r="D12" s="13">
        <f>5*C3*98.1/1000</f>
        <v>14.715</v>
      </c>
      <c r="E12" s="14" t="s">
        <v>4</v>
      </c>
    </row>
    <row r="13" spans="1:5" x14ac:dyDescent="0.2">
      <c r="A13" s="1">
        <v>4</v>
      </c>
      <c r="B13" s="1" t="s">
        <v>112</v>
      </c>
      <c r="C13" s="1" t="s">
        <v>114</v>
      </c>
      <c r="D13" s="13">
        <f>6*C3*98.1/1000</f>
        <v>17.658000000000001</v>
      </c>
      <c r="E13" s="14" t="s">
        <v>4</v>
      </c>
    </row>
    <row r="14" spans="1:5" x14ac:dyDescent="0.2">
      <c r="A14" s="1">
        <v>3</v>
      </c>
      <c r="B14" s="1" t="s">
        <v>115</v>
      </c>
      <c r="C14" s="1" t="s">
        <v>116</v>
      </c>
      <c r="D14" s="13">
        <f>800*C4/1000</f>
        <v>160</v>
      </c>
      <c r="E14" t="s">
        <v>10</v>
      </c>
    </row>
    <row r="15" spans="1:5" x14ac:dyDescent="0.2">
      <c r="A15" s="1">
        <v>4</v>
      </c>
      <c r="B15" s="1" t="s">
        <v>115</v>
      </c>
      <c r="C15" s="1" t="s">
        <v>117</v>
      </c>
      <c r="D15" s="13">
        <f>600*C4/1000</f>
        <v>120</v>
      </c>
      <c r="E15" t="s">
        <v>105</v>
      </c>
    </row>
    <row r="16" spans="1:5" x14ac:dyDescent="0.2">
      <c r="A16" s="1">
        <v>5</v>
      </c>
      <c r="B16" s="1" t="s">
        <v>115</v>
      </c>
      <c r="C16" s="1" t="s">
        <v>118</v>
      </c>
      <c r="D16" s="13">
        <f>300*C4/1000</f>
        <v>60</v>
      </c>
      <c r="E16" t="s">
        <v>105</v>
      </c>
    </row>
    <row r="17" spans="1:5" x14ac:dyDescent="0.2">
      <c r="A17" s="1">
        <v>6</v>
      </c>
      <c r="B17" s="1" t="s">
        <v>115</v>
      </c>
      <c r="C17" s="1" t="s">
        <v>119</v>
      </c>
      <c r="D17" s="13">
        <f>350*C4/1000</f>
        <v>70</v>
      </c>
      <c r="E17" t="s">
        <v>105</v>
      </c>
    </row>
    <row r="18" spans="1:5" x14ac:dyDescent="0.2">
      <c r="A18" s="1">
        <v>7</v>
      </c>
      <c r="B18" s="1" t="s">
        <v>115</v>
      </c>
      <c r="C18" s="1" t="s">
        <v>120</v>
      </c>
      <c r="D18" s="13">
        <f>250*C4/1000</f>
        <v>50</v>
      </c>
      <c r="E18" t="s">
        <v>105</v>
      </c>
    </row>
    <row r="19" spans="1:5" x14ac:dyDescent="0.2">
      <c r="A19" s="1">
        <v>8</v>
      </c>
      <c r="B19" s="1" t="s">
        <v>115</v>
      </c>
      <c r="C19" s="1" t="s">
        <v>121</v>
      </c>
      <c r="D19" s="13">
        <f>130*C4/1000</f>
        <v>26</v>
      </c>
      <c r="E19" t="s">
        <v>105</v>
      </c>
    </row>
    <row r="20" spans="1:5" x14ac:dyDescent="0.2">
      <c r="A20" s="1">
        <v>9</v>
      </c>
      <c r="B20" s="1" t="s">
        <v>115</v>
      </c>
      <c r="C20" s="1" t="s">
        <v>122</v>
      </c>
      <c r="D20" s="13">
        <f>150*C4/1000</f>
        <v>30</v>
      </c>
      <c r="E20" t="s">
        <v>105</v>
      </c>
    </row>
    <row r="21" spans="1:5" x14ac:dyDescent="0.2">
      <c r="A21" s="1">
        <v>10</v>
      </c>
      <c r="B21" s="1" t="s">
        <v>115</v>
      </c>
      <c r="C21" s="1" t="s">
        <v>123</v>
      </c>
      <c r="D21" s="13">
        <f>100*C4/1000</f>
        <v>20</v>
      </c>
      <c r="E21" t="s">
        <v>105</v>
      </c>
    </row>
    <row r="22" spans="1:5" x14ac:dyDescent="0.2">
      <c r="A22" s="18">
        <v>11</v>
      </c>
      <c r="B22" s="1" t="s">
        <v>115</v>
      </c>
      <c r="C22" s="1" t="s">
        <v>124</v>
      </c>
      <c r="D22" s="13">
        <f>50*C4/1000</f>
        <v>10</v>
      </c>
      <c r="E22" t="s">
        <v>105</v>
      </c>
    </row>
  </sheetData>
  <sheetProtection algorithmName="SHA-512" hashValue="BA3xQDwsNyX2aR8XeTxiS81i8a4QGnpk5//+epKy64Xii+A5mRxIuE5QC1ZnMtRu9VHPuAnD6ctODXM+QVw8lw==" saltValue="CkNumjHbqNt5O3KKH6M2bQ==" spinCount="100000" sheet="1" objects="1" scenarios="1"/>
  <protectedRanges>
    <protectedRange sqref="C2:C4" name="Rango1"/>
  </protectedRanges>
  <mergeCells count="1">
    <mergeCell ref="A8:E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3CB48-6151-460D-968B-5141C905934E}">
  <dimension ref="A1:F11"/>
  <sheetViews>
    <sheetView tabSelected="1" topLeftCell="A2" workbookViewId="0">
      <selection activeCell="C2" sqref="C2"/>
    </sheetView>
  </sheetViews>
  <sheetFormatPr baseColWidth="10" defaultColWidth="11" defaultRowHeight="16" x14ac:dyDescent="0.2"/>
  <cols>
    <col min="2" max="2" width="29.1640625" bestFit="1" customWidth="1"/>
    <col min="3" max="3" width="31.6640625" bestFit="1" customWidth="1"/>
    <col min="4" max="4" width="11.1640625" bestFit="1" customWidth="1"/>
  </cols>
  <sheetData>
    <row r="1" spans="1:6" x14ac:dyDescent="0.2">
      <c r="A1" s="20" t="s">
        <v>0</v>
      </c>
      <c r="B1" s="20" t="s">
        <v>1</v>
      </c>
      <c r="C1" s="20" t="s">
        <v>2</v>
      </c>
      <c r="D1" s="20" t="s">
        <v>3</v>
      </c>
    </row>
    <row r="2" spans="1:6" x14ac:dyDescent="0.2">
      <c r="A2" s="15" t="s">
        <v>4</v>
      </c>
      <c r="B2" s="15" t="s">
        <v>5</v>
      </c>
      <c r="C2" s="15">
        <v>100</v>
      </c>
      <c r="D2" s="17" t="s">
        <v>6</v>
      </c>
    </row>
    <row r="4" spans="1:6" x14ac:dyDescent="0.2">
      <c r="A4" s="26" t="s">
        <v>125</v>
      </c>
    </row>
    <row r="6" spans="1:6" x14ac:dyDescent="0.2">
      <c r="A6" s="32" t="s">
        <v>108</v>
      </c>
      <c r="B6" s="32"/>
      <c r="C6" s="32"/>
      <c r="D6" s="32"/>
      <c r="E6" s="32"/>
      <c r="F6" s="32"/>
    </row>
    <row r="7" spans="1:6" x14ac:dyDescent="0.2">
      <c r="A7" s="4" t="s">
        <v>17</v>
      </c>
      <c r="B7" s="4" t="s">
        <v>18</v>
      </c>
      <c r="C7" s="4" t="s">
        <v>19</v>
      </c>
      <c r="D7" s="4" t="s">
        <v>126</v>
      </c>
      <c r="E7" s="4" t="s">
        <v>83</v>
      </c>
      <c r="F7" s="4" t="s">
        <v>21</v>
      </c>
    </row>
    <row r="8" spans="1:6" x14ac:dyDescent="0.2">
      <c r="A8" s="1">
        <v>1</v>
      </c>
      <c r="B8" s="1" t="s">
        <v>127</v>
      </c>
      <c r="C8" s="1" t="s">
        <v>128</v>
      </c>
      <c r="D8" s="18" t="str">
        <f>IF(C2&lt;=10,8*C2,"No aplica")</f>
        <v>No aplica</v>
      </c>
      <c r="E8" s="13" t="str">
        <f>IF(C2&lt;=10,8/10*C2,"No aplica")</f>
        <v>No aplica</v>
      </c>
      <c r="F8" s="14" t="s">
        <v>4</v>
      </c>
    </row>
    <row r="9" spans="1:6" x14ac:dyDescent="0.2">
      <c r="A9" s="1">
        <v>2</v>
      </c>
      <c r="B9" s="1" t="s">
        <v>129</v>
      </c>
      <c r="C9" s="1" t="s">
        <v>130</v>
      </c>
      <c r="D9" s="19" t="str">
        <f>IF(AND(C2&gt;10,C2&lt;=25),(150-80)*($C$2-10)/(25-10)+80, "No aplica")</f>
        <v>No aplica</v>
      </c>
      <c r="E9" s="13" t="str">
        <f>IF(AND(C2&gt;10,C2&lt;=25),(40-8)*($C$2-10)/(25-10)+8, "No aplica")</f>
        <v>No aplica</v>
      </c>
      <c r="F9" s="14" t="s">
        <v>4</v>
      </c>
    </row>
    <row r="10" spans="1:6" x14ac:dyDescent="0.2">
      <c r="A10" s="1">
        <v>3</v>
      </c>
      <c r="B10" s="1" t="s">
        <v>131</v>
      </c>
      <c r="C10" s="1" t="s">
        <v>132</v>
      </c>
      <c r="D10" s="19" t="str">
        <f>IF(AND(C2&gt;25,C2&lt;=50),(300-150)*($C$2-25)/(50-25)+150, "No aplica")</f>
        <v>No aplica</v>
      </c>
      <c r="E10" s="13" t="str">
        <f>IF(AND(C2&gt;25,C2&lt;=50),(100-40)*($C$2-25)/(50-25)+40, "No aplica")</f>
        <v>No aplica</v>
      </c>
      <c r="F10" s="14" t="s">
        <v>4</v>
      </c>
    </row>
    <row r="11" spans="1:6" x14ac:dyDescent="0.2">
      <c r="A11" s="1">
        <v>4</v>
      </c>
      <c r="B11" s="1" t="s">
        <v>133</v>
      </c>
      <c r="C11" s="1" t="s">
        <v>134</v>
      </c>
      <c r="D11" s="19">
        <f>IF(AND(C2&gt;50,C2&lt;=100),(500-300)*($C$2-50)/(100-50)+300, "No aplica")</f>
        <v>500</v>
      </c>
      <c r="E11" s="13">
        <f>IF(AND(C2&gt;50,C2&lt;=100),(500-100)*($C$2-50)/(100-50)+100, "No aplica")</f>
        <v>500</v>
      </c>
      <c r="F11" s="14" t="s">
        <v>4</v>
      </c>
    </row>
  </sheetData>
  <sheetProtection algorithmName="SHA-512" hashValue="RqobbKuah8t9Y9L1lBTj+qGkEzgs469HLQiDojINbvhG6NdYlrB0Z0SlOihAAk4/PzVON3G/tHPqUqSeF/AKaQ==" saltValue="zGTnWPx/zexw3PJ9nzdOjA==" spinCount="100000" sheet="1" objects="1" scenarios="1"/>
  <protectedRanges>
    <protectedRange sqref="C2" name="Rango1"/>
  </protectedRanges>
  <mergeCells count="1">
    <mergeCell ref="A6:F6"/>
  </mergeCells>
  <dataValidations count="1">
    <dataValidation type="whole" errorStyle="warning" allowBlank="1" showInputMessage="1" showErrorMessage="1" errorTitle="Error" error="Los números deben de ser enteroe entre 0 y 100" sqref="C2" xr:uid="{05360CA6-F1DC-43D2-9DD8-715572EAAD3B}">
      <formula1>0</formula1>
      <formula2>100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607C-234A-4101-8EE1-0E8FB0EED368}">
  <dimension ref="A2:D12"/>
  <sheetViews>
    <sheetView workbookViewId="0">
      <selection activeCell="B5" sqref="B5:G9"/>
    </sheetView>
  </sheetViews>
  <sheetFormatPr baseColWidth="10" defaultColWidth="11" defaultRowHeight="16" x14ac:dyDescent="0.2"/>
  <cols>
    <col min="2" max="2" width="29.1640625" bestFit="1" customWidth="1"/>
    <col min="3" max="3" width="31.6640625" bestFit="1" customWidth="1"/>
    <col min="4" max="4" width="9.1640625" bestFit="1" customWidth="1"/>
  </cols>
  <sheetData>
    <row r="2" spans="1:4" x14ac:dyDescent="0.2">
      <c r="A2" s="32" t="s">
        <v>135</v>
      </c>
      <c r="B2" s="32"/>
      <c r="C2" s="32"/>
      <c r="D2" s="32"/>
    </row>
    <row r="3" spans="1:4" x14ac:dyDescent="0.2">
      <c r="A3" s="4" t="s">
        <v>17</v>
      </c>
      <c r="B3" s="4" t="s">
        <v>18</v>
      </c>
      <c r="C3" s="4" t="s">
        <v>19</v>
      </c>
      <c r="D3" s="4" t="s">
        <v>136</v>
      </c>
    </row>
    <row r="4" spans="1:4" x14ac:dyDescent="0.2">
      <c r="A4" s="1">
        <v>1</v>
      </c>
      <c r="B4" s="1" t="s">
        <v>137</v>
      </c>
      <c r="C4" s="1" t="s">
        <v>138</v>
      </c>
      <c r="D4" s="13">
        <v>0.4</v>
      </c>
    </row>
    <row r="5" spans="1:4" x14ac:dyDescent="0.2">
      <c r="A5" s="1">
        <v>2</v>
      </c>
      <c r="B5" s="1" t="s">
        <v>137</v>
      </c>
      <c r="C5" s="1" t="s">
        <v>139</v>
      </c>
      <c r="D5" s="13">
        <v>0.3</v>
      </c>
    </row>
    <row r="6" spans="1:4" x14ac:dyDescent="0.2">
      <c r="A6" s="1">
        <v>3</v>
      </c>
      <c r="B6" s="1" t="s">
        <v>137</v>
      </c>
      <c r="C6" s="1" t="s">
        <v>140</v>
      </c>
      <c r="D6" s="13">
        <v>0.15</v>
      </c>
    </row>
    <row r="7" spans="1:4" x14ac:dyDescent="0.2">
      <c r="A7" s="1">
        <v>4</v>
      </c>
      <c r="B7" s="1" t="s">
        <v>137</v>
      </c>
      <c r="C7" s="1" t="s">
        <v>141</v>
      </c>
      <c r="D7" s="13">
        <v>0.3</v>
      </c>
    </row>
    <row r="8" spans="1:4" x14ac:dyDescent="0.2">
      <c r="A8" s="1"/>
      <c r="B8" s="1"/>
      <c r="C8" s="1"/>
      <c r="D8" s="3"/>
    </row>
    <row r="9" spans="1:4" x14ac:dyDescent="0.2">
      <c r="A9" s="1"/>
      <c r="B9" s="1"/>
      <c r="C9" s="1"/>
      <c r="D9" s="3"/>
    </row>
    <row r="10" spans="1:4" x14ac:dyDescent="0.2">
      <c r="A10" s="1"/>
      <c r="B10" s="1"/>
      <c r="C10" s="1"/>
      <c r="D10" s="3"/>
    </row>
    <row r="11" spans="1:4" x14ac:dyDescent="0.2">
      <c r="A11" s="1"/>
      <c r="B11" s="1"/>
      <c r="C11" s="1"/>
      <c r="D11" s="3"/>
    </row>
    <row r="12" spans="1:4" x14ac:dyDescent="0.2">
      <c r="A12" s="1"/>
      <c r="B12" s="1"/>
      <c r="C12" s="1"/>
      <c r="D12" s="3"/>
    </row>
  </sheetData>
  <sheetProtection algorithmName="SHA-512" hashValue="9cgZJSEzAOs5DLED29Ijy7hZ5lJaIjEtIFIjH1FsuB+cVtZo3pwq09afh1OkoPyHJw1kD0ogkuhZUk+9p/jOJg==" saltValue="Ju/pSXthKBTUMef/DH2XOw==" spinCount="100000" sheet="1" objects="1" scenarios="1"/>
  <mergeCells count="1">
    <mergeCell ref="A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F14A-7A50-894C-A727-E4734373B3BC}">
  <dimension ref="A1:M39"/>
  <sheetViews>
    <sheetView topLeftCell="A7" zoomScale="80" zoomScaleNormal="80" workbookViewId="0">
      <selection activeCell="L26" sqref="L26"/>
    </sheetView>
  </sheetViews>
  <sheetFormatPr baseColWidth="10" defaultColWidth="11" defaultRowHeight="16" x14ac:dyDescent="0.2"/>
  <cols>
    <col min="2" max="2" width="21.5" bestFit="1" customWidth="1"/>
    <col min="3" max="3" width="11.6640625" style="1" customWidth="1"/>
    <col min="6" max="6" width="0" hidden="1" customWidth="1"/>
    <col min="7" max="7" width="23.1640625" hidden="1" customWidth="1"/>
    <col min="8" max="8" width="0" hidden="1" customWidth="1"/>
    <col min="12" max="12" width="23.1640625" bestFit="1" customWidth="1"/>
  </cols>
  <sheetData>
    <row r="1" spans="1:13" x14ac:dyDescent="0.2">
      <c r="A1" s="6" t="s">
        <v>0</v>
      </c>
      <c r="B1" s="6" t="s">
        <v>1</v>
      </c>
      <c r="C1" s="6" t="s">
        <v>2</v>
      </c>
      <c r="D1" s="6" t="s">
        <v>3</v>
      </c>
    </row>
    <row r="2" spans="1:13" x14ac:dyDescent="0.2">
      <c r="A2" s="7" t="s">
        <v>13</v>
      </c>
      <c r="B2" s="7" t="s">
        <v>142</v>
      </c>
      <c r="C2" s="8">
        <v>30</v>
      </c>
      <c r="D2" s="9" t="s">
        <v>12</v>
      </c>
    </row>
    <row r="3" spans="1:13" hidden="1" x14ac:dyDescent="0.2">
      <c r="A3" s="7" t="s">
        <v>143</v>
      </c>
      <c r="B3" s="7" t="s">
        <v>144</v>
      </c>
      <c r="C3" s="8">
        <v>0.25</v>
      </c>
      <c r="D3" s="7"/>
    </row>
    <row r="4" spans="1:13" x14ac:dyDescent="0.2">
      <c r="A4" s="7" t="s">
        <v>145</v>
      </c>
      <c r="B4" s="7" t="s">
        <v>146</v>
      </c>
      <c r="C4" s="8">
        <v>25</v>
      </c>
      <c r="D4" s="9" t="s">
        <v>12</v>
      </c>
    </row>
    <row r="5" spans="1:13" x14ac:dyDescent="0.2">
      <c r="K5" s="26" t="s">
        <v>147</v>
      </c>
    </row>
    <row r="6" spans="1:13" x14ac:dyDescent="0.2">
      <c r="K6" s="26" t="s">
        <v>148</v>
      </c>
    </row>
    <row r="8" spans="1:13" x14ac:dyDescent="0.2">
      <c r="A8" s="32" t="s">
        <v>149</v>
      </c>
      <c r="B8" s="32"/>
      <c r="C8" s="32"/>
      <c r="F8" s="32" t="s">
        <v>150</v>
      </c>
      <c r="G8" s="32"/>
      <c r="H8" s="32"/>
      <c r="K8" s="32" t="s">
        <v>151</v>
      </c>
      <c r="L8" s="32"/>
      <c r="M8" s="32"/>
    </row>
    <row r="9" spans="1:13" x14ac:dyDescent="0.2">
      <c r="A9" s="4" t="s">
        <v>17</v>
      </c>
      <c r="B9" s="5" t="s">
        <v>18</v>
      </c>
      <c r="C9" s="4" t="s">
        <v>152</v>
      </c>
      <c r="F9" s="4" t="s">
        <v>17</v>
      </c>
      <c r="G9" s="5" t="s">
        <v>18</v>
      </c>
      <c r="H9" s="4" t="s">
        <v>152</v>
      </c>
      <c r="K9" s="4" t="s">
        <v>17</v>
      </c>
      <c r="L9" s="4" t="s">
        <v>18</v>
      </c>
      <c r="M9" s="4" t="s">
        <v>152</v>
      </c>
    </row>
    <row r="10" spans="1:13" x14ac:dyDescent="0.2">
      <c r="A10" s="1">
        <v>1</v>
      </c>
      <c r="B10" t="s">
        <v>153</v>
      </c>
      <c r="C10" s="3">
        <f>0.007*(C2-7)</f>
        <v>0.161</v>
      </c>
      <c r="F10" s="1">
        <v>1</v>
      </c>
      <c r="G10" t="s">
        <v>153</v>
      </c>
      <c r="H10" s="3">
        <f>1.21+1.005*(C3-1.87)</f>
        <v>-0.41809999999999992</v>
      </c>
      <c r="K10" s="1">
        <v>1</v>
      </c>
      <c r="L10" t="s">
        <v>153</v>
      </c>
      <c r="M10" s="3">
        <f>0.0001766*C4^2+0.00593*C4-0.135</f>
        <v>0.12362499999999998</v>
      </c>
    </row>
    <row r="11" spans="1:13" x14ac:dyDescent="0.2">
      <c r="A11" s="1">
        <v>2</v>
      </c>
      <c r="B11" t="s">
        <v>153</v>
      </c>
      <c r="C11" s="3">
        <f>0.006*(C2-9)</f>
        <v>0.126</v>
      </c>
      <c r="F11" s="1">
        <v>2</v>
      </c>
      <c r="G11" t="s">
        <v>154</v>
      </c>
      <c r="H11" s="3">
        <f>0.208*C3+0.0083</f>
        <v>6.0299999999999999E-2</v>
      </c>
      <c r="K11" s="1">
        <v>2</v>
      </c>
      <c r="L11" t="s">
        <v>155</v>
      </c>
      <c r="M11" s="3">
        <f>0.01*(C4-7.549)</f>
        <v>0.17451</v>
      </c>
    </row>
    <row r="12" spans="1:13" x14ac:dyDescent="0.2">
      <c r="A12" s="1">
        <v>3</v>
      </c>
      <c r="B12" t="s">
        <v>156</v>
      </c>
      <c r="C12" s="3">
        <f>0.0046*(C2-9)</f>
        <v>9.6599999999999991E-2</v>
      </c>
      <c r="F12" s="1">
        <v>3</v>
      </c>
      <c r="G12" t="s">
        <v>154</v>
      </c>
      <c r="H12" s="3">
        <f>0.156*C3+0.0107</f>
        <v>4.9700000000000001E-2</v>
      </c>
      <c r="K12" s="1">
        <v>3</v>
      </c>
      <c r="L12" t="s">
        <v>157</v>
      </c>
      <c r="M12" s="3">
        <f>0.0093*C4</f>
        <v>0.23249999999999998</v>
      </c>
    </row>
    <row r="13" spans="1:13" x14ac:dyDescent="0.2">
      <c r="A13" s="1">
        <v>4</v>
      </c>
      <c r="B13" t="s">
        <v>158</v>
      </c>
      <c r="C13" s="3">
        <f>(C2-13)/109</f>
        <v>0.15596330275229359</v>
      </c>
      <c r="F13" s="1">
        <v>4</v>
      </c>
      <c r="G13" t="s">
        <v>156</v>
      </c>
      <c r="H13" s="3">
        <f>0.43*(C3-0.25)</f>
        <v>0</v>
      </c>
      <c r="K13" s="1">
        <v>4</v>
      </c>
      <c r="L13" t="s">
        <v>159</v>
      </c>
      <c r="M13" s="3">
        <f>0.015*(C4-8)</f>
        <v>0.255</v>
      </c>
    </row>
    <row r="14" spans="1:13" x14ac:dyDescent="0.2">
      <c r="A14" s="1">
        <v>5</v>
      </c>
      <c r="B14" t="s">
        <v>160</v>
      </c>
      <c r="C14" s="3">
        <f>0.0037*(C2+25.5)</f>
        <v>0.20535</v>
      </c>
      <c r="F14" s="1">
        <v>5</v>
      </c>
      <c r="G14" t="s">
        <v>161</v>
      </c>
      <c r="H14" s="3">
        <f>0.3*(C3-0.27)</f>
        <v>-6.0000000000000053E-3</v>
      </c>
      <c r="K14" s="1">
        <v>5</v>
      </c>
      <c r="L14" t="s">
        <v>160</v>
      </c>
      <c r="M14" s="3">
        <f>0.0135*C4-0.1169</f>
        <v>0.22060000000000002</v>
      </c>
    </row>
    <row r="15" spans="1:13" x14ac:dyDescent="0.2">
      <c r="A15" s="1">
        <v>6</v>
      </c>
      <c r="B15" t="s">
        <v>162</v>
      </c>
      <c r="C15" s="3">
        <f>0.017*(C2-20)</f>
        <v>0.17</v>
      </c>
      <c r="F15" s="1">
        <v>6</v>
      </c>
      <c r="G15" t="s">
        <v>161</v>
      </c>
      <c r="H15" s="2">
        <f>0.35*(C3-0.5)</f>
        <v>-8.7499999999999994E-2</v>
      </c>
      <c r="K15" s="1">
        <v>6</v>
      </c>
      <c r="L15" t="s">
        <v>163</v>
      </c>
      <c r="M15" s="3">
        <f>0.013*(C4-3.85)</f>
        <v>0.27494999999999997</v>
      </c>
    </row>
    <row r="16" spans="1:13" x14ac:dyDescent="0.2">
      <c r="A16" s="1">
        <v>7</v>
      </c>
      <c r="B16" t="s">
        <v>164</v>
      </c>
      <c r="C16" s="3">
        <f>0.007*(C2-10)</f>
        <v>0.14000000000000001</v>
      </c>
      <c r="F16" s="1">
        <v>7</v>
      </c>
      <c r="G16" t="s">
        <v>159</v>
      </c>
      <c r="H16" s="2">
        <f>0.54*(C3-0.23)</f>
        <v>1.0799999999999995E-2</v>
      </c>
      <c r="K16" s="1">
        <v>7</v>
      </c>
      <c r="L16" t="s">
        <v>163</v>
      </c>
      <c r="M16" s="3">
        <f>0.01*(C4+2.83)</f>
        <v>0.27829999999999999</v>
      </c>
    </row>
    <row r="17" spans="1:13" x14ac:dyDescent="0.2">
      <c r="A17" s="1">
        <v>8</v>
      </c>
      <c r="B17" t="s">
        <v>165</v>
      </c>
      <c r="C17" s="3">
        <f>0.009*(C2-10)</f>
        <v>0.18</v>
      </c>
      <c r="F17" s="1">
        <v>8</v>
      </c>
      <c r="G17" t="s">
        <v>160</v>
      </c>
      <c r="H17" s="3">
        <f>0.46*(C3-0.28)</f>
        <v>-1.3800000000000014E-2</v>
      </c>
      <c r="K17" s="1">
        <v>8</v>
      </c>
      <c r="L17" t="s">
        <v>163</v>
      </c>
      <c r="M17" s="3">
        <f>0.011*(C4-11.22)</f>
        <v>0.15157999999999999</v>
      </c>
    </row>
    <row r="18" spans="1:13" x14ac:dyDescent="0.2">
      <c r="A18" s="1">
        <v>9</v>
      </c>
      <c r="B18" t="s">
        <v>166</v>
      </c>
      <c r="C18" s="3">
        <f>0.009*(C2-8)</f>
        <v>0.19799999999999998</v>
      </c>
      <c r="F18" s="1">
        <v>9</v>
      </c>
      <c r="G18" t="s">
        <v>167</v>
      </c>
      <c r="H18" s="2">
        <f>1.15*(C3-0.35)</f>
        <v>-0.11499999999999996</v>
      </c>
    </row>
    <row r="19" spans="1:13" x14ac:dyDescent="0.2">
      <c r="A19" s="1">
        <v>10</v>
      </c>
      <c r="B19" t="s">
        <v>166</v>
      </c>
      <c r="C19" s="3">
        <f>0.009*C2</f>
        <v>0.26999999999999996</v>
      </c>
      <c r="F19" s="1">
        <v>10</v>
      </c>
      <c r="G19" t="s">
        <v>167</v>
      </c>
      <c r="H19" s="2">
        <f>1.15*C3</f>
        <v>0.28749999999999998</v>
      </c>
    </row>
    <row r="20" spans="1:13" x14ac:dyDescent="0.2">
      <c r="A20" s="1">
        <v>11</v>
      </c>
      <c r="B20" t="s">
        <v>168</v>
      </c>
      <c r="C20" s="3">
        <f>0.013*(C2-13.5)</f>
        <v>0.2145</v>
      </c>
      <c r="F20" s="1">
        <v>11</v>
      </c>
      <c r="G20" t="s">
        <v>169</v>
      </c>
      <c r="H20" s="2">
        <f>0.2*C3^1.6</f>
        <v>2.1763764082403107E-2</v>
      </c>
    </row>
    <row r="21" spans="1:13" x14ac:dyDescent="0.2">
      <c r="A21" s="1">
        <v>12</v>
      </c>
      <c r="B21" t="s">
        <v>163</v>
      </c>
      <c r="C21" s="3">
        <f>0.012*(C2+16.4)</f>
        <v>0.55679999999999996</v>
      </c>
      <c r="F21" s="1">
        <v>12</v>
      </c>
      <c r="G21" t="s">
        <v>170</v>
      </c>
      <c r="H21" s="3">
        <f>0.75*(C3-0.5)</f>
        <v>-0.1875</v>
      </c>
    </row>
    <row r="22" spans="1:13" x14ac:dyDescent="0.2">
      <c r="A22" s="1">
        <v>13</v>
      </c>
      <c r="B22" t="s">
        <v>163</v>
      </c>
      <c r="C22" s="3">
        <f>0.011*(C2-6.36)</f>
        <v>0.26003999999999999</v>
      </c>
      <c r="F22" s="1">
        <v>13</v>
      </c>
      <c r="G22" t="s">
        <v>163</v>
      </c>
      <c r="H22" s="3">
        <f>0.54*(C3-0.37)</f>
        <v>-6.4799999999999996E-2</v>
      </c>
    </row>
    <row r="23" spans="1:13" x14ac:dyDescent="0.2">
      <c r="A23" s="1">
        <v>14</v>
      </c>
      <c r="B23" t="s">
        <v>163</v>
      </c>
      <c r="C23" s="3">
        <f>0.01*(C2-10.9)</f>
        <v>0.19100000000000003</v>
      </c>
      <c r="F23" s="1">
        <v>14</v>
      </c>
      <c r="G23" t="s">
        <v>163</v>
      </c>
      <c r="H23" s="3">
        <f>0.39*(C3-0.13)</f>
        <v>4.6800000000000001E-2</v>
      </c>
    </row>
    <row r="24" spans="1:13" x14ac:dyDescent="0.2">
      <c r="A24" s="1">
        <v>15</v>
      </c>
      <c r="B24" t="s">
        <v>171</v>
      </c>
      <c r="C24" s="3">
        <f>0.0097*(C2-16.4)</f>
        <v>0.13192000000000001</v>
      </c>
      <c r="F24" s="1">
        <v>15</v>
      </c>
      <c r="G24" t="s">
        <v>163</v>
      </c>
      <c r="H24" s="3">
        <f>0.37*(C3-0.28)</f>
        <v>-1.1100000000000009E-2</v>
      </c>
    </row>
    <row r="25" spans="1:13" x14ac:dyDescent="0.2">
      <c r="D25" s="1"/>
    </row>
    <row r="26" spans="1:13" x14ac:dyDescent="0.2">
      <c r="B26" s="11" t="s">
        <v>172</v>
      </c>
      <c r="D26" s="1"/>
      <c r="G26" s="11" t="s">
        <v>173</v>
      </c>
      <c r="L26" s="11" t="s">
        <v>174</v>
      </c>
    </row>
    <row r="27" spans="1:13" x14ac:dyDescent="0.2">
      <c r="B27" t="s">
        <v>175</v>
      </c>
      <c r="C27" s="3">
        <f>MIN(C10:C24)</f>
        <v>9.6599999999999991E-2</v>
      </c>
      <c r="G27" t="s">
        <v>175</v>
      </c>
      <c r="H27" s="3">
        <f>MIN(H10:H24)</f>
        <v>-0.41809999999999992</v>
      </c>
      <c r="L27" t="s">
        <v>175</v>
      </c>
      <c r="M27" s="3">
        <f>MIN(M10:M24)</f>
        <v>0.12362499999999998</v>
      </c>
    </row>
    <row r="28" spans="1:13" x14ac:dyDescent="0.2">
      <c r="B28" t="s">
        <v>176</v>
      </c>
      <c r="C28" s="3">
        <f>MAX(C10:C24)</f>
        <v>0.55679999999999996</v>
      </c>
      <c r="G28" t="s">
        <v>176</v>
      </c>
      <c r="H28" s="3">
        <f>MAX(H10:H24)</f>
        <v>0.28749999999999998</v>
      </c>
      <c r="L28" t="s">
        <v>176</v>
      </c>
      <c r="M28" s="3">
        <f>MAX(M10:M24)</f>
        <v>0.27829999999999999</v>
      </c>
    </row>
    <row r="29" spans="1:13" x14ac:dyDescent="0.2">
      <c r="B29" t="s">
        <v>177</v>
      </c>
      <c r="C29" s="3">
        <f>AVERAGE(C10:C24)</f>
        <v>0.20381155351681957</v>
      </c>
      <c r="G29" t="s">
        <v>177</v>
      </c>
      <c r="H29" s="3">
        <f>AVERAGE(H10:H24)</f>
        <v>-2.8462415727839783E-2</v>
      </c>
      <c r="L29" t="s">
        <v>177</v>
      </c>
      <c r="M29" s="3">
        <f>AVERAGE(M10:M24)</f>
        <v>0.21388312500000001</v>
      </c>
    </row>
    <row r="30" spans="1:13" x14ac:dyDescent="0.2">
      <c r="B30" t="s">
        <v>178</v>
      </c>
      <c r="C30" s="13">
        <f>_xlfn.STDEV.S(C10:C24)</f>
        <v>0.1085882367022033</v>
      </c>
      <c r="G30" t="s">
        <v>178</v>
      </c>
      <c r="H30" s="13">
        <f>_xlfn.STDEV.S(H10:H24)</f>
        <v>0.14994883289001062</v>
      </c>
      <c r="L30" t="s">
        <v>178</v>
      </c>
      <c r="M30" s="13">
        <f>_xlfn.STDEV.S(M10:M24)</f>
        <v>5.7989469914650309E-2</v>
      </c>
    </row>
    <row r="31" spans="1:13" x14ac:dyDescent="0.2">
      <c r="B31" t="s">
        <v>179</v>
      </c>
      <c r="C31" s="1">
        <f>COUNT(C10:C24)</f>
        <v>15</v>
      </c>
      <c r="G31" t="s">
        <v>179</v>
      </c>
      <c r="H31" s="1">
        <f>COUNT(H10:H24)</f>
        <v>15</v>
      </c>
      <c r="L31" t="s">
        <v>179</v>
      </c>
      <c r="M31" s="1">
        <f>COUNT(M10:M24)</f>
        <v>8</v>
      </c>
    </row>
    <row r="35" spans="2:8" x14ac:dyDescent="0.2">
      <c r="B35" s="11"/>
    </row>
    <row r="36" spans="2:8" x14ac:dyDescent="0.2">
      <c r="C36" s="3"/>
    </row>
    <row r="37" spans="2:8" x14ac:dyDescent="0.2">
      <c r="C37" s="3"/>
      <c r="H37" s="12"/>
    </row>
    <row r="38" spans="2:8" x14ac:dyDescent="0.2">
      <c r="C38" s="3"/>
    </row>
    <row r="39" spans="2:8" x14ac:dyDescent="0.2">
      <c r="C39" s="13"/>
    </row>
  </sheetData>
  <sheetProtection algorithmName="SHA-512" hashValue="VxgLrUT47PW9CDK9riCxI9Oa9T1M3FYkx3OuSV+2n6Os7mKwVeYhUyBsW0a1zsbiHLOenFbbAps2ht8M7h9SHw==" saltValue="7Im89mhd5vQYtHI7YaBdwA==" spinCount="100000" sheet="1" objects="1" scenarios="1"/>
  <protectedRanges>
    <protectedRange sqref="C2:C4" name="Rango1"/>
  </protectedRanges>
  <mergeCells count="3">
    <mergeCell ref="A8:C8"/>
    <mergeCell ref="F8:H8"/>
    <mergeCell ref="K8:M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3A187-9DF2-2E41-9CA9-2179B29E0ADB}">
  <dimension ref="A1:E13"/>
  <sheetViews>
    <sheetView workbookViewId="0">
      <selection activeCell="A2" sqref="A2"/>
    </sheetView>
  </sheetViews>
  <sheetFormatPr baseColWidth="10" defaultColWidth="11" defaultRowHeight="16" x14ac:dyDescent="0.2"/>
  <cols>
    <col min="2" max="2" width="29.1640625" bestFit="1" customWidth="1"/>
    <col min="3" max="3" width="25.1640625" bestFit="1" customWidth="1"/>
    <col min="4" max="4" width="9.83203125" customWidth="1"/>
  </cols>
  <sheetData>
    <row r="1" spans="1:5" x14ac:dyDescent="0.2">
      <c r="A1" s="10" t="s">
        <v>0</v>
      </c>
      <c r="B1" s="10" t="s">
        <v>1</v>
      </c>
      <c r="C1" s="10" t="s">
        <v>2</v>
      </c>
      <c r="D1" s="10" t="s">
        <v>3</v>
      </c>
    </row>
    <row r="2" spans="1:5" x14ac:dyDescent="0.2">
      <c r="A2" s="7" t="s">
        <v>13</v>
      </c>
      <c r="B2" s="7" t="s">
        <v>142</v>
      </c>
      <c r="C2" s="9">
        <v>45</v>
      </c>
      <c r="D2" s="8" t="s">
        <v>12</v>
      </c>
    </row>
    <row r="3" spans="1:5" x14ac:dyDescent="0.2">
      <c r="A3" s="7" t="s">
        <v>10</v>
      </c>
      <c r="B3" s="7" t="s">
        <v>104</v>
      </c>
      <c r="C3" s="9">
        <v>42</v>
      </c>
      <c r="D3" s="8" t="s">
        <v>12</v>
      </c>
    </row>
    <row r="4" spans="1:5" x14ac:dyDescent="0.2">
      <c r="A4" s="7" t="s">
        <v>180</v>
      </c>
      <c r="B4" s="7" t="s">
        <v>181</v>
      </c>
      <c r="C4" s="9">
        <v>2.8</v>
      </c>
      <c r="D4" s="8"/>
    </row>
    <row r="5" spans="1:5" x14ac:dyDescent="0.2">
      <c r="D5" s="1"/>
    </row>
    <row r="10" spans="1:5" x14ac:dyDescent="0.2">
      <c r="A10" s="32" t="s">
        <v>182</v>
      </c>
      <c r="B10" s="32"/>
      <c r="C10" s="32"/>
      <c r="D10" s="32"/>
      <c r="E10" s="32"/>
    </row>
    <row r="11" spans="1:5" x14ac:dyDescent="0.2">
      <c r="A11" s="4" t="s">
        <v>17</v>
      </c>
      <c r="B11" s="4" t="s">
        <v>18</v>
      </c>
      <c r="C11" s="4" t="s">
        <v>19</v>
      </c>
      <c r="D11" s="4" t="s">
        <v>183</v>
      </c>
      <c r="E11" s="4" t="s">
        <v>184</v>
      </c>
    </row>
    <row r="12" spans="1:5" x14ac:dyDescent="0.2">
      <c r="A12" s="1">
        <v>1</v>
      </c>
      <c r="B12" s="1" t="s">
        <v>185</v>
      </c>
      <c r="C12" s="1" t="s">
        <v>186</v>
      </c>
      <c r="D12" s="1">
        <f>0.000463*C2*C4</f>
        <v>5.8337999999999994E-2</v>
      </c>
      <c r="E12" t="s">
        <v>187</v>
      </c>
    </row>
    <row r="13" spans="1:5" x14ac:dyDescent="0.2">
      <c r="A13" s="1">
        <v>2</v>
      </c>
      <c r="B13" s="1" t="s">
        <v>188</v>
      </c>
      <c r="C13" s="1" t="s">
        <v>189</v>
      </c>
      <c r="D13" s="1">
        <f>IF(C3&lt;50,0.00194*(C3-4.6),"No aplicable")</f>
        <v>7.2555999999999995E-2</v>
      </c>
      <c r="E13" t="s">
        <v>190</v>
      </c>
    </row>
  </sheetData>
  <sheetProtection algorithmName="SHA-512" hashValue="WdEKXpOa2FGIXGUKHJnJcgU0hKvm2OXNCM1NdF+RedJDV2b7Ru1vv2aJAxCe8CJETI4xm3/qzMNUENLCxO3bMQ==" saltValue="AgXuPXKiZpi9tkfWNyPOig==" spinCount="100000" sheet="1" objects="1" scenarios="1"/>
  <protectedRanges>
    <protectedRange sqref="C2:C4" name="Rango1"/>
  </protectedRanges>
  <mergeCells count="1">
    <mergeCell ref="A10:E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42D5-6B44-4A02-B4B1-F0E5951293A1}">
  <dimension ref="A1:E20"/>
  <sheetViews>
    <sheetView workbookViewId="0">
      <selection activeCell="C2" sqref="C2"/>
    </sheetView>
  </sheetViews>
  <sheetFormatPr baseColWidth="10" defaultColWidth="11" defaultRowHeight="16" x14ac:dyDescent="0.2"/>
  <cols>
    <col min="2" max="2" width="25" bestFit="1" customWidth="1"/>
    <col min="3" max="3" width="31.6640625" bestFit="1" customWidth="1"/>
    <col min="4" max="4" width="11.83203125" bestFit="1" customWidth="1"/>
  </cols>
  <sheetData>
    <row r="1" spans="1:5" x14ac:dyDescent="0.2">
      <c r="A1" s="10" t="s">
        <v>0</v>
      </c>
      <c r="B1" s="10" t="s">
        <v>1</v>
      </c>
      <c r="C1" s="10" t="s">
        <v>2</v>
      </c>
      <c r="D1" s="10" t="s">
        <v>3</v>
      </c>
    </row>
    <row r="2" spans="1:5" x14ac:dyDescent="0.2">
      <c r="A2" s="7" t="s">
        <v>10</v>
      </c>
      <c r="B2" s="7" t="s">
        <v>104</v>
      </c>
      <c r="C2" s="9">
        <v>30</v>
      </c>
      <c r="D2" s="8" t="s">
        <v>12</v>
      </c>
    </row>
    <row r="3" spans="1:5" x14ac:dyDescent="0.2">
      <c r="A3" s="7" t="s">
        <v>191</v>
      </c>
      <c r="B3" s="7" t="s">
        <v>192</v>
      </c>
      <c r="C3" s="9">
        <v>26</v>
      </c>
      <c r="D3" s="8" t="s">
        <v>193</v>
      </c>
    </row>
    <row r="4" spans="1:5" x14ac:dyDescent="0.2">
      <c r="A4" s="7" t="s">
        <v>194</v>
      </c>
      <c r="B4" s="7" t="s">
        <v>195</v>
      </c>
      <c r="C4" s="9">
        <v>0.3</v>
      </c>
      <c r="D4" s="8" t="s">
        <v>196</v>
      </c>
    </row>
    <row r="5" spans="1:5" x14ac:dyDescent="0.2">
      <c r="D5" s="1"/>
    </row>
    <row r="10" spans="1:5" x14ac:dyDescent="0.2">
      <c r="A10" s="32" t="s">
        <v>197</v>
      </c>
      <c r="B10" s="32"/>
      <c r="C10" s="32"/>
      <c r="D10" s="32"/>
      <c r="E10" s="32"/>
    </row>
    <row r="11" spans="1:5" x14ac:dyDescent="0.2">
      <c r="A11" s="4" t="s">
        <v>17</v>
      </c>
      <c r="B11" s="4" t="s">
        <v>18</v>
      </c>
      <c r="C11" s="4" t="s">
        <v>19</v>
      </c>
      <c r="D11" s="4" t="s">
        <v>198</v>
      </c>
      <c r="E11" s="4" t="s">
        <v>21</v>
      </c>
    </row>
    <row r="12" spans="1:5" x14ac:dyDescent="0.2">
      <c r="A12" s="1">
        <v>1</v>
      </c>
      <c r="B12" s="1" t="s">
        <v>199</v>
      </c>
      <c r="C12" s="1" t="s">
        <v>138</v>
      </c>
      <c r="D12" s="27">
        <f>0.19+0.233*LOG10(C2)</f>
        <v>0.53416925234968138</v>
      </c>
      <c r="E12" t="s">
        <v>10</v>
      </c>
    </row>
    <row r="13" spans="1:5" x14ac:dyDescent="0.2">
      <c r="A13" s="1">
        <v>2</v>
      </c>
      <c r="B13" s="1" t="s">
        <v>200</v>
      </c>
      <c r="C13" s="1" t="s">
        <v>138</v>
      </c>
      <c r="D13" s="27">
        <f>0.44+0.0042*C2</f>
        <v>0.56600000000000006</v>
      </c>
      <c r="E13" t="s">
        <v>10</v>
      </c>
    </row>
    <row r="14" spans="1:5" x14ac:dyDescent="0.2">
      <c r="A14" s="1">
        <v>3</v>
      </c>
      <c r="B14" s="1" t="s">
        <v>201</v>
      </c>
      <c r="C14" s="1" t="s">
        <v>202</v>
      </c>
      <c r="D14" s="27">
        <f>1-SIN(RADIANS(C3))</f>
        <v>0.5616288532109226</v>
      </c>
      <c r="E14" t="s">
        <v>191</v>
      </c>
    </row>
    <row r="15" spans="1:5" x14ac:dyDescent="0.2">
      <c r="A15" s="1">
        <v>4</v>
      </c>
      <c r="B15" s="1" t="s">
        <v>203</v>
      </c>
      <c r="C15" s="1" t="s">
        <v>138</v>
      </c>
      <c r="D15" s="27">
        <f>0.95-SIN(RADIANS(C3))</f>
        <v>0.51162885321092255</v>
      </c>
      <c r="E15" t="s">
        <v>191</v>
      </c>
    </row>
    <row r="16" spans="1:5" x14ac:dyDescent="0.2">
      <c r="A16" s="1">
        <v>5</v>
      </c>
      <c r="B16" s="1" t="s">
        <v>203</v>
      </c>
      <c r="C16" s="1" t="s">
        <v>204</v>
      </c>
      <c r="D16" s="27">
        <f>(1-SIN(RADIANS(C3)))*SQRT(C4)</f>
        <v>0.30761679184938001</v>
      </c>
      <c r="E16" t="s">
        <v>10</v>
      </c>
    </row>
    <row r="17" spans="1:5" x14ac:dyDescent="0.2">
      <c r="A17" s="1">
        <v>6</v>
      </c>
      <c r="B17" s="1" t="s">
        <v>205</v>
      </c>
      <c r="C17" s="1" t="s">
        <v>206</v>
      </c>
      <c r="D17" s="27">
        <f>0.44+0.42*C2/100</f>
        <v>0.56600000000000006</v>
      </c>
      <c r="E17" t="s">
        <v>10</v>
      </c>
    </row>
    <row r="18" spans="1:5" x14ac:dyDescent="0.2">
      <c r="A18" s="1">
        <v>7</v>
      </c>
      <c r="B18" s="1" t="s">
        <v>203</v>
      </c>
      <c r="C18" s="1" t="s">
        <v>207</v>
      </c>
      <c r="D18" s="27">
        <f>0.4+0.007*C2</f>
        <v>0.61</v>
      </c>
      <c r="E18" t="s">
        <v>10</v>
      </c>
    </row>
    <row r="19" spans="1:5" x14ac:dyDescent="0.2">
      <c r="A19" s="1">
        <v>8</v>
      </c>
      <c r="B19" s="1" t="s">
        <v>203</v>
      </c>
      <c r="C19" s="1" t="s">
        <v>208</v>
      </c>
      <c r="D19" s="27">
        <f>0.64+0.001*C2</f>
        <v>0.67</v>
      </c>
      <c r="E19" t="s">
        <v>209</v>
      </c>
    </row>
    <row r="20" spans="1:5" x14ac:dyDescent="0.2">
      <c r="A20" s="1">
        <v>9</v>
      </c>
      <c r="B20" s="1" t="s">
        <v>203</v>
      </c>
      <c r="C20" s="1" t="s">
        <v>210</v>
      </c>
      <c r="D20" s="27">
        <f>(1-SIN(RADIANS(C3)))*C4^(SIN(RADIANS(C3)))</f>
        <v>0.33130993250660795</v>
      </c>
      <c r="E20" t="s">
        <v>209</v>
      </c>
    </row>
  </sheetData>
  <sheetProtection algorithmName="SHA-512" hashValue="5wELFNpifdjgVyEvMl2YQRsF8IzgHjnG1zeQjEhD+yc8glz0QQtXNbq6ycMsWO9O1wRarSlrZ5C14Wtj4z2ktQ==" saltValue="oHAg83hC+KaeGQaPRxcblw==" spinCount="100000" sheet="1" objects="1" scenarios="1"/>
  <protectedRanges>
    <protectedRange sqref="C2:C4" name="Rango1"/>
  </protectedRanges>
  <mergeCells count="1">
    <mergeCell ref="A10:E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2EC6A370C6FB449078574DCAC33E91" ma:contentTypeVersion="14" ma:contentTypeDescription="Crear nuevo documento." ma:contentTypeScope="" ma:versionID="e7f53dd3ba5d3bf9f412a1d35dde1f50">
  <xsd:schema xmlns:xsd="http://www.w3.org/2001/XMLSchema" xmlns:xs="http://www.w3.org/2001/XMLSchema" xmlns:p="http://schemas.microsoft.com/office/2006/metadata/properties" xmlns:ns2="4c2410b3-3177-4b29-acd2-9c3d81cdc6ac" xmlns:ns3="ae39debc-ae70-4412-b345-86ff9756a932" targetNamespace="http://schemas.microsoft.com/office/2006/metadata/properties" ma:root="true" ma:fieldsID="08da3559922fd8359d6c66642334fb24" ns2:_="" ns3:_="">
    <xsd:import namespace="4c2410b3-3177-4b29-acd2-9c3d81cdc6ac"/>
    <xsd:import namespace="ae39debc-ae70-4412-b345-86ff9756a9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410b3-3177-4b29-acd2-9c3d81cdc6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efd234f2-8b38-493f-8186-36fc7bb8f4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9debc-ae70-4412-b345-86ff9756a9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6715f4a-32e6-4a0f-9725-5a76da8094b4}" ma:internalName="TaxCatchAll" ma:showField="CatchAllData" ma:web="ae39debc-ae70-4412-b345-86ff9756a9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e39debc-ae70-4412-b345-86ff9756a932">
      <UserInfo>
        <DisplayName/>
        <AccountId xsi:nil="true"/>
        <AccountType/>
      </UserInfo>
    </SharedWithUsers>
    <TaxCatchAll xmlns="ae39debc-ae70-4412-b345-86ff9756a932" xsi:nil="true"/>
    <lcf76f155ced4ddcb4097134ff3c332f xmlns="4c2410b3-3177-4b29-acd2-9c3d81cdc6a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BC89D1C-43E5-4251-AE8B-B7438EDA3D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A9E3D7-3F16-462A-BB07-B88ABA3F4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410b3-3177-4b29-acd2-9c3d81cdc6ac"/>
    <ds:schemaRef ds:uri="ae39debc-ae70-4412-b345-86ff9756a9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B6A02A-E033-4FE8-91B2-145A73F1777D}">
  <ds:schemaRefs>
    <ds:schemaRef ds:uri="http://schemas.microsoft.com/office/2006/metadata/properties"/>
    <ds:schemaRef ds:uri="http://schemas.microsoft.com/office/infopath/2007/PartnerControls"/>
    <ds:schemaRef ds:uri="ae39debc-ae70-4412-b345-86ff9756a932"/>
    <ds:schemaRef ds:uri="4c2410b3-3177-4b29-acd2-9c3d81cdc6a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Cu</vt:lpstr>
      <vt:lpstr>f-&gt; angulo de rozamiento</vt:lpstr>
      <vt:lpstr>E-&gt;Mod Elasticidad Arenas</vt:lpstr>
      <vt:lpstr>E-&gt;Mod Elasticidad Arcillas</vt:lpstr>
      <vt:lpstr>E-&gt;Mod Elasticidad CTE</vt:lpstr>
      <vt:lpstr>Coef. Poisson</vt:lpstr>
      <vt:lpstr>Cc</vt:lpstr>
      <vt:lpstr>Cs</vt:lpstr>
      <vt:lpstr>Ko</vt:lpstr>
      <vt:lpstr>OCR</vt:lpstr>
      <vt:lpstr>K30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Germán  López Pineda</cp:lastModifiedBy>
  <cp:revision/>
  <dcterms:created xsi:type="dcterms:W3CDTF">2024-04-04T19:51:32Z</dcterms:created>
  <dcterms:modified xsi:type="dcterms:W3CDTF">2024-12-22T11:06:52Z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0x0101007F2EC6A370C6FB449078574DCAC33E91</vt:lpwstr>
  </property>
  <property fmtid="{D5CDD505-2E9C-101B-9397-08002B2CF9AE}" pid="3" name="MediaServiceImageTags">
    <vt:lpwstr/>
  </property>
</Properties>
</file>