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manlopezpineda/Documents/Python/Correlaciones/"/>
    </mc:Choice>
  </mc:AlternateContent>
  <xr:revisionPtr revIDLastSave="0" documentId="13_ncr:1_{B7A41AF9-5739-6344-A337-608978350991}" xr6:coauthVersionLast="45" xr6:coauthVersionMax="45" xr10:uidLastSave="{00000000-0000-0000-0000-000000000000}"/>
  <bookViews>
    <workbookView xWindow="1020" yWindow="1860" windowWidth="32200" windowHeight="17440" activeTab="1" xr2:uid="{D959962B-4E52-3E4E-A961-EFC8F4AB8B5B}"/>
  </bookViews>
  <sheets>
    <sheet name="Cs" sheetId="1" r:id="rId1"/>
    <sheet name="Cc" sheetId="3" r:id="rId2"/>
    <sheet name="Hoja3" sheetId="6" r:id="rId3"/>
    <sheet name="Hoja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3" l="1"/>
  <c r="R12" i="3"/>
  <c r="R11" i="3"/>
  <c r="R10" i="3"/>
  <c r="C24" i="3"/>
  <c r="M31" i="3"/>
  <c r="M30" i="3"/>
  <c r="M29" i="3"/>
  <c r="M28" i="3"/>
  <c r="M27" i="3"/>
  <c r="M17" i="3"/>
  <c r="M16" i="3"/>
  <c r="M15" i="3"/>
  <c r="M14" i="3"/>
  <c r="M13" i="3"/>
  <c r="M12" i="3"/>
  <c r="M10" i="3"/>
  <c r="M11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28" i="3" s="1"/>
  <c r="H10" i="3"/>
  <c r="H31" i="3" s="1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R29" i="3" l="1"/>
  <c r="R31" i="3"/>
  <c r="C27" i="3"/>
  <c r="R28" i="3"/>
  <c r="C31" i="3"/>
  <c r="C40" i="3"/>
  <c r="C39" i="3"/>
  <c r="C38" i="3"/>
  <c r="C36" i="3"/>
  <c r="C37" i="3"/>
  <c r="C28" i="3"/>
  <c r="R30" i="3"/>
  <c r="C29" i="3"/>
  <c r="C30" i="3"/>
  <c r="R27" i="3"/>
  <c r="H29" i="3"/>
  <c r="H30" i="3"/>
  <c r="H27" i="3"/>
  <c r="D12" i="1"/>
  <c r="D13" i="1"/>
</calcChain>
</file>

<file path=xl/sharedStrings.xml><?xml version="1.0" encoding="utf-8"?>
<sst xmlns="http://schemas.openxmlformats.org/spreadsheetml/2006/main" count="121" uniqueCount="58">
  <si>
    <t>Símbolo</t>
  </si>
  <si>
    <t>Descripción</t>
  </si>
  <si>
    <t>Valor</t>
  </si>
  <si>
    <t>unidad</t>
  </si>
  <si>
    <t>LL</t>
  </si>
  <si>
    <t>IP</t>
  </si>
  <si>
    <t>Gs</t>
  </si>
  <si>
    <t>Límite Líquido</t>
  </si>
  <si>
    <t>Índice de plasticidad</t>
  </si>
  <si>
    <t>Peso específico relativo</t>
  </si>
  <si>
    <t>%</t>
  </si>
  <si>
    <t>Tabla de estimación de valores de Cs</t>
  </si>
  <si>
    <t>Autor</t>
  </si>
  <si>
    <t>Aplicación</t>
  </si>
  <si>
    <t>Todos las arcillas inorgánicas</t>
  </si>
  <si>
    <t>Cs</t>
  </si>
  <si>
    <t>Nakase et all 1988</t>
  </si>
  <si>
    <t>Mejor si PI&lt;50</t>
  </si>
  <si>
    <t>ID</t>
  </si>
  <si>
    <t>Cc</t>
  </si>
  <si>
    <t>Azzouz el al1976</t>
  </si>
  <si>
    <t>Cozzolino 1961</t>
  </si>
  <si>
    <t>Mayne 1980</t>
  </si>
  <si>
    <t>Nishant Dayal et al 2006</t>
  </si>
  <si>
    <t>Shouka 1964</t>
  </si>
  <si>
    <t>Skempton 1944</t>
  </si>
  <si>
    <t>Terzaghi y Peck 1967</t>
  </si>
  <si>
    <t>Tsuchida 1991</t>
  </si>
  <si>
    <t>Yamagutshi 1959</t>
  </si>
  <si>
    <t>Yoon et al 2004</t>
  </si>
  <si>
    <t>Tabla de estimación de valores de Cc (LL)</t>
  </si>
  <si>
    <t>min</t>
  </si>
  <si>
    <t>max</t>
  </si>
  <si>
    <t>promedio</t>
  </si>
  <si>
    <t>desviacion</t>
  </si>
  <si>
    <t>n</t>
  </si>
  <si>
    <t>w</t>
  </si>
  <si>
    <t>e</t>
  </si>
  <si>
    <t>Índice de poros</t>
  </si>
  <si>
    <t>Bowles 1989</t>
  </si>
  <si>
    <t>Hough 1957</t>
  </si>
  <si>
    <t>Moh, Chin, Lin y Woo 1989</t>
  </si>
  <si>
    <t>Nishida 1956</t>
  </si>
  <si>
    <t>Shorten 1995</t>
  </si>
  <si>
    <t>Sowers 1970</t>
  </si>
  <si>
    <t>Tabla de estimación de valores de Cc (e)</t>
  </si>
  <si>
    <t>Tabla de estimación de valores de Cc (w)</t>
  </si>
  <si>
    <t>Humedad</t>
  </si>
  <si>
    <t>Herrero 1983</t>
  </si>
  <si>
    <t>Koppula 1981</t>
  </si>
  <si>
    <t xml:space="preserve">Nagaraj &amp; Srinavasa Murthy 1985 </t>
  </si>
  <si>
    <t>Jimenez Salas</t>
  </si>
  <si>
    <t>Tabla de estimación de valores de Cc (w,e,LL)</t>
  </si>
  <si>
    <t>Parámetro LL</t>
  </si>
  <si>
    <t>parámetro e</t>
  </si>
  <si>
    <t>Parámetro w</t>
  </si>
  <si>
    <t>Parámetros w,e,LL</t>
  </si>
  <si>
    <t>Todas las correlaciones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</si>
</sst>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2" borderId="0" xfId="0" applyFill="1" applyAlignment="1">
      <alignment horizontal="center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3A187-9DF2-2E41-9CA9-2179B29E0ADB}">
  <dimension ref="A1:D13"/>
  <sheetViews>
    <sheetView workbookViewId="0">
      <selection activeCell="D16" sqref="D16"/>
    </sheetView>
  </sheetViews>
  <sheetFormatPr baseColWidth="10" defaultRowHeight="16" x14ac:dyDescent="0.2"/>
  <cols>
    <col min="2" max="2" width="29.1640625" bestFit="1" customWidth="1"/>
    <col min="3" max="3" width="24.83203125" bestFit="1" customWidth="1"/>
    <col min="4" max="4" width="9.1640625" bestFit="1" customWidth="1"/>
  </cols>
  <sheetData>
    <row r="1" spans="1:4" x14ac:dyDescent="0.2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2">
      <c r="A2" s="7" t="s">
        <v>4</v>
      </c>
      <c r="B2" s="7" t="s">
        <v>7</v>
      </c>
      <c r="C2" s="9">
        <v>50</v>
      </c>
      <c r="D2" s="8" t="s">
        <v>10</v>
      </c>
    </row>
    <row r="3" spans="1:4" x14ac:dyDescent="0.2">
      <c r="A3" s="7" t="s">
        <v>5</v>
      </c>
      <c r="B3" s="7" t="s">
        <v>8</v>
      </c>
      <c r="C3" s="9">
        <v>25</v>
      </c>
      <c r="D3" s="8" t="s">
        <v>10</v>
      </c>
    </row>
    <row r="4" spans="1:4" x14ac:dyDescent="0.2">
      <c r="A4" s="7" t="s">
        <v>6</v>
      </c>
      <c r="B4" s="7" t="s">
        <v>9</v>
      </c>
      <c r="C4" s="9">
        <v>2.7</v>
      </c>
      <c r="D4" s="8"/>
    </row>
    <row r="5" spans="1:4" x14ac:dyDescent="0.2">
      <c r="D5" s="1"/>
    </row>
    <row r="10" spans="1:4" x14ac:dyDescent="0.2">
      <c r="A10" s="11" t="s">
        <v>11</v>
      </c>
      <c r="B10" s="11"/>
      <c r="C10" s="11"/>
      <c r="D10" s="11"/>
    </row>
    <row r="11" spans="1:4" x14ac:dyDescent="0.2">
      <c r="A11" s="4" t="s">
        <v>18</v>
      </c>
      <c r="B11" s="4" t="s">
        <v>12</v>
      </c>
      <c r="C11" s="4" t="s">
        <v>13</v>
      </c>
      <c r="D11" s="4" t="s">
        <v>15</v>
      </c>
    </row>
    <row r="12" spans="1:4" x14ac:dyDescent="0.2">
      <c r="A12" s="1">
        <v>1</v>
      </c>
      <c r="B12" s="1" t="s">
        <v>50</v>
      </c>
      <c r="C12" s="1" t="s">
        <v>14</v>
      </c>
      <c r="D12" s="1">
        <f>0.000463*C2*C4</f>
        <v>6.2505000000000005E-2</v>
      </c>
    </row>
    <row r="13" spans="1:4" x14ac:dyDescent="0.2">
      <c r="A13" s="1">
        <v>2</v>
      </c>
      <c r="B13" s="1" t="s">
        <v>16</v>
      </c>
      <c r="C13" s="1" t="s">
        <v>17</v>
      </c>
      <c r="D13" s="1">
        <f>0.00194*(C3-4.6)</f>
        <v>3.9576E-2</v>
      </c>
    </row>
  </sheetData>
  <mergeCells count="1"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F14A-7A50-894C-A727-E4734373B3BC}">
  <dimension ref="A1:R40"/>
  <sheetViews>
    <sheetView tabSelected="1" workbookViewId="0">
      <selection activeCell="C30" sqref="C30"/>
    </sheetView>
  </sheetViews>
  <sheetFormatPr baseColWidth="10" defaultRowHeight="16" x14ac:dyDescent="0.2"/>
  <cols>
    <col min="2" max="2" width="21.5" bestFit="1" customWidth="1"/>
    <col min="3" max="3" width="11.6640625" style="1" customWidth="1"/>
    <col min="7" max="7" width="23.1640625" bestFit="1" customWidth="1"/>
    <col min="12" max="12" width="23.1640625" bestFit="1" customWidth="1"/>
    <col min="17" max="17" width="21.5" bestFit="1" customWidth="1"/>
  </cols>
  <sheetData>
    <row r="1" spans="1:18" x14ac:dyDescent="0.2">
      <c r="A1" s="6" t="s">
        <v>0</v>
      </c>
      <c r="B1" s="6" t="s">
        <v>1</v>
      </c>
      <c r="C1" s="6" t="s">
        <v>2</v>
      </c>
      <c r="D1" s="6" t="s">
        <v>3</v>
      </c>
    </row>
    <row r="2" spans="1:18" x14ac:dyDescent="0.2">
      <c r="A2" s="7" t="s">
        <v>4</v>
      </c>
      <c r="B2" s="7" t="s">
        <v>7</v>
      </c>
      <c r="C2" s="8">
        <v>50</v>
      </c>
      <c r="D2" s="9" t="s">
        <v>10</v>
      </c>
    </row>
    <row r="3" spans="1:18" x14ac:dyDescent="0.2">
      <c r="A3" s="7" t="s">
        <v>37</v>
      </c>
      <c r="B3" s="7" t="s">
        <v>38</v>
      </c>
      <c r="C3" s="8">
        <v>0.8</v>
      </c>
      <c r="D3" s="7"/>
    </row>
    <row r="4" spans="1:18" x14ac:dyDescent="0.2">
      <c r="A4" s="7" t="s">
        <v>36</v>
      </c>
      <c r="B4" s="7" t="s">
        <v>47</v>
      </c>
      <c r="C4" s="8">
        <v>45</v>
      </c>
      <c r="D4" s="9" t="s">
        <v>10</v>
      </c>
    </row>
    <row r="8" spans="1:18" x14ac:dyDescent="0.2">
      <c r="A8" s="11" t="s">
        <v>30</v>
      </c>
      <c r="B8" s="11"/>
      <c r="C8" s="11"/>
      <c r="F8" s="11" t="s">
        <v>45</v>
      </c>
      <c r="G8" s="11"/>
      <c r="H8" s="11"/>
      <c r="K8" s="11" t="s">
        <v>46</v>
      </c>
      <c r="L8" s="11"/>
      <c r="M8" s="11"/>
      <c r="P8" s="11" t="s">
        <v>52</v>
      </c>
      <c r="Q8" s="11"/>
      <c r="R8" s="11"/>
    </row>
    <row r="9" spans="1:18" x14ac:dyDescent="0.2">
      <c r="A9" s="4" t="s">
        <v>18</v>
      </c>
      <c r="B9" s="5" t="s">
        <v>12</v>
      </c>
      <c r="C9" s="4" t="s">
        <v>19</v>
      </c>
      <c r="F9" s="4" t="s">
        <v>18</v>
      </c>
      <c r="G9" s="5" t="s">
        <v>12</v>
      </c>
      <c r="H9" s="4" t="s">
        <v>19</v>
      </c>
      <c r="K9" s="4" t="s">
        <v>18</v>
      </c>
      <c r="L9" s="4" t="s">
        <v>12</v>
      </c>
      <c r="M9" s="4" t="s">
        <v>19</v>
      </c>
      <c r="P9" s="4" t="s">
        <v>18</v>
      </c>
      <c r="Q9" s="4" t="s">
        <v>12</v>
      </c>
      <c r="R9" s="4" t="s">
        <v>19</v>
      </c>
    </row>
    <row r="10" spans="1:18" x14ac:dyDescent="0.2">
      <c r="A10" s="1">
        <v>1</v>
      </c>
      <c r="B10" t="s">
        <v>20</v>
      </c>
      <c r="C10" s="3">
        <f>0.007*(C2-7)</f>
        <v>0.30099999999999999</v>
      </c>
      <c r="F10" s="1">
        <v>1</v>
      </c>
      <c r="G10" t="s">
        <v>20</v>
      </c>
      <c r="H10" s="3">
        <f>1.21+1.005*(C3-1.87)</f>
        <v>0.13464999999999994</v>
      </c>
      <c r="K10" s="1">
        <v>1</v>
      </c>
      <c r="L10" t="s">
        <v>20</v>
      </c>
      <c r="M10" s="3">
        <f>0.0001766*C4^2+0.00593*C4-0.135</f>
        <v>0.48946500000000004</v>
      </c>
      <c r="P10" s="1">
        <v>1</v>
      </c>
      <c r="Q10" t="s">
        <v>20</v>
      </c>
      <c r="R10" s="3">
        <f>0.37*(C3+0.003*C2+0.0004*C4-0.34)</f>
        <v>0.23236000000000004</v>
      </c>
    </row>
    <row r="11" spans="1:18" x14ac:dyDescent="0.2">
      <c r="A11" s="1">
        <v>2</v>
      </c>
      <c r="B11" t="s">
        <v>20</v>
      </c>
      <c r="C11" s="3">
        <f>0.006*(C2-9)</f>
        <v>0.246</v>
      </c>
      <c r="F11" s="1">
        <v>2</v>
      </c>
      <c r="G11" t="s">
        <v>39</v>
      </c>
      <c r="H11" s="3">
        <f>0.208*C3+0.0083</f>
        <v>0.17469999999999999</v>
      </c>
      <c r="K11" s="1">
        <v>2</v>
      </c>
      <c r="L11" t="s">
        <v>48</v>
      </c>
      <c r="M11" s="3">
        <f>0.01*(C4-7.549)</f>
        <v>0.37451000000000001</v>
      </c>
      <c r="P11" s="1">
        <v>2</v>
      </c>
      <c r="Q11" t="s">
        <v>23</v>
      </c>
      <c r="R11" s="3">
        <f>-0.247*C3+0.004*C2+0.01*C4+0.021</f>
        <v>0.47340000000000004</v>
      </c>
    </row>
    <row r="12" spans="1:18" x14ac:dyDescent="0.2">
      <c r="A12" s="1">
        <v>3</v>
      </c>
      <c r="B12" t="s">
        <v>21</v>
      </c>
      <c r="C12" s="3">
        <f>0.0046*(C2-9)</f>
        <v>0.18859999999999999</v>
      </c>
      <c r="F12" s="1">
        <v>3</v>
      </c>
      <c r="G12" t="s">
        <v>39</v>
      </c>
      <c r="H12" s="3">
        <f>0.156*C3+0.0107</f>
        <v>0.13550000000000001</v>
      </c>
      <c r="K12" s="1">
        <v>3</v>
      </c>
      <c r="L12" t="s">
        <v>49</v>
      </c>
      <c r="M12" s="3">
        <f>0.0093*C4</f>
        <v>0.41849999999999998</v>
      </c>
      <c r="P12" s="1">
        <v>3</v>
      </c>
      <c r="Q12" t="s">
        <v>29</v>
      </c>
      <c r="R12" s="3">
        <f>-0.0003*C4+0.538*C3+0.002*C2-0.3</f>
        <v>0.21690000000000004</v>
      </c>
    </row>
    <row r="13" spans="1:18" x14ac:dyDescent="0.2">
      <c r="A13" s="1">
        <v>4</v>
      </c>
      <c r="B13" t="s">
        <v>22</v>
      </c>
      <c r="C13" s="3">
        <f>(C2-13)/109</f>
        <v>0.33944954128440369</v>
      </c>
      <c r="F13" s="1">
        <v>4</v>
      </c>
      <c r="G13" t="s">
        <v>21</v>
      </c>
      <c r="H13" s="3">
        <f>0.43*(C3-0.25)</f>
        <v>0.23650000000000002</v>
      </c>
      <c r="K13" s="1">
        <v>4</v>
      </c>
      <c r="L13" t="s">
        <v>41</v>
      </c>
      <c r="M13" s="3">
        <f>0.015*(C4-8)</f>
        <v>0.55499999999999994</v>
      </c>
      <c r="P13" s="1">
        <v>4</v>
      </c>
      <c r="Q13" t="s">
        <v>29</v>
      </c>
      <c r="R13" s="3">
        <f>0.0038*C4+0.12*C3+0.0065*C2-0.248</f>
        <v>0.34400000000000008</v>
      </c>
    </row>
    <row r="14" spans="1:18" x14ac:dyDescent="0.2">
      <c r="A14" s="1">
        <v>5</v>
      </c>
      <c r="B14" t="s">
        <v>23</v>
      </c>
      <c r="C14" s="3">
        <f>0.0037*(C2+25.5)</f>
        <v>0.27934999999999999</v>
      </c>
      <c r="F14" s="1">
        <v>5</v>
      </c>
      <c r="G14" t="s">
        <v>40</v>
      </c>
      <c r="H14" s="3">
        <f>0.3*(C3-0.27)</f>
        <v>0.159</v>
      </c>
      <c r="K14" s="1">
        <v>5</v>
      </c>
      <c r="L14" t="s">
        <v>23</v>
      </c>
      <c r="M14" s="3">
        <f>0.0135*C4-0.1169</f>
        <v>0.49060000000000004</v>
      </c>
      <c r="P14" s="1"/>
    </row>
    <row r="15" spans="1:18" x14ac:dyDescent="0.2">
      <c r="A15" s="1">
        <v>6</v>
      </c>
      <c r="B15" t="s">
        <v>24</v>
      </c>
      <c r="C15" s="3">
        <f>0.017*(C2-20)</f>
        <v>0.51</v>
      </c>
      <c r="F15" s="1">
        <v>6</v>
      </c>
      <c r="G15" t="s">
        <v>40</v>
      </c>
      <c r="H15" s="2">
        <f>0.35*(C3-0.5)</f>
        <v>0.10500000000000001</v>
      </c>
      <c r="K15" s="1">
        <v>6</v>
      </c>
      <c r="L15" t="s">
        <v>29</v>
      </c>
      <c r="M15" s="3">
        <f>0.013*(C4-3.85)</f>
        <v>0.53494999999999993</v>
      </c>
    </row>
    <row r="16" spans="1:18" x14ac:dyDescent="0.2">
      <c r="A16" s="1">
        <v>7</v>
      </c>
      <c r="B16" t="s">
        <v>25</v>
      </c>
      <c r="C16" s="3">
        <f>0.007*(C2-10)</f>
        <v>0.28000000000000003</v>
      </c>
      <c r="F16" s="1">
        <v>7</v>
      </c>
      <c r="G16" t="s">
        <v>41</v>
      </c>
      <c r="H16" s="2">
        <f>0.54*(C3-0.23)</f>
        <v>0.30780000000000007</v>
      </c>
      <c r="K16" s="1">
        <v>7</v>
      </c>
      <c r="L16" t="s">
        <v>29</v>
      </c>
      <c r="M16" s="3">
        <f>0.01*(C4+2.83)</f>
        <v>0.4783</v>
      </c>
    </row>
    <row r="17" spans="1:18" x14ac:dyDescent="0.2">
      <c r="A17" s="1">
        <v>8</v>
      </c>
      <c r="B17" t="s">
        <v>26</v>
      </c>
      <c r="C17" s="3">
        <f>0.009*(C2-10)</f>
        <v>0.36</v>
      </c>
      <c r="F17" s="1">
        <v>8</v>
      </c>
      <c r="G17" t="s">
        <v>23</v>
      </c>
      <c r="H17" s="3">
        <f>0.46*(C3-0.28)</f>
        <v>0.23920000000000002</v>
      </c>
      <c r="K17" s="1">
        <v>8</v>
      </c>
      <c r="L17" t="s">
        <v>29</v>
      </c>
      <c r="M17" s="3">
        <f>0.011*(C4-11.22)</f>
        <v>0.37157999999999997</v>
      </c>
    </row>
    <row r="18" spans="1:18" x14ac:dyDescent="0.2">
      <c r="A18" s="1">
        <v>9</v>
      </c>
      <c r="B18" t="s">
        <v>27</v>
      </c>
      <c r="C18" s="3">
        <f>0.009*(C2-8)</f>
        <v>0.37799999999999995</v>
      </c>
      <c r="F18" s="1">
        <v>9</v>
      </c>
      <c r="G18" t="s">
        <v>42</v>
      </c>
      <c r="H18" s="2">
        <f>1.15*(C3-0.35)</f>
        <v>0.51750000000000007</v>
      </c>
    </row>
    <row r="19" spans="1:18" x14ac:dyDescent="0.2">
      <c r="A19" s="1">
        <v>10</v>
      </c>
      <c r="B19" t="s">
        <v>27</v>
      </c>
      <c r="C19" s="3">
        <f>0.009*C2</f>
        <v>0.44999999999999996</v>
      </c>
      <c r="F19" s="1">
        <v>10</v>
      </c>
      <c r="G19" t="s">
        <v>42</v>
      </c>
      <c r="H19" s="2">
        <f>1.15*C3</f>
        <v>0.91999999999999993</v>
      </c>
    </row>
    <row r="20" spans="1:18" x14ac:dyDescent="0.2">
      <c r="A20" s="1">
        <v>11</v>
      </c>
      <c r="B20" t="s">
        <v>28</v>
      </c>
      <c r="C20" s="3">
        <f>0.013*(C2-13.5)</f>
        <v>0.47449999999999998</v>
      </c>
      <c r="F20" s="1">
        <v>11</v>
      </c>
      <c r="G20" t="s">
        <v>43</v>
      </c>
      <c r="H20" s="2">
        <f>0.2*C3^1.6</f>
        <v>0.13995034546473958</v>
      </c>
    </row>
    <row r="21" spans="1:18" x14ac:dyDescent="0.2">
      <c r="A21" s="1">
        <v>12</v>
      </c>
      <c r="B21" t="s">
        <v>29</v>
      </c>
      <c r="C21" s="3">
        <f>0.012*(C2+16.4)</f>
        <v>0.79680000000000006</v>
      </c>
      <c r="F21" s="1">
        <v>12</v>
      </c>
      <c r="G21" t="s">
        <v>44</v>
      </c>
      <c r="H21" s="3">
        <f>0.75*(C3-0.5)</f>
        <v>0.22500000000000003</v>
      </c>
    </row>
    <row r="22" spans="1:18" x14ac:dyDescent="0.2">
      <c r="A22" s="1">
        <v>13</v>
      </c>
      <c r="B22" t="s">
        <v>29</v>
      </c>
      <c r="C22" s="3">
        <f>0.011*(C2-6.36)</f>
        <v>0.48003999999999997</v>
      </c>
      <c r="F22" s="1">
        <v>13</v>
      </c>
      <c r="G22" t="s">
        <v>29</v>
      </c>
      <c r="H22" s="3">
        <f>0.54*(C3-0.37)</f>
        <v>0.23220000000000005</v>
      </c>
    </row>
    <row r="23" spans="1:18" x14ac:dyDescent="0.2">
      <c r="A23" s="1">
        <v>14</v>
      </c>
      <c r="B23" t="s">
        <v>29</v>
      </c>
      <c r="C23" s="3">
        <f>0.01*(C2-10.9)</f>
        <v>0.39100000000000001</v>
      </c>
      <c r="F23" s="1">
        <v>14</v>
      </c>
      <c r="G23" t="s">
        <v>29</v>
      </c>
      <c r="H23" s="3">
        <f>0.39*(C3-0.13)</f>
        <v>0.26130000000000003</v>
      </c>
    </row>
    <row r="24" spans="1:18" x14ac:dyDescent="0.2">
      <c r="A24" s="1">
        <v>15</v>
      </c>
      <c r="B24" t="s">
        <v>51</v>
      </c>
      <c r="C24" s="3">
        <f>0.0097*(C2-16.4)</f>
        <v>0.32592000000000004</v>
      </c>
      <c r="F24" s="1">
        <v>15</v>
      </c>
      <c r="G24" t="s">
        <v>29</v>
      </c>
      <c r="H24" s="3">
        <f>0.37*(C3-0.28)</f>
        <v>0.19240000000000002</v>
      </c>
    </row>
    <row r="25" spans="1:18" x14ac:dyDescent="0.2">
      <c r="D25" s="1"/>
    </row>
    <row r="26" spans="1:18" x14ac:dyDescent="0.2">
      <c r="B26" s="12" t="s">
        <v>53</v>
      </c>
      <c r="D26" s="1"/>
      <c r="G26" s="12" t="s">
        <v>54</v>
      </c>
      <c r="L26" s="12" t="s">
        <v>55</v>
      </c>
      <c r="Q26" s="12" t="s">
        <v>56</v>
      </c>
    </row>
    <row r="27" spans="1:18" x14ac:dyDescent="0.2">
      <c r="B27" t="s">
        <v>31</v>
      </c>
      <c r="C27" s="3">
        <f>MIN(C10:C24)</f>
        <v>0.18859999999999999</v>
      </c>
      <c r="G27" t="s">
        <v>31</v>
      </c>
      <c r="H27" s="3">
        <f>MIN(H10:H24)</f>
        <v>0.10500000000000001</v>
      </c>
      <c r="L27" t="s">
        <v>31</v>
      </c>
      <c r="M27" s="3">
        <f>MIN(M10:M24)</f>
        <v>0.37157999999999997</v>
      </c>
      <c r="Q27" t="s">
        <v>31</v>
      </c>
      <c r="R27" s="3">
        <f>MIN(R10:R24)</f>
        <v>0.21690000000000004</v>
      </c>
    </row>
    <row r="28" spans="1:18" x14ac:dyDescent="0.2">
      <c r="B28" t="s">
        <v>32</v>
      </c>
      <c r="C28" s="3">
        <f>MAX(C10:C24)</f>
        <v>0.79680000000000006</v>
      </c>
      <c r="G28" t="s">
        <v>32</v>
      </c>
      <c r="H28" s="3">
        <f>MAX(H10:H24)</f>
        <v>0.91999999999999993</v>
      </c>
      <c r="L28" t="s">
        <v>32</v>
      </c>
      <c r="M28" s="3">
        <f>MAX(M10:M24)</f>
        <v>0.55499999999999994</v>
      </c>
      <c r="Q28" t="s">
        <v>32</v>
      </c>
      <c r="R28" s="3">
        <f>MAX(R10:R24)</f>
        <v>0.47340000000000004</v>
      </c>
    </row>
    <row r="29" spans="1:18" x14ac:dyDescent="0.2">
      <c r="B29" t="s">
        <v>33</v>
      </c>
      <c r="C29" s="3">
        <f>AVERAGE(C10:C24)</f>
        <v>0.38671063608562689</v>
      </c>
      <c r="G29" t="s">
        <v>33</v>
      </c>
      <c r="H29" s="3">
        <f>AVERAGE(H10:H24)</f>
        <v>0.26538002303098268</v>
      </c>
      <c r="L29" t="s">
        <v>33</v>
      </c>
      <c r="M29" s="3">
        <f>AVERAGE(M10:M24)</f>
        <v>0.46411312499999996</v>
      </c>
      <c r="Q29" t="s">
        <v>33</v>
      </c>
      <c r="R29" s="3">
        <f>AVERAGE(R10:R24)</f>
        <v>0.31666500000000003</v>
      </c>
    </row>
    <row r="30" spans="1:18" x14ac:dyDescent="0.2">
      <c r="B30" t="s">
        <v>34</v>
      </c>
      <c r="C30" s="3">
        <f>_xlfn.STDEV.S(C10:C24)</f>
        <v>0.14634606018708313</v>
      </c>
      <c r="G30" t="s">
        <v>34</v>
      </c>
      <c r="H30" s="3">
        <f>_xlfn.STDEV.S(H10:H24)</f>
        <v>0.20675001854151348</v>
      </c>
      <c r="L30" t="s">
        <v>34</v>
      </c>
      <c r="M30" s="3">
        <f>_xlfn.STDEV.S(M10:M24)</f>
        <v>6.9174193006676973E-2</v>
      </c>
      <c r="Q30" t="s">
        <v>34</v>
      </c>
      <c r="R30" s="3">
        <f>_xlfn.STDEV.S(R10:R24)</f>
        <v>0.11884647056882539</v>
      </c>
    </row>
    <row r="31" spans="1:18" x14ac:dyDescent="0.2">
      <c r="B31" t="s">
        <v>35</v>
      </c>
      <c r="C31" s="1">
        <f>COUNT(C10:C24)</f>
        <v>15</v>
      </c>
      <c r="G31" t="s">
        <v>35</v>
      </c>
      <c r="H31" s="1">
        <f>COUNT(H10:H24)</f>
        <v>15</v>
      </c>
      <c r="L31" t="s">
        <v>35</v>
      </c>
      <c r="M31" s="1">
        <f>COUNT(M10:M24)</f>
        <v>8</v>
      </c>
      <c r="Q31" t="s">
        <v>35</v>
      </c>
      <c r="R31" s="1">
        <f>COUNT(R10:R24)</f>
        <v>4</v>
      </c>
    </row>
    <row r="35" spans="2:8" x14ac:dyDescent="0.2">
      <c r="B35" t="s">
        <v>57</v>
      </c>
    </row>
    <row r="36" spans="2:8" x14ac:dyDescent="0.2">
      <c r="B36" t="s">
        <v>31</v>
      </c>
      <c r="C36" s="3">
        <f>MIN(C10:C24,H10:H24,M10:M17,R10:R13)</f>
        <v>0.10500000000000001</v>
      </c>
    </row>
    <row r="37" spans="2:8" x14ac:dyDescent="0.2">
      <c r="B37" t="s">
        <v>32</v>
      </c>
      <c r="C37" s="3">
        <f>MAX(C10:C24,H10:H24,M10:M17,R10:R13)</f>
        <v>0.91999999999999993</v>
      </c>
      <c r="H37" s="13"/>
    </row>
    <row r="38" spans="2:8" x14ac:dyDescent="0.2">
      <c r="B38" t="s">
        <v>33</v>
      </c>
      <c r="C38" s="3">
        <f>AVERAGE(C10:C24,H10:H24,M10:M17,R10:R13)</f>
        <v>0.3514505925416464</v>
      </c>
    </row>
    <row r="39" spans="2:8" x14ac:dyDescent="0.2">
      <c r="B39" t="s">
        <v>34</v>
      </c>
      <c r="C39" s="3">
        <f>_xlfn.STDEV.S(C10:C24,H10:H24,M10:M17,R10:R13)</f>
        <v>0.17181253327378468</v>
      </c>
    </row>
    <row r="40" spans="2:8" x14ac:dyDescent="0.2">
      <c r="B40" t="s">
        <v>35</v>
      </c>
      <c r="C40" s="1">
        <f>COUNT(C10:C24,H10:H24,M10:M17,R10:R13)</f>
        <v>42</v>
      </c>
    </row>
  </sheetData>
  <mergeCells count="4">
    <mergeCell ref="A8:C8"/>
    <mergeCell ref="F8:H8"/>
    <mergeCell ref="K8:M8"/>
    <mergeCell ref="P8:R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E4BC-1C5F-E44B-A81A-1971AF56AF9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8EB8-6CB9-B147-A4F8-AF394B98E61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Cs</vt:lpstr>
      <vt:lpstr>Cc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2024-04-04T19:51:32Z</dcterms:created>
  <dcterms:modified xsi:type="dcterms:W3CDTF">2024-04-07T09:31:53Z</dcterms:modified>
</cp:coreProperties>
</file>