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Repo\CEU\YTwoFall\FinancialManagement\"/>
    </mc:Choice>
  </mc:AlternateContent>
  <xr:revisionPtr revIDLastSave="0" documentId="13_ncr:1_{269034FE-9FEF-4D3B-97B3-37DBA6F27A1E}" xr6:coauthVersionLast="47" xr6:coauthVersionMax="47" xr10:uidLastSave="{00000000-0000-0000-0000-000000000000}"/>
  <bookViews>
    <workbookView xWindow="0" yWindow="24" windowWidth="23040" windowHeight="12216" xr2:uid="{AF36ED53-345A-48DC-80B5-53C3DA0BCE7B}"/>
  </bookViews>
  <sheets>
    <sheet name="CF, PV analysi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3" l="1"/>
  <c r="K8" i="3"/>
  <c r="L8" i="3"/>
  <c r="M8" i="3"/>
  <c r="I8" i="3"/>
  <c r="M52" i="3"/>
  <c r="M53" i="3"/>
  <c r="M47" i="3"/>
  <c r="L52" i="3"/>
  <c r="L53" i="3"/>
  <c r="L47" i="3"/>
  <c r="K54" i="3"/>
  <c r="K55" i="3" s="1"/>
  <c r="M55" i="3" s="1"/>
  <c r="K48" i="3"/>
  <c r="K49" i="3" s="1"/>
  <c r="M49" i="3" s="1"/>
  <c r="G54" i="3"/>
  <c r="G55" i="3" s="1"/>
  <c r="G48" i="3"/>
  <c r="G49" i="3" s="1"/>
  <c r="I29" i="3"/>
  <c r="M29" i="3" s="1"/>
  <c r="P21" i="3"/>
  <c r="P22" i="3" s="1"/>
  <c r="P23" i="3" s="1"/>
  <c r="P24" i="3" s="1"/>
  <c r="P25" i="3" s="1"/>
  <c r="P26" i="3" s="1"/>
  <c r="P27" i="3" s="1"/>
  <c r="K17" i="3"/>
  <c r="L17" i="3" s="1"/>
  <c r="M17" i="3" s="1"/>
  <c r="N17" i="3" s="1"/>
  <c r="I16" i="3"/>
  <c r="J16" i="3" s="1"/>
  <c r="K16" i="3" s="1"/>
  <c r="L16" i="3" s="1"/>
  <c r="M16" i="3" s="1"/>
  <c r="I12" i="3"/>
  <c r="O7" i="3"/>
  <c r="I7" i="3"/>
  <c r="J7" i="3" s="1"/>
  <c r="K7" i="3" s="1"/>
  <c r="L7" i="3" s="1"/>
  <c r="M7" i="3" s="1"/>
  <c r="I6" i="3"/>
  <c r="J6" i="3" s="1"/>
  <c r="K6" i="3" s="1"/>
  <c r="L6" i="3" s="1"/>
  <c r="M6" i="3" s="1"/>
  <c r="C29" i="3"/>
  <c r="C15" i="3"/>
  <c r="C25" i="3"/>
  <c r="M15" i="3" s="1"/>
  <c r="C19" i="3"/>
  <c r="C12" i="3"/>
  <c r="C7" i="3"/>
  <c r="M14" i="3" s="1"/>
  <c r="N19" i="3"/>
  <c r="P15" i="3"/>
  <c r="P16" i="3" s="1"/>
  <c r="P17" i="3" s="1"/>
  <c r="P18" i="3" s="1"/>
  <c r="J2" i="3"/>
  <c r="K2" i="3" s="1"/>
  <c r="L2" i="3" s="1"/>
  <c r="M2" i="3" s="1"/>
  <c r="N2" i="3" s="1"/>
  <c r="L15" i="3" l="1"/>
  <c r="K15" i="3"/>
  <c r="O8" i="3"/>
  <c r="L55" i="3"/>
  <c r="L54" i="3"/>
  <c r="I11" i="3"/>
  <c r="L13" i="3" s="1"/>
  <c r="L49" i="3"/>
  <c r="L48" i="3"/>
  <c r="J14" i="3"/>
  <c r="M48" i="3"/>
  <c r="J15" i="3"/>
  <c r="N15" i="3"/>
  <c r="M54" i="3"/>
  <c r="K56" i="3"/>
  <c r="K50" i="3"/>
  <c r="G56" i="3"/>
  <c r="G50" i="3"/>
  <c r="I21" i="3"/>
  <c r="N14" i="3"/>
  <c r="K14" i="3"/>
  <c r="L14" i="3"/>
  <c r="M13" i="3" l="1"/>
  <c r="N13" i="3"/>
  <c r="N21" i="3" s="1"/>
  <c r="O6" i="3"/>
  <c r="Q16" i="3"/>
  <c r="K13" i="3"/>
  <c r="J13" i="3"/>
  <c r="J21" i="3" s="1"/>
  <c r="H53" i="3" s="1"/>
  <c r="K21" i="3"/>
  <c r="H37" i="3" s="1"/>
  <c r="L56" i="3"/>
  <c r="M56" i="3"/>
  <c r="M50" i="3"/>
  <c r="L50" i="3"/>
  <c r="K51" i="3"/>
  <c r="K57" i="3"/>
  <c r="G51" i="3"/>
  <c r="G57" i="3"/>
  <c r="M21" i="3"/>
  <c r="L21" i="3"/>
  <c r="N52" i="3" l="1"/>
  <c r="H38" i="3"/>
  <c r="H23" i="3"/>
  <c r="Q19" i="3"/>
  <c r="N47" i="3"/>
  <c r="H36" i="3"/>
  <c r="H35" i="3"/>
  <c r="H40" i="3"/>
  <c r="H39" i="3"/>
  <c r="N48" i="3"/>
  <c r="O48" i="3" s="1"/>
  <c r="I53" i="3"/>
  <c r="R19" i="3"/>
  <c r="O47" i="3"/>
  <c r="H54" i="3"/>
  <c r="I54" i="3" s="1"/>
  <c r="O52" i="3"/>
  <c r="N55" i="3"/>
  <c r="O55" i="3" s="1"/>
  <c r="Q26" i="3"/>
  <c r="R26" i="3" s="1"/>
  <c r="H50" i="3"/>
  <c r="I50" i="3" s="1"/>
  <c r="H49" i="3"/>
  <c r="I49" i="3" s="1"/>
  <c r="H48" i="3"/>
  <c r="I48" i="3" s="1"/>
  <c r="Q14" i="3"/>
  <c r="R14" i="3" s="1"/>
  <c r="Q15" i="3"/>
  <c r="R15" i="3" s="1"/>
  <c r="Q18" i="3"/>
  <c r="R18" i="3" s="1"/>
  <c r="N49" i="3"/>
  <c r="O49" i="3" s="1"/>
  <c r="N54" i="3"/>
  <c r="O54" i="3" s="1"/>
  <c r="H56" i="3"/>
  <c r="I56" i="3" s="1"/>
  <c r="H55" i="3"/>
  <c r="I55" i="3" s="1"/>
  <c r="H52" i="3"/>
  <c r="I52" i="3" s="1"/>
  <c r="Q27" i="3"/>
  <c r="R27" i="3" s="1"/>
  <c r="Q23" i="3"/>
  <c r="R23" i="3" s="1"/>
  <c r="N53" i="3"/>
  <c r="O53" i="3" s="1"/>
  <c r="Q24" i="3"/>
  <c r="R24" i="3" s="1"/>
  <c r="N50" i="3"/>
  <c r="O50" i="3" s="1"/>
  <c r="N56" i="3"/>
  <c r="O56" i="3" s="1"/>
  <c r="Q22" i="3"/>
  <c r="R22" i="3" s="1"/>
  <c r="R16" i="3"/>
  <c r="Q17" i="3"/>
  <c r="R17" i="3" s="1"/>
  <c r="Q21" i="3"/>
  <c r="R21" i="3" s="1"/>
  <c r="H51" i="3"/>
  <c r="I51" i="3" s="1"/>
  <c r="Q25" i="3"/>
  <c r="R25" i="3" s="1"/>
  <c r="H47" i="3"/>
  <c r="I47" i="3" s="1"/>
  <c r="Q20" i="3"/>
  <c r="R20" i="3" s="1"/>
  <c r="L57" i="3"/>
  <c r="M57" i="3"/>
  <c r="N57" i="3" s="1"/>
  <c r="O57" i="3" s="1"/>
  <c r="M51" i="3"/>
  <c r="N51" i="3" s="1"/>
  <c r="O51" i="3" s="1"/>
  <c r="L51" i="3"/>
  <c r="K58" i="3"/>
  <c r="G58" i="3"/>
  <c r="H57" i="3"/>
  <c r="I57" i="3" s="1"/>
  <c r="L58" i="3" l="1"/>
  <c r="M58" i="3"/>
  <c r="N58" i="3" s="1"/>
  <c r="O58" i="3" s="1"/>
  <c r="K59" i="3"/>
  <c r="H58" i="3"/>
  <c r="I58" i="3" s="1"/>
  <c r="G59" i="3"/>
  <c r="L59" i="3" l="1"/>
  <c r="M59" i="3"/>
  <c r="N59" i="3" s="1"/>
  <c r="K60" i="3"/>
  <c r="O59" i="3"/>
  <c r="G60" i="3"/>
  <c r="H60" i="3" s="1"/>
  <c r="I60" i="3" s="1"/>
  <c r="H59" i="3"/>
  <c r="I59" i="3" s="1"/>
  <c r="L60" i="3" l="1"/>
  <c r="M60" i="3"/>
  <c r="N60" i="3" s="1"/>
  <c r="O60" i="3" s="1"/>
</calcChain>
</file>

<file path=xl/sharedStrings.xml><?xml version="1.0" encoding="utf-8"?>
<sst xmlns="http://schemas.openxmlformats.org/spreadsheetml/2006/main" count="81" uniqueCount="67">
  <si>
    <t>House price</t>
  </si>
  <si>
    <t>Closing costs</t>
  </si>
  <si>
    <t>Federal tax</t>
  </si>
  <si>
    <t>Insurance</t>
  </si>
  <si>
    <t>Brokerage fee</t>
  </si>
  <si>
    <t>Rental fee</t>
  </si>
  <si>
    <t>CF stream</t>
  </si>
  <si>
    <t>Downpayment</t>
  </si>
  <si>
    <t>Opportunity cost</t>
  </si>
  <si>
    <t>Interest rate</t>
  </si>
  <si>
    <t>Property tax</t>
  </si>
  <si>
    <t>Maintenance</t>
  </si>
  <si>
    <t>Home insurance</t>
  </si>
  <si>
    <t>Repayment of loan</t>
  </si>
  <si>
    <t>Net CF</t>
  </si>
  <si>
    <t>Drivers</t>
  </si>
  <si>
    <t>PV</t>
  </si>
  <si>
    <t>Scenario 1- Rent</t>
  </si>
  <si>
    <t>Scenario 2- Buy</t>
  </si>
  <si>
    <t>WACC</t>
  </si>
  <si>
    <t>Date</t>
  </si>
  <si>
    <t>Sensitivity analysis</t>
  </si>
  <si>
    <t>Selling price after 5 years</t>
  </si>
  <si>
    <t>Monthly rent (Y1)</t>
  </si>
  <si>
    <t>Rent</t>
  </si>
  <si>
    <t>House</t>
  </si>
  <si>
    <t>Downpayment, 20%</t>
  </si>
  <si>
    <t>Maturity (Y)</t>
  </si>
  <si>
    <t>Mortgage time (Y)</t>
  </si>
  <si>
    <t>Loan</t>
  </si>
  <si>
    <t>point pay offs</t>
  </si>
  <si>
    <t>Yield (gross)</t>
  </si>
  <si>
    <t>premium (/Y)</t>
  </si>
  <si>
    <t>T-Bond savings (br. 4.9%/Y, 5Y)</t>
  </si>
  <si>
    <t>Capital gain tax at 500k+ gain</t>
  </si>
  <si>
    <t>Property tax  / 1000$ / AV</t>
  </si>
  <si>
    <t>Inflation  (/Y, estimated)</t>
  </si>
  <si>
    <t>House Assesed Value</t>
  </si>
  <si>
    <t>Brokerage fee at sell</t>
  </si>
  <si>
    <t>Maintenance (1%) first year</t>
  </si>
  <si>
    <t>Interest (5 years)</t>
  </si>
  <si>
    <t>Worst case</t>
  </si>
  <si>
    <t>Typical case</t>
  </si>
  <si>
    <t>Best case</t>
  </si>
  <si>
    <t>Price at selling</t>
  </si>
  <si>
    <t>Property tax in first year</t>
  </si>
  <si>
    <t>after tax deduction</t>
  </si>
  <si>
    <t>b) Different inflation values</t>
  </si>
  <si>
    <t>c) Property tax if the house price grew</t>
  </si>
  <si>
    <t>Per year we lose 4.9%*0.67 of savings, but we pay 6%*0.67 less</t>
  </si>
  <si>
    <t>Difference</t>
  </si>
  <si>
    <t xml:space="preserve">This results in </t>
  </si>
  <si>
    <t xml:space="preserve">extra dollars per year, overall a </t>
  </si>
  <si>
    <t>boost in PV.</t>
  </si>
  <si>
    <t>a) What if the remaining $30k is instead paid into points? (Scenario 2: Buying)</t>
  </si>
  <si>
    <t>We can assume higher inflation values than 3%, and see how the two scenarios compare.</t>
  </si>
  <si>
    <t>As rent (worst case) follows inflation, we will still assume a PV of 216k for it.</t>
  </si>
  <si>
    <t>Original Sensitivity analysis</t>
  </si>
  <si>
    <t>Modified Sensitivity analysis</t>
  </si>
  <si>
    <t>EADR</t>
  </si>
  <si>
    <t>Discount rate</t>
  </si>
  <si>
    <t>For house costs, only maintenance increases, and the PV of losses per year change (decrease).</t>
  </si>
  <si>
    <t>discount rate</t>
  </si>
  <si>
    <t>in text book; 4.9-6% (3% is low, can't invest in "inflation")</t>
  </si>
  <si>
    <t>(if inflation would be spread out per months through the year, worst case would be even worse)</t>
  </si>
  <si>
    <t>bond yield + something</t>
  </si>
  <si>
    <t>See the "Stedman Place: Buy or Rent?" case study by Harvard Business School.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</si>
</sst>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"/>
    <numFmt numFmtId="166" formatCode="mmm/yyyy"/>
    <numFmt numFmtId="167" formatCode="#,##0;[Red]\(\-#,##0\);&quot;-&quot;"/>
  </numFmts>
  <fonts count="11" x14ac:knownFonts="1">
    <font>
      <sz val="11"/>
      <color theme="1"/>
      <name val="Aptos Narrow"/>
      <family val="2"/>
      <charset val="186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 tint="0.499984740745262"/>
      <name val="Aptos Narrow"/>
      <family val="2"/>
      <charset val="186"/>
      <scheme val="minor"/>
    </font>
    <font>
      <b/>
      <sz val="12"/>
      <color theme="1"/>
      <name val="Aptos"/>
      <family val="2"/>
    </font>
    <font>
      <sz val="11"/>
      <color theme="1"/>
      <name val="Aptos Narrow"/>
      <family val="2"/>
      <scheme val="minor"/>
    </font>
    <font>
      <sz val="11"/>
      <color rgb="FF00B050"/>
      <name val="Aptos Narrow"/>
      <family val="2"/>
      <charset val="186"/>
      <scheme val="minor"/>
    </font>
    <font>
      <b/>
      <sz val="11"/>
      <color theme="9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3" fontId="0" fillId="0" borderId="0" xfId="0" applyNumberFormat="1"/>
    <xf numFmtId="9" fontId="0" fillId="0" borderId="0" xfId="0" applyNumberFormat="1"/>
    <xf numFmtId="165" fontId="0" fillId="0" borderId="0" xfId="0" applyNumberFormat="1"/>
    <xf numFmtId="0" fontId="1" fillId="0" borderId="0" xfId="0" applyFont="1"/>
    <xf numFmtId="3" fontId="1" fillId="0" borderId="0" xfId="0" applyNumberFormat="1" applyFont="1"/>
    <xf numFmtId="167" fontId="0" fillId="0" borderId="0" xfId="0" applyNumberFormat="1"/>
    <xf numFmtId="167" fontId="1" fillId="0" borderId="0" xfId="0" applyNumberFormat="1" applyFont="1"/>
    <xf numFmtId="10" fontId="0" fillId="0" borderId="0" xfId="0" applyNumberFormat="1"/>
    <xf numFmtId="10" fontId="1" fillId="0" borderId="0" xfId="0" applyNumberFormat="1" applyFont="1"/>
    <xf numFmtId="3" fontId="3" fillId="2" borderId="0" xfId="0" applyNumberFormat="1" applyFont="1" applyFill="1"/>
    <xf numFmtId="166" fontId="3" fillId="2" borderId="0" xfId="0" applyNumberFormat="1" applyFont="1" applyFill="1"/>
    <xf numFmtId="0" fontId="1" fillId="3" borderId="0" xfId="0" applyFont="1" applyFill="1"/>
    <xf numFmtId="0" fontId="0" fillId="3" borderId="0" xfId="0" applyFill="1"/>
    <xf numFmtId="0" fontId="1" fillId="0" borderId="1" xfId="0" applyFont="1" applyBorder="1"/>
    <xf numFmtId="0" fontId="1" fillId="0" borderId="0" xfId="0" applyFont="1" applyAlignment="1">
      <alignment horizontal="center"/>
    </xf>
    <xf numFmtId="165" fontId="1" fillId="0" borderId="0" xfId="0" applyNumberFormat="1" applyFont="1"/>
    <xf numFmtId="0" fontId="0" fillId="0" borderId="0" xfId="0" applyAlignment="1">
      <alignment horizontal="right"/>
    </xf>
    <xf numFmtId="0" fontId="1" fillId="0" borderId="2" xfId="0" applyFont="1" applyBorder="1"/>
    <xf numFmtId="3" fontId="0" fillId="0" borderId="3" xfId="0" applyNumberFormat="1" applyBorder="1"/>
    <xf numFmtId="16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4" fontId="0" fillId="0" borderId="3" xfId="0" applyNumberFormat="1" applyBorder="1"/>
    <xf numFmtId="10" fontId="2" fillId="0" borderId="3" xfId="0" applyNumberFormat="1" applyFont="1" applyBorder="1"/>
    <xf numFmtId="0" fontId="4" fillId="0" borderId="0" xfId="0" applyFont="1"/>
    <xf numFmtId="3" fontId="4" fillId="0" borderId="3" xfId="0" applyNumberFormat="1" applyFont="1" applyBorder="1"/>
    <xf numFmtId="9" fontId="4" fillId="0" borderId="3" xfId="0" applyNumberFormat="1" applyFont="1" applyBorder="1"/>
    <xf numFmtId="9" fontId="1" fillId="0" borderId="0" xfId="0" applyNumberFormat="1" applyFont="1"/>
    <xf numFmtId="9" fontId="0" fillId="0" borderId="0" xfId="0" applyNumberFormat="1" applyAlignment="1">
      <alignment horizontal="left"/>
    </xf>
    <xf numFmtId="167" fontId="6" fillId="0" borderId="0" xfId="0" applyNumberFormat="1" applyFont="1"/>
    <xf numFmtId="167" fontId="7" fillId="0" borderId="0" xfId="0" applyNumberFormat="1" applyFont="1"/>
    <xf numFmtId="4" fontId="0" fillId="0" borderId="0" xfId="0" applyNumberFormat="1" applyAlignment="1">
      <alignment horizontal="center"/>
    </xf>
    <xf numFmtId="9" fontId="0" fillId="0" borderId="4" xfId="0" applyNumberFormat="1" applyBorder="1"/>
    <xf numFmtId="165" fontId="0" fillId="0" borderId="4" xfId="0" applyNumberFormat="1" applyBorder="1"/>
    <xf numFmtId="10" fontId="0" fillId="0" borderId="4" xfId="0" applyNumberFormat="1" applyBorder="1"/>
    <xf numFmtId="0" fontId="3" fillId="2" borderId="4" xfId="0" applyFont="1" applyFill="1" applyBorder="1" applyAlignment="1">
      <alignment horizontal="center"/>
    </xf>
    <xf numFmtId="0" fontId="8" fillId="0" borderId="0" xfId="0" applyFont="1"/>
    <xf numFmtId="167" fontId="9" fillId="0" borderId="0" xfId="0" applyNumberFormat="1" applyFont="1"/>
    <xf numFmtId="0" fontId="0" fillId="0" borderId="0" xfId="0" applyAlignment="1">
      <alignment horizontal="center" wrapText="1"/>
    </xf>
    <xf numFmtId="0" fontId="3" fillId="2" borderId="0" xfId="0" applyFont="1" applyFill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3" fontId="0" fillId="0" borderId="0" xfId="0" applyNumberFormat="1" applyAlignment="1">
      <alignment horizontal="center"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BA3C7-23F2-4395-894B-75BB2F586DE6}">
  <dimension ref="B1:R60"/>
  <sheetViews>
    <sheetView tabSelected="1" topLeftCell="B3" workbookViewId="0">
      <selection activeCell="D14" sqref="D14"/>
    </sheetView>
  </sheetViews>
  <sheetFormatPr defaultRowHeight="14.4" x14ac:dyDescent="0.3"/>
  <cols>
    <col min="1" max="1" width="3.44140625" customWidth="1"/>
    <col min="2" max="2" width="25.77734375" customWidth="1"/>
    <col min="3" max="3" width="8.5546875" style="1" bestFit="1" customWidth="1"/>
    <col min="4" max="4" width="14.6640625" customWidth="1"/>
    <col min="5" max="5" width="10.21875" customWidth="1"/>
    <col min="6" max="6" width="10.6640625" customWidth="1"/>
    <col min="7" max="7" width="14.5546875" bestFit="1" customWidth="1"/>
    <col min="8" max="8" width="16.33203125" customWidth="1"/>
    <col min="9" max="9" width="11.109375" bestFit="1" customWidth="1"/>
    <col min="10" max="11" width="9.77734375" bestFit="1" customWidth="1"/>
    <col min="13" max="13" width="9.109375" bestFit="1" customWidth="1"/>
    <col min="14" max="14" width="9.33203125" bestFit="1" customWidth="1"/>
    <col min="15" max="15" width="9.77734375" bestFit="1" customWidth="1"/>
    <col min="16" max="16" width="11" customWidth="1"/>
    <col min="17" max="17" width="11.6640625" customWidth="1"/>
    <col min="18" max="19" width="10.77734375" bestFit="1" customWidth="1"/>
  </cols>
  <sheetData>
    <row r="1" spans="2:18" ht="21" x14ac:dyDescent="0.4">
      <c r="B1" s="44" t="s">
        <v>66</v>
      </c>
    </row>
    <row r="2" spans="2:18" x14ac:dyDescent="0.3">
      <c r="I2" s="15">
        <v>0</v>
      </c>
      <c r="J2" s="15">
        <f>I2+1</f>
        <v>1</v>
      </c>
      <c r="K2" s="15">
        <f t="shared" ref="K2:N2" si="0">J2+1</f>
        <v>2</v>
      </c>
      <c r="L2" s="15">
        <f t="shared" si="0"/>
        <v>3</v>
      </c>
      <c r="M2" s="15">
        <f t="shared" si="0"/>
        <v>4</v>
      </c>
      <c r="N2" s="15">
        <f t="shared" si="0"/>
        <v>5</v>
      </c>
    </row>
    <row r="3" spans="2:18" x14ac:dyDescent="0.3">
      <c r="B3" s="18" t="s">
        <v>15</v>
      </c>
      <c r="C3" s="5"/>
      <c r="G3" s="10" t="s">
        <v>6</v>
      </c>
      <c r="H3" s="10" t="s">
        <v>20</v>
      </c>
      <c r="I3" s="11">
        <v>38929</v>
      </c>
      <c r="J3" s="11">
        <v>39294</v>
      </c>
      <c r="K3" s="11">
        <v>39660</v>
      </c>
      <c r="L3" s="11">
        <v>40025</v>
      </c>
      <c r="M3" s="11">
        <v>40390</v>
      </c>
      <c r="N3" s="11">
        <v>40755</v>
      </c>
      <c r="O3" s="11" t="s">
        <v>16</v>
      </c>
    </row>
    <row r="4" spans="2:18" x14ac:dyDescent="0.3">
      <c r="B4" s="14" t="s">
        <v>25</v>
      </c>
      <c r="C4" s="5"/>
      <c r="D4" s="18" t="s">
        <v>24</v>
      </c>
      <c r="E4" s="4"/>
      <c r="G4" s="10"/>
      <c r="H4" s="10"/>
      <c r="I4" s="11"/>
      <c r="J4" s="11"/>
      <c r="K4" s="11"/>
      <c r="L4" s="11"/>
      <c r="M4" s="11"/>
      <c r="N4" s="11"/>
      <c r="O4" s="11"/>
    </row>
    <row r="5" spans="2:18" ht="15.6" x14ac:dyDescent="0.3">
      <c r="B5" s="42" t="s">
        <v>36</v>
      </c>
      <c r="C5" s="42"/>
      <c r="D5" s="42"/>
      <c r="E5" s="28">
        <v>0.03</v>
      </c>
      <c r="G5" s="12" t="s">
        <v>17</v>
      </c>
      <c r="H5" s="13"/>
      <c r="I5" s="13"/>
      <c r="J5" s="13"/>
      <c r="K5" s="13"/>
      <c r="L5" s="13"/>
      <c r="M5" s="13"/>
      <c r="N5" s="13"/>
      <c r="O5" s="13"/>
    </row>
    <row r="6" spans="2:18" x14ac:dyDescent="0.3">
      <c r="B6" t="s">
        <v>0</v>
      </c>
      <c r="C6" s="19">
        <v>600000</v>
      </c>
      <c r="D6" t="s">
        <v>23</v>
      </c>
      <c r="E6" s="1">
        <v>3600</v>
      </c>
      <c r="G6" t="s">
        <v>42</v>
      </c>
      <c r="H6" s="43" t="s">
        <v>5</v>
      </c>
      <c r="I6" s="6">
        <f>-$E$6*12</f>
        <v>-43200</v>
      </c>
      <c r="J6" s="6">
        <f>(I6*(1+$E$5))</f>
        <v>-44496</v>
      </c>
      <c r="K6" s="6">
        <f t="shared" ref="K6:M6" si="1">(J6*(1+$E$5))</f>
        <v>-45830.880000000005</v>
      </c>
      <c r="L6" s="6">
        <f t="shared" si="1"/>
        <v>-47205.806400000009</v>
      </c>
      <c r="M6" s="6">
        <f t="shared" si="1"/>
        <v>-48621.980592000007</v>
      </c>
      <c r="N6" s="6"/>
      <c r="O6" s="7">
        <f>I6+J6/(1+F8)+(K6)/(1+F8)^2+L6/(1+F8)^3+M6/(1+F8)^4</f>
        <v>-208315.84920117777</v>
      </c>
      <c r="P6" s="39" t="s">
        <v>64</v>
      </c>
      <c r="Q6" s="39"/>
      <c r="R6" s="39"/>
    </row>
    <row r="7" spans="2:18" ht="14.4" customHeight="1" x14ac:dyDescent="0.3">
      <c r="B7" t="s">
        <v>26</v>
      </c>
      <c r="C7" s="19">
        <f>0.2*C6</f>
        <v>120000</v>
      </c>
      <c r="G7" t="s">
        <v>41</v>
      </c>
      <c r="H7" s="43"/>
      <c r="I7" s="6">
        <f t="shared" ref="I7:M8" si="2">-$E$6*12</f>
        <v>-43200</v>
      </c>
      <c r="J7" s="6">
        <f>(I7*(1+$E$5))</f>
        <v>-44496</v>
      </c>
      <c r="K7" s="6">
        <f t="shared" ref="K7:M7" si="3">(J7*(1+$E$5))</f>
        <v>-45830.880000000005</v>
      </c>
      <c r="L7" s="6">
        <f t="shared" si="3"/>
        <v>-47205.806400000009</v>
      </c>
      <c r="M7" s="6">
        <f t="shared" si="3"/>
        <v>-48621.980592000007</v>
      </c>
      <c r="O7" s="6">
        <f>-E6*5*12</f>
        <v>-216000</v>
      </c>
      <c r="P7" s="39"/>
      <c r="Q7" s="39"/>
      <c r="R7" s="39"/>
    </row>
    <row r="8" spans="2:18" x14ac:dyDescent="0.3">
      <c r="B8" t="s">
        <v>33</v>
      </c>
      <c r="C8" s="19">
        <v>150000</v>
      </c>
      <c r="E8" t="s">
        <v>62</v>
      </c>
      <c r="F8" s="8">
        <v>4.9000000000000002E-2</v>
      </c>
      <c r="G8" t="s">
        <v>43</v>
      </c>
      <c r="H8" s="43"/>
      <c r="I8" s="6">
        <f t="shared" si="2"/>
        <v>-43200</v>
      </c>
      <c r="J8" s="6">
        <f t="shared" si="2"/>
        <v>-43200</v>
      </c>
      <c r="K8" s="6">
        <f t="shared" si="2"/>
        <v>-43200</v>
      </c>
      <c r="L8" s="6">
        <f t="shared" si="2"/>
        <v>-43200</v>
      </c>
      <c r="M8" s="6">
        <f t="shared" si="2"/>
        <v>-43200</v>
      </c>
      <c r="O8" s="6">
        <f>I8+J8/(1+F8)+(K8)/(1+F8)^2+L8/(1+F8)^3+M8/(1+F8)^4</f>
        <v>-196741.56708816305</v>
      </c>
      <c r="P8" s="39"/>
      <c r="Q8" s="39"/>
      <c r="R8" s="39"/>
    </row>
    <row r="9" spans="2:18" x14ac:dyDescent="0.3">
      <c r="B9" s="17" t="s">
        <v>27</v>
      </c>
      <c r="C9" s="19">
        <v>5</v>
      </c>
      <c r="E9" t="s">
        <v>63</v>
      </c>
    </row>
    <row r="10" spans="2:18" x14ac:dyDescent="0.3">
      <c r="B10" s="17" t="s">
        <v>31</v>
      </c>
      <c r="C10" s="20">
        <v>4.9000000000000002E-2</v>
      </c>
      <c r="E10" t="s">
        <v>65</v>
      </c>
      <c r="G10" s="12" t="s">
        <v>18</v>
      </c>
      <c r="H10" s="13"/>
      <c r="I10" s="13"/>
      <c r="J10" s="13"/>
      <c r="K10" s="13"/>
      <c r="L10" s="13"/>
      <c r="M10" s="13"/>
      <c r="N10" s="13"/>
    </row>
    <row r="11" spans="2:18" x14ac:dyDescent="0.3">
      <c r="B11" t="s">
        <v>29</v>
      </c>
      <c r="C11" s="19">
        <v>480000</v>
      </c>
      <c r="H11" s="1" t="s">
        <v>7</v>
      </c>
      <c r="I11" s="6">
        <f>-C7</f>
        <v>-120000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P11" s="40" t="s">
        <v>21</v>
      </c>
      <c r="Q11" s="40"/>
      <c r="R11" s="40"/>
    </row>
    <row r="12" spans="2:18" x14ac:dyDescent="0.3">
      <c r="B12" s="29" t="s">
        <v>30</v>
      </c>
      <c r="C12" s="21">
        <f>0.01*C11</f>
        <v>4800</v>
      </c>
      <c r="H12" s="1" t="s">
        <v>1</v>
      </c>
      <c r="I12" s="6">
        <f>-C18</f>
        <v>-4500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P12" s="41" t="s">
        <v>22</v>
      </c>
      <c r="Q12" s="41"/>
      <c r="R12" s="41"/>
    </row>
    <row r="13" spans="2:18" x14ac:dyDescent="0.3">
      <c r="B13" s="25" t="s">
        <v>28</v>
      </c>
      <c r="C13" s="26">
        <v>30</v>
      </c>
      <c r="H13" s="1" t="s">
        <v>8</v>
      </c>
      <c r="I13" s="6">
        <v>0</v>
      </c>
      <c r="J13" s="6">
        <f>($I$11*$C$10*(1-$C$23))</f>
        <v>-3939.5999999999995</v>
      </c>
      <c r="K13" s="6">
        <f>($I$11*$C$10*(1-$C$23))</f>
        <v>-3939.5999999999995</v>
      </c>
      <c r="L13" s="6">
        <f>($I$11*$C$10*(1-$C$23))</f>
        <v>-3939.5999999999995</v>
      </c>
      <c r="M13" s="6">
        <f>($I$11*$C$10*(1-$C$23))</f>
        <v>-3939.5999999999995</v>
      </c>
      <c r="N13" s="6">
        <f>($I$11*$C$10*(1-$C$23))</f>
        <v>-3939.5999999999995</v>
      </c>
      <c r="P13" t="s">
        <v>0</v>
      </c>
      <c r="Q13" s="32" t="s">
        <v>16</v>
      </c>
      <c r="R13" t="s">
        <v>50</v>
      </c>
    </row>
    <row r="14" spans="2:18" x14ac:dyDescent="0.3">
      <c r="B14" t="s">
        <v>40</v>
      </c>
      <c r="C14" s="22">
        <v>0.06</v>
      </c>
      <c r="H14" s="1" t="s">
        <v>9</v>
      </c>
      <c r="I14" s="6">
        <v>0</v>
      </c>
      <c r="J14" s="6">
        <f>-(($C$6-$C$7)*$C$14*(1-$C$23))</f>
        <v>-19295.999999999996</v>
      </c>
      <c r="K14" s="6">
        <f>(($C$6-$C$7)*$C$14*(1-$C$23))*-1</f>
        <v>-19295.999999999996</v>
      </c>
      <c r="L14" s="6">
        <f>(($C$6-$C$7)*$C$14*(1-$C$23))*-1</f>
        <v>-19295.999999999996</v>
      </c>
      <c r="M14" s="6">
        <f>(($C$6-$C$7)*$C$14*(1-$C$23))*-1</f>
        <v>-19295.999999999996</v>
      </c>
      <c r="N14" s="6">
        <f>(($C$6-$C$7)*$C$14*(1-$C$23))*-1</f>
        <v>-19295.999999999996</v>
      </c>
      <c r="P14" s="1">
        <v>500000</v>
      </c>
      <c r="Q14" s="6">
        <f>$I$21+NPV($E$5,$J$21:$M$21,$N$21-($P$21-P14)*0.95)</f>
        <v>-287763.79540739791</v>
      </c>
      <c r="R14" s="6">
        <f>Q14-$O$6</f>
        <v>-79447.946206220135</v>
      </c>
    </row>
    <row r="15" spans="2:18" x14ac:dyDescent="0.3">
      <c r="B15" s="17" t="s">
        <v>46</v>
      </c>
      <c r="C15" s="22">
        <f>C14*(1-C23)</f>
        <v>4.0199999999999993E-2</v>
      </c>
      <c r="H15" s="1" t="s">
        <v>10</v>
      </c>
      <c r="I15" s="6">
        <v>0</v>
      </c>
      <c r="J15" s="6">
        <f>-($C$25*(1-$C$23))</f>
        <v>-3750.1775999999995</v>
      </c>
      <c r="K15" s="6">
        <f t="shared" ref="K15:N15" si="4">-($C$25*(1-$C$23))</f>
        <v>-3750.1775999999995</v>
      </c>
      <c r="L15" s="6">
        <f t="shared" si="4"/>
        <v>-3750.1775999999995</v>
      </c>
      <c r="M15" s="6">
        <f t="shared" si="4"/>
        <v>-3750.1775999999995</v>
      </c>
      <c r="N15" s="6">
        <f t="shared" si="4"/>
        <v>-3750.1775999999995</v>
      </c>
      <c r="P15" s="1">
        <f>P14+20000</f>
        <v>520000</v>
      </c>
      <c r="Q15" s="6">
        <f t="shared" ref="Q15:Q18" si="5">$I$21+NPV($E$5,$J$21:$M$21,$N$21-($P$21-P15)*0.95)</f>
        <v>-271374.22850409878</v>
      </c>
      <c r="R15" s="6">
        <f t="shared" ref="R15:R27" si="6">Q15-$O$6</f>
        <v>-63058.379302921006</v>
      </c>
    </row>
    <row r="16" spans="2:18" x14ac:dyDescent="0.3">
      <c r="C16" s="19"/>
      <c r="H16" s="1" t="s">
        <v>12</v>
      </c>
      <c r="I16" s="6">
        <f>-C20</f>
        <v>-1200</v>
      </c>
      <c r="J16" s="6">
        <f>(I16*(1+$C$21))</f>
        <v>-1260</v>
      </c>
      <c r="K16" s="6">
        <f>(J16*(1+$C$21))</f>
        <v>-1323</v>
      </c>
      <c r="L16" s="6">
        <f>(K16*(1+$C$21))</f>
        <v>-1389.15</v>
      </c>
      <c r="M16" s="6">
        <f>(L16*(1+$C$21))</f>
        <v>-1458.6075000000001</v>
      </c>
      <c r="N16" s="6"/>
      <c r="P16" s="1">
        <f>P15+20000</f>
        <v>540000</v>
      </c>
      <c r="Q16" s="6">
        <f t="shared" si="5"/>
        <v>-254984.66160079968</v>
      </c>
      <c r="R16" s="6">
        <f t="shared" si="6"/>
        <v>-46668.812399621907</v>
      </c>
    </row>
    <row r="17" spans="2:18" x14ac:dyDescent="0.3">
      <c r="B17" t="s">
        <v>37</v>
      </c>
      <c r="C17" s="19">
        <v>598000</v>
      </c>
      <c r="H17" s="1" t="s">
        <v>11</v>
      </c>
      <c r="I17" s="6">
        <v>0</v>
      </c>
      <c r="J17" s="6">
        <v>-6000</v>
      </c>
      <c r="K17" s="6">
        <f>(J17*(1+$E$5))</f>
        <v>-6180</v>
      </c>
      <c r="L17" s="6">
        <f t="shared" ref="L17:N17" si="7">(K17*(1+$E$5))</f>
        <v>-6365.4000000000005</v>
      </c>
      <c r="M17" s="6">
        <f t="shared" si="7"/>
        <v>-6556.362000000001</v>
      </c>
      <c r="N17" s="6">
        <f t="shared" si="7"/>
        <v>-6753.0528600000016</v>
      </c>
      <c r="P17" s="1">
        <f>P16+20000</f>
        <v>560000</v>
      </c>
      <c r="Q17" s="6">
        <f t="shared" si="5"/>
        <v>-238595.09469750058</v>
      </c>
      <c r="R17" s="6">
        <f t="shared" si="6"/>
        <v>-30279.245496322808</v>
      </c>
    </row>
    <row r="18" spans="2:18" x14ac:dyDescent="0.3">
      <c r="B18" t="s">
        <v>1</v>
      </c>
      <c r="C18" s="19">
        <v>4500</v>
      </c>
      <c r="H18" s="5" t="s">
        <v>44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600000</v>
      </c>
      <c r="P18" s="1">
        <f>P17+20000</f>
        <v>580000</v>
      </c>
      <c r="Q18" s="6">
        <f t="shared" si="5"/>
        <v>-222205.52779420145</v>
      </c>
      <c r="R18" s="6">
        <f t="shared" si="6"/>
        <v>-13889.67859302368</v>
      </c>
    </row>
    <row r="19" spans="2:18" x14ac:dyDescent="0.3">
      <c r="B19" t="s">
        <v>39</v>
      </c>
      <c r="C19" s="19">
        <f>C6*0.01</f>
        <v>6000</v>
      </c>
      <c r="H19" s="1" t="s">
        <v>4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f>-N18*$C$27</f>
        <v>-30000</v>
      </c>
      <c r="P19" s="5">
        <v>587573</v>
      </c>
      <c r="Q19" s="6">
        <f>$I$21+NPV($E$5,$J$21:$M$21,$N$21-($P$21-P19)*0.95)</f>
        <v>-215999.61828626724</v>
      </c>
      <c r="R19" s="6">
        <f t="shared" si="6"/>
        <v>-7683.7690850894724</v>
      </c>
    </row>
    <row r="20" spans="2:18" x14ac:dyDescent="0.3">
      <c r="B20" t="s">
        <v>3</v>
      </c>
      <c r="C20" s="19">
        <v>1200</v>
      </c>
      <c r="H20" s="1" t="s">
        <v>13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-480000</v>
      </c>
      <c r="P20" s="1">
        <v>590000</v>
      </c>
      <c r="Q20" s="6">
        <f>$I$21+NPV($E$5,$J$21:$M$21,$N$21-($P$21-P20)*0.95)</f>
        <v>-214010.74434255192</v>
      </c>
      <c r="R20" s="31">
        <f t="shared" si="6"/>
        <v>-5694.8951413741452</v>
      </c>
    </row>
    <row r="21" spans="2:18" x14ac:dyDescent="0.3">
      <c r="B21" s="17" t="s">
        <v>32</v>
      </c>
      <c r="C21" s="22">
        <v>0.05</v>
      </c>
      <c r="H21" s="5" t="s">
        <v>14</v>
      </c>
      <c r="I21" s="16">
        <f>SUM(I11:I20)</f>
        <v>-125700</v>
      </c>
      <c r="J21" s="16">
        <f>SUM(J11:J20)</f>
        <v>-34245.777599999994</v>
      </c>
      <c r="K21" s="16">
        <f t="shared" ref="K21:M21" si="8">SUM(K11:K20)</f>
        <v>-34488.777599999994</v>
      </c>
      <c r="L21" s="16">
        <f t="shared" si="8"/>
        <v>-34740.327599999997</v>
      </c>
      <c r="M21" s="16">
        <f t="shared" si="8"/>
        <v>-35000.747099999993</v>
      </c>
      <c r="N21" s="16">
        <f>SUM(N11:N20)</f>
        <v>56261.169540000032</v>
      </c>
      <c r="O21" s="3"/>
      <c r="P21" s="1">
        <f>P20+10000</f>
        <v>600000</v>
      </c>
      <c r="Q21" s="6">
        <f>$I$21+NPV($E$5,$J$21:$M$21,$N$21-($P$21-P21)*0.95)</f>
        <v>-205815.96089090232</v>
      </c>
      <c r="R21" s="31">
        <f t="shared" si="6"/>
        <v>2499.888310275448</v>
      </c>
    </row>
    <row r="22" spans="2:18" x14ac:dyDescent="0.3">
      <c r="C22" s="22"/>
      <c r="P22" s="1">
        <f t="shared" ref="P22:P23" si="9">P21+10000</f>
        <v>610000</v>
      </c>
      <c r="Q22" s="6">
        <f t="shared" ref="Q22:Q27" si="10">$I$21+NPV($E$5,$J$21:$M$21,$N$21-($P$21-P22)*0.95)</f>
        <v>-197621.17743925279</v>
      </c>
      <c r="R22" s="31">
        <f t="shared" si="6"/>
        <v>10694.671761924983</v>
      </c>
    </row>
    <row r="23" spans="2:18" x14ac:dyDescent="0.3">
      <c r="B23" t="s">
        <v>2</v>
      </c>
      <c r="C23" s="22">
        <v>0.33</v>
      </c>
      <c r="G23" s="5" t="s">
        <v>16</v>
      </c>
      <c r="H23" s="30">
        <f>$I$21+NPV($E$5,$J$21:$N$21)</f>
        <v>-205815.96089090232</v>
      </c>
      <c r="I23" s="30"/>
      <c r="P23" s="1">
        <f t="shared" si="9"/>
        <v>620000</v>
      </c>
      <c r="Q23" s="6">
        <f t="shared" si="10"/>
        <v>-189426.39398760322</v>
      </c>
      <c r="R23" s="31">
        <f t="shared" si="6"/>
        <v>18889.455213574547</v>
      </c>
    </row>
    <row r="24" spans="2:18" x14ac:dyDescent="0.3">
      <c r="B24" t="s">
        <v>35</v>
      </c>
      <c r="C24" s="23">
        <v>9.36</v>
      </c>
      <c r="P24" s="1">
        <f>P23+20000</f>
        <v>640000</v>
      </c>
      <c r="Q24" s="6">
        <f t="shared" si="10"/>
        <v>-173036.82708430412</v>
      </c>
      <c r="R24" s="31">
        <f t="shared" si="6"/>
        <v>35279.022116873646</v>
      </c>
    </row>
    <row r="25" spans="2:18" x14ac:dyDescent="0.3">
      <c r="B25" s="17" t="s">
        <v>45</v>
      </c>
      <c r="C25" s="23">
        <f>9.36*C17/1000</f>
        <v>5597.28</v>
      </c>
      <c r="P25" s="1">
        <f>P24+20000</f>
        <v>660000</v>
      </c>
      <c r="Q25" s="6">
        <f t="shared" si="10"/>
        <v>-156647.260181005</v>
      </c>
      <c r="R25" s="31">
        <f t="shared" si="6"/>
        <v>51668.589020172774</v>
      </c>
    </row>
    <row r="26" spans="2:18" x14ac:dyDescent="0.3">
      <c r="C26" s="19"/>
      <c r="G26" s="4"/>
      <c r="P26" s="1">
        <f>P25+20000</f>
        <v>680000</v>
      </c>
      <c r="Q26" s="6">
        <f t="shared" si="10"/>
        <v>-140257.69327770587</v>
      </c>
      <c r="R26" s="31">
        <f t="shared" si="6"/>
        <v>68058.155923471902</v>
      </c>
    </row>
    <row r="27" spans="2:18" x14ac:dyDescent="0.3">
      <c r="B27" t="s">
        <v>38</v>
      </c>
      <c r="C27" s="22">
        <v>0.05</v>
      </c>
      <c r="G27" s="4" t="s">
        <v>54</v>
      </c>
      <c r="P27" s="1">
        <f>P26+20000</f>
        <v>700000</v>
      </c>
      <c r="Q27" s="6">
        <f t="shared" si="10"/>
        <v>-123868.12637440675</v>
      </c>
      <c r="R27" s="31">
        <f t="shared" si="6"/>
        <v>84447.722826771016</v>
      </c>
    </row>
    <row r="28" spans="2:18" x14ac:dyDescent="0.3">
      <c r="B28" s="25" t="s">
        <v>34</v>
      </c>
      <c r="C28" s="27">
        <v>0.15</v>
      </c>
      <c r="H28" t="s">
        <v>49</v>
      </c>
    </row>
    <row r="29" spans="2:18" x14ac:dyDescent="0.3">
      <c r="B29" s="4" t="s">
        <v>19</v>
      </c>
      <c r="C29" s="24">
        <f>C10*0.2+(1-0.2)*C14</f>
        <v>5.7800000000000004E-2</v>
      </c>
      <c r="H29" t="s">
        <v>51</v>
      </c>
      <c r="I29" s="37">
        <f>30000*(6%-4.9%)*0.67</f>
        <v>221.09999999999994</v>
      </c>
      <c r="J29" t="s">
        <v>52</v>
      </c>
      <c r="M29" s="37">
        <f>I29/E5*(1-1/(1+E5)^5)</f>
        <v>1012.5732590887103</v>
      </c>
      <c r="N29" t="s">
        <v>53</v>
      </c>
    </row>
    <row r="30" spans="2:18" x14ac:dyDescent="0.3">
      <c r="G30" s="4" t="s">
        <v>47</v>
      </c>
    </row>
    <row r="31" spans="2:18" x14ac:dyDescent="0.3">
      <c r="H31" t="s">
        <v>55</v>
      </c>
    </row>
    <row r="32" spans="2:18" x14ac:dyDescent="0.3">
      <c r="H32" t="s">
        <v>56</v>
      </c>
    </row>
    <row r="33" spans="4:17" x14ac:dyDescent="0.3">
      <c r="H33" t="s">
        <v>61</v>
      </c>
    </row>
    <row r="34" spans="4:17" x14ac:dyDescent="0.3">
      <c r="G34" s="36" t="s">
        <v>60</v>
      </c>
      <c r="H34" s="36" t="s">
        <v>16</v>
      </c>
    </row>
    <row r="35" spans="4:17" x14ac:dyDescent="0.3">
      <c r="G35" s="33">
        <v>0.02</v>
      </c>
      <c r="H35" s="34">
        <f>$I$21+NPV(G35,$J$21,$K$21-6000*(1+G35)-$K$17,$L$21-6000*(1+G35)^2-$L$17,$M$21-6000*(1+G35)^3-$M$17,$N$21-6000*(1+G35)^4-$N$17)</f>
        <v>-205955.83719779359</v>
      </c>
    </row>
    <row r="36" spans="4:17" x14ac:dyDescent="0.3">
      <c r="G36" s="33">
        <v>0.03</v>
      </c>
      <c r="H36" s="34">
        <f>$I$21+NPV(G36,$J$21,$K$21-6000*(1+G36)-$K$17,$L$21-6000*(1+G36)^2-$L$17,$M$21-6000*(1+G36)^3-$M$17,$N$21-6000*(1+G36)^4-$N$17)</f>
        <v>-205815.96089090232</v>
      </c>
    </row>
    <row r="37" spans="4:17" x14ac:dyDescent="0.3">
      <c r="G37" s="33">
        <v>0.05</v>
      </c>
      <c r="H37" s="34">
        <f t="shared" ref="H37:H40" si="11">$I$21+NPV(G37,$J$21,$K$21-6000*(1+G37)-$K$17,$L$21-6000*(1+G37)^2-$L$17,$M$21-6000*(1+G37)^3-$M$17,$N$21-6000*(1+G37)^4-$N$17)</f>
        <v>-205388.36814729893</v>
      </c>
    </row>
    <row r="38" spans="4:17" x14ac:dyDescent="0.3">
      <c r="G38" s="35">
        <v>5.7799999999999997E-2</v>
      </c>
      <c r="H38" s="34">
        <f t="shared" si="11"/>
        <v>-205174.88199989527</v>
      </c>
    </row>
    <row r="39" spans="4:17" x14ac:dyDescent="0.3">
      <c r="G39" s="33">
        <v>7.0000000000000007E-2</v>
      </c>
      <c r="H39" s="34">
        <f t="shared" si="11"/>
        <v>-204795.49755126482</v>
      </c>
    </row>
    <row r="40" spans="4:17" x14ac:dyDescent="0.3">
      <c r="G40" s="33">
        <v>0.1</v>
      </c>
      <c r="H40" s="34">
        <f t="shared" si="11"/>
        <v>-203665.91736515757</v>
      </c>
    </row>
    <row r="42" spans="4:17" x14ac:dyDescent="0.3">
      <c r="G42" s="4" t="s">
        <v>48</v>
      </c>
      <c r="I42" s="2"/>
    </row>
    <row r="43" spans="4:17" x14ac:dyDescent="0.3">
      <c r="I43" s="8"/>
      <c r="J43" s="8"/>
      <c r="K43" s="9"/>
    </row>
    <row r="44" spans="4:17" x14ac:dyDescent="0.3">
      <c r="G44" s="40" t="s">
        <v>57</v>
      </c>
      <c r="H44" s="40"/>
      <c r="I44" s="40"/>
      <c r="K44" s="40" t="s">
        <v>58</v>
      </c>
      <c r="L44" s="40"/>
      <c r="M44" s="40"/>
      <c r="N44" s="40"/>
      <c r="O44" s="40"/>
      <c r="Q44" s="1"/>
    </row>
    <row r="45" spans="4:17" x14ac:dyDescent="0.3">
      <c r="G45" s="41" t="s">
        <v>22</v>
      </c>
      <c r="H45" s="41"/>
      <c r="I45" s="41"/>
      <c r="K45" s="41" t="s">
        <v>22</v>
      </c>
      <c r="L45" s="41"/>
      <c r="M45" s="41"/>
      <c r="N45" s="41"/>
      <c r="O45" s="41"/>
      <c r="P45" s="1"/>
      <c r="Q45" s="1"/>
    </row>
    <row r="46" spans="4:17" x14ac:dyDescent="0.3">
      <c r="G46" t="s">
        <v>0</v>
      </c>
      <c r="H46" s="32" t="s">
        <v>16</v>
      </c>
      <c r="I46" t="s">
        <v>50</v>
      </c>
      <c r="K46" t="s">
        <v>0</v>
      </c>
      <c r="L46" t="s">
        <v>50</v>
      </c>
      <c r="M46" t="s">
        <v>59</v>
      </c>
      <c r="N46" s="32" t="s">
        <v>16</v>
      </c>
      <c r="O46" t="s">
        <v>50</v>
      </c>
      <c r="P46" s="1"/>
      <c r="Q46" s="1"/>
    </row>
    <row r="47" spans="4:17" x14ac:dyDescent="0.3">
      <c r="G47" s="1">
        <v>500000</v>
      </c>
      <c r="H47" s="6">
        <f>$I$21+NPV($E$5,$J$21:$M$21,$N$21-($P$21-G47)*0.95)</f>
        <v>-287763.79540739791</v>
      </c>
      <c r="I47" s="6">
        <f>H47-$O$6</f>
        <v>-79447.946206220135</v>
      </c>
      <c r="K47" s="1">
        <v>500000</v>
      </c>
      <c r="L47" s="1">
        <f>-(600000-K47)</f>
        <v>-100000</v>
      </c>
      <c r="M47">
        <f>(K47/(600000))^(1/5)-1</f>
        <v>-3.5807495997372762E-2</v>
      </c>
      <c r="N47" s="6">
        <f>$I$21+NPV($E$5, $J$21-3750*(M47),$K$21-3750*((1+M47)^2-1),$L$21-3750*((1+M47)^3-1),$M$21-3750*((1+M47)^4-1),$N$21-($P$21-K47)*0.95-3750*((1+M47)^5-1))</f>
        <v>-286037.89049220877</v>
      </c>
      <c r="O47" s="6">
        <f>N47-$O$6</f>
        <v>-77722.041291030997</v>
      </c>
      <c r="P47" s="1"/>
      <c r="Q47" s="1"/>
    </row>
    <row r="48" spans="4:17" x14ac:dyDescent="0.3">
      <c r="D48" s="3"/>
      <c r="E48" s="3"/>
      <c r="G48" s="1">
        <f>G47+20000</f>
        <v>520000</v>
      </c>
      <c r="H48" s="6">
        <f t="shared" ref="H48:H51" si="12">$I$21+NPV($E$5,$J$21:$M$21,$N$21-($P$21-G48)*0.95)</f>
        <v>-271374.22850409878</v>
      </c>
      <c r="I48" s="6">
        <f t="shared" ref="I48:I60" si="13">H48-$O$6</f>
        <v>-63058.379302921006</v>
      </c>
      <c r="K48" s="1">
        <f>K47+20000</f>
        <v>520000</v>
      </c>
      <c r="L48" s="1">
        <f t="shared" ref="L48:L60" si="14">-(600000-K48)</f>
        <v>-80000</v>
      </c>
      <c r="M48">
        <f t="shared" ref="M48:M60" si="15">(K48/(600000))^(1/5)-1</f>
        <v>-2.8214491099314398E-2</v>
      </c>
      <c r="N48" s="6">
        <f t="shared" ref="N48:N53" si="16">$I$21+NPV($E$5, $J$21-3750*(M48),$K$21-3750*((1+M48)^2-1),$L$21-3750*((1+M48)^3-1),$M$21-3750*((1+M48)^4-1),$N$21-($P$21-K48)*0.95-3750*((1+M48)^5-1))</f>
        <v>-270000.78812679346</v>
      </c>
      <c r="O48" s="6">
        <f t="shared" ref="O48:O60" si="17">N48-$O$6</f>
        <v>-61684.938925615686</v>
      </c>
    </row>
    <row r="49" spans="4:15" x14ac:dyDescent="0.3">
      <c r="D49" s="3"/>
      <c r="E49" s="3"/>
      <c r="G49" s="1">
        <f>G48+20000</f>
        <v>540000</v>
      </c>
      <c r="H49" s="6">
        <f t="shared" si="12"/>
        <v>-254984.66160079968</v>
      </c>
      <c r="I49" s="6">
        <f t="shared" si="13"/>
        <v>-46668.812399621907</v>
      </c>
      <c r="K49" s="1">
        <f>K48+20000</f>
        <v>540000</v>
      </c>
      <c r="L49" s="1">
        <f t="shared" si="14"/>
        <v>-60000</v>
      </c>
      <c r="M49">
        <f t="shared" si="15"/>
        <v>-2.0851637639023202E-2</v>
      </c>
      <c r="N49" s="6">
        <f t="shared" si="16"/>
        <v>-253959.83997832274</v>
      </c>
      <c r="O49" s="6">
        <f t="shared" si="17"/>
        <v>-45643.990777144965</v>
      </c>
    </row>
    <row r="50" spans="4:15" x14ac:dyDescent="0.3">
      <c r="D50" s="3"/>
      <c r="E50" s="3"/>
      <c r="G50" s="1">
        <f>G49+20000</f>
        <v>560000</v>
      </c>
      <c r="H50" s="6">
        <f t="shared" si="12"/>
        <v>-238595.09469750058</v>
      </c>
      <c r="I50" s="6">
        <f t="shared" si="13"/>
        <v>-30279.245496322808</v>
      </c>
      <c r="K50" s="1">
        <f>K49+20000</f>
        <v>560000</v>
      </c>
      <c r="L50" s="1">
        <f t="shared" si="14"/>
        <v>-40000</v>
      </c>
      <c r="M50">
        <f t="shared" si="15"/>
        <v>-1.3703810340970568E-2</v>
      </c>
      <c r="N50" s="6">
        <f t="shared" si="16"/>
        <v>-237915.25940427664</v>
      </c>
      <c r="O50" s="6">
        <f t="shared" si="17"/>
        <v>-29599.410203098872</v>
      </c>
    </row>
    <row r="51" spans="4:15" x14ac:dyDescent="0.3">
      <c r="G51" s="1">
        <f>G50+20000</f>
        <v>580000</v>
      </c>
      <c r="H51" s="6">
        <f t="shared" si="12"/>
        <v>-222205.52779420145</v>
      </c>
      <c r="I51" s="6">
        <f t="shared" si="13"/>
        <v>-13889.67859302368</v>
      </c>
      <c r="K51" s="1">
        <f>K50+20000</f>
        <v>580000</v>
      </c>
      <c r="L51" s="1">
        <f t="shared" si="14"/>
        <v>-20000</v>
      </c>
      <c r="M51">
        <f t="shared" si="15"/>
        <v>-6.7573758944986517E-3</v>
      </c>
      <c r="N51" s="6">
        <f t="shared" si="16"/>
        <v>-221867.24059273879</v>
      </c>
      <c r="O51" s="6">
        <f t="shared" si="17"/>
        <v>-13551.391391561017</v>
      </c>
    </row>
    <row r="52" spans="4:15" x14ac:dyDescent="0.3">
      <c r="G52" s="5">
        <v>587573</v>
      </c>
      <c r="H52" s="6">
        <f>$I$21+NPV($E$5,$J$21:$M$21,$N$21-($P$21-G52)*0.95)</f>
        <v>-215999.61828626724</v>
      </c>
      <c r="I52" s="6">
        <f t="shared" si="13"/>
        <v>-7683.7690850894724</v>
      </c>
      <c r="K52" s="5">
        <v>587573</v>
      </c>
      <c r="L52" s="1">
        <f t="shared" si="14"/>
        <v>-12427</v>
      </c>
      <c r="M52">
        <f t="shared" si="15"/>
        <v>-4.1770839341249699E-3</v>
      </c>
      <c r="N52" s="6">
        <f t="shared" si="16"/>
        <v>-215789.79804449459</v>
      </c>
      <c r="O52" s="38">
        <f t="shared" si="17"/>
        <v>-7473.9488433168153</v>
      </c>
    </row>
    <row r="53" spans="4:15" x14ac:dyDescent="0.3">
      <c r="G53" s="1">
        <v>590000</v>
      </c>
      <c r="H53" s="6">
        <f>$I$21+NPV($E$5,$J$21:$M$21,$N$21-($P$21-G53)*0.95)</f>
        <v>-214010.74434255192</v>
      </c>
      <c r="I53" s="31">
        <f t="shared" si="13"/>
        <v>-5694.8951413741452</v>
      </c>
      <c r="K53" s="1">
        <v>590000</v>
      </c>
      <c r="L53" s="1">
        <f t="shared" si="14"/>
        <v>-10000</v>
      </c>
      <c r="M53">
        <f t="shared" si="15"/>
        <v>-3.3557804036539185E-3</v>
      </c>
      <c r="N53" s="6">
        <f t="shared" si="16"/>
        <v>-213841.99787058338</v>
      </c>
      <c r="O53" s="31">
        <f t="shared" si="17"/>
        <v>-5526.1486694056075</v>
      </c>
    </row>
    <row r="54" spans="4:15" x14ac:dyDescent="0.3">
      <c r="G54" s="1">
        <f>G53+10000</f>
        <v>600000</v>
      </c>
      <c r="H54" s="6">
        <f>$I$21+NPV($E$5,$J$21:$M$21,$N$21-($P$21-G54)*0.95)</f>
        <v>-205815.96089090232</v>
      </c>
      <c r="I54" s="31">
        <f t="shared" si="13"/>
        <v>2499.888310275448</v>
      </c>
      <c r="K54" s="1">
        <f>K53+10000</f>
        <v>600000</v>
      </c>
      <c r="L54" s="1">
        <f t="shared" si="14"/>
        <v>0</v>
      </c>
      <c r="M54">
        <f t="shared" si="15"/>
        <v>0</v>
      </c>
      <c r="N54" s="6">
        <f>$I$21+NPV($E$5, $J$21-3750*(M54),$K$21-3750*((1+M54)^2-1),$L$21-3750*((1+M54)^3-1),$M$21-3750*((1+M54)^4-1),$N$21-($P$21-K54)*0.95-3750*((1+M54)^5-1))</f>
        <v>-205815.96089090232</v>
      </c>
      <c r="O54" s="31">
        <f t="shared" si="17"/>
        <v>2499.888310275448</v>
      </c>
    </row>
    <row r="55" spans="4:15" x14ac:dyDescent="0.3">
      <c r="G55" s="1">
        <f t="shared" ref="G55:G56" si="18">G54+10000</f>
        <v>610000</v>
      </c>
      <c r="H55" s="6">
        <f t="shared" ref="H55:H60" si="19">$I$21+NPV($E$5,$J$21:$M$21,$N$21-($P$21-G55)*0.95)</f>
        <v>-197621.17743925279</v>
      </c>
      <c r="I55" s="31">
        <f t="shared" si="13"/>
        <v>10694.671761924983</v>
      </c>
      <c r="K55" s="1">
        <f t="shared" ref="K55:K56" si="20">K54+10000</f>
        <v>610000</v>
      </c>
      <c r="L55" s="1">
        <f t="shared" si="14"/>
        <v>10000</v>
      </c>
      <c r="M55">
        <f t="shared" si="15"/>
        <v>3.3113307731482688E-3</v>
      </c>
      <c r="N55" s="6">
        <f>$I$21+NPV($E$5, $J$21-3750*(M55),$K$21-3750*((1+M55)^2-1),$L$21-3750*((1+M55)^3-1),$M$21-3750*((1+M55)^4-1),$N$21-($P$21-K55)*0.95-3750*((1+M55)^5-1))</f>
        <v>-197789.14951493248</v>
      </c>
      <c r="O55" s="31">
        <f t="shared" si="17"/>
        <v>10526.699686245294</v>
      </c>
    </row>
    <row r="56" spans="4:15" x14ac:dyDescent="0.3">
      <c r="G56" s="1">
        <f t="shared" si="18"/>
        <v>620000</v>
      </c>
      <c r="H56" s="6">
        <f t="shared" si="19"/>
        <v>-189426.39398760322</v>
      </c>
      <c r="I56" s="31">
        <f t="shared" si="13"/>
        <v>18889.455213574547</v>
      </c>
      <c r="K56" s="1">
        <f t="shared" si="20"/>
        <v>620000</v>
      </c>
      <c r="L56" s="1">
        <f t="shared" si="14"/>
        <v>20000</v>
      </c>
      <c r="M56">
        <f t="shared" si="15"/>
        <v>6.5795150976679651E-3</v>
      </c>
      <c r="N56" s="6">
        <f t="shared" ref="N56:N60" si="21">$I$21+NPV($E$5, $J$21-3750*(M56),$K$21-3750*((1+M56)^2-1),$L$21-3750*((1+M56)^3-1),$M$21-3750*((1+M56)^4-1),$N$21-($P$21-K56)*0.95-3750*((1+M56)^5-1))</f>
        <v>-189761.58278232595</v>
      </c>
      <c r="O56" s="31">
        <f t="shared" si="17"/>
        <v>18554.266418851825</v>
      </c>
    </row>
    <row r="57" spans="4:15" x14ac:dyDescent="0.3">
      <c r="G57" s="1">
        <f>G56+20000</f>
        <v>640000</v>
      </c>
      <c r="H57" s="6">
        <f t="shared" si="19"/>
        <v>-173036.82708430412</v>
      </c>
      <c r="I57" s="31">
        <f t="shared" si="13"/>
        <v>35279.022116873646</v>
      </c>
      <c r="K57" s="1">
        <f>K56+20000</f>
        <v>640000</v>
      </c>
      <c r="L57" s="1">
        <f t="shared" si="14"/>
        <v>40000</v>
      </c>
      <c r="M57">
        <f t="shared" si="15"/>
        <v>1.299136822423641E-2</v>
      </c>
      <c r="N57" s="6">
        <f t="shared" si="21"/>
        <v>-173704.25557555625</v>
      </c>
      <c r="O57" s="31">
        <f t="shared" si="17"/>
        <v>34611.593625621521</v>
      </c>
    </row>
    <row r="58" spans="4:15" x14ac:dyDescent="0.3">
      <c r="G58" s="1">
        <f>G57+20000</f>
        <v>660000</v>
      </c>
      <c r="H58" s="6">
        <f t="shared" si="19"/>
        <v>-156647.260181005</v>
      </c>
      <c r="I58" s="31">
        <f t="shared" si="13"/>
        <v>51668.589020172774</v>
      </c>
      <c r="K58" s="1">
        <f>K57+20000</f>
        <v>660000</v>
      </c>
      <c r="L58" s="1">
        <f t="shared" si="14"/>
        <v>60000</v>
      </c>
      <c r="M58">
        <f t="shared" si="15"/>
        <v>1.9244876491456564E-2</v>
      </c>
      <c r="N58" s="6">
        <f t="shared" si="21"/>
        <v>-157644.1168539619</v>
      </c>
      <c r="O58" s="31">
        <f t="shared" si="17"/>
        <v>50671.732347215875</v>
      </c>
    </row>
    <row r="59" spans="4:15" x14ac:dyDescent="0.3">
      <c r="G59" s="1">
        <f>G58+20000</f>
        <v>680000</v>
      </c>
      <c r="H59" s="6">
        <f t="shared" si="19"/>
        <v>-140257.69327770587</v>
      </c>
      <c r="I59" s="31">
        <f t="shared" si="13"/>
        <v>68058.155923471902</v>
      </c>
      <c r="K59" s="1">
        <f>K58+20000</f>
        <v>680000</v>
      </c>
      <c r="L59" s="1">
        <f t="shared" si="14"/>
        <v>80000</v>
      </c>
      <c r="M59">
        <f t="shared" si="15"/>
        <v>2.5348575657732741E-2</v>
      </c>
      <c r="N59" s="6">
        <f t="shared" si="21"/>
        <v>-141581.29372676875</v>
      </c>
      <c r="O59" s="31">
        <f t="shared" si="17"/>
        <v>66734.555474409019</v>
      </c>
    </row>
    <row r="60" spans="4:15" x14ac:dyDescent="0.3">
      <c r="G60" s="1">
        <f>G59+20000</f>
        <v>700000</v>
      </c>
      <c r="H60" s="6">
        <f t="shared" si="19"/>
        <v>-123868.12637440675</v>
      </c>
      <c r="I60" s="31">
        <f t="shared" si="13"/>
        <v>84447.722826771016</v>
      </c>
      <c r="K60" s="1">
        <f>K59+20000</f>
        <v>700000</v>
      </c>
      <c r="L60" s="1">
        <f t="shared" si="14"/>
        <v>100000</v>
      </c>
      <c r="M60">
        <f t="shared" si="15"/>
        <v>3.1310306477545069E-2</v>
      </c>
      <c r="N60" s="6">
        <f t="shared" si="21"/>
        <v>-125515.90391360772</v>
      </c>
      <c r="O60" s="31">
        <f t="shared" si="17"/>
        <v>82799.945287570052</v>
      </c>
    </row>
  </sheetData>
  <mergeCells count="9">
    <mergeCell ref="G44:I44"/>
    <mergeCell ref="G45:I45"/>
    <mergeCell ref="B5:D5"/>
    <mergeCell ref="H6:H8"/>
    <mergeCell ref="P6:R8"/>
    <mergeCell ref="P11:R11"/>
    <mergeCell ref="P12:R12"/>
    <mergeCell ref="K44:O44"/>
    <mergeCell ref="K45:O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CF, PV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Mehman Mammadov</dc:creator>
  <cp:lastModifiedBy>Mihaly Hanics</cp:lastModifiedBy>
  <dcterms:created xsi:type="dcterms:W3CDTF">2024-10-03T09:36:36Z</dcterms:created>
  <dcterms:modified xsi:type="dcterms:W3CDTF">2024-11-12T02:06:36Z</dcterms:modified>
</cp:coreProperties>
</file>