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GitHubRepo\CEU\YTwoFall\FinancialManagement\"/>
    </mc:Choice>
  </mc:AlternateContent>
  <xr:revisionPtr revIDLastSave="0" documentId="13_ncr:1_{796C619E-895A-46B2-B7FD-3C4BCAB54609}" xr6:coauthVersionLast="47" xr6:coauthVersionMax="47" xr10:uidLastSave="{00000000-0000-0000-0000-000000000000}"/>
  <bookViews>
    <workbookView xWindow="0" yWindow="24" windowWidth="23040" windowHeight="12216" tabRatio="687" firstSheet="2" activeTab="6" xr2:uid="{00000000-000D-0000-FFFF-FFFF00000000}"/>
  </bookViews>
  <sheets>
    <sheet name="PV, FV, perpetuity, annuity " sheetId="2" r:id="rId1"/>
    <sheet name="APR, EAR, Bonds" sheetId="1" r:id="rId2"/>
    <sheet name="Investment criteria" sheetId="4" r:id="rId3"/>
    <sheet name="Free Cash Flow, Budgeting" sheetId="3" r:id="rId4"/>
    <sheet name="Risk&amp;Return, CAPM" sheetId="5" r:id="rId5"/>
    <sheet name="WACC, Cost of Capital" sheetId="7" r:id="rId6"/>
    <sheet name="FirmVal, Market efficiency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4" i="5" l="1"/>
  <c r="S41" i="5"/>
  <c r="S38" i="5"/>
  <c r="S35" i="5"/>
  <c r="J11" i="5"/>
  <c r="K11" i="5" s="1"/>
  <c r="L11" i="5" s="1"/>
  <c r="M11" i="5" s="1"/>
  <c r="N11" i="5" s="1"/>
  <c r="J9" i="5"/>
  <c r="J8" i="5"/>
  <c r="J7" i="5"/>
  <c r="G27" i="5"/>
  <c r="F27" i="5"/>
  <c r="E27" i="5"/>
  <c r="D27" i="5"/>
  <c r="E18" i="5"/>
  <c r="F18" i="5"/>
  <c r="G18" i="5"/>
  <c r="D18" i="5"/>
  <c r="D29" i="5"/>
  <c r="E29" i="5" s="1"/>
  <c r="F29" i="5" s="1"/>
  <c r="G29" i="5" s="1"/>
  <c r="G26" i="5"/>
  <c r="F26" i="5"/>
  <c r="E26" i="5"/>
  <c r="D26" i="5"/>
  <c r="E17" i="5"/>
  <c r="F17" i="5"/>
  <c r="G17" i="5"/>
  <c r="D17" i="5"/>
  <c r="G25" i="5"/>
  <c r="F25" i="5"/>
  <c r="E25" i="5"/>
  <c r="D25" i="5"/>
  <c r="C23" i="5"/>
  <c r="E16" i="5"/>
  <c r="F16" i="5"/>
  <c r="G16" i="5"/>
  <c r="D16" i="5"/>
  <c r="D20" i="5" s="1"/>
  <c r="C14" i="5"/>
  <c r="G26" i="3"/>
  <c r="H26" i="3"/>
  <c r="I26" i="3"/>
  <c r="F26" i="3"/>
  <c r="E26" i="3"/>
  <c r="E25" i="3"/>
  <c r="F25" i="3" s="1"/>
  <c r="F27" i="3"/>
  <c r="F30" i="3" s="1"/>
  <c r="G27" i="3"/>
  <c r="G30" i="3" s="1"/>
  <c r="H27" i="3"/>
  <c r="H30" i="3" s="1"/>
  <c r="I27" i="3"/>
  <c r="I30" i="3" s="1"/>
  <c r="E27" i="3"/>
  <c r="E30" i="3" s="1"/>
  <c r="D34" i="3"/>
  <c r="D35" i="3" s="1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AC28" i="3"/>
  <c r="AC29" i="3" s="1"/>
  <c r="AB28" i="3"/>
  <c r="AB29" i="3" s="1"/>
  <c r="AB31" i="3" s="1"/>
  <c r="AB34" i="3" s="1"/>
  <c r="AB35" i="3" s="1"/>
  <c r="AA28" i="3"/>
  <c r="AA29" i="3" s="1"/>
  <c r="Z28" i="3"/>
  <c r="Z29" i="3" s="1"/>
  <c r="Y28" i="3"/>
  <c r="Y29" i="3" s="1"/>
  <c r="Y31" i="3" s="1"/>
  <c r="Y34" i="3" s="1"/>
  <c r="Y35" i="3" s="1"/>
  <c r="X28" i="3"/>
  <c r="X29" i="3" s="1"/>
  <c r="X31" i="3" s="1"/>
  <c r="X34" i="3" s="1"/>
  <c r="X35" i="3" s="1"/>
  <c r="W28" i="3"/>
  <c r="W29" i="3" s="1"/>
  <c r="W31" i="3" s="1"/>
  <c r="W34" i="3" s="1"/>
  <c r="W35" i="3" s="1"/>
  <c r="V28" i="3"/>
  <c r="V29" i="3" s="1"/>
  <c r="V31" i="3" s="1"/>
  <c r="V34" i="3" s="1"/>
  <c r="V35" i="3" s="1"/>
  <c r="U28" i="3"/>
  <c r="U29" i="3" s="1"/>
  <c r="T28" i="3"/>
  <c r="S28" i="3"/>
  <c r="S29" i="3" s="1"/>
  <c r="R28" i="3"/>
  <c r="R29" i="3" s="1"/>
  <c r="Q28" i="3"/>
  <c r="Q29" i="3" s="1"/>
  <c r="P28" i="3"/>
  <c r="P29" i="3" s="1"/>
  <c r="O28" i="3"/>
  <c r="O29" i="3" s="1"/>
  <c r="N28" i="3"/>
  <c r="N29" i="3" s="1"/>
  <c r="M28" i="3"/>
  <c r="M29" i="3" s="1"/>
  <c r="L28" i="3"/>
  <c r="L29" i="3" s="1"/>
  <c r="L31" i="3" s="1"/>
  <c r="L34" i="3" s="1"/>
  <c r="L35" i="3" s="1"/>
  <c r="K28" i="3"/>
  <c r="K29" i="3" s="1"/>
  <c r="J28" i="3"/>
  <c r="J29" i="3" s="1"/>
  <c r="J31" i="3" s="1"/>
  <c r="J34" i="3" s="1"/>
  <c r="J35" i="3" s="1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F32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G25" i="4"/>
  <c r="J34" i="4"/>
  <c r="I34" i="4"/>
  <c r="E32" i="4"/>
  <c r="K27" i="4"/>
  <c r="J27" i="4"/>
  <c r="F25" i="4"/>
  <c r="J13" i="4"/>
  <c r="I13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G11" i="4"/>
  <c r="H11" i="4"/>
  <c r="F11" i="4"/>
  <c r="E11" i="4"/>
  <c r="F19" i="4"/>
  <c r="E15" i="4"/>
  <c r="R12" i="2"/>
  <c r="Q5" i="2"/>
  <c r="J12" i="2"/>
  <c r="I5" i="2"/>
  <c r="E7" i="2"/>
  <c r="E3" i="2"/>
  <c r="G13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H9" i="3"/>
  <c r="I9" i="3"/>
  <c r="J9" i="3"/>
  <c r="K9" i="3"/>
  <c r="K10" i="3" s="1"/>
  <c r="L9" i="3"/>
  <c r="L10" i="3" s="1"/>
  <c r="M9" i="3"/>
  <c r="M10" i="3" s="1"/>
  <c r="N9" i="3"/>
  <c r="N10" i="3" s="1"/>
  <c r="O9" i="3"/>
  <c r="P9" i="3"/>
  <c r="P10" i="3" s="1"/>
  <c r="Q9" i="3"/>
  <c r="Q10" i="3" s="1"/>
  <c r="R9" i="3"/>
  <c r="R10" i="3" s="1"/>
  <c r="S9" i="3"/>
  <c r="S10" i="3" s="1"/>
  <c r="T9" i="3"/>
  <c r="T10" i="3" s="1"/>
  <c r="U9" i="3"/>
  <c r="U10" i="3" s="1"/>
  <c r="V9" i="3"/>
  <c r="V10" i="3" s="1"/>
  <c r="V12" i="3" s="1"/>
  <c r="V15" i="3" s="1"/>
  <c r="V16" i="3" s="1"/>
  <c r="W9" i="3"/>
  <c r="W10" i="3" s="1"/>
  <c r="X9" i="3"/>
  <c r="Y9" i="3"/>
  <c r="Z9" i="3"/>
  <c r="AA9" i="3"/>
  <c r="AA10" i="3" s="1"/>
  <c r="AB9" i="3"/>
  <c r="AB10" i="3" s="1"/>
  <c r="AC9" i="3"/>
  <c r="AC10" i="3" s="1"/>
  <c r="D15" i="3"/>
  <c r="D16" i="3" s="1"/>
  <c r="F8" i="3"/>
  <c r="F11" i="3" s="1"/>
  <c r="G8" i="3"/>
  <c r="G9" i="3" s="1"/>
  <c r="G10" i="3" s="1"/>
  <c r="E8" i="3"/>
  <c r="E9" i="3" s="1"/>
  <c r="E10" i="3" s="1"/>
  <c r="D3" i="1"/>
  <c r="Y19" i="1"/>
  <c r="J9" i="1"/>
  <c r="N9" i="1" s="1"/>
  <c r="Y3" i="1"/>
  <c r="J3" i="1"/>
  <c r="N3" i="1" s="1"/>
  <c r="K31" i="3" l="1"/>
  <c r="K34" i="3" s="1"/>
  <c r="K35" i="3" s="1"/>
  <c r="AA31" i="3"/>
  <c r="AA34" i="3" s="1"/>
  <c r="AA35" i="3" s="1"/>
  <c r="G25" i="3"/>
  <c r="H25" i="3" s="1"/>
  <c r="I25" i="3" s="1"/>
  <c r="F39" i="3"/>
  <c r="Z31" i="3"/>
  <c r="Z34" i="3" s="1"/>
  <c r="Z35" i="3" s="1"/>
  <c r="O10" i="3"/>
  <c r="O12" i="3" s="1"/>
  <c r="O15" i="3" s="1"/>
  <c r="O16" i="3" s="1"/>
  <c r="U12" i="3"/>
  <c r="U15" i="3" s="1"/>
  <c r="U16" i="3" s="1"/>
  <c r="M31" i="3"/>
  <c r="M34" i="3" s="1"/>
  <c r="M35" i="3" s="1"/>
  <c r="Z10" i="3"/>
  <c r="Z12" i="3" s="1"/>
  <c r="Z15" i="3" s="1"/>
  <c r="Z16" i="3" s="1"/>
  <c r="J10" i="3"/>
  <c r="J12" i="3" s="1"/>
  <c r="J15" i="3" s="1"/>
  <c r="J16" i="3" s="1"/>
  <c r="W12" i="3"/>
  <c r="W15" i="3" s="1"/>
  <c r="W16" i="3" s="1"/>
  <c r="Y10" i="3"/>
  <c r="Y12" i="3" s="1"/>
  <c r="Y15" i="3" s="1"/>
  <c r="Y16" i="3" s="1"/>
  <c r="I10" i="3"/>
  <c r="I12" i="3" s="1"/>
  <c r="I15" i="3" s="1"/>
  <c r="I16" i="3" s="1"/>
  <c r="T29" i="3"/>
  <c r="T31" i="3" s="1"/>
  <c r="T34" i="3" s="1"/>
  <c r="T35" i="3" s="1"/>
  <c r="X10" i="3"/>
  <c r="X12" i="3" s="1"/>
  <c r="X15" i="3" s="1"/>
  <c r="X16" i="3" s="1"/>
  <c r="H10" i="3"/>
  <c r="H12" i="3" s="1"/>
  <c r="H15" i="3" s="1"/>
  <c r="H16" i="3" s="1"/>
  <c r="E20" i="5"/>
  <c r="F20" i="5" s="1"/>
  <c r="G20" i="5" s="1"/>
  <c r="AC12" i="3"/>
  <c r="AC15" i="3" s="1"/>
  <c r="AC16" i="3" s="1"/>
  <c r="U31" i="3"/>
  <c r="U34" i="3" s="1"/>
  <c r="U35" i="3" s="1"/>
  <c r="AC31" i="3"/>
  <c r="AC34" i="3" s="1"/>
  <c r="AC35" i="3" s="1"/>
  <c r="N31" i="3"/>
  <c r="N34" i="3" s="1"/>
  <c r="N35" i="3" s="1"/>
  <c r="I28" i="3"/>
  <c r="F28" i="3"/>
  <c r="F29" i="3" s="1"/>
  <c r="E28" i="3"/>
  <c r="E29" i="3" s="1"/>
  <c r="O31" i="3"/>
  <c r="O34" i="3" s="1"/>
  <c r="O35" i="3" s="1"/>
  <c r="P31" i="3"/>
  <c r="P34" i="3" s="1"/>
  <c r="P35" i="3" s="1"/>
  <c r="R31" i="3"/>
  <c r="R34" i="3" s="1"/>
  <c r="R35" i="3" s="1"/>
  <c r="S31" i="3"/>
  <c r="S34" i="3" s="1"/>
  <c r="S35" i="3" s="1"/>
  <c r="Q31" i="3"/>
  <c r="Q34" i="3" s="1"/>
  <c r="Q35" i="3" s="1"/>
  <c r="H34" i="4"/>
  <c r="K34" i="4"/>
  <c r="I27" i="4"/>
  <c r="L27" i="4"/>
  <c r="H13" i="4"/>
  <c r="K13" i="4"/>
  <c r="T12" i="3"/>
  <c r="T15" i="3" s="1"/>
  <c r="T16" i="3" s="1"/>
  <c r="Q12" i="3"/>
  <c r="Q15" i="3" s="1"/>
  <c r="Q16" i="3" s="1"/>
  <c r="R12" i="3"/>
  <c r="R15" i="3" s="1"/>
  <c r="R16" i="3" s="1"/>
  <c r="N12" i="3"/>
  <c r="N15" i="3" s="1"/>
  <c r="N16" i="3" s="1"/>
  <c r="P12" i="3"/>
  <c r="P15" i="3" s="1"/>
  <c r="P16" i="3" s="1"/>
  <c r="M12" i="3"/>
  <c r="M15" i="3" s="1"/>
  <c r="M16" i="3" s="1"/>
  <c r="S12" i="3"/>
  <c r="S15" i="3" s="1"/>
  <c r="S16" i="3" s="1"/>
  <c r="AB12" i="3"/>
  <c r="AB15" i="3" s="1"/>
  <c r="AB16" i="3" s="1"/>
  <c r="L12" i="3"/>
  <c r="L15" i="3" s="1"/>
  <c r="L16" i="3" s="1"/>
  <c r="AA12" i="3"/>
  <c r="AA15" i="3" s="1"/>
  <c r="AA16" i="3" s="1"/>
  <c r="K12" i="3"/>
  <c r="K15" i="3" s="1"/>
  <c r="K16" i="3" s="1"/>
  <c r="F9" i="3"/>
  <c r="E11" i="3"/>
  <c r="E12" i="3" s="1"/>
  <c r="E15" i="3" s="1"/>
  <c r="E16" i="3" s="1"/>
  <c r="G11" i="3"/>
  <c r="G12" i="3" s="1"/>
  <c r="G15" i="3" s="1"/>
  <c r="G16" i="3" s="1"/>
  <c r="I29" i="3" l="1"/>
  <c r="I31" i="3" s="1"/>
  <c r="I34" i="3" s="1"/>
  <c r="I35" i="3" s="1"/>
  <c r="F10" i="3"/>
  <c r="F12" i="3" s="1"/>
  <c r="F15" i="3" s="1"/>
  <c r="F16" i="3" s="1"/>
  <c r="D18" i="3" s="1"/>
  <c r="G28" i="3"/>
  <c r="H28" i="3"/>
  <c r="E31" i="3"/>
  <c r="E34" i="3" s="1"/>
  <c r="E35" i="3" s="1"/>
  <c r="F31" i="3"/>
  <c r="F34" i="3" s="1"/>
  <c r="F35" i="3" s="1"/>
  <c r="H29" i="3" l="1"/>
  <c r="H31" i="3" s="1"/>
  <c r="H34" i="3" s="1"/>
  <c r="H35" i="3" s="1"/>
  <c r="G29" i="3"/>
  <c r="G31" i="3" s="1"/>
  <c r="G34" i="3" s="1"/>
  <c r="G35" i="3" s="1"/>
  <c r="D37" i="3" l="1"/>
</calcChain>
</file>

<file path=xl/sharedStrings.xml><?xml version="1.0" encoding="utf-8"?>
<sst xmlns="http://schemas.openxmlformats.org/spreadsheetml/2006/main" count="344" uniqueCount="233">
  <si>
    <t>Bond price</t>
  </si>
  <si>
    <t>Face value (principal)</t>
  </si>
  <si>
    <t>Coupon</t>
  </si>
  <si>
    <t>Time (periods!!!)</t>
  </si>
  <si>
    <t>===&gt;</t>
  </si>
  <si>
    <t>YTM</t>
  </si>
  <si>
    <t>YTM guess</t>
  </si>
  <si>
    <t>Goal-seek</t>
  </si>
  <si>
    <t>(in what-if analysis)</t>
  </si>
  <si>
    <t>APR</t>
  </si>
  <si>
    <t>m (periods per year)</t>
  </si>
  <si>
    <t>EAR</t>
  </si>
  <si>
    <t>APR -&gt; EAR</t>
  </si>
  <si>
    <t>Y_0</t>
  </si>
  <si>
    <t>Y_1</t>
  </si>
  <si>
    <t>Y_2</t>
  </si>
  <si>
    <t>Y_3</t>
  </si>
  <si>
    <t>Y_4</t>
  </si>
  <si>
    <t>Y_5</t>
  </si>
  <si>
    <t>Revenues</t>
  </si>
  <si>
    <t>|Op. Costs|</t>
  </si>
  <si>
    <t>Depreciation</t>
  </si>
  <si>
    <t>EBIT</t>
  </si>
  <si>
    <t>T</t>
  </si>
  <si>
    <t>Taxes</t>
  </si>
  <si>
    <t>Deprec back</t>
  </si>
  <si>
    <t>Operational CF</t>
  </si>
  <si>
    <t>Capital Expenditure</t>
  </si>
  <si>
    <t>Additional Net W Cap</t>
  </si>
  <si>
    <t>FCF</t>
  </si>
  <si>
    <t>r</t>
  </si>
  <si>
    <t>Discounted FCF</t>
  </si>
  <si>
    <t>NPV</t>
  </si>
  <si>
    <t>Cash flows</t>
  </si>
  <si>
    <t>Y</t>
  </si>
  <si>
    <t>PV</t>
  </si>
  <si>
    <t>FV</t>
  </si>
  <si>
    <t xml:space="preserve">Otherwise </t>
  </si>
  <si>
    <t>PV = CF1/(1+r)+ CF2/(1+r)^2+…</t>
  </si>
  <si>
    <t>Perpetuity</t>
  </si>
  <si>
    <t>PV = C/(1+r)+C/(1+r)^2+…</t>
  </si>
  <si>
    <t>C</t>
  </si>
  <si>
    <t>=C/r</t>
  </si>
  <si>
    <t>PV = C/(1+r)+C*(1+g)/(1+r)^2+…</t>
  </si>
  <si>
    <t>=C/(r-g)</t>
  </si>
  <si>
    <t>g</t>
  </si>
  <si>
    <t>Annuity</t>
  </si>
  <si>
    <t>PV = C/(1+r)+C/(1+r)^2+…+C/(1+r)^T</t>
  </si>
  <si>
    <t>=C/r [1-1/(1+r)^T]</t>
  </si>
  <si>
    <t>(Optional)</t>
  </si>
  <si>
    <t>perpetuity</t>
  </si>
  <si>
    <t>Investment</t>
  </si>
  <si>
    <t xml:space="preserve">(Optional) </t>
  </si>
  <si>
    <t>annuity</t>
  </si>
  <si>
    <t>NPV'</t>
  </si>
  <si>
    <t>+Perp+Ann</t>
  </si>
  <si>
    <t>Prof index</t>
  </si>
  <si>
    <t>IRR</t>
  </si>
  <si>
    <t>Discounted</t>
  </si>
  <si>
    <t>C_perp PP</t>
  </si>
  <si>
    <t>C_ann PP</t>
  </si>
  <si>
    <t>Payback period 0</t>
  </si>
  <si>
    <t>PP 1</t>
  </si>
  <si>
    <t>CF Payback period 0</t>
  </si>
  <si>
    <t>CF PP 1</t>
  </si>
  <si>
    <t>units</t>
  </si>
  <si>
    <t>P(t)</t>
  </si>
  <si>
    <t>d(t)</t>
  </si>
  <si>
    <t>f(t)</t>
  </si>
  <si>
    <t>r(t)</t>
  </si>
  <si>
    <t>Divident yield</t>
  </si>
  <si>
    <t>Capital gain</t>
  </si>
  <si>
    <t>r(t) Total return</t>
  </si>
  <si>
    <t>Holding period return:</t>
  </si>
  <si>
    <t>Stock returns measures</t>
  </si>
  <si>
    <t>Year</t>
  </si>
  <si>
    <t>Return (%)</t>
  </si>
  <si>
    <t>Average (5Y)</t>
  </si>
  <si>
    <t>or *10?</t>
  </si>
  <si>
    <t>Return calculations</t>
  </si>
  <si>
    <t>Sample Variance (5Y)</t>
  </si>
  <si>
    <t>Sample Std (5Y)</t>
  </si>
  <si>
    <t>Risk and return: CAPM</t>
  </si>
  <si>
    <t>Only systematic risk matters</t>
  </si>
  <si>
    <t xml:space="preserve">Firm specific risk (unsystematic risk) can be ‘diversified away’ </t>
  </si>
  <si>
    <t>A stock with Beta=2 will on average go up 20% when the market goes up 10%</t>
  </si>
  <si>
    <t>CAPM:</t>
  </si>
  <si>
    <t>E(Rm-Rf) : Market risk premium</t>
  </si>
  <si>
    <t>tipikusan5-6%, sok cégből aggregált</t>
  </si>
  <si>
    <t>E(R_i)</t>
  </si>
  <si>
    <t>Rf</t>
  </si>
  <si>
    <t>Rm</t>
  </si>
  <si>
    <t>Beta</t>
  </si>
  <si>
    <t>Market premium</t>
  </si>
  <si>
    <t>E(Ri)</t>
  </si>
  <si>
    <t>De lehet béta * a kifejezés az? Neem.. Nem lehet, B az firm specific</t>
  </si>
  <si>
    <t>Theory questions</t>
  </si>
  <si>
    <t>Ahhoz hogy legyen Discounted Cash Flow, ahhoz kell egy r discount rate</t>
  </si>
  <si>
    <t>Return required by debtholders</t>
  </si>
  <si>
    <t>Return required by stockholders</t>
  </si>
  <si>
    <t>This is the Weighted Average Cost of Capital:</t>
  </si>
  <si>
    <t>We need a discount rate that captures the riskiness of the firm:</t>
  </si>
  <si>
    <t>WACC = D/V * (1-t)*rD + E/V*rE</t>
  </si>
  <si>
    <t xml:space="preserve"> rE is the cost of common stock </t>
  </si>
  <si>
    <t xml:space="preserve">rD is the cost of debt </t>
  </si>
  <si>
    <t>D is the market value of debt, E is the market value of equity</t>
  </si>
  <si>
    <t>V=D+E: market value, t: firm’s marginal tax rate</t>
  </si>
  <si>
    <t>rD = wA*YTMA + wB*YTMB + wC*YTMC+…</t>
  </si>
  <si>
    <t>Taxes = T * (Revenue(sales) – Costs – Depr. – r*D)</t>
  </si>
  <si>
    <t>PV, FV</t>
  </si>
  <si>
    <t>Emerging (Mexico, Asia, Central Europe)  7.5%, Developed Markets (USA, Japan, UK)   5.5%</t>
  </si>
  <si>
    <t>measures how sensitive a stock is to overall market movements</t>
  </si>
  <si>
    <t>𝑅_i=𝛼_i+𝛽_i𝑅_m +𝜀_i</t>
  </si>
  <si>
    <t>(lin reg.)</t>
  </si>
  <si>
    <t>R^2 = explained variance(fraction of returns explained by the market)</t>
  </si>
  <si>
    <t>ε = firm – specific risk(i.e., diversifiable risk)</t>
  </si>
  <si>
    <t>Debt risk</t>
  </si>
  <si>
    <t>A</t>
  </si>
  <si>
    <t>B</t>
  </si>
  <si>
    <t>D</t>
  </si>
  <si>
    <t>…</t>
  </si>
  <si>
    <t>E</t>
  </si>
  <si>
    <t>F</t>
  </si>
  <si>
    <t>Amount</t>
  </si>
  <si>
    <t>weights</t>
  </si>
  <si>
    <t>Efficient Market Theory</t>
  </si>
  <si>
    <t>Yields (YTMs)</t>
  </si>
  <si>
    <t>D, E: Market values, not book values!</t>
  </si>
  <si>
    <t>x</t>
  </si>
  <si>
    <t>Firm valuation</t>
  </si>
  <si>
    <t xml:space="preserve">Indirekten benne </t>
  </si>
  <si>
    <t>= Equity value</t>
  </si>
  <si>
    <t>V(AB)&gt;V(A)+V(B)</t>
  </si>
  <si>
    <t>Total value = stand-alone value + value of synergies</t>
  </si>
  <si>
    <t>(In the long run, the shareholders of acquiring firms experience below average returns.)</t>
  </si>
  <si>
    <t xml:space="preserve">If it were possible to make big money simply by finding “the pattern” </t>
  </si>
  <si>
    <t>in the stock price movements, everyone would do it and the profits would be competed away</t>
  </si>
  <si>
    <t>important to conduct a sensitivity analysis</t>
  </si>
  <si>
    <t>implications: stock prices should have reflected all available information.</t>
  </si>
  <si>
    <t>An efficient capital market is one in which stock prices fully reflect available information</t>
  </si>
  <si>
    <t>Three types:</t>
  </si>
  <si>
    <t>Weak Form §</t>
  </si>
  <si>
    <t xml:space="preserve"> Security prices reflect all information found in past prices and volume. </t>
  </si>
  <si>
    <t xml:space="preserve">§ Semi-Strong Form § </t>
  </si>
  <si>
    <t>Security prices reflect all publicly available information.</t>
  </si>
  <si>
    <t xml:space="preserve"> § Strong Form § </t>
  </si>
  <si>
    <t>Security prices reflect all information — public and private</t>
  </si>
  <si>
    <t>Insider trading</t>
  </si>
  <si>
    <t>§ We can test efficiency by comparing the performance of professionally managed mutual funds with the performance of a market index</t>
  </si>
  <si>
    <t xml:space="preserve">If the market is semi-strong-form efficient, then no matter what publicly available information mutual-fund managers </t>
  </si>
  <si>
    <t xml:space="preserve">rely on to pick stocks, their average returns should be the same as those of the average investor in the market as a whole. </t>
  </si>
  <si>
    <t>strong-form efficiency does not seem to be substantiated by the evidence of insider trading</t>
  </si>
  <si>
    <t xml:space="preserve">Implications of the EMH for Corporate Finance </t>
  </si>
  <si>
    <t>§ Because information is reflected in security prices quickly, investors should only expect to obtain a normal rate of return. §</t>
  </si>
  <si>
    <t xml:space="preserve"> Awareness of information when it is released does an investor little good (vs. Insider trading). § The price adjusts before the investor has time to act on it. </t>
  </si>
  <si>
    <t>§ Investing in securities is a zero NPV proposition</t>
  </si>
  <si>
    <t>Firms should expect to receive the fair value for securities that they sell.</t>
  </si>
  <si>
    <t>The price of a company’s stock cannot be affected by a change in accounting (but it can be by fraud)</t>
  </si>
  <si>
    <t>Also against bubbles (Eugene Fama)</t>
  </si>
  <si>
    <t>Cost of equity: (expected) return of equity</t>
  </si>
  <si>
    <t>Stocks: Divident growth model</t>
  </si>
  <si>
    <t>To value an asset:</t>
  </si>
  <si>
    <t>To value a stock:</t>
  </si>
  <si>
    <t>PV0 = (Price1+Div1)/(1+r)</t>
  </si>
  <si>
    <t>=Div1/(1+r)+(Div2+P2)/(1+r)^2</t>
  </si>
  <si>
    <t>Feltéve, hogy D1/D0=Dn/D_(n-1)=1+g</t>
  </si>
  <si>
    <t xml:space="preserve">Stock prices could change because </t>
  </si>
  <si>
    <t>§ Expected future dividends change ( up D1 up  Price)</t>
  </si>
  <si>
    <t xml:space="preserve"> § Expected growth changes ( up g up Price) </t>
  </si>
  <si>
    <t>§ Required rate of return changes (up r down price)</t>
  </si>
  <si>
    <t>Suppose you invest $100 in this savings account. How much money will you have after one year?</t>
  </si>
  <si>
    <t>-for problems like these, using EAR is correct</t>
  </si>
  <si>
    <t>Bonds</t>
  </si>
  <si>
    <r>
      <rPr>
        <b/>
        <sz val="11"/>
        <color theme="1"/>
        <rFont val="Calibri"/>
        <family val="2"/>
        <charset val="238"/>
        <scheme val="minor"/>
      </rPr>
      <t>Par value</t>
    </r>
    <r>
      <rPr>
        <sz val="11"/>
        <color theme="1"/>
        <rFont val="Calibri"/>
        <family val="2"/>
        <scheme val="minor"/>
      </rPr>
      <t xml:space="preserve">/"(at) par" means (at) face value. </t>
    </r>
  </si>
  <si>
    <t>If something sells at 86% at par, that means its price is 86%*face value.</t>
  </si>
  <si>
    <r>
      <t xml:space="preserve">sold at par: </t>
    </r>
    <r>
      <rPr>
        <sz val="11"/>
        <color theme="1"/>
        <rFont val="Calibri"/>
        <family val="2"/>
        <charset val="238"/>
        <scheme val="minor"/>
      </rPr>
      <t>Present value equals face value</t>
    </r>
    <r>
      <rPr>
        <b/>
        <sz val="11"/>
        <color theme="1"/>
        <rFont val="Calibri"/>
        <family val="2"/>
        <charset val="238"/>
        <scheme val="minor"/>
      </rPr>
      <t xml:space="preserve"> - </t>
    </r>
    <r>
      <rPr>
        <sz val="11"/>
        <color theme="1"/>
        <rFont val="Calibri"/>
        <family val="2"/>
        <charset val="238"/>
        <scheme val="minor"/>
      </rPr>
      <t>The coupon rate equals the discount rate (expected).</t>
    </r>
  </si>
  <si>
    <t>Such a bond is a bond at par, otherwise it can be a discount or premium bond.</t>
  </si>
  <si>
    <t>(payments last forever)</t>
  </si>
  <si>
    <t>(geometric series)</t>
  </si>
  <si>
    <t>(finite)</t>
  </si>
  <si>
    <t>Growing perpetuity: grows only from the 2nd term!</t>
  </si>
  <si>
    <t>If it'd grow from the first element, we multiply by (1+g):  PV = C(1+g)/(r-g)</t>
  </si>
  <si>
    <t>Growing annuity: grows only from the 2nd term!</t>
  </si>
  <si>
    <t>PV = C/(1+r)+C*(1+g)/(1+r)^2+… C(1+g)^{T-1}/(1+r)^T</t>
  </si>
  <si>
    <t>If it'd grow from the first element, we multiply by (1+g)</t>
  </si>
  <si>
    <r>
      <rPr>
        <b/>
        <sz val="11"/>
        <color theme="1"/>
        <rFont val="Calibri"/>
        <family val="2"/>
        <charset val="238"/>
        <scheme val="minor"/>
      </rPr>
      <t xml:space="preserve">FV: </t>
    </r>
    <r>
      <rPr>
        <sz val="11"/>
        <color theme="1"/>
        <rFont val="Calibri"/>
        <family val="2"/>
        <charset val="238"/>
        <scheme val="minor"/>
      </rPr>
      <t>Multiply PV by</t>
    </r>
    <r>
      <rPr>
        <sz val="11"/>
        <color theme="1"/>
        <rFont val="Calibri"/>
        <family val="2"/>
        <scheme val="minor"/>
      </rPr>
      <t xml:space="preserve"> (1+r)^T</t>
    </r>
  </si>
  <si>
    <t>=C/(r-g)*[1-(1+g)^T/(1+r)^T)</t>
  </si>
  <si>
    <t>Mutually exclusive projects: buy highest NPV project</t>
  </si>
  <si>
    <t xml:space="preserve">Independent projects: buy all NPV&gt;0 projects </t>
  </si>
  <si>
    <r>
      <t xml:space="preserve">NPV: </t>
    </r>
    <r>
      <rPr>
        <sz val="11"/>
        <color theme="1"/>
        <rFont val="Calibri"/>
        <family val="2"/>
        <charset val="238"/>
        <scheme val="minor"/>
      </rPr>
      <t>Total PV of Cash Flows - initial investment</t>
    </r>
  </si>
  <si>
    <r>
      <t xml:space="preserve">Payback period: </t>
    </r>
    <r>
      <rPr>
        <sz val="11"/>
        <color theme="1"/>
        <rFont val="Calibri"/>
        <family val="2"/>
        <charset val="238"/>
        <scheme val="minor"/>
      </rPr>
      <t>No. time periods you need for it to pay back</t>
    </r>
  </si>
  <si>
    <t>(no time value of money however)</t>
  </si>
  <si>
    <r>
      <t xml:space="preserve">Profitability index: </t>
    </r>
    <r>
      <rPr>
        <sz val="11"/>
        <color theme="1"/>
        <rFont val="Calibri"/>
        <family val="2"/>
        <charset val="238"/>
        <scheme val="minor"/>
      </rPr>
      <t>TotalPV/Initial investment</t>
    </r>
  </si>
  <si>
    <r>
      <t xml:space="preserve">IRR: </t>
    </r>
    <r>
      <rPr>
        <sz val="11"/>
        <color theme="1"/>
        <rFont val="Calibri"/>
        <family val="2"/>
        <charset val="238"/>
        <scheme val="minor"/>
      </rPr>
      <t>Internal rate of return</t>
    </r>
  </si>
  <si>
    <t>Discount rate, for which NPV=0</t>
  </si>
  <si>
    <t>(biased on mutually exclusive projects)</t>
  </si>
  <si>
    <t>Investment Criteria</t>
  </si>
  <si>
    <t>Free Cash Flow calculation</t>
  </si>
  <si>
    <t>FCF = Operating CF - CapX - Net working capital additions</t>
  </si>
  <si>
    <t>Operating CF = EBIT - Taxes + Depreciation (+Amortization)</t>
  </si>
  <si>
    <t>Beta is a measure of sensitivity</t>
  </si>
  <si>
    <t>"how strongly the stock return moves with the market"</t>
  </si>
  <si>
    <t>e.g. 30-year T-bond rate</t>
  </si>
  <si>
    <r>
      <rPr>
        <sz val="11"/>
        <color theme="1"/>
        <rFont val="Calibri"/>
        <family val="2"/>
        <charset val="238"/>
        <scheme val="minor"/>
      </rPr>
      <t xml:space="preserve">Calculate </t>
    </r>
    <r>
      <rPr>
        <b/>
        <sz val="11"/>
        <color theme="1"/>
        <rFont val="Calibri"/>
        <family val="2"/>
        <charset val="238"/>
        <scheme val="minor"/>
      </rPr>
      <t xml:space="preserve">WACC: </t>
    </r>
    <r>
      <rPr>
        <sz val="11"/>
        <color theme="1"/>
        <rFont val="Calibri"/>
        <family val="2"/>
        <charset val="238"/>
        <scheme val="minor"/>
      </rPr>
      <t>Calculate</t>
    </r>
    <r>
      <rPr>
        <b/>
        <sz val="11"/>
        <color theme="1"/>
        <rFont val="Calibri"/>
        <family val="2"/>
        <charset val="238"/>
        <scheme val="minor"/>
      </rPr>
      <t xml:space="preserve"> risk of equity &amp; debt</t>
    </r>
  </si>
  <si>
    <r>
      <rPr>
        <b/>
        <sz val="11"/>
        <color theme="1"/>
        <rFont val="Calibri"/>
        <family val="2"/>
        <charset val="238"/>
        <scheme val="minor"/>
      </rPr>
      <t>Debt:</t>
    </r>
    <r>
      <rPr>
        <sz val="11"/>
        <color theme="1"/>
        <rFont val="Calibri"/>
        <family val="2"/>
        <charset val="238"/>
        <scheme val="minor"/>
      </rPr>
      <t xml:space="preserve"> simple </t>
    </r>
    <r>
      <rPr>
        <sz val="11"/>
        <color theme="1"/>
        <rFont val="Calibri"/>
        <family val="2"/>
        <scheme val="minor"/>
      </rPr>
      <t>weighted sum</t>
    </r>
  </si>
  <si>
    <t>Yield-to-Maturity (YTM)s  (rate of returns till maturity)</t>
  </si>
  <si>
    <t>It is tax deductable:</t>
  </si>
  <si>
    <r>
      <rPr>
        <b/>
        <sz val="11"/>
        <color theme="1"/>
        <rFont val="Calibri"/>
        <family val="2"/>
        <charset val="238"/>
        <scheme val="minor"/>
      </rPr>
      <t xml:space="preserve">Equity: </t>
    </r>
    <r>
      <rPr>
        <sz val="11"/>
        <color theme="1"/>
        <rFont val="Calibri"/>
        <family val="2"/>
        <charset val="238"/>
        <scheme val="minor"/>
      </rPr>
      <t>by models like</t>
    </r>
    <r>
      <rPr>
        <sz val="11"/>
        <color theme="1"/>
        <rFont val="Calibri"/>
        <family val="2"/>
        <scheme val="minor"/>
      </rPr>
      <t xml:space="preserve"> CAPM</t>
    </r>
  </si>
  <si>
    <t>possibly Divident Growth model (7th topic)</t>
  </si>
  <si>
    <t>For an N year investment, we should use N year maturity T-bonds (otherwise expected 1-year T-bonds)</t>
  </si>
  <si>
    <t>R_f has to be risk-free return - often we take X year treasury bonds as base for R_f.</t>
  </si>
  <si>
    <t>E(Rm-Rf): Market risk premium</t>
  </si>
  <si>
    <t>usually 5.5% (high uncertainty)</t>
  </si>
  <si>
    <t>Market Risk Premiums depend on underlying economy variance, political risk, structure of the market</t>
  </si>
  <si>
    <t>the slope of this</t>
  </si>
  <si>
    <t>All we need for firm valuation:</t>
  </si>
  <si>
    <t>(Free cash flows, not CFs)</t>
  </si>
  <si>
    <r>
      <t xml:space="preserve">r: </t>
    </r>
    <r>
      <rPr>
        <sz val="11"/>
        <color theme="1"/>
        <rFont val="Calibri"/>
        <family val="2"/>
        <charset val="238"/>
        <scheme val="minor"/>
      </rPr>
      <t>e.g.</t>
    </r>
    <r>
      <rPr>
        <b/>
        <sz val="11"/>
        <color theme="1"/>
        <rFont val="Calibri"/>
        <family val="2"/>
        <charset val="238"/>
        <scheme val="minor"/>
      </rPr>
      <t xml:space="preserve"> WACC</t>
    </r>
  </si>
  <si>
    <t>Price per share</t>
  </si>
  <si>
    <t>1) EV: Enterprise Value calculation</t>
  </si>
  <si>
    <t>2) Take away debt</t>
  </si>
  <si>
    <t>Market value of debt (if not given, assume book value)</t>
  </si>
  <si>
    <t>3) divide by num. of stocks</t>
  </si>
  <si>
    <t>Plus: Synergies</t>
  </si>
  <si>
    <t>in case of M&amp;A</t>
  </si>
  <si>
    <t>(Hostile acquirers typically perform better.)</t>
  </si>
  <si>
    <t>Counterargument: behavioural econ pl. (Book: Thinking fast and slow)</t>
  </si>
  <si>
    <t>How do we calculate FCF values?</t>
  </si>
  <si>
    <t>A common method: FCFs are predicted only for the next 5 years, then assuming constant growth</t>
  </si>
  <si>
    <t xml:space="preserve">common growth values: 2%, 3% </t>
  </si>
  <si>
    <t>The PV at the time of the start of the constant growth, of all future FCFs: Terminal Value (TV)</t>
  </si>
  <si>
    <t>Enterprise value (EV) above - doesn't contain cash (needed for firm value)</t>
  </si>
  <si>
    <r>
      <rPr>
        <b/>
        <sz val="11"/>
        <color theme="1"/>
        <rFont val="Calibri"/>
        <family val="2"/>
        <charset val="238"/>
        <scheme val="minor"/>
      </rPr>
      <t>TV:</t>
    </r>
    <r>
      <rPr>
        <sz val="11"/>
        <color theme="1"/>
        <rFont val="Calibri"/>
        <family val="2"/>
        <scheme val="minor"/>
      </rPr>
      <t xml:space="preserve"> instant growth from Y1 - C*(1+g)/(1+r) is the first element-&gt; TVt = FCF_{T+1}/(r-g)=FCF_T*(1+g)/(r-g)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</si>
</sst>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scheme val="minor"/>
    </font>
    <font>
      <b/>
      <sz val="16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rgb="FFFF0000"/>
      </top>
      <bottom/>
      <diagonal/>
    </border>
    <border>
      <left style="thin">
        <color indexed="64"/>
      </left>
      <right/>
      <top style="thick">
        <color rgb="FFFF0000"/>
      </top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60">
    <xf numFmtId="0" fontId="0" fillId="0" borderId="0" xfId="0"/>
    <xf numFmtId="164" fontId="0" fillId="0" borderId="0" xfId="0" applyNumberFormat="1"/>
    <xf numFmtId="164" fontId="0" fillId="2" borderId="1" xfId="0" applyNumberFormat="1" applyFill="1" applyBorder="1"/>
    <xf numFmtId="164" fontId="0" fillId="0" borderId="0" xfId="0" quotePrefix="1" applyNumberFormat="1"/>
    <xf numFmtId="164" fontId="0" fillId="3" borderId="1" xfId="0" applyNumberFormat="1" applyFill="1" applyBorder="1"/>
    <xf numFmtId="164" fontId="0" fillId="0" borderId="1" xfId="0" applyNumberFormat="1" applyBorder="1"/>
    <xf numFmtId="164" fontId="3" fillId="0" borderId="1" xfId="0" applyNumberFormat="1" applyFont="1" applyBorder="1"/>
    <xf numFmtId="164" fontId="3" fillId="2" borderId="1" xfId="0" applyNumberFormat="1" applyFont="1" applyFill="1" applyBorder="1"/>
    <xf numFmtId="0" fontId="4" fillId="0" borderId="0" xfId="0" applyFont="1"/>
    <xf numFmtId="164" fontId="3" fillId="0" borderId="0" xfId="0" applyNumberFormat="1" applyFont="1"/>
    <xf numFmtId="0" fontId="0" fillId="2" borderId="1" xfId="0" applyFill="1" applyBorder="1"/>
    <xf numFmtId="0" fontId="0" fillId="3" borderId="1" xfId="0" applyFill="1" applyBorder="1"/>
    <xf numFmtId="0" fontId="5" fillId="2" borderId="1" xfId="0" applyFont="1" applyFill="1" applyBorder="1"/>
    <xf numFmtId="0" fontId="0" fillId="2" borderId="2" xfId="0" applyFill="1" applyBorder="1"/>
    <xf numFmtId="0" fontId="5" fillId="2" borderId="5" xfId="0" applyFont="1" applyFill="1" applyBorder="1" applyAlignment="1">
      <alignment horizontal="right"/>
    </xf>
    <xf numFmtId="9" fontId="0" fillId="0" borderId="5" xfId="0" applyNumberFormat="1" applyBorder="1"/>
    <xf numFmtId="0" fontId="0" fillId="4" borderId="6" xfId="0" applyFill="1" applyBorder="1"/>
    <xf numFmtId="0" fontId="0" fillId="5" borderId="7" xfId="0" applyFill="1" applyBorder="1"/>
    <xf numFmtId="0" fontId="0" fillId="0" borderId="8" xfId="0" applyBorder="1"/>
    <xf numFmtId="0" fontId="5" fillId="3" borderId="3" xfId="0" applyFont="1" applyFill="1" applyBorder="1"/>
    <xf numFmtId="0" fontId="5" fillId="3" borderId="5" xfId="0" applyFont="1" applyFill="1" applyBorder="1"/>
    <xf numFmtId="0" fontId="5" fillId="0" borderId="4" xfId="0" applyFont="1" applyBorder="1"/>
    <xf numFmtId="0" fontId="0" fillId="3" borderId="8" xfId="0" applyFill="1" applyBorder="1"/>
    <xf numFmtId="9" fontId="0" fillId="0" borderId="8" xfId="0" applyNumberFormat="1" applyBorder="1"/>
    <xf numFmtId="0" fontId="5" fillId="0" borderId="0" xfId="0" applyFont="1"/>
    <xf numFmtId="0" fontId="0" fillId="0" borderId="9" xfId="0" applyBorder="1"/>
    <xf numFmtId="0" fontId="0" fillId="0" borderId="0" xfId="0" quotePrefix="1"/>
    <xf numFmtId="0" fontId="0" fillId="6" borderId="8" xfId="0" applyFill="1" applyBorder="1"/>
    <xf numFmtId="0" fontId="0" fillId="2" borderId="8" xfId="0" applyFill="1" applyBorder="1" applyAlignment="1">
      <alignment horizontal="right"/>
    </xf>
    <xf numFmtId="0" fontId="0" fillId="3" borderId="8" xfId="0" applyFill="1" applyBorder="1" applyAlignment="1">
      <alignment horizontal="right"/>
    </xf>
    <xf numFmtId="0" fontId="0" fillId="0" borderId="8" xfId="0" applyBorder="1" applyAlignment="1">
      <alignment horizontal="right"/>
    </xf>
    <xf numFmtId="9" fontId="0" fillId="0" borderId="8" xfId="0" applyNumberFormat="1" applyBorder="1" applyAlignment="1">
      <alignment horizontal="right"/>
    </xf>
    <xf numFmtId="0" fontId="0" fillId="0" borderId="0" xfId="0" applyAlignment="1">
      <alignment horizontal="right"/>
    </xf>
    <xf numFmtId="1" fontId="0" fillId="0" borderId="8" xfId="0" applyNumberFormat="1" applyBorder="1" applyAlignment="1">
      <alignment horizontal="right"/>
    </xf>
    <xf numFmtId="10" fontId="0" fillId="0" borderId="8" xfId="0" applyNumberFormat="1" applyBorder="1" applyAlignment="1">
      <alignment horizontal="right"/>
    </xf>
    <xf numFmtId="0" fontId="0" fillId="3" borderId="10" xfId="0" applyFill="1" applyBorder="1" applyAlignment="1">
      <alignment horizontal="right"/>
    </xf>
    <xf numFmtId="10" fontId="0" fillId="0" borderId="10" xfId="0" applyNumberFormat="1" applyBorder="1" applyAlignment="1">
      <alignment horizontal="right"/>
    </xf>
    <xf numFmtId="0" fontId="0" fillId="7" borderId="0" xfId="0" applyFill="1"/>
    <xf numFmtId="0" fontId="5" fillId="0" borderId="0" xfId="0" applyFont="1" applyAlignment="1">
      <alignment horizontal="right"/>
    </xf>
    <xf numFmtId="0" fontId="5" fillId="2" borderId="1" xfId="0" applyFont="1" applyFill="1" applyBorder="1" applyAlignment="1">
      <alignment horizontal="right"/>
    </xf>
    <xf numFmtId="0" fontId="0" fillId="0" borderId="1" xfId="0" applyBorder="1"/>
    <xf numFmtId="0" fontId="5" fillId="8" borderId="0" xfId="0" applyFont="1" applyFill="1" applyAlignment="1">
      <alignment horizontal="right"/>
    </xf>
    <xf numFmtId="10" fontId="0" fillId="0" borderId="0" xfId="0" applyNumberFormat="1"/>
    <xf numFmtId="0" fontId="2" fillId="8" borderId="0" xfId="0" applyFont="1" applyFill="1" applyAlignment="1">
      <alignment horizontal="right"/>
    </xf>
    <xf numFmtId="0" fontId="0" fillId="8" borderId="1" xfId="0" applyFill="1" applyBorder="1"/>
    <xf numFmtId="10" fontId="0" fillId="0" borderId="1" xfId="0" applyNumberFormat="1" applyBorder="1"/>
    <xf numFmtId="0" fontId="5" fillId="8" borderId="1" xfId="0" applyFont="1" applyFill="1" applyBorder="1"/>
    <xf numFmtId="0" fontId="5" fillId="8" borderId="2" xfId="0" applyFont="1" applyFill="1" applyBorder="1"/>
    <xf numFmtId="2" fontId="0" fillId="0" borderId="1" xfId="0" applyNumberFormat="1" applyBorder="1"/>
    <xf numFmtId="0" fontId="5" fillId="0" borderId="9" xfId="0" applyFont="1" applyBorder="1"/>
    <xf numFmtId="0" fontId="5" fillId="0" borderId="0" xfId="0" quotePrefix="1" applyFont="1"/>
    <xf numFmtId="0" fontId="0" fillId="9" borderId="1" xfId="0" applyFill="1" applyBorder="1"/>
    <xf numFmtId="0" fontId="7" fillId="0" borderId="0" xfId="0" applyFont="1"/>
    <xf numFmtId="0" fontId="0" fillId="8" borderId="1" xfId="0" applyFill="1" applyBorder="1" applyAlignment="1">
      <alignment horizontal="center"/>
    </xf>
    <xf numFmtId="164" fontId="0" fillId="0" borderId="0" xfId="0" applyNumberFormat="1" applyFill="1" applyBorder="1"/>
    <xf numFmtId="164" fontId="0" fillId="0" borderId="0" xfId="0" quotePrefix="1" applyNumberFormat="1" applyFill="1" applyBorder="1"/>
    <xf numFmtId="164" fontId="4" fillId="0" borderId="0" xfId="0" applyNumberFormat="1" applyFont="1"/>
    <xf numFmtId="164" fontId="1" fillId="0" borderId="0" xfId="0" applyNumberFormat="1" applyFont="1"/>
    <xf numFmtId="0" fontId="1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5" Type="http://schemas.openxmlformats.org/officeDocument/2006/relationships/image" Target="../media/image18.png"/><Relationship Id="rId4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381000</xdr:colOff>
      <xdr:row>3</xdr:row>
      <xdr:rowOff>18962</xdr:rowOff>
    </xdr:from>
    <xdr:to>
      <xdr:col>21</xdr:col>
      <xdr:colOff>605320</xdr:colOff>
      <xdr:row>11</xdr:row>
      <xdr:rowOff>106679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049B83-48C7-4ED0-9ACC-CAFC4535AD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04120" y="651422"/>
          <a:ext cx="3272320" cy="1550757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381001</xdr:colOff>
      <xdr:row>11</xdr:row>
      <xdr:rowOff>91440</xdr:rowOff>
    </xdr:from>
    <xdr:to>
      <xdr:col>22</xdr:col>
      <xdr:colOff>220981</xdr:colOff>
      <xdr:row>16</xdr:row>
      <xdr:rowOff>134767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534B7CA-837F-4F94-90AD-7968D5602A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51321" y="2103120"/>
          <a:ext cx="3497580" cy="957727"/>
        </a:xfrm>
        <a:prstGeom prst="rect">
          <a:avLst/>
        </a:prstGeom>
      </xdr:spPr>
    </xdr:pic>
    <xdr:clientData/>
  </xdr:twoCellAnchor>
  <xdr:twoCellAnchor editAs="oneCell">
    <xdr:from>
      <xdr:col>3</xdr:col>
      <xdr:colOff>60960</xdr:colOff>
      <xdr:row>20</xdr:row>
      <xdr:rowOff>30480</xdr:rowOff>
    </xdr:from>
    <xdr:to>
      <xdr:col>15</xdr:col>
      <xdr:colOff>137160</xdr:colOff>
      <xdr:row>32</xdr:row>
      <xdr:rowOff>7337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FD6453-7AA0-4193-B0F0-E2CA355618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98320" y="3771900"/>
          <a:ext cx="7452360" cy="2255237"/>
        </a:xfrm>
        <a:prstGeom prst="rect">
          <a:avLst/>
        </a:prstGeom>
      </xdr:spPr>
    </xdr:pic>
    <xdr:clientData/>
  </xdr:twoCellAnchor>
  <xdr:twoCellAnchor editAs="oneCell">
    <xdr:from>
      <xdr:col>27</xdr:col>
      <xdr:colOff>181466</xdr:colOff>
      <xdr:row>13</xdr:row>
      <xdr:rowOff>99060</xdr:rowOff>
    </xdr:from>
    <xdr:to>
      <xdr:col>29</xdr:col>
      <xdr:colOff>553059</xdr:colOff>
      <xdr:row>18</xdr:row>
      <xdr:rowOff>46050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A30C934-5C90-9B6B-3374-B947A32BB2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610186" y="2560320"/>
          <a:ext cx="1590793" cy="861390"/>
        </a:xfrm>
        <a:prstGeom prst="rect">
          <a:avLst/>
        </a:prstGeom>
      </xdr:spPr>
    </xdr:pic>
    <xdr:clientData/>
  </xdr:twoCellAnchor>
  <xdr:twoCellAnchor editAs="oneCell">
    <xdr:from>
      <xdr:col>26</xdr:col>
      <xdr:colOff>579120</xdr:colOff>
      <xdr:row>3</xdr:row>
      <xdr:rowOff>12864</xdr:rowOff>
    </xdr:from>
    <xdr:to>
      <xdr:col>30</xdr:col>
      <xdr:colOff>395052</xdr:colOff>
      <xdr:row>6</xdr:row>
      <xdr:rowOff>70677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E039789-1448-09AC-B317-A57903814F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398240" y="645324"/>
          <a:ext cx="2254332" cy="6064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34183</xdr:colOff>
      <xdr:row>1</xdr:row>
      <xdr:rowOff>22860</xdr:rowOff>
    </xdr:from>
    <xdr:to>
      <xdr:col>5</xdr:col>
      <xdr:colOff>434340</xdr:colOff>
      <xdr:row>11</xdr:row>
      <xdr:rowOff>147599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7AE02A-04A1-C625-7D03-890B7AD55D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9615"/>
        <a:stretch/>
      </xdr:blipFill>
      <xdr:spPr>
        <a:xfrm>
          <a:off x="643783" y="205740"/>
          <a:ext cx="3227177" cy="1953539"/>
        </a:xfrm>
        <a:prstGeom prst="rect">
          <a:avLst/>
        </a:prstGeom>
      </xdr:spPr>
    </xdr:pic>
    <xdr:clientData/>
  </xdr:twoCellAnchor>
  <xdr:twoCellAnchor editAs="oneCell">
    <xdr:from>
      <xdr:col>8</xdr:col>
      <xdr:colOff>411480</xdr:colOff>
      <xdr:row>11</xdr:row>
      <xdr:rowOff>163609</xdr:rowOff>
    </xdr:from>
    <xdr:to>
      <xdr:col>12</xdr:col>
      <xdr:colOff>584257</xdr:colOff>
      <xdr:row>23</xdr:row>
      <xdr:rowOff>52279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189DD8F-32A7-BDC4-7FCB-DD37E959FB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41620" y="2175289"/>
          <a:ext cx="3274117" cy="2083230"/>
        </a:xfrm>
        <a:prstGeom prst="rect">
          <a:avLst/>
        </a:prstGeom>
      </xdr:spPr>
    </xdr:pic>
    <xdr:clientData/>
  </xdr:twoCellAnchor>
  <xdr:twoCellAnchor editAs="oneCell">
    <xdr:from>
      <xdr:col>15</xdr:col>
      <xdr:colOff>60960</xdr:colOff>
      <xdr:row>3</xdr:row>
      <xdr:rowOff>57916</xdr:rowOff>
    </xdr:from>
    <xdr:to>
      <xdr:col>20</xdr:col>
      <xdr:colOff>457200</xdr:colOff>
      <xdr:row>14</xdr:row>
      <xdr:rowOff>36905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EEC122F-6880-3256-BCE5-1C69525484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21240" y="606556"/>
          <a:ext cx="3817620" cy="1990669"/>
        </a:xfrm>
        <a:prstGeom prst="rect">
          <a:avLst/>
        </a:prstGeom>
      </xdr:spPr>
    </xdr:pic>
    <xdr:clientData/>
  </xdr:twoCellAnchor>
  <xdr:twoCellAnchor editAs="oneCell">
    <xdr:from>
      <xdr:col>19</xdr:col>
      <xdr:colOff>365761</xdr:colOff>
      <xdr:row>10</xdr:row>
      <xdr:rowOff>116356</xdr:rowOff>
    </xdr:from>
    <xdr:to>
      <xdr:col>22</xdr:col>
      <xdr:colOff>22860</xdr:colOff>
      <xdr:row>13</xdr:row>
      <xdr:rowOff>110641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6D853DD-3E23-055E-64E9-40749462DD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37821" y="1945156"/>
          <a:ext cx="1485899" cy="542925"/>
        </a:xfrm>
        <a:prstGeom prst="rect">
          <a:avLst/>
        </a:prstGeom>
      </xdr:spPr>
    </xdr:pic>
    <xdr:clientData/>
  </xdr:twoCellAnchor>
  <xdr:twoCellAnchor editAs="oneCell">
    <xdr:from>
      <xdr:col>15</xdr:col>
      <xdr:colOff>38100</xdr:colOff>
      <xdr:row>23</xdr:row>
      <xdr:rowOff>13296</xdr:rowOff>
    </xdr:from>
    <xdr:to>
      <xdr:col>21</xdr:col>
      <xdr:colOff>592931</xdr:colOff>
      <xdr:row>28</xdr:row>
      <xdr:rowOff>76200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80E2FD0-F707-BA33-11EA-724821BF04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898380" y="4303356"/>
          <a:ext cx="4585811" cy="977304"/>
        </a:xfrm>
        <a:prstGeom prst="rect">
          <a:avLst/>
        </a:prstGeom>
      </xdr:spPr>
    </xdr:pic>
    <xdr:clientData/>
  </xdr:twoCellAnchor>
  <xdr:twoCellAnchor editAs="oneCell">
    <xdr:from>
      <xdr:col>14</xdr:col>
      <xdr:colOff>190721</xdr:colOff>
      <xdr:row>14</xdr:row>
      <xdr:rowOff>38100</xdr:rowOff>
    </xdr:from>
    <xdr:to>
      <xdr:col>21</xdr:col>
      <xdr:colOff>558810</xdr:colOff>
      <xdr:row>18</xdr:row>
      <xdr:rowOff>135046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CDE39E4-684E-2F20-F3B5-2650D3B241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441401" y="2598420"/>
          <a:ext cx="5008669" cy="82846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312421</xdr:colOff>
      <xdr:row>2</xdr:row>
      <xdr:rowOff>53340</xdr:rowOff>
    </xdr:from>
    <xdr:to>
      <xdr:col>5</xdr:col>
      <xdr:colOff>220980</xdr:colOff>
      <xdr:row>7</xdr:row>
      <xdr:rowOff>30579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048690-570C-F99C-5382-47849B3558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2021" y="419100"/>
          <a:ext cx="2346959" cy="891639"/>
        </a:xfrm>
        <a:prstGeom prst="rect">
          <a:avLst/>
        </a:prstGeom>
      </xdr:spPr>
    </xdr:pic>
    <xdr:clientData/>
  </xdr:twoCellAnchor>
  <xdr:twoCellAnchor editAs="oneCell">
    <xdr:from>
      <xdr:col>1</xdr:col>
      <xdr:colOff>243841</xdr:colOff>
      <xdr:row>13</xdr:row>
      <xdr:rowOff>160020</xdr:rowOff>
    </xdr:from>
    <xdr:to>
      <xdr:col>5</xdr:col>
      <xdr:colOff>487681</xdr:colOff>
      <xdr:row>16</xdr:row>
      <xdr:rowOff>149899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6E8077E-08DE-A929-B7D3-E0BCE22708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3441" y="2537460"/>
          <a:ext cx="2682240" cy="538519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10</xdr:row>
      <xdr:rowOff>83820</xdr:rowOff>
    </xdr:from>
    <xdr:to>
      <xdr:col>16</xdr:col>
      <xdr:colOff>318611</xdr:colOff>
      <xdr:row>15</xdr:row>
      <xdr:rowOff>146724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E1A70E0-A671-4C41-B3CC-4564680AB2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24500" y="1912620"/>
          <a:ext cx="4585811" cy="97730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601980</xdr:colOff>
      <xdr:row>3</xdr:row>
      <xdr:rowOff>56303</xdr:rowOff>
    </xdr:from>
    <xdr:to>
      <xdr:col>4</xdr:col>
      <xdr:colOff>594360</xdr:colOff>
      <xdr:row>7</xdr:row>
      <xdr:rowOff>163177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05A846-BE9F-B76A-EE12-770A26CC41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980" y="604943"/>
          <a:ext cx="2430780" cy="838394"/>
        </a:xfrm>
        <a:prstGeom prst="rect">
          <a:avLst/>
        </a:prstGeom>
      </xdr:spPr>
    </xdr:pic>
    <xdr:clientData/>
  </xdr:twoCellAnchor>
  <xdr:twoCellAnchor editAs="oneCell">
    <xdr:from>
      <xdr:col>1</xdr:col>
      <xdr:colOff>15689</xdr:colOff>
      <xdr:row>14</xdr:row>
      <xdr:rowOff>9413</xdr:rowOff>
    </xdr:from>
    <xdr:to>
      <xdr:col>10</xdr:col>
      <xdr:colOff>46617</xdr:colOff>
      <xdr:row>19</xdr:row>
      <xdr:rowOff>1130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700DF0-F59A-0FA4-B7FA-6784D03153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5289" y="2627107"/>
          <a:ext cx="5615940" cy="888188"/>
        </a:xfrm>
        <a:prstGeom prst="rect">
          <a:avLst/>
        </a:prstGeom>
      </xdr:spPr>
    </xdr:pic>
    <xdr:clientData/>
  </xdr:twoCellAnchor>
  <xdr:twoCellAnchor editAs="oneCell">
    <xdr:from>
      <xdr:col>2</xdr:col>
      <xdr:colOff>161366</xdr:colOff>
      <xdr:row>22</xdr:row>
      <xdr:rowOff>17931</xdr:rowOff>
    </xdr:from>
    <xdr:to>
      <xdr:col>7</xdr:col>
      <xdr:colOff>502024</xdr:colOff>
      <xdr:row>26</xdr:row>
      <xdr:rowOff>124686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9EE56A-1104-66AE-B502-88384E6EAF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80566" y="3962402"/>
          <a:ext cx="3388658" cy="823932"/>
        </a:xfrm>
        <a:prstGeom prst="rect">
          <a:avLst/>
        </a:prstGeom>
      </xdr:spPr>
    </xdr:pic>
    <xdr:clientData/>
  </xdr:twoCellAnchor>
  <xdr:twoCellAnchor editAs="oneCell">
    <xdr:from>
      <xdr:col>22</xdr:col>
      <xdr:colOff>367553</xdr:colOff>
      <xdr:row>18</xdr:row>
      <xdr:rowOff>161365</xdr:rowOff>
    </xdr:from>
    <xdr:to>
      <xdr:col>29</xdr:col>
      <xdr:colOff>137430</xdr:colOff>
      <xdr:row>33</xdr:row>
      <xdr:rowOff>125609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8A1C3B3-DB0B-2E47-904A-0B9ECD0C0F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877365" y="3442447"/>
          <a:ext cx="4037077" cy="2653655"/>
        </a:xfrm>
        <a:prstGeom prst="rect">
          <a:avLst/>
        </a:prstGeom>
      </xdr:spPr>
    </xdr:pic>
    <xdr:clientData/>
  </xdr:twoCellAnchor>
  <xdr:twoCellAnchor editAs="oneCell">
    <xdr:from>
      <xdr:col>22</xdr:col>
      <xdr:colOff>351904</xdr:colOff>
      <xdr:row>40</xdr:row>
      <xdr:rowOff>26894</xdr:rowOff>
    </xdr:from>
    <xdr:to>
      <xdr:col>29</xdr:col>
      <xdr:colOff>358588</xdr:colOff>
      <xdr:row>56</xdr:row>
      <xdr:rowOff>152629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54D6A8B-66D9-9453-6252-8D0121A670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861716" y="7252447"/>
          <a:ext cx="4273884" cy="29944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A6A81-610E-4087-B71C-C2776BE83346}">
  <dimension ref="B1:S17"/>
  <sheetViews>
    <sheetView workbookViewId="0">
      <selection activeCell="N16" sqref="N16"/>
    </sheetView>
  </sheetViews>
  <sheetFormatPr defaultRowHeight="14.4" x14ac:dyDescent="0.3"/>
  <cols>
    <col min="9" max="9" width="10.5546875" customWidth="1"/>
    <col min="16" max="16" width="12.5546875" customWidth="1"/>
    <col min="17" max="17" width="13.33203125" customWidth="1"/>
  </cols>
  <sheetData>
    <row r="1" spans="2:19" ht="21" x14ac:dyDescent="0.4">
      <c r="B1" s="8" t="s">
        <v>109</v>
      </c>
      <c r="G1" s="8" t="s">
        <v>39</v>
      </c>
      <c r="I1" t="s">
        <v>177</v>
      </c>
      <c r="K1" s="1"/>
      <c r="L1" s="1"/>
      <c r="M1" s="1"/>
      <c r="N1" s="8" t="s">
        <v>46</v>
      </c>
      <c r="P1" t="s">
        <v>179</v>
      </c>
    </row>
    <row r="2" spans="2:19" x14ac:dyDescent="0.3">
      <c r="B2" s="28" t="s">
        <v>35</v>
      </c>
      <c r="C2" s="28" t="s">
        <v>30</v>
      </c>
      <c r="D2" s="28" t="s">
        <v>23</v>
      </c>
      <c r="E2" s="29" t="s">
        <v>36</v>
      </c>
      <c r="G2" s="25" t="s">
        <v>40</v>
      </c>
      <c r="J2" s="26" t="s">
        <v>42</v>
      </c>
      <c r="K2" s="1"/>
      <c r="L2" s="1"/>
      <c r="M2" s="1"/>
      <c r="N2" s="25" t="s">
        <v>47</v>
      </c>
      <c r="Q2" s="26" t="s">
        <v>48</v>
      </c>
    </row>
    <row r="3" spans="2:19" x14ac:dyDescent="0.3">
      <c r="B3" s="30">
        <v>1000</v>
      </c>
      <c r="C3" s="31">
        <v>0.1</v>
      </c>
      <c r="D3" s="30">
        <v>30</v>
      </c>
      <c r="E3" s="30">
        <f>B3*(1+C3)^D3</f>
        <v>17449.402268886446</v>
      </c>
      <c r="I3" t="s">
        <v>178</v>
      </c>
    </row>
    <row r="4" spans="2:19" x14ac:dyDescent="0.3">
      <c r="B4" s="32"/>
      <c r="C4" s="32"/>
      <c r="D4" s="32"/>
      <c r="E4" s="32"/>
      <c r="G4" s="28" t="s">
        <v>41</v>
      </c>
      <c r="H4" s="28" t="s">
        <v>30</v>
      </c>
      <c r="I4" s="29" t="s">
        <v>35</v>
      </c>
      <c r="N4" s="28" t="s">
        <v>41</v>
      </c>
      <c r="O4" s="28" t="s">
        <v>30</v>
      </c>
      <c r="P4" s="28" t="s">
        <v>23</v>
      </c>
      <c r="Q4" s="29" t="s">
        <v>35</v>
      </c>
      <c r="S4" s="58" t="s">
        <v>185</v>
      </c>
    </row>
    <row r="5" spans="2:19" x14ac:dyDescent="0.3">
      <c r="B5" s="32"/>
      <c r="C5" s="32"/>
      <c r="D5" s="32"/>
      <c r="E5" s="32"/>
      <c r="G5" s="30">
        <v>1000</v>
      </c>
      <c r="H5" s="31">
        <v>0.1</v>
      </c>
      <c r="I5" s="30">
        <f>G5/H5</f>
        <v>10000</v>
      </c>
      <c r="N5" s="30">
        <v>1000</v>
      </c>
      <c r="O5" s="31">
        <v>0.1</v>
      </c>
      <c r="P5" s="33">
        <v>30</v>
      </c>
      <c r="Q5" s="30">
        <f>N5/O5*(1-1/(1+O5)^P5)</f>
        <v>9426.9144669883208</v>
      </c>
    </row>
    <row r="6" spans="2:19" x14ac:dyDescent="0.3">
      <c r="B6" s="28" t="s">
        <v>36</v>
      </c>
      <c r="C6" s="28" t="s">
        <v>30</v>
      </c>
      <c r="D6" s="28" t="s">
        <v>23</v>
      </c>
      <c r="E6" s="29" t="s">
        <v>35</v>
      </c>
    </row>
    <row r="7" spans="2:19" x14ac:dyDescent="0.3">
      <c r="B7" s="30">
        <v>17450</v>
      </c>
      <c r="C7" s="31">
        <v>0.1</v>
      </c>
      <c r="D7" s="30">
        <v>30</v>
      </c>
      <c r="E7" s="30">
        <f>B7/(1+C7)^D7</f>
        <v>1000.0342551053809</v>
      </c>
      <c r="G7" s="24" t="s">
        <v>180</v>
      </c>
      <c r="N7" t="s">
        <v>182</v>
      </c>
    </row>
    <row r="8" spans="2:19" x14ac:dyDescent="0.3">
      <c r="G8" s="49" t="s">
        <v>43</v>
      </c>
      <c r="J8" s="50" t="s">
        <v>44</v>
      </c>
      <c r="N8" s="25" t="s">
        <v>183</v>
      </c>
      <c r="R8" s="26" t="s">
        <v>186</v>
      </c>
    </row>
    <row r="9" spans="2:19" x14ac:dyDescent="0.3">
      <c r="G9" t="s">
        <v>181</v>
      </c>
      <c r="N9" t="s">
        <v>184</v>
      </c>
    </row>
    <row r="10" spans="2:19" x14ac:dyDescent="0.3">
      <c r="B10" t="s">
        <v>37</v>
      </c>
    </row>
    <row r="11" spans="2:19" x14ac:dyDescent="0.3">
      <c r="B11" t="s">
        <v>38</v>
      </c>
      <c r="G11" s="28" t="s">
        <v>41</v>
      </c>
      <c r="H11" s="28" t="s">
        <v>30</v>
      </c>
      <c r="I11" s="28" t="s">
        <v>45</v>
      </c>
      <c r="J11" s="29" t="s">
        <v>35</v>
      </c>
      <c r="N11" s="28" t="s">
        <v>41</v>
      </c>
      <c r="O11" s="28" t="s">
        <v>30</v>
      </c>
      <c r="P11" s="28" t="s">
        <v>45</v>
      </c>
      <c r="Q11" s="28" t="s">
        <v>23</v>
      </c>
      <c r="R11" s="29" t="s">
        <v>35</v>
      </c>
    </row>
    <row r="12" spans="2:19" x14ac:dyDescent="0.3">
      <c r="G12" s="30">
        <v>1000</v>
      </c>
      <c r="H12" s="31">
        <v>0.1</v>
      </c>
      <c r="I12" s="31">
        <v>0.03</v>
      </c>
      <c r="J12" s="30">
        <f>G12/(H12-I12)</f>
        <v>14285.714285714284</v>
      </c>
      <c r="N12" s="30">
        <v>1000</v>
      </c>
      <c r="O12" s="31">
        <v>0.1</v>
      </c>
      <c r="P12" s="31">
        <v>0.03</v>
      </c>
      <c r="Q12" s="33">
        <v>30</v>
      </c>
      <c r="R12" s="30">
        <f>N12/(O12-P12)*(1-(1+P12)^Q12/(1+O12)^Q12)</f>
        <v>12298.529989912897</v>
      </c>
    </row>
    <row r="17" spans="2:2" ht="21" x14ac:dyDescent="0.4">
      <c r="B17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4"/>
  <sheetViews>
    <sheetView topLeftCell="A3" workbookViewId="0">
      <selection activeCell="R25" sqref="R25"/>
    </sheetView>
  </sheetViews>
  <sheetFormatPr defaultRowHeight="14.4" x14ac:dyDescent="0.3"/>
  <cols>
    <col min="2" max="2" width="9.21875" customWidth="1"/>
    <col min="3" max="3" width="7.21875" customWidth="1"/>
    <col min="7" max="7" width="9.77734375" customWidth="1"/>
  </cols>
  <sheetData>
    <row r="1" spans="1:32" ht="21" x14ac:dyDescent="0.4">
      <c r="A1" s="8" t="s">
        <v>12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56" t="s">
        <v>172</v>
      </c>
      <c r="R1" s="1"/>
      <c r="S1" s="1"/>
      <c r="T1" s="1"/>
      <c r="U1" s="1"/>
      <c r="V1" s="1"/>
      <c r="W1" s="1"/>
      <c r="X1" s="1"/>
      <c r="Y1" s="1"/>
      <c r="AB1" s="8" t="s">
        <v>160</v>
      </c>
    </row>
    <row r="2" spans="1:32" x14ac:dyDescent="0.3">
      <c r="A2" s="7" t="s">
        <v>9</v>
      </c>
      <c r="B2" s="7" t="s">
        <v>10</v>
      </c>
      <c r="C2" s="7"/>
      <c r="D2" s="7" t="s">
        <v>11</v>
      </c>
      <c r="E2" s="1"/>
      <c r="F2" s="2" t="s">
        <v>0</v>
      </c>
      <c r="G2" s="2"/>
      <c r="H2" s="2" t="s">
        <v>1</v>
      </c>
      <c r="I2" s="2"/>
      <c r="J2" s="2" t="s">
        <v>2</v>
      </c>
      <c r="K2" s="2"/>
      <c r="L2" s="2" t="s">
        <v>3</v>
      </c>
      <c r="M2" s="3" t="s">
        <v>4</v>
      </c>
      <c r="N2" s="4" t="s">
        <v>5</v>
      </c>
      <c r="O2" s="1"/>
      <c r="P2" s="1"/>
      <c r="Q2" s="2" t="s">
        <v>5</v>
      </c>
      <c r="R2" s="2"/>
      <c r="S2" s="2" t="s">
        <v>1</v>
      </c>
      <c r="T2" s="2"/>
      <c r="U2" s="2" t="s">
        <v>2</v>
      </c>
      <c r="V2" s="2"/>
      <c r="W2" s="2" t="s">
        <v>3</v>
      </c>
      <c r="X2" s="3" t="s">
        <v>4</v>
      </c>
      <c r="Y2" s="4" t="s">
        <v>0</v>
      </c>
    </row>
    <row r="3" spans="1:32" x14ac:dyDescent="0.3">
      <c r="A3" s="6">
        <v>8.8999999999999996E-2</v>
      </c>
      <c r="B3" s="6">
        <v>12</v>
      </c>
      <c r="C3" s="6"/>
      <c r="D3" s="6">
        <f>(1+A3/B3)^B3-1</f>
        <v>9.2721727012275323E-2</v>
      </c>
      <c r="E3" s="1"/>
      <c r="F3" s="5">
        <v>983.76</v>
      </c>
      <c r="G3" s="5"/>
      <c r="H3" s="5">
        <v>1000</v>
      </c>
      <c r="I3" s="5"/>
      <c r="J3" s="5">
        <f>0.06125*H3</f>
        <v>61.25</v>
      </c>
      <c r="K3" s="5"/>
      <c r="L3" s="5">
        <v>4</v>
      </c>
      <c r="M3" s="1"/>
      <c r="N3" s="5">
        <f>J3/N5*(1-1/(1+N5)^L3)+H3/(1+N5)^L3</f>
        <v>1004.3313820158746</v>
      </c>
      <c r="O3" s="1"/>
      <c r="P3" s="1"/>
      <c r="Q3" s="5">
        <v>3.4000000000000002E-2</v>
      </c>
      <c r="R3" s="5"/>
      <c r="S3" s="5">
        <v>1000</v>
      </c>
      <c r="T3" s="5"/>
      <c r="U3" s="5">
        <v>37.6</v>
      </c>
      <c r="V3" s="5"/>
      <c r="W3" s="5">
        <v>23</v>
      </c>
      <c r="X3" s="1"/>
      <c r="Y3" s="5">
        <f>U3/Q3*(1-1/(1+Q3)^W3) + S3/((1+Q3)^W3)</f>
        <v>1056.8083830302187</v>
      </c>
      <c r="AB3" s="24" t="s">
        <v>161</v>
      </c>
    </row>
    <row r="4" spans="1:32" x14ac:dyDescent="0.3">
      <c r="E4" s="1"/>
      <c r="F4" s="1"/>
      <c r="G4" s="1"/>
      <c r="H4" s="1"/>
      <c r="I4" s="1"/>
      <c r="J4" s="1"/>
      <c r="K4" s="1"/>
      <c r="L4" s="1"/>
      <c r="M4" s="1"/>
      <c r="N4" s="2" t="s">
        <v>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32" x14ac:dyDescent="0.3">
      <c r="E5" s="1"/>
      <c r="F5" s="1"/>
      <c r="G5" s="1"/>
      <c r="H5" s="1"/>
      <c r="I5" s="1"/>
      <c r="J5" s="1"/>
      <c r="K5" s="1"/>
      <c r="L5" s="1"/>
      <c r="M5" s="1"/>
      <c r="N5" s="5">
        <v>0.06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32" x14ac:dyDescent="0.3">
      <c r="A6" s="9"/>
      <c r="B6" s="9"/>
      <c r="C6" s="9"/>
      <c r="D6" s="9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32" x14ac:dyDescent="0.3">
      <c r="A7" s="9"/>
      <c r="B7" s="9"/>
      <c r="C7" s="9"/>
      <c r="D7" s="9"/>
      <c r="E7" s="1"/>
      <c r="F7" s="1" t="s">
        <v>7</v>
      </c>
      <c r="G7" s="1"/>
      <c r="H7" s="1" t="s">
        <v>8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32" x14ac:dyDescent="0.3">
      <c r="E8" s="1"/>
      <c r="F8" s="2" t="s">
        <v>0</v>
      </c>
      <c r="G8" s="2"/>
      <c r="H8" s="2" t="s">
        <v>1</v>
      </c>
      <c r="I8" s="2"/>
      <c r="J8" s="2" t="s">
        <v>2</v>
      </c>
      <c r="K8" s="2"/>
      <c r="L8" s="2" t="s">
        <v>3</v>
      </c>
      <c r="M8" s="3" t="s">
        <v>4</v>
      </c>
      <c r="N8" s="4" t="s">
        <v>5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32" x14ac:dyDescent="0.3">
      <c r="E9" s="1"/>
      <c r="F9" s="5">
        <v>983.76</v>
      </c>
      <c r="G9" s="5"/>
      <c r="H9" s="5">
        <v>1000</v>
      </c>
      <c r="I9" s="5"/>
      <c r="J9" s="5">
        <f>0.06125*H9</f>
        <v>61.25</v>
      </c>
      <c r="K9" s="5"/>
      <c r="L9" s="5">
        <v>4</v>
      </c>
      <c r="M9" s="1"/>
      <c r="N9" s="5">
        <f>J9/N11*(1-1/(1+N11)^L9)+H9/(1+N11)^L9</f>
        <v>983.76000050779999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AB9" s="24" t="s">
        <v>162</v>
      </c>
    </row>
    <row r="10" spans="1:32" x14ac:dyDescent="0.3">
      <c r="E10" s="1"/>
      <c r="F10" s="1"/>
      <c r="G10" s="1"/>
      <c r="H10" s="1"/>
      <c r="I10" s="1"/>
      <c r="J10" s="1"/>
      <c r="K10" s="1"/>
      <c r="L10" s="1"/>
      <c r="M10" s="1"/>
      <c r="N10" s="2" t="s">
        <v>6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AB10" t="s">
        <v>163</v>
      </c>
    </row>
    <row r="11" spans="1:32" x14ac:dyDescent="0.3">
      <c r="E11" s="1"/>
      <c r="F11" s="1"/>
      <c r="G11" s="1"/>
      <c r="H11" s="1"/>
      <c r="I11" s="1"/>
      <c r="J11" s="1"/>
      <c r="K11" s="1"/>
      <c r="L11" s="1"/>
      <c r="M11" s="1"/>
      <c r="N11" s="5">
        <v>6.6001296870841303E-2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AC11" s="26" t="s">
        <v>164</v>
      </c>
      <c r="AF11" t="s">
        <v>120</v>
      </c>
    </row>
    <row r="12" spans="1:32" x14ac:dyDescent="0.3"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32" x14ac:dyDescent="0.3">
      <c r="A13" s="24" t="s">
        <v>170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AB13" t="s">
        <v>165</v>
      </c>
    </row>
    <row r="14" spans="1:32" x14ac:dyDescent="0.3">
      <c r="A14" s="24"/>
      <c r="B14" s="26" t="s">
        <v>171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32" x14ac:dyDescent="0.3"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32" x14ac:dyDescent="0.3"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2:27" x14ac:dyDescent="0.3"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2:27" x14ac:dyDescent="0.3"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1"/>
      <c r="Q18" s="2" t="s">
        <v>5</v>
      </c>
      <c r="R18" s="2"/>
      <c r="S18" s="2" t="s">
        <v>1</v>
      </c>
      <c r="T18" s="2"/>
      <c r="U18" s="2" t="s">
        <v>2</v>
      </c>
      <c r="V18" s="2"/>
      <c r="W18" s="2" t="s">
        <v>3</v>
      </c>
      <c r="X18" s="3" t="s">
        <v>4</v>
      </c>
      <c r="Y18" s="4" t="s">
        <v>0</v>
      </c>
    </row>
    <row r="19" spans="2:27" x14ac:dyDescent="0.3"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1"/>
      <c r="Q19" s="5">
        <v>3.4000000000000002E-2</v>
      </c>
      <c r="R19" s="5"/>
      <c r="S19" s="5">
        <v>1000</v>
      </c>
      <c r="T19" s="5"/>
      <c r="U19" s="5">
        <v>40</v>
      </c>
      <c r="V19" s="5"/>
      <c r="W19" s="5">
        <v>8</v>
      </c>
      <c r="X19" s="1"/>
      <c r="Y19" s="5">
        <f>U19/Q19*(1-1/(1+Q19)^W19) + S19/((1+Q19)^W19)</f>
        <v>1041.4164104440983</v>
      </c>
    </row>
    <row r="20" spans="2:27" x14ac:dyDescent="0.3">
      <c r="E20" s="54"/>
      <c r="F20" s="54"/>
      <c r="G20" s="54"/>
      <c r="H20" s="54"/>
      <c r="I20" s="54"/>
      <c r="J20" s="54"/>
      <c r="K20" s="54"/>
      <c r="L20" s="54"/>
      <c r="M20" s="55"/>
      <c r="N20" s="54"/>
      <c r="O20" s="54"/>
      <c r="P20" s="1"/>
      <c r="Q20" s="1"/>
      <c r="R20" s="1"/>
      <c r="S20" s="1"/>
      <c r="T20" s="1"/>
      <c r="U20" s="1"/>
      <c r="V20" s="1"/>
      <c r="W20" s="1"/>
      <c r="X20" s="1"/>
      <c r="Y20" s="1"/>
      <c r="AA20" s="24" t="s">
        <v>166</v>
      </c>
    </row>
    <row r="21" spans="2:27" x14ac:dyDescent="0.3"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1"/>
      <c r="Q21" s="57" t="s">
        <v>173</v>
      </c>
      <c r="R21" s="1"/>
      <c r="S21" s="1"/>
      <c r="T21" s="1"/>
      <c r="U21" s="1"/>
      <c r="V21" s="1"/>
      <c r="W21" s="1"/>
      <c r="X21" s="3"/>
      <c r="Y21" s="1"/>
      <c r="AA21" t="s">
        <v>167</v>
      </c>
    </row>
    <row r="22" spans="2:27" x14ac:dyDescent="0.3"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1"/>
      <c r="Q22" s="1" t="s">
        <v>174</v>
      </c>
      <c r="S22" s="1"/>
      <c r="T22" s="1"/>
      <c r="U22" s="1"/>
      <c r="V22" s="1"/>
      <c r="W22" s="1"/>
      <c r="X22" s="1"/>
      <c r="Y22" s="1"/>
      <c r="AA22" t="s">
        <v>168</v>
      </c>
    </row>
    <row r="23" spans="2:27" x14ac:dyDescent="0.3"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24" t="s">
        <v>175</v>
      </c>
      <c r="R23" s="1"/>
      <c r="S23" s="1"/>
      <c r="T23" s="1"/>
      <c r="U23" s="1"/>
      <c r="V23" s="1"/>
      <c r="W23" s="1"/>
      <c r="X23" s="1"/>
      <c r="Y23" s="1"/>
      <c r="AA23" t="s">
        <v>169</v>
      </c>
    </row>
    <row r="24" spans="2:27" ht="21" x14ac:dyDescent="0.4">
      <c r="B24" s="8"/>
      <c r="R24" t="s">
        <v>176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2DAF2-5C8F-436C-B745-8C74D2ABFA54}">
  <dimension ref="A1:AA38"/>
  <sheetViews>
    <sheetView workbookViewId="0"/>
  </sheetViews>
  <sheetFormatPr defaultRowHeight="14.4" x14ac:dyDescent="0.3"/>
  <cols>
    <col min="1" max="1" width="10.109375" customWidth="1"/>
    <col min="2" max="2" width="10" customWidth="1"/>
    <col min="7" max="7" width="9.77734375" customWidth="1"/>
    <col min="9" max="9" width="17" customWidth="1"/>
  </cols>
  <sheetData>
    <row r="1" spans="1:25" ht="21" x14ac:dyDescent="0.4">
      <c r="A1" s="8" t="s">
        <v>196</v>
      </c>
    </row>
    <row r="2" spans="1:25" x14ac:dyDescent="0.3">
      <c r="B2" s="24" t="s">
        <v>189</v>
      </c>
      <c r="L2" s="24" t="s">
        <v>187</v>
      </c>
    </row>
    <row r="3" spans="1:25" x14ac:dyDescent="0.3">
      <c r="B3" s="24" t="s">
        <v>190</v>
      </c>
      <c r="H3" t="s">
        <v>191</v>
      </c>
      <c r="L3" s="24" t="s">
        <v>188</v>
      </c>
    </row>
    <row r="4" spans="1:25" x14ac:dyDescent="0.3">
      <c r="B4" s="24" t="s">
        <v>192</v>
      </c>
    </row>
    <row r="5" spans="1:25" x14ac:dyDescent="0.3">
      <c r="B5" s="24" t="s">
        <v>193</v>
      </c>
      <c r="E5" s="58" t="s">
        <v>194</v>
      </c>
      <c r="H5" t="s">
        <v>195</v>
      </c>
    </row>
    <row r="8" spans="1:25" x14ac:dyDescent="0.3">
      <c r="A8" s="22" t="s">
        <v>51</v>
      </c>
      <c r="B8" s="29" t="s">
        <v>30</v>
      </c>
    </row>
    <row r="9" spans="1:25" x14ac:dyDescent="0.3">
      <c r="A9" s="18">
        <v>15489</v>
      </c>
      <c r="B9" s="34">
        <v>6.4000000000000001E-2</v>
      </c>
      <c r="D9" s="27" t="s">
        <v>34</v>
      </c>
      <c r="E9" s="27">
        <v>0</v>
      </c>
      <c r="F9" s="27">
        <v>1</v>
      </c>
      <c r="G9" s="27">
        <v>2</v>
      </c>
      <c r="H9" s="27">
        <v>3</v>
      </c>
      <c r="I9" s="27">
        <v>4</v>
      </c>
      <c r="J9" s="27">
        <v>5</v>
      </c>
      <c r="K9" s="27">
        <v>6</v>
      </c>
      <c r="L9" s="27">
        <v>7</v>
      </c>
      <c r="M9" s="27">
        <v>8</v>
      </c>
      <c r="N9" s="27">
        <v>9</v>
      </c>
      <c r="O9" s="27">
        <v>10</v>
      </c>
      <c r="P9" s="27">
        <v>11</v>
      </c>
      <c r="Q9" s="27">
        <v>12</v>
      </c>
      <c r="R9" s="27">
        <v>13</v>
      </c>
      <c r="S9" s="27">
        <v>14</v>
      </c>
      <c r="T9" s="27">
        <v>15</v>
      </c>
      <c r="U9" s="27">
        <v>16</v>
      </c>
      <c r="V9" s="27">
        <v>17</v>
      </c>
      <c r="W9" s="27">
        <v>18</v>
      </c>
      <c r="X9" s="27">
        <v>19</v>
      </c>
      <c r="Y9" s="27">
        <v>20</v>
      </c>
    </row>
    <row r="10" spans="1:25" x14ac:dyDescent="0.3">
      <c r="D10" s="22" t="s">
        <v>33</v>
      </c>
      <c r="E10">
        <v>1068</v>
      </c>
      <c r="F10">
        <v>1068</v>
      </c>
      <c r="G10">
        <v>1068</v>
      </c>
      <c r="H10">
        <v>1068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">
      <c r="D11" t="s">
        <v>58</v>
      </c>
      <c r="E11">
        <f>E10</f>
        <v>1068</v>
      </c>
      <c r="F11">
        <f>F10/(1+$B$9)^F9</f>
        <v>1003.7593984962406</v>
      </c>
      <c r="G11">
        <f t="shared" ref="G11:H11" si="0">G10/(1+$B$9)^G9</f>
        <v>943.38289332353418</v>
      </c>
      <c r="H11">
        <f t="shared" si="0"/>
        <v>886.63805763490052</v>
      </c>
      <c r="I11">
        <f t="shared" ref="I11" si="1">I10/(1+$B$9)^I9</f>
        <v>0</v>
      </c>
      <c r="J11">
        <f t="shared" ref="J11" si="2">J10/(1+$B$9)^J9</f>
        <v>0</v>
      </c>
      <c r="K11">
        <f t="shared" ref="K11" si="3">K10/(1+$B$9)^K9</f>
        <v>0</v>
      </c>
      <c r="L11">
        <f t="shared" ref="L11" si="4">L10/(1+$B$9)^L9</f>
        <v>0</v>
      </c>
      <c r="M11">
        <f t="shared" ref="M11" si="5">M10/(1+$B$9)^M9</f>
        <v>0</v>
      </c>
      <c r="N11">
        <f t="shared" ref="N11" si="6">N10/(1+$B$9)^N9</f>
        <v>0</v>
      </c>
      <c r="O11">
        <f t="shared" ref="O11" si="7">O10/(1+$B$9)^O9</f>
        <v>0</v>
      </c>
      <c r="P11">
        <f t="shared" ref="P11" si="8">P10/(1+$B$9)^P9</f>
        <v>0</v>
      </c>
      <c r="Q11">
        <f t="shared" ref="Q11" si="9">Q10/(1+$B$9)^Q9</f>
        <v>0</v>
      </c>
      <c r="R11">
        <f t="shared" ref="R11" si="10">R10/(1+$B$9)^R9</f>
        <v>0</v>
      </c>
      <c r="S11">
        <f t="shared" ref="S11" si="11">S10/(1+$B$9)^S9</f>
        <v>0</v>
      </c>
      <c r="T11">
        <f t="shared" ref="T11" si="12">T10/(1+$B$9)^T9</f>
        <v>0</v>
      </c>
      <c r="U11">
        <f t="shared" ref="U11" si="13">U10/(1+$B$9)^U9</f>
        <v>0</v>
      </c>
      <c r="V11">
        <f t="shared" ref="V11" si="14">V10/(1+$B$9)^V9</f>
        <v>0</v>
      </c>
      <c r="W11">
        <f t="shared" ref="W11" si="15">W10/(1+$B$9)^W9</f>
        <v>0</v>
      </c>
      <c r="X11">
        <f t="shared" ref="X11" si="16">X10/(1+$B$9)^X9</f>
        <v>0</v>
      </c>
      <c r="Y11">
        <f t="shared" ref="Y11" si="17">Y10/(1+$B$9)^Y9</f>
        <v>0</v>
      </c>
    </row>
    <row r="12" spans="1:25" x14ac:dyDescent="0.3">
      <c r="H12" s="18" t="s">
        <v>32</v>
      </c>
      <c r="I12" s="18" t="s">
        <v>61</v>
      </c>
      <c r="J12" s="18" t="s">
        <v>62</v>
      </c>
      <c r="K12" s="18" t="s">
        <v>56</v>
      </c>
      <c r="L12" s="18" t="s">
        <v>57</v>
      </c>
    </row>
    <row r="13" spans="1:25" x14ac:dyDescent="0.3">
      <c r="B13" t="s">
        <v>52</v>
      </c>
      <c r="C13" t="s">
        <v>50</v>
      </c>
      <c r="H13" s="18">
        <f>SUM(E11:Y11)-A9</f>
        <v>-11587.219650545325</v>
      </c>
      <c r="I13" s="18">
        <f>A9/E10</f>
        <v>14.502808988764045</v>
      </c>
      <c r="J13" s="18">
        <f>A9/F10</f>
        <v>14.502808988764045</v>
      </c>
      <c r="K13" s="18">
        <f>SUM(E11:Y11)/A9</f>
        <v>0.25190653686194558</v>
      </c>
      <c r="L13" s="18"/>
    </row>
    <row r="14" spans="1:25" x14ac:dyDescent="0.3">
      <c r="B14" s="28" t="s">
        <v>41</v>
      </c>
      <c r="C14" s="28" t="s">
        <v>30</v>
      </c>
      <c r="D14" s="28" t="s">
        <v>45</v>
      </c>
      <c r="E14" s="29" t="s">
        <v>35</v>
      </c>
    </row>
    <row r="15" spans="1:25" x14ac:dyDescent="0.3">
      <c r="B15" s="18">
        <v>0</v>
      </c>
      <c r="C15" s="23">
        <v>0.1</v>
      </c>
      <c r="D15" s="23">
        <v>0.03</v>
      </c>
      <c r="E15" s="18">
        <f>B15/(C15-D15)</f>
        <v>0</v>
      </c>
      <c r="G15" s="26" t="s">
        <v>55</v>
      </c>
      <c r="H15" t="s">
        <v>54</v>
      </c>
      <c r="I15" s="18" t="s">
        <v>63</v>
      </c>
      <c r="J15" s="18" t="s">
        <v>64</v>
      </c>
      <c r="K15" s="18" t="s">
        <v>59</v>
      </c>
      <c r="L15" s="18" t="s">
        <v>60</v>
      </c>
    </row>
    <row r="17" spans="2:27" x14ac:dyDescent="0.3">
      <c r="B17" t="s">
        <v>49</v>
      </c>
      <c r="C17" t="s">
        <v>53</v>
      </c>
    </row>
    <row r="18" spans="2:27" x14ac:dyDescent="0.3">
      <c r="B18" s="28" t="s">
        <v>41</v>
      </c>
      <c r="C18" s="28" t="s">
        <v>30</v>
      </c>
      <c r="D18" s="28" t="s">
        <v>45</v>
      </c>
      <c r="E18" s="28" t="s">
        <v>23</v>
      </c>
      <c r="F18" s="29" t="s">
        <v>35</v>
      </c>
    </row>
    <row r="19" spans="2:27" x14ac:dyDescent="0.3">
      <c r="B19" s="30">
        <v>0</v>
      </c>
      <c r="C19" s="31">
        <v>0.1</v>
      </c>
      <c r="D19" s="31">
        <v>0.03</v>
      </c>
      <c r="E19" s="33">
        <v>30</v>
      </c>
      <c r="F19" s="30">
        <f>B19/(C19-D19)*(1-(1+D19)^E19/(1+C19)^E19)</f>
        <v>0</v>
      </c>
    </row>
    <row r="23" spans="2:27" x14ac:dyDescent="0.3">
      <c r="E23" s="27" t="s">
        <v>34</v>
      </c>
      <c r="F23" s="27">
        <v>0</v>
      </c>
      <c r="G23" s="27">
        <v>1</v>
      </c>
      <c r="H23" s="27">
        <v>2</v>
      </c>
      <c r="I23" s="27">
        <v>3</v>
      </c>
      <c r="J23" s="27">
        <v>4</v>
      </c>
      <c r="K23" s="27">
        <v>5</v>
      </c>
      <c r="L23" s="27">
        <v>6</v>
      </c>
      <c r="M23" s="27">
        <v>7</v>
      </c>
      <c r="N23" s="27">
        <v>8</v>
      </c>
      <c r="O23" s="27">
        <v>9</v>
      </c>
      <c r="P23" s="27">
        <v>10</v>
      </c>
      <c r="Q23" s="27">
        <v>11</v>
      </c>
      <c r="R23" s="27">
        <v>12</v>
      </c>
      <c r="S23" s="27">
        <v>13</v>
      </c>
      <c r="T23" s="27">
        <v>14</v>
      </c>
      <c r="U23" s="27">
        <v>15</v>
      </c>
      <c r="V23" s="27">
        <v>16</v>
      </c>
      <c r="W23" s="27">
        <v>17</v>
      </c>
      <c r="X23" s="27">
        <v>18</v>
      </c>
      <c r="Y23" s="27">
        <v>19</v>
      </c>
      <c r="Z23" s="27">
        <v>20</v>
      </c>
    </row>
    <row r="24" spans="2:27" x14ac:dyDescent="0.3">
      <c r="E24" s="22" t="s">
        <v>33</v>
      </c>
      <c r="F24">
        <v>0</v>
      </c>
      <c r="G24">
        <v>373000</v>
      </c>
      <c r="H24">
        <v>219000</v>
      </c>
      <c r="I24">
        <v>185000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</row>
    <row r="25" spans="2:27" x14ac:dyDescent="0.3">
      <c r="E25" t="s">
        <v>58</v>
      </c>
      <c r="F25">
        <f>F24</f>
        <v>0</v>
      </c>
      <c r="G25">
        <f>G24/(1+$E$28)^G23</f>
        <v>339090.90909090906</v>
      </c>
      <c r="H25">
        <f t="shared" ref="H25:Z25" si="18">H24/(1+$E$28)^H23</f>
        <v>180991.73553719005</v>
      </c>
      <c r="I25">
        <f t="shared" si="18"/>
        <v>138993.23816679185</v>
      </c>
      <c r="J25">
        <f t="shared" si="18"/>
        <v>0</v>
      </c>
      <c r="K25">
        <f t="shared" si="18"/>
        <v>0</v>
      </c>
      <c r="L25">
        <f t="shared" si="18"/>
        <v>0</v>
      </c>
      <c r="M25">
        <f t="shared" si="18"/>
        <v>0</v>
      </c>
      <c r="N25">
        <f t="shared" si="18"/>
        <v>0</v>
      </c>
      <c r="O25">
        <f t="shared" si="18"/>
        <v>0</v>
      </c>
      <c r="P25">
        <f t="shared" si="18"/>
        <v>0</v>
      </c>
      <c r="Q25">
        <f t="shared" si="18"/>
        <v>0</v>
      </c>
      <c r="R25">
        <f t="shared" si="18"/>
        <v>0</v>
      </c>
      <c r="S25">
        <f t="shared" si="18"/>
        <v>0</v>
      </c>
      <c r="T25">
        <f t="shared" si="18"/>
        <v>0</v>
      </c>
      <c r="U25">
        <f t="shared" si="18"/>
        <v>0</v>
      </c>
      <c r="V25">
        <f t="shared" si="18"/>
        <v>0</v>
      </c>
      <c r="W25">
        <f t="shared" si="18"/>
        <v>0</v>
      </c>
      <c r="X25">
        <f t="shared" si="18"/>
        <v>0</v>
      </c>
      <c r="Y25">
        <f t="shared" si="18"/>
        <v>0</v>
      </c>
      <c r="Z25">
        <f t="shared" si="18"/>
        <v>0</v>
      </c>
    </row>
    <row r="26" spans="2:27" x14ac:dyDescent="0.3">
      <c r="I26" s="18" t="s">
        <v>32</v>
      </c>
      <c r="J26" s="18" t="s">
        <v>61</v>
      </c>
      <c r="K26" s="18" t="s">
        <v>62</v>
      </c>
      <c r="L26" s="18" t="s">
        <v>56</v>
      </c>
      <c r="M26" s="18" t="s">
        <v>57</v>
      </c>
    </row>
    <row r="27" spans="2:27" x14ac:dyDescent="0.3">
      <c r="D27" s="22" t="s">
        <v>51</v>
      </c>
      <c r="E27" s="35" t="s">
        <v>30</v>
      </c>
      <c r="I27" s="18">
        <f>SUM(F25:Z25)-D28</f>
        <v>84075.882794891018</v>
      </c>
      <c r="J27" s="18" t="e">
        <f>D28/F24</f>
        <v>#DIV/0!</v>
      </c>
      <c r="K27" s="18">
        <f>D28/G24</f>
        <v>1.5415549597855227</v>
      </c>
      <c r="L27" s="18">
        <f>SUM(F25:Z25)/D28</f>
        <v>1.1462189265998104</v>
      </c>
      <c r="M27" s="18"/>
    </row>
    <row r="28" spans="2:27" x14ac:dyDescent="0.3">
      <c r="D28" s="18">
        <v>575000</v>
      </c>
      <c r="E28" s="36">
        <v>0.1</v>
      </c>
    </row>
    <row r="29" spans="2:27" x14ac:dyDescent="0.3"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spans="2:27" x14ac:dyDescent="0.3">
      <c r="D30" s="27" t="s">
        <v>34</v>
      </c>
      <c r="E30" s="27">
        <v>0</v>
      </c>
      <c r="F30" s="27">
        <v>1</v>
      </c>
      <c r="G30" s="27">
        <v>2</v>
      </c>
      <c r="H30" s="27">
        <v>3</v>
      </c>
      <c r="I30" s="27">
        <v>4</v>
      </c>
      <c r="J30" s="27">
        <v>5</v>
      </c>
      <c r="K30" s="27">
        <v>6</v>
      </c>
      <c r="L30" s="27">
        <v>7</v>
      </c>
      <c r="M30" s="27">
        <v>8</v>
      </c>
      <c r="N30" s="27">
        <v>9</v>
      </c>
      <c r="O30" s="27">
        <v>10</v>
      </c>
      <c r="P30" s="27">
        <v>11</v>
      </c>
      <c r="Q30" s="27">
        <v>12</v>
      </c>
      <c r="R30" s="27">
        <v>13</v>
      </c>
      <c r="S30" s="27">
        <v>14</v>
      </c>
      <c r="T30" s="27">
        <v>15</v>
      </c>
      <c r="U30" s="27">
        <v>16</v>
      </c>
      <c r="V30" s="27">
        <v>17</v>
      </c>
      <c r="W30" s="27">
        <v>18</v>
      </c>
      <c r="X30" s="27">
        <v>19</v>
      </c>
      <c r="Y30" s="27">
        <v>20</v>
      </c>
    </row>
    <row r="31" spans="2:27" x14ac:dyDescent="0.3">
      <c r="D31" s="22" t="s">
        <v>33</v>
      </c>
      <c r="E31">
        <v>0</v>
      </c>
      <c r="F31">
        <v>395000</v>
      </c>
      <c r="G31">
        <v>477000</v>
      </c>
      <c r="H31">
        <v>339000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2:27" x14ac:dyDescent="0.3">
      <c r="D32" t="s">
        <v>58</v>
      </c>
      <c r="E32">
        <f>E31</f>
        <v>0</v>
      </c>
      <c r="F32">
        <f>F31/(1+$D$35)^F30</f>
        <v>359090.90909090906</v>
      </c>
      <c r="G32">
        <f t="shared" ref="G32:Y32" si="19">G31/(1+$D$35)^G30</f>
        <v>394214.87603305781</v>
      </c>
      <c r="H32">
        <f t="shared" si="19"/>
        <v>254695.71750563479</v>
      </c>
      <c r="I32">
        <f t="shared" si="19"/>
        <v>0</v>
      </c>
      <c r="J32">
        <f t="shared" si="19"/>
        <v>0</v>
      </c>
      <c r="K32">
        <f t="shared" si="19"/>
        <v>0</v>
      </c>
      <c r="L32">
        <f t="shared" si="19"/>
        <v>0</v>
      </c>
      <c r="M32">
        <f t="shared" si="19"/>
        <v>0</v>
      </c>
      <c r="N32">
        <f t="shared" si="19"/>
        <v>0</v>
      </c>
      <c r="O32">
        <f t="shared" si="19"/>
        <v>0</v>
      </c>
      <c r="P32">
        <f t="shared" si="19"/>
        <v>0</v>
      </c>
      <c r="Q32">
        <f t="shared" si="19"/>
        <v>0</v>
      </c>
      <c r="R32">
        <f t="shared" si="19"/>
        <v>0</v>
      </c>
      <c r="S32">
        <f t="shared" si="19"/>
        <v>0</v>
      </c>
      <c r="T32">
        <f t="shared" si="19"/>
        <v>0</v>
      </c>
      <c r="U32">
        <f t="shared" si="19"/>
        <v>0</v>
      </c>
      <c r="V32">
        <f t="shared" si="19"/>
        <v>0</v>
      </c>
      <c r="W32">
        <f t="shared" si="19"/>
        <v>0</v>
      </c>
      <c r="X32">
        <f t="shared" si="19"/>
        <v>0</v>
      </c>
      <c r="Y32">
        <f t="shared" si="19"/>
        <v>0</v>
      </c>
    </row>
    <row r="33" spans="2:12" x14ac:dyDescent="0.3">
      <c r="H33" s="18" t="s">
        <v>32</v>
      </c>
      <c r="I33" s="18" t="s">
        <v>61</v>
      </c>
      <c r="J33" s="18" t="s">
        <v>62</v>
      </c>
      <c r="K33" s="18" t="s">
        <v>56</v>
      </c>
      <c r="L33" s="18" t="s">
        <v>57</v>
      </c>
    </row>
    <row r="34" spans="2:12" x14ac:dyDescent="0.3">
      <c r="C34" s="22" t="s">
        <v>51</v>
      </c>
      <c r="D34" s="35" t="s">
        <v>30</v>
      </c>
      <c r="H34" s="18">
        <f>SUM(E32:Y32)-C35</f>
        <v>28001.502629601629</v>
      </c>
      <c r="I34" s="18" t="e">
        <f>C35/E31</f>
        <v>#DIV/0!</v>
      </c>
      <c r="J34" s="18">
        <f>C35/F31</f>
        <v>2.481012658227848</v>
      </c>
      <c r="K34" s="18">
        <f>SUM(E32:Y32)/C35</f>
        <v>1.0285729618669404</v>
      </c>
      <c r="L34" s="18"/>
    </row>
    <row r="35" spans="2:12" x14ac:dyDescent="0.3">
      <c r="C35" s="18">
        <v>980000</v>
      </c>
      <c r="D35" s="36">
        <v>0.1</v>
      </c>
    </row>
    <row r="38" spans="2:12" ht="21" x14ac:dyDescent="0.4">
      <c r="B38" s="8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8FAA5-8ACC-4E0C-918B-25982652D0F8}">
  <dimension ref="A1:AC39"/>
  <sheetViews>
    <sheetView topLeftCell="A21" zoomScaleNormal="100" workbookViewId="0">
      <selection activeCell="A20" sqref="A20:XFD20"/>
    </sheetView>
  </sheetViews>
  <sheetFormatPr defaultRowHeight="14.4" x14ac:dyDescent="0.3"/>
  <cols>
    <col min="3" max="3" width="17.77734375" customWidth="1"/>
    <col min="6" max="6" width="11.33203125" customWidth="1"/>
  </cols>
  <sheetData>
    <row r="1" spans="1:29" x14ac:dyDescent="0.3">
      <c r="A1" s="24" t="s">
        <v>197</v>
      </c>
    </row>
    <row r="2" spans="1:29" x14ac:dyDescent="0.3">
      <c r="A2" s="58" t="s">
        <v>198</v>
      </c>
      <c r="F2" t="s">
        <v>199</v>
      </c>
    </row>
    <row r="3" spans="1:29" ht="15" thickBot="1" x14ac:dyDescent="0.35"/>
    <row r="4" spans="1:29" ht="15.6" thickTop="1" thickBot="1" x14ac:dyDescent="0.35">
      <c r="A4" s="14" t="s">
        <v>23</v>
      </c>
      <c r="B4" s="14" t="s">
        <v>30</v>
      </c>
      <c r="D4" s="17">
        <v>0</v>
      </c>
      <c r="E4" s="17">
        <v>1</v>
      </c>
      <c r="F4" s="17">
        <v>2</v>
      </c>
      <c r="G4" s="17">
        <v>3</v>
      </c>
      <c r="H4" s="17">
        <v>4</v>
      </c>
      <c r="I4" s="17">
        <v>5</v>
      </c>
      <c r="J4" s="17">
        <v>6</v>
      </c>
      <c r="K4" s="17">
        <v>7</v>
      </c>
      <c r="L4" s="17">
        <v>8</v>
      </c>
      <c r="M4" s="17">
        <v>9</v>
      </c>
      <c r="N4" s="17">
        <v>10</v>
      </c>
      <c r="O4" s="17">
        <v>11</v>
      </c>
      <c r="P4" s="17">
        <v>12</v>
      </c>
      <c r="Q4" s="17">
        <v>13</v>
      </c>
      <c r="R4" s="17">
        <v>14</v>
      </c>
      <c r="S4" s="17">
        <v>15</v>
      </c>
      <c r="T4" s="17">
        <v>16</v>
      </c>
      <c r="U4" s="17">
        <v>17</v>
      </c>
      <c r="V4" s="17">
        <v>18</v>
      </c>
      <c r="W4" s="17">
        <v>19</v>
      </c>
      <c r="X4" s="17">
        <v>20</v>
      </c>
      <c r="Y4" s="17">
        <v>21</v>
      </c>
      <c r="Z4" s="17">
        <v>22</v>
      </c>
      <c r="AA4" s="17">
        <v>23</v>
      </c>
      <c r="AB4" s="17">
        <v>24</v>
      </c>
      <c r="AC4" s="17">
        <v>25</v>
      </c>
    </row>
    <row r="5" spans="1:29" ht="15.6" thickTop="1" thickBot="1" x14ac:dyDescent="0.35">
      <c r="A5" s="15">
        <v>0.35</v>
      </c>
      <c r="B5" s="15">
        <v>0.12</v>
      </c>
      <c r="D5" s="16" t="s">
        <v>13</v>
      </c>
      <c r="E5" s="16" t="s">
        <v>14</v>
      </c>
      <c r="F5" s="16" t="s">
        <v>15</v>
      </c>
      <c r="G5" s="16" t="s">
        <v>16</v>
      </c>
      <c r="H5" s="16" t="s">
        <v>17</v>
      </c>
      <c r="I5" s="16" t="s">
        <v>18</v>
      </c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</row>
    <row r="6" spans="1:29" ht="15" thickTop="1" x14ac:dyDescent="0.3">
      <c r="C6" s="12" t="s">
        <v>19</v>
      </c>
      <c r="E6">
        <v>44000</v>
      </c>
      <c r="F6">
        <v>44000</v>
      </c>
      <c r="G6">
        <v>44000</v>
      </c>
    </row>
    <row r="7" spans="1:29" x14ac:dyDescent="0.3">
      <c r="C7" s="12" t="s">
        <v>20</v>
      </c>
      <c r="E7">
        <v>0</v>
      </c>
      <c r="F7">
        <v>0</v>
      </c>
      <c r="G7">
        <v>0</v>
      </c>
    </row>
    <row r="8" spans="1:29" x14ac:dyDescent="0.3">
      <c r="C8" s="12" t="s">
        <v>21</v>
      </c>
      <c r="E8">
        <f>120500/3</f>
        <v>40166.666666666664</v>
      </c>
      <c r="F8">
        <f t="shared" ref="F8:G8" si="0">120500/3</f>
        <v>40166.666666666664</v>
      </c>
      <c r="G8">
        <f t="shared" si="0"/>
        <v>40166.666666666664</v>
      </c>
    </row>
    <row r="9" spans="1:29" x14ac:dyDescent="0.3">
      <c r="C9" s="11" t="s">
        <v>22</v>
      </c>
      <c r="E9">
        <f>E6-E7-E8</f>
        <v>3833.3333333333358</v>
      </c>
      <c r="F9">
        <f t="shared" ref="F9:G9" si="1">F6-F7-F8</f>
        <v>3833.3333333333358</v>
      </c>
      <c r="G9">
        <f t="shared" si="1"/>
        <v>3833.3333333333358</v>
      </c>
      <c r="H9">
        <f t="shared" ref="H9" si="2">H6-H7-H8</f>
        <v>0</v>
      </c>
      <c r="I9">
        <f t="shared" ref="I9" si="3">I6-I7-I8</f>
        <v>0</v>
      </c>
      <c r="J9">
        <f t="shared" ref="J9" si="4">J6-J7-J8</f>
        <v>0</v>
      </c>
      <c r="K9">
        <f t="shared" ref="K9" si="5">K6-K7-K8</f>
        <v>0</v>
      </c>
      <c r="L9">
        <f t="shared" ref="L9" si="6">L6-L7-L8</f>
        <v>0</v>
      </c>
      <c r="M9">
        <f t="shared" ref="M9" si="7">M6-M7-M8</f>
        <v>0</v>
      </c>
      <c r="N9">
        <f t="shared" ref="N9" si="8">N6-N7-N8</f>
        <v>0</v>
      </c>
      <c r="O9">
        <f t="shared" ref="O9" si="9">O6-O7-O8</f>
        <v>0</v>
      </c>
      <c r="P9">
        <f t="shared" ref="P9" si="10">P6-P7-P8</f>
        <v>0</v>
      </c>
      <c r="Q9">
        <f t="shared" ref="Q9" si="11">Q6-Q7-Q8</f>
        <v>0</v>
      </c>
      <c r="R9">
        <f t="shared" ref="R9" si="12">R6-R7-R8</f>
        <v>0</v>
      </c>
      <c r="S9">
        <f t="shared" ref="S9" si="13">S6-S7-S8</f>
        <v>0</v>
      </c>
      <c r="T9">
        <f t="shared" ref="T9" si="14">T6-T7-T8</f>
        <v>0</v>
      </c>
      <c r="U9">
        <f t="shared" ref="U9" si="15">U6-U7-U8</f>
        <v>0</v>
      </c>
      <c r="V9">
        <f t="shared" ref="V9" si="16">V6-V7-V8</f>
        <v>0</v>
      </c>
      <c r="W9">
        <f t="shared" ref="W9" si="17">W6-W7-W8</f>
        <v>0</v>
      </c>
      <c r="X9">
        <f t="shared" ref="X9" si="18">X6-X7-X8</f>
        <v>0</v>
      </c>
      <c r="Y9">
        <f t="shared" ref="Y9" si="19">Y6-Y7-Y8</f>
        <v>0</v>
      </c>
      <c r="Z9">
        <f t="shared" ref="Z9" si="20">Z6-Z7-Z8</f>
        <v>0</v>
      </c>
      <c r="AA9">
        <f t="shared" ref="AA9" si="21">AA6-AA7-AA8</f>
        <v>0</v>
      </c>
      <c r="AB9">
        <f t="shared" ref="AB9" si="22">AB6-AB7-AB8</f>
        <v>0</v>
      </c>
      <c r="AC9">
        <f t="shared" ref="AC9" si="23">AC6-AC7-AC8</f>
        <v>0</v>
      </c>
    </row>
    <row r="10" spans="1:29" x14ac:dyDescent="0.3">
      <c r="C10" s="11" t="s">
        <v>24</v>
      </c>
      <c r="E10">
        <f>($A$5)*E9</f>
        <v>1341.6666666666674</v>
      </c>
      <c r="F10">
        <f t="shared" ref="F10" si="24">($A$5)*F9</f>
        <v>1341.6666666666674</v>
      </c>
      <c r="G10">
        <f>($A$5)*G9</f>
        <v>1341.6666666666674</v>
      </c>
      <c r="H10">
        <f t="shared" ref="H10" si="25">($A$5)*H9</f>
        <v>0</v>
      </c>
      <c r="I10">
        <f t="shared" ref="I10" si="26">($A$5)*I9</f>
        <v>0</v>
      </c>
      <c r="J10">
        <f t="shared" ref="J10" si="27">($A$5)*J9</f>
        <v>0</v>
      </c>
      <c r="K10">
        <f t="shared" ref="K10" si="28">($A$5)*K9</f>
        <v>0</v>
      </c>
      <c r="L10">
        <f t="shared" ref="L10" si="29">($A$5)*L9</f>
        <v>0</v>
      </c>
      <c r="M10">
        <f t="shared" ref="M10" si="30">($A$5)*M9</f>
        <v>0</v>
      </c>
      <c r="N10">
        <f t="shared" ref="N10" si="31">($A$5)*N9</f>
        <v>0</v>
      </c>
      <c r="O10">
        <f t="shared" ref="O10" si="32">($A$5)*O9</f>
        <v>0</v>
      </c>
      <c r="P10">
        <f t="shared" ref="P10" si="33">($A$5)*P9</f>
        <v>0</v>
      </c>
      <c r="Q10">
        <f t="shared" ref="Q10" si="34">($A$5)*Q9</f>
        <v>0</v>
      </c>
      <c r="R10">
        <f t="shared" ref="R10" si="35">($A$5)*R9</f>
        <v>0</v>
      </c>
      <c r="S10">
        <f t="shared" ref="S10" si="36">($A$5)*S9</f>
        <v>0</v>
      </c>
      <c r="T10">
        <f t="shared" ref="T10" si="37">($A$5)*T9</f>
        <v>0</v>
      </c>
      <c r="U10">
        <f t="shared" ref="U10" si="38">($A$5)*U9</f>
        <v>0</v>
      </c>
      <c r="V10">
        <f t="shared" ref="V10" si="39">($A$5)*V9</f>
        <v>0</v>
      </c>
      <c r="W10">
        <f t="shared" ref="W10" si="40">($A$5)*W9</f>
        <v>0</v>
      </c>
      <c r="X10">
        <f t="shared" ref="X10" si="41">($A$5)*X9</f>
        <v>0</v>
      </c>
      <c r="Y10">
        <f t="shared" ref="Y10" si="42">($A$5)*Y9</f>
        <v>0</v>
      </c>
      <c r="Z10">
        <f t="shared" ref="Z10" si="43">($A$5)*Z9</f>
        <v>0</v>
      </c>
      <c r="AA10">
        <f t="shared" ref="AA10" si="44">($A$5)*AA9</f>
        <v>0</v>
      </c>
      <c r="AB10">
        <f t="shared" ref="AB10" si="45">($A$5)*AB9</f>
        <v>0</v>
      </c>
      <c r="AC10">
        <f t="shared" ref="AC10" si="46">($A$5)*AC9</f>
        <v>0</v>
      </c>
    </row>
    <row r="11" spans="1:29" x14ac:dyDescent="0.3">
      <c r="C11" s="11" t="s">
        <v>25</v>
      </c>
      <c r="E11">
        <f>E8</f>
        <v>40166.666666666664</v>
      </c>
      <c r="F11">
        <f t="shared" ref="F11:AC11" si="47">F8</f>
        <v>40166.666666666664</v>
      </c>
      <c r="G11">
        <f t="shared" si="47"/>
        <v>40166.666666666664</v>
      </c>
      <c r="H11">
        <f t="shared" si="47"/>
        <v>0</v>
      </c>
      <c r="I11">
        <f t="shared" si="47"/>
        <v>0</v>
      </c>
      <c r="J11">
        <f t="shared" si="47"/>
        <v>0</v>
      </c>
      <c r="K11">
        <f t="shared" si="47"/>
        <v>0</v>
      </c>
      <c r="L11">
        <f t="shared" si="47"/>
        <v>0</v>
      </c>
      <c r="M11">
        <f t="shared" si="47"/>
        <v>0</v>
      </c>
      <c r="N11">
        <f t="shared" si="47"/>
        <v>0</v>
      </c>
      <c r="O11">
        <f t="shared" si="47"/>
        <v>0</v>
      </c>
      <c r="P11">
        <f t="shared" si="47"/>
        <v>0</v>
      </c>
      <c r="Q11">
        <f t="shared" si="47"/>
        <v>0</v>
      </c>
      <c r="R11">
        <f t="shared" si="47"/>
        <v>0</v>
      </c>
      <c r="S11">
        <f t="shared" si="47"/>
        <v>0</v>
      </c>
      <c r="T11">
        <f t="shared" si="47"/>
        <v>0</v>
      </c>
      <c r="U11">
        <f t="shared" si="47"/>
        <v>0</v>
      </c>
      <c r="V11">
        <f t="shared" si="47"/>
        <v>0</v>
      </c>
      <c r="W11">
        <f t="shared" si="47"/>
        <v>0</v>
      </c>
      <c r="X11">
        <f t="shared" si="47"/>
        <v>0</v>
      </c>
      <c r="Y11">
        <f t="shared" si="47"/>
        <v>0</v>
      </c>
      <c r="Z11">
        <f t="shared" si="47"/>
        <v>0</v>
      </c>
      <c r="AA11">
        <f t="shared" si="47"/>
        <v>0</v>
      </c>
      <c r="AB11">
        <f t="shared" si="47"/>
        <v>0</v>
      </c>
      <c r="AC11">
        <f t="shared" si="47"/>
        <v>0</v>
      </c>
    </row>
    <row r="12" spans="1:29" x14ac:dyDescent="0.3">
      <c r="C12" s="11" t="s">
        <v>26</v>
      </c>
      <c r="E12">
        <f>E9-E10+E11</f>
        <v>42658.333333333336</v>
      </c>
      <c r="F12">
        <f t="shared" ref="F12" si="48">F9-F10+F11</f>
        <v>42658.333333333336</v>
      </c>
      <c r="G12">
        <f>G9-G10+G11</f>
        <v>42658.333333333336</v>
      </c>
      <c r="H12">
        <f t="shared" ref="H12" si="49">H9-H10+H11</f>
        <v>0</v>
      </c>
      <c r="I12">
        <f t="shared" ref="I12" si="50">I9-I10+I11</f>
        <v>0</v>
      </c>
      <c r="J12">
        <f t="shared" ref="J12" si="51">J9-J10+J11</f>
        <v>0</v>
      </c>
      <c r="K12">
        <f t="shared" ref="K12" si="52">K9-K10+K11</f>
        <v>0</v>
      </c>
      <c r="L12">
        <f t="shared" ref="L12" si="53">L9-L10+L11</f>
        <v>0</v>
      </c>
      <c r="M12">
        <f t="shared" ref="M12" si="54">M9-M10+M11</f>
        <v>0</v>
      </c>
      <c r="N12">
        <f t="shared" ref="N12" si="55">N9-N10+N11</f>
        <v>0</v>
      </c>
      <c r="O12">
        <f t="shared" ref="O12" si="56">O9-O10+O11</f>
        <v>0</v>
      </c>
      <c r="P12">
        <f t="shared" ref="P12" si="57">P9-P10+P11</f>
        <v>0</v>
      </c>
      <c r="Q12">
        <f t="shared" ref="Q12" si="58">Q9-Q10+Q11</f>
        <v>0</v>
      </c>
      <c r="R12">
        <f t="shared" ref="R12" si="59">R9-R10+R11</f>
        <v>0</v>
      </c>
      <c r="S12">
        <f t="shared" ref="S12" si="60">S9-S10+S11</f>
        <v>0</v>
      </c>
      <c r="T12">
        <f t="shared" ref="T12" si="61">T9-T10+T11</f>
        <v>0</v>
      </c>
      <c r="U12">
        <f t="shared" ref="U12" si="62">U9-U10+U11</f>
        <v>0</v>
      </c>
      <c r="V12">
        <f t="shared" ref="V12" si="63">V9-V10+V11</f>
        <v>0</v>
      </c>
      <c r="W12">
        <f t="shared" ref="W12" si="64">W9-W10+W11</f>
        <v>0</v>
      </c>
      <c r="X12">
        <f t="shared" ref="X12" si="65">X9-X10+X11</f>
        <v>0</v>
      </c>
      <c r="Y12">
        <f t="shared" ref="Y12" si="66">Y9-Y10+Y11</f>
        <v>0</v>
      </c>
      <c r="Z12">
        <f t="shared" ref="Z12" si="67">Z9-Z10+Z11</f>
        <v>0</v>
      </c>
      <c r="AA12">
        <f t="shared" ref="AA12" si="68">AA9-AA10+AA11</f>
        <v>0</v>
      </c>
      <c r="AB12">
        <f t="shared" ref="AB12" si="69">AB9-AB10+AB11</f>
        <v>0</v>
      </c>
      <c r="AC12">
        <f t="shared" ref="AC12" si="70">AC9-AC10+AC11</f>
        <v>0</v>
      </c>
    </row>
    <row r="13" spans="1:29" x14ac:dyDescent="0.3">
      <c r="C13" s="10" t="s">
        <v>27</v>
      </c>
      <c r="D13">
        <v>120500</v>
      </c>
      <c r="G13">
        <f>-65000*(1-A5)</f>
        <v>-42250</v>
      </c>
    </row>
    <row r="14" spans="1:29" ht="15" thickBot="1" x14ac:dyDescent="0.35">
      <c r="C14" s="13" t="s">
        <v>28</v>
      </c>
      <c r="D14">
        <v>5500</v>
      </c>
      <c r="G14">
        <v>-5500</v>
      </c>
    </row>
    <row r="15" spans="1:29" ht="15" thickTop="1" x14ac:dyDescent="0.3">
      <c r="C15" s="19" t="s">
        <v>29</v>
      </c>
      <c r="D15" s="21">
        <f>D12-D13-D14</f>
        <v>-126000</v>
      </c>
      <c r="E15" s="21">
        <f t="shared" ref="E15:G15" si="71">E12-E13-E14</f>
        <v>42658.333333333336</v>
      </c>
      <c r="F15" s="21">
        <f t="shared" si="71"/>
        <v>42658.333333333336</v>
      </c>
      <c r="G15" s="21">
        <f t="shared" si="71"/>
        <v>90408.333333333343</v>
      </c>
      <c r="H15" s="21">
        <f t="shared" ref="H15" si="72">H12-H13-H14</f>
        <v>0</v>
      </c>
      <c r="I15" s="21">
        <f t="shared" ref="I15" si="73">I12-I13-I14</f>
        <v>0</v>
      </c>
      <c r="J15" s="21">
        <f t="shared" ref="J15" si="74">J12-J13-J14</f>
        <v>0</v>
      </c>
      <c r="K15" s="21">
        <f t="shared" ref="K15" si="75">K12-K13-K14</f>
        <v>0</v>
      </c>
      <c r="L15" s="21">
        <f t="shared" ref="L15" si="76">L12-L13-L14</f>
        <v>0</v>
      </c>
      <c r="M15" s="21">
        <f t="shared" ref="M15" si="77">M12-M13-M14</f>
        <v>0</v>
      </c>
      <c r="N15" s="21">
        <f t="shared" ref="N15" si="78">N12-N13-N14</f>
        <v>0</v>
      </c>
      <c r="O15" s="21">
        <f t="shared" ref="O15" si="79">O12-O13-O14</f>
        <v>0</v>
      </c>
      <c r="P15" s="21">
        <f t="shared" ref="P15" si="80">P12-P13-P14</f>
        <v>0</v>
      </c>
      <c r="Q15" s="21">
        <f t="shared" ref="Q15" si="81">Q12-Q13-Q14</f>
        <v>0</v>
      </c>
      <c r="R15" s="21">
        <f t="shared" ref="R15" si="82">R12-R13-R14</f>
        <v>0</v>
      </c>
      <c r="S15" s="21">
        <f t="shared" ref="S15" si="83">S12-S13-S14</f>
        <v>0</v>
      </c>
      <c r="T15" s="21">
        <f t="shared" ref="T15" si="84">T12-T13-T14</f>
        <v>0</v>
      </c>
      <c r="U15" s="21">
        <f t="shared" ref="U15" si="85">U12-U13-U14</f>
        <v>0</v>
      </c>
      <c r="V15" s="21">
        <f t="shared" ref="V15" si="86">V12-V13-V14</f>
        <v>0</v>
      </c>
      <c r="W15" s="21">
        <f t="shared" ref="W15" si="87">W12-W13-W14</f>
        <v>0</v>
      </c>
      <c r="X15" s="21">
        <f t="shared" ref="X15" si="88">X12-X13-X14</f>
        <v>0</v>
      </c>
      <c r="Y15" s="21">
        <f t="shared" ref="Y15" si="89">Y12-Y13-Y14</f>
        <v>0</v>
      </c>
      <c r="Z15" s="21">
        <f t="shared" ref="Z15" si="90">Z12-Z13-Z14</f>
        <v>0</v>
      </c>
      <c r="AA15" s="21">
        <f t="shared" ref="AA15" si="91">AA12-AA13-AA14</f>
        <v>0</v>
      </c>
      <c r="AB15" s="21">
        <f t="shared" ref="AB15" si="92">AB12-AB13-AB14</f>
        <v>0</v>
      </c>
      <c r="AC15" s="21">
        <f t="shared" ref="AC15" si="93">AC12-AC13-AC14</f>
        <v>0</v>
      </c>
    </row>
    <row r="16" spans="1:29" x14ac:dyDescent="0.3">
      <c r="C16" t="s">
        <v>31</v>
      </c>
      <c r="D16">
        <f>D15</f>
        <v>-126000</v>
      </c>
      <c r="E16">
        <f>E15/((1+$B$5)^E4)</f>
        <v>38087.797619047618</v>
      </c>
      <c r="F16">
        <f>F15/((1+$B$5)^F4)</f>
        <v>34006.962159863942</v>
      </c>
      <c r="G16">
        <f>G15/((1+$B$5)^G4)</f>
        <v>64350.865904397462</v>
      </c>
      <c r="H16">
        <f t="shared" ref="H16:AC16" si="94">H15/((1+$B$5)^H4)</f>
        <v>0</v>
      </c>
      <c r="I16">
        <f t="shared" si="94"/>
        <v>0</v>
      </c>
      <c r="J16">
        <f t="shared" si="94"/>
        <v>0</v>
      </c>
      <c r="K16">
        <f t="shared" si="94"/>
        <v>0</v>
      </c>
      <c r="L16">
        <f t="shared" si="94"/>
        <v>0</v>
      </c>
      <c r="M16">
        <f t="shared" si="94"/>
        <v>0</v>
      </c>
      <c r="N16">
        <f t="shared" si="94"/>
        <v>0</v>
      </c>
      <c r="O16">
        <f t="shared" si="94"/>
        <v>0</v>
      </c>
      <c r="P16">
        <f t="shared" si="94"/>
        <v>0</v>
      </c>
      <c r="Q16">
        <f t="shared" si="94"/>
        <v>0</v>
      </c>
      <c r="R16">
        <f t="shared" si="94"/>
        <v>0</v>
      </c>
      <c r="S16">
        <f t="shared" si="94"/>
        <v>0</v>
      </c>
      <c r="T16">
        <f t="shared" si="94"/>
        <v>0</v>
      </c>
      <c r="U16">
        <f t="shared" si="94"/>
        <v>0</v>
      </c>
      <c r="V16">
        <f t="shared" si="94"/>
        <v>0</v>
      </c>
      <c r="W16">
        <f t="shared" si="94"/>
        <v>0</v>
      </c>
      <c r="X16">
        <f t="shared" si="94"/>
        <v>0</v>
      </c>
      <c r="Y16">
        <f t="shared" si="94"/>
        <v>0</v>
      </c>
      <c r="Z16">
        <f t="shared" si="94"/>
        <v>0</v>
      </c>
      <c r="AA16">
        <f t="shared" si="94"/>
        <v>0</v>
      </c>
      <c r="AB16">
        <f t="shared" si="94"/>
        <v>0</v>
      </c>
      <c r="AC16">
        <f t="shared" si="94"/>
        <v>0</v>
      </c>
    </row>
    <row r="17" spans="1:29" ht="15" thickBot="1" x14ac:dyDescent="0.35"/>
    <row r="18" spans="1:29" ht="15.6" thickTop="1" thickBot="1" x14ac:dyDescent="0.35">
      <c r="C18" s="20" t="s">
        <v>32</v>
      </c>
      <c r="D18" s="20">
        <f>SUM(D16:AC16)</f>
        <v>10445.625683309023</v>
      </c>
    </row>
    <row r="19" spans="1:29" ht="15" thickTop="1" x14ac:dyDescent="0.3"/>
    <row r="22" spans="1:29" ht="15" thickBot="1" x14ac:dyDescent="0.35"/>
    <row r="23" spans="1:29" ht="15.6" thickTop="1" thickBot="1" x14ac:dyDescent="0.35">
      <c r="A23" s="14" t="s">
        <v>23</v>
      </c>
      <c r="B23" s="14" t="s">
        <v>30</v>
      </c>
      <c r="D23" s="17">
        <v>0</v>
      </c>
      <c r="E23" s="17">
        <v>1</v>
      </c>
      <c r="F23" s="17">
        <v>2</v>
      </c>
      <c r="G23" s="17">
        <v>3</v>
      </c>
      <c r="H23" s="17">
        <v>4</v>
      </c>
      <c r="I23" s="17">
        <v>5</v>
      </c>
      <c r="J23" s="17">
        <v>6</v>
      </c>
      <c r="K23" s="17">
        <v>7</v>
      </c>
      <c r="L23" s="17">
        <v>8</v>
      </c>
      <c r="M23" s="17">
        <v>9</v>
      </c>
      <c r="N23" s="17">
        <v>10</v>
      </c>
      <c r="O23" s="17">
        <v>11</v>
      </c>
      <c r="P23" s="17">
        <v>12</v>
      </c>
      <c r="Q23" s="17">
        <v>13</v>
      </c>
      <c r="R23" s="17">
        <v>14</v>
      </c>
      <c r="S23" s="17">
        <v>15</v>
      </c>
      <c r="T23" s="17">
        <v>16</v>
      </c>
      <c r="U23" s="17">
        <v>17</v>
      </c>
      <c r="V23" s="17">
        <v>18</v>
      </c>
      <c r="W23" s="17">
        <v>19</v>
      </c>
      <c r="X23" s="17">
        <v>20</v>
      </c>
      <c r="Y23" s="17">
        <v>21</v>
      </c>
      <c r="Z23" s="17">
        <v>22</v>
      </c>
      <c r="AA23" s="17">
        <v>23</v>
      </c>
      <c r="AB23" s="17">
        <v>24</v>
      </c>
      <c r="AC23" s="17">
        <v>25</v>
      </c>
    </row>
    <row r="24" spans="1:29" ht="15.6" thickTop="1" thickBot="1" x14ac:dyDescent="0.35">
      <c r="A24" s="15">
        <v>0.21</v>
      </c>
      <c r="B24" s="15">
        <v>0.18</v>
      </c>
      <c r="D24" s="16" t="s">
        <v>13</v>
      </c>
      <c r="E24" s="16" t="s">
        <v>14</v>
      </c>
      <c r="F24" s="16" t="s">
        <v>15</v>
      </c>
      <c r="G24" s="16" t="s">
        <v>16</v>
      </c>
      <c r="H24" s="16" t="s">
        <v>17</v>
      </c>
      <c r="I24" s="16" t="s">
        <v>18</v>
      </c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</row>
    <row r="25" spans="1:29" ht="15" thickTop="1" x14ac:dyDescent="0.3">
      <c r="C25" s="12" t="s">
        <v>19</v>
      </c>
      <c r="E25">
        <f>10400*61</f>
        <v>634400</v>
      </c>
      <c r="F25">
        <f>1.08*E25</f>
        <v>685152</v>
      </c>
      <c r="G25">
        <f t="shared" ref="G25:I25" si="95">1.08*F25</f>
        <v>739964.16</v>
      </c>
      <c r="H25">
        <f t="shared" si="95"/>
        <v>799161.29280000005</v>
      </c>
      <c r="I25">
        <f t="shared" si="95"/>
        <v>863094.19622400007</v>
      </c>
    </row>
    <row r="26" spans="1:29" x14ac:dyDescent="0.3">
      <c r="C26" s="12" t="s">
        <v>20</v>
      </c>
      <c r="E26">
        <f>10400*19*(1.08^(E23-1))+125000</f>
        <v>322600</v>
      </c>
      <c r="F26">
        <f>10400*19*(1.08^(F23-1))+125000</f>
        <v>338408</v>
      </c>
      <c r="G26">
        <f t="shared" ref="G26:I26" si="96">10400*19*(1.08^(G23-1))+125000</f>
        <v>355480.64</v>
      </c>
      <c r="H26">
        <f t="shared" si="96"/>
        <v>373919.09120000002</v>
      </c>
      <c r="I26">
        <f t="shared" si="96"/>
        <v>393832.61849600007</v>
      </c>
    </row>
    <row r="27" spans="1:29" x14ac:dyDescent="0.3">
      <c r="C27" s="12" t="s">
        <v>21</v>
      </c>
      <c r="E27">
        <f>575000/5</f>
        <v>115000</v>
      </c>
      <c r="F27">
        <f t="shared" ref="F27:I27" si="97">575000/5</f>
        <v>115000</v>
      </c>
      <c r="G27">
        <f t="shared" si="97"/>
        <v>115000</v>
      </c>
      <c r="H27">
        <f t="shared" si="97"/>
        <v>115000</v>
      </c>
      <c r="I27">
        <f t="shared" si="97"/>
        <v>115000</v>
      </c>
    </row>
    <row r="28" spans="1:29" x14ac:dyDescent="0.3">
      <c r="C28" s="11" t="s">
        <v>22</v>
      </c>
      <c r="E28">
        <f>E25-E26-E27</f>
        <v>196800</v>
      </c>
      <c r="F28">
        <f t="shared" ref="F28" si="98">F25-F26-F27</f>
        <v>231744</v>
      </c>
      <c r="G28">
        <f t="shared" ref="G28" si="99">G25-G26-G27</f>
        <v>269483.52000000002</v>
      </c>
      <c r="H28">
        <f t="shared" ref="H28" si="100">H25-H26-H27</f>
        <v>310242.20160000003</v>
      </c>
      <c r="I28">
        <f t="shared" ref="I28" si="101">I25-I26-I27</f>
        <v>354261.577728</v>
      </c>
      <c r="J28">
        <f t="shared" ref="J28" si="102">J25-J26-J27</f>
        <v>0</v>
      </c>
      <c r="K28">
        <f t="shared" ref="K28" si="103">K25-K26-K27</f>
        <v>0</v>
      </c>
      <c r="L28">
        <f t="shared" ref="L28" si="104">L25-L26-L27</f>
        <v>0</v>
      </c>
      <c r="M28">
        <f t="shared" ref="M28" si="105">M25-M26-M27</f>
        <v>0</v>
      </c>
      <c r="N28">
        <f t="shared" ref="N28" si="106">N25-N26-N27</f>
        <v>0</v>
      </c>
      <c r="O28">
        <f t="shared" ref="O28" si="107">O25-O26-O27</f>
        <v>0</v>
      </c>
      <c r="P28">
        <f t="shared" ref="P28" si="108">P25-P26-P27</f>
        <v>0</v>
      </c>
      <c r="Q28">
        <f t="shared" ref="Q28" si="109">Q25-Q26-Q27</f>
        <v>0</v>
      </c>
      <c r="R28">
        <f t="shared" ref="R28" si="110">R25-R26-R27</f>
        <v>0</v>
      </c>
      <c r="S28">
        <f t="shared" ref="S28" si="111">S25-S26-S27</f>
        <v>0</v>
      </c>
      <c r="T28">
        <f t="shared" ref="T28" si="112">T25-T26-T27</f>
        <v>0</v>
      </c>
      <c r="U28">
        <f t="shared" ref="U28" si="113">U25-U26-U27</f>
        <v>0</v>
      </c>
      <c r="V28">
        <f t="shared" ref="V28" si="114">V25-V26-V27</f>
        <v>0</v>
      </c>
      <c r="W28">
        <f t="shared" ref="W28" si="115">W25-W26-W27</f>
        <v>0</v>
      </c>
      <c r="X28">
        <f t="shared" ref="X28" si="116">X25-X26-X27</f>
        <v>0</v>
      </c>
      <c r="Y28">
        <f t="shared" ref="Y28" si="117">Y25-Y26-Y27</f>
        <v>0</v>
      </c>
      <c r="Z28">
        <f t="shared" ref="Z28" si="118">Z25-Z26-Z27</f>
        <v>0</v>
      </c>
      <c r="AA28">
        <f t="shared" ref="AA28" si="119">AA25-AA26-AA27</f>
        <v>0</v>
      </c>
      <c r="AB28">
        <f t="shared" ref="AB28" si="120">AB25-AB26-AB27</f>
        <v>0</v>
      </c>
      <c r="AC28">
        <f t="shared" ref="AC28" si="121">AC25-AC26-AC27</f>
        <v>0</v>
      </c>
    </row>
    <row r="29" spans="1:29" x14ac:dyDescent="0.3">
      <c r="C29" s="11" t="s">
        <v>24</v>
      </c>
      <c r="E29">
        <f>($A$24)*E28</f>
        <v>41328</v>
      </c>
      <c r="F29">
        <f t="shared" ref="F29:I29" si="122">($A$24)*F28</f>
        <v>48666.239999999998</v>
      </c>
      <c r="G29">
        <f t="shared" si="122"/>
        <v>56591.539199999999</v>
      </c>
      <c r="H29">
        <f t="shared" si="122"/>
        <v>65150.862336000006</v>
      </c>
      <c r="I29">
        <f t="shared" si="122"/>
        <v>74394.931322880002</v>
      </c>
      <c r="J29">
        <f t="shared" ref="J29" si="123">($A$5)*J28</f>
        <v>0</v>
      </c>
      <c r="K29">
        <f t="shared" ref="K29" si="124">($A$5)*K28</f>
        <v>0</v>
      </c>
      <c r="L29">
        <f t="shared" ref="L29" si="125">($A$5)*L28</f>
        <v>0</v>
      </c>
      <c r="M29">
        <f t="shared" ref="M29" si="126">($A$5)*M28</f>
        <v>0</v>
      </c>
      <c r="N29">
        <f t="shared" ref="N29" si="127">($A$5)*N28</f>
        <v>0</v>
      </c>
      <c r="O29">
        <f t="shared" ref="O29" si="128">($A$5)*O28</f>
        <v>0</v>
      </c>
      <c r="P29">
        <f t="shared" ref="P29" si="129">($A$5)*P28</f>
        <v>0</v>
      </c>
      <c r="Q29">
        <f t="shared" ref="Q29" si="130">($A$5)*Q28</f>
        <v>0</v>
      </c>
      <c r="R29">
        <f t="shared" ref="R29" si="131">($A$5)*R28</f>
        <v>0</v>
      </c>
      <c r="S29">
        <f t="shared" ref="S29" si="132">($A$5)*S28</f>
        <v>0</v>
      </c>
      <c r="T29">
        <f t="shared" ref="T29" si="133">($A$5)*T28</f>
        <v>0</v>
      </c>
      <c r="U29">
        <f t="shared" ref="U29" si="134">($A$5)*U28</f>
        <v>0</v>
      </c>
      <c r="V29">
        <f t="shared" ref="V29" si="135">($A$5)*V28</f>
        <v>0</v>
      </c>
      <c r="W29">
        <f t="shared" ref="W29" si="136">($A$5)*W28</f>
        <v>0</v>
      </c>
      <c r="X29">
        <f t="shared" ref="X29" si="137">($A$5)*X28</f>
        <v>0</v>
      </c>
      <c r="Y29">
        <f t="shared" ref="Y29" si="138">($A$5)*Y28</f>
        <v>0</v>
      </c>
      <c r="Z29">
        <f t="shared" ref="Z29" si="139">($A$5)*Z28</f>
        <v>0</v>
      </c>
      <c r="AA29">
        <f t="shared" ref="AA29" si="140">($A$5)*AA28</f>
        <v>0</v>
      </c>
      <c r="AB29">
        <f t="shared" ref="AB29" si="141">($A$5)*AB28</f>
        <v>0</v>
      </c>
      <c r="AC29">
        <f t="shared" ref="AC29" si="142">($A$5)*AC28</f>
        <v>0</v>
      </c>
    </row>
    <row r="30" spans="1:29" x14ac:dyDescent="0.3">
      <c r="C30" s="11" t="s">
        <v>25</v>
      </c>
      <c r="E30">
        <f>E27</f>
        <v>115000</v>
      </c>
      <c r="F30">
        <f t="shared" ref="F30:AC30" si="143">F27</f>
        <v>115000</v>
      </c>
      <c r="G30">
        <f t="shared" si="143"/>
        <v>115000</v>
      </c>
      <c r="H30">
        <f t="shared" si="143"/>
        <v>115000</v>
      </c>
      <c r="I30">
        <f t="shared" si="143"/>
        <v>115000</v>
      </c>
      <c r="J30">
        <f t="shared" si="143"/>
        <v>0</v>
      </c>
      <c r="K30">
        <f t="shared" si="143"/>
        <v>0</v>
      </c>
      <c r="L30">
        <f t="shared" si="143"/>
        <v>0</v>
      </c>
      <c r="M30">
        <f t="shared" si="143"/>
        <v>0</v>
      </c>
      <c r="N30">
        <f t="shared" si="143"/>
        <v>0</v>
      </c>
      <c r="O30">
        <f t="shared" si="143"/>
        <v>0</v>
      </c>
      <c r="P30">
        <f t="shared" si="143"/>
        <v>0</v>
      </c>
      <c r="Q30">
        <f t="shared" si="143"/>
        <v>0</v>
      </c>
      <c r="R30">
        <f t="shared" si="143"/>
        <v>0</v>
      </c>
      <c r="S30">
        <f t="shared" si="143"/>
        <v>0</v>
      </c>
      <c r="T30">
        <f t="shared" si="143"/>
        <v>0</v>
      </c>
      <c r="U30">
        <f t="shared" si="143"/>
        <v>0</v>
      </c>
      <c r="V30">
        <f t="shared" si="143"/>
        <v>0</v>
      </c>
      <c r="W30">
        <f t="shared" si="143"/>
        <v>0</v>
      </c>
      <c r="X30">
        <f t="shared" si="143"/>
        <v>0</v>
      </c>
      <c r="Y30">
        <f t="shared" si="143"/>
        <v>0</v>
      </c>
      <c r="Z30">
        <f t="shared" si="143"/>
        <v>0</v>
      </c>
      <c r="AA30">
        <f t="shared" si="143"/>
        <v>0</v>
      </c>
      <c r="AB30">
        <f t="shared" si="143"/>
        <v>0</v>
      </c>
      <c r="AC30">
        <f t="shared" si="143"/>
        <v>0</v>
      </c>
    </row>
    <row r="31" spans="1:29" x14ac:dyDescent="0.3">
      <c r="C31" s="11" t="s">
        <v>26</v>
      </c>
      <c r="E31">
        <f>E28-E29+E30</f>
        <v>270472</v>
      </c>
      <c r="F31">
        <f t="shared" ref="F31" si="144">F28-F29+F30</f>
        <v>298077.76</v>
      </c>
      <c r="G31">
        <f>G28-G29+G30</f>
        <v>327891.98080000002</v>
      </c>
      <c r="H31">
        <f t="shared" ref="H31" si="145">H28-H29+H30</f>
        <v>360091.33926400001</v>
      </c>
      <c r="I31">
        <f t="shared" ref="I31" si="146">I28-I29+I30</f>
        <v>394866.64640512003</v>
      </c>
      <c r="J31">
        <f t="shared" ref="J31" si="147">J28-J29+J30</f>
        <v>0</v>
      </c>
      <c r="K31">
        <f t="shared" ref="K31" si="148">K28-K29+K30</f>
        <v>0</v>
      </c>
      <c r="L31">
        <f t="shared" ref="L31" si="149">L28-L29+L30</f>
        <v>0</v>
      </c>
      <c r="M31">
        <f t="shared" ref="M31" si="150">M28-M29+M30</f>
        <v>0</v>
      </c>
      <c r="N31">
        <f t="shared" ref="N31" si="151">N28-N29+N30</f>
        <v>0</v>
      </c>
      <c r="O31">
        <f t="shared" ref="O31" si="152">O28-O29+O30</f>
        <v>0</v>
      </c>
      <c r="P31">
        <f t="shared" ref="P31" si="153">P28-P29+P30</f>
        <v>0</v>
      </c>
      <c r="Q31">
        <f t="shared" ref="Q31" si="154">Q28-Q29+Q30</f>
        <v>0</v>
      </c>
      <c r="R31">
        <f t="shared" ref="R31" si="155">R28-R29+R30</f>
        <v>0</v>
      </c>
      <c r="S31">
        <f t="shared" ref="S31" si="156">S28-S29+S30</f>
        <v>0</v>
      </c>
      <c r="T31">
        <f t="shared" ref="T31" si="157">T28-T29+T30</f>
        <v>0</v>
      </c>
      <c r="U31">
        <f t="shared" ref="U31" si="158">U28-U29+U30</f>
        <v>0</v>
      </c>
      <c r="V31">
        <f t="shared" ref="V31" si="159">V28-V29+V30</f>
        <v>0</v>
      </c>
      <c r="W31">
        <f t="shared" ref="W31" si="160">W28-W29+W30</f>
        <v>0</v>
      </c>
      <c r="X31">
        <f t="shared" ref="X31" si="161">X28-X29+X30</f>
        <v>0</v>
      </c>
      <c r="Y31">
        <f t="shared" ref="Y31" si="162">Y28-Y29+Y30</f>
        <v>0</v>
      </c>
      <c r="Z31">
        <f t="shared" ref="Z31" si="163">Z28-Z29+Z30</f>
        <v>0</v>
      </c>
      <c r="AA31">
        <f t="shared" ref="AA31" si="164">AA28-AA29+AA30</f>
        <v>0</v>
      </c>
      <c r="AB31">
        <f t="shared" ref="AB31" si="165">AB28-AB29+AB30</f>
        <v>0</v>
      </c>
      <c r="AC31">
        <f t="shared" ref="AC31" si="166">AC28-AC29+AC30</f>
        <v>0</v>
      </c>
    </row>
    <row r="32" spans="1:29" x14ac:dyDescent="0.3">
      <c r="C32" s="10" t="s">
        <v>27</v>
      </c>
      <c r="D32">
        <v>575000</v>
      </c>
    </row>
    <row r="33" spans="3:29" ht="15" thickBot="1" x14ac:dyDescent="0.35">
      <c r="C33" s="13" t="s">
        <v>28</v>
      </c>
      <c r="D33">
        <v>45000</v>
      </c>
      <c r="I33">
        <v>-45000</v>
      </c>
    </row>
    <row r="34" spans="3:29" ht="15" thickTop="1" x14ac:dyDescent="0.3">
      <c r="C34" s="19" t="s">
        <v>29</v>
      </c>
      <c r="D34" s="21">
        <f>D31-D32-D33</f>
        <v>-620000</v>
      </c>
      <c r="E34" s="21">
        <f t="shared" ref="E34" si="167">E31-E32-E33</f>
        <v>270472</v>
      </c>
      <c r="F34" s="21">
        <f t="shared" ref="F34" si="168">F31-F32-F33</f>
        <v>298077.76</v>
      </c>
      <c r="G34" s="21">
        <f t="shared" ref="G34" si="169">G31-G32-G33</f>
        <v>327891.98080000002</v>
      </c>
      <c r="H34" s="21">
        <f t="shared" ref="H34" si="170">H31-H32-H33</f>
        <v>360091.33926400001</v>
      </c>
      <c r="I34" s="21">
        <f t="shared" ref="I34" si="171">I31-I32-I33</f>
        <v>439866.64640512003</v>
      </c>
      <c r="J34" s="21">
        <f t="shared" ref="J34" si="172">J31-J32-J33</f>
        <v>0</v>
      </c>
      <c r="K34" s="21">
        <f t="shared" ref="K34" si="173">K31-K32-K33</f>
        <v>0</v>
      </c>
      <c r="L34" s="21">
        <f t="shared" ref="L34" si="174">L31-L32-L33</f>
        <v>0</v>
      </c>
      <c r="M34" s="21">
        <f t="shared" ref="M34" si="175">M31-M32-M33</f>
        <v>0</v>
      </c>
      <c r="N34" s="21">
        <f t="shared" ref="N34" si="176">N31-N32-N33</f>
        <v>0</v>
      </c>
      <c r="O34" s="21">
        <f t="shared" ref="O34" si="177">O31-O32-O33</f>
        <v>0</v>
      </c>
      <c r="P34" s="21">
        <f t="shared" ref="P34" si="178">P31-P32-P33</f>
        <v>0</v>
      </c>
      <c r="Q34" s="21">
        <f t="shared" ref="Q34" si="179">Q31-Q32-Q33</f>
        <v>0</v>
      </c>
      <c r="R34" s="21">
        <f t="shared" ref="R34" si="180">R31-R32-R33</f>
        <v>0</v>
      </c>
      <c r="S34" s="21">
        <f t="shared" ref="S34" si="181">S31-S32-S33</f>
        <v>0</v>
      </c>
      <c r="T34" s="21">
        <f t="shared" ref="T34" si="182">T31-T32-T33</f>
        <v>0</v>
      </c>
      <c r="U34" s="21">
        <f t="shared" ref="U34" si="183">U31-U32-U33</f>
        <v>0</v>
      </c>
      <c r="V34" s="21">
        <f t="shared" ref="V34" si="184">V31-V32-V33</f>
        <v>0</v>
      </c>
      <c r="W34" s="21">
        <f t="shared" ref="W34" si="185">W31-W32-W33</f>
        <v>0</v>
      </c>
      <c r="X34" s="21">
        <f t="shared" ref="X34" si="186">X31-X32-X33</f>
        <v>0</v>
      </c>
      <c r="Y34" s="21">
        <f t="shared" ref="Y34" si="187">Y31-Y32-Y33</f>
        <v>0</v>
      </c>
      <c r="Z34" s="21">
        <f t="shared" ref="Z34" si="188">Z31-Z32-Z33</f>
        <v>0</v>
      </c>
      <c r="AA34" s="21">
        <f t="shared" ref="AA34" si="189">AA31-AA32-AA33</f>
        <v>0</v>
      </c>
      <c r="AB34" s="21">
        <f t="shared" ref="AB34" si="190">AB31-AB32-AB33</f>
        <v>0</v>
      </c>
      <c r="AC34" s="21">
        <f t="shared" ref="AC34" si="191">AC31-AC32-AC33</f>
        <v>0</v>
      </c>
    </row>
    <row r="35" spans="3:29" x14ac:dyDescent="0.3">
      <c r="C35" t="s">
        <v>31</v>
      </c>
      <c r="D35">
        <f>D34</f>
        <v>-620000</v>
      </c>
      <c r="E35">
        <f>E34/((1+$B$24)^E23)</f>
        <v>229213.55932203392</v>
      </c>
      <c r="F35">
        <f t="shared" ref="F35:I35" si="192">F34/((1+$B$24)^F23)</f>
        <v>214074.80609020399</v>
      </c>
      <c r="G35">
        <f t="shared" si="192"/>
        <v>199565.18241884519</v>
      </c>
      <c r="H35">
        <f t="shared" si="192"/>
        <v>185731.10683093462</v>
      </c>
      <c r="I35">
        <f t="shared" si="192"/>
        <v>192269.76505606234</v>
      </c>
      <c r="J35">
        <f t="shared" ref="J35" si="193">J34/((1+$B$24)^J23)</f>
        <v>0</v>
      </c>
      <c r="K35">
        <f t="shared" ref="K35" si="194">K34/((1+$B$24)^K23)</f>
        <v>0</v>
      </c>
      <c r="L35">
        <f t="shared" ref="L35" si="195">L34/((1+$B$24)^L23)</f>
        <v>0</v>
      </c>
      <c r="M35">
        <f t="shared" ref="M35" si="196">M34/((1+$B$24)^M23)</f>
        <v>0</v>
      </c>
      <c r="N35">
        <f t="shared" ref="N35" si="197">N34/((1+$B$24)^N23)</f>
        <v>0</v>
      </c>
      <c r="O35">
        <f t="shared" ref="O35" si="198">O34/((1+$B$24)^O23)</f>
        <v>0</v>
      </c>
      <c r="P35">
        <f t="shared" ref="P35" si="199">P34/((1+$B$24)^P23)</f>
        <v>0</v>
      </c>
      <c r="Q35">
        <f t="shared" ref="Q35" si="200">Q34/((1+$B$24)^Q23)</f>
        <v>0</v>
      </c>
      <c r="R35">
        <f t="shared" ref="R35" si="201">R34/((1+$B$24)^R23)</f>
        <v>0</v>
      </c>
      <c r="S35">
        <f t="shared" ref="S35" si="202">S34/((1+$B$24)^S23)</f>
        <v>0</v>
      </c>
      <c r="T35">
        <f t="shared" ref="T35" si="203">T34/((1+$B$24)^T23)</f>
        <v>0</v>
      </c>
      <c r="U35">
        <f t="shared" ref="U35" si="204">U34/((1+$B$24)^U23)</f>
        <v>0</v>
      </c>
      <c r="V35">
        <f t="shared" ref="V35" si="205">V34/((1+$B$24)^V23)</f>
        <v>0</v>
      </c>
      <c r="W35">
        <f t="shared" ref="W35" si="206">W34/((1+$B$24)^W23)</f>
        <v>0</v>
      </c>
      <c r="X35">
        <f t="shared" ref="X35" si="207">X34/((1+$B$24)^X23)</f>
        <v>0</v>
      </c>
      <c r="Y35">
        <f t="shared" ref="Y35" si="208">Y34/((1+$B$24)^Y23)</f>
        <v>0</v>
      </c>
      <c r="Z35">
        <f t="shared" ref="Z35" si="209">Z34/((1+$B$24)^Z23)</f>
        <v>0</v>
      </c>
      <c r="AA35">
        <f t="shared" ref="AA35" si="210">AA34/((1+$B$24)^AA23)</f>
        <v>0</v>
      </c>
      <c r="AB35">
        <f t="shared" ref="AB35" si="211">AB34/((1+$B$24)^AB23)</f>
        <v>0</v>
      </c>
      <c r="AC35">
        <f t="shared" ref="AC35" si="212">AC34/((1+$B$24)^AC23)</f>
        <v>0</v>
      </c>
    </row>
    <row r="36" spans="3:29" ht="15" thickBot="1" x14ac:dyDescent="0.35"/>
    <row r="37" spans="3:29" ht="15.6" thickTop="1" thickBot="1" x14ac:dyDescent="0.35">
      <c r="C37" s="20" t="s">
        <v>32</v>
      </c>
      <c r="D37" s="20">
        <f>SUM(D35:AC35)</f>
        <v>400854.41971808003</v>
      </c>
    </row>
    <row r="38" spans="3:29" ht="15" thickTop="1" x14ac:dyDescent="0.3">
      <c r="F38" t="s">
        <v>65</v>
      </c>
    </row>
    <row r="39" spans="3:29" x14ac:dyDescent="0.3">
      <c r="F39">
        <f>SUM(E25:I25)/61</f>
        <v>61012.649984000003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BC1EC-E02E-4F88-8152-527F01211C98}">
  <dimension ref="B1:U44"/>
  <sheetViews>
    <sheetView topLeftCell="D18" zoomScaleNormal="100" workbookViewId="0">
      <selection activeCell="M34" sqref="M34"/>
    </sheetView>
  </sheetViews>
  <sheetFormatPr defaultRowHeight="14.4" x14ac:dyDescent="0.3"/>
  <cols>
    <col min="1" max="1" width="4" customWidth="1"/>
    <col min="2" max="2" width="14.5546875" customWidth="1"/>
    <col min="9" max="9" width="18.5546875" customWidth="1"/>
    <col min="17" max="17" width="14.33203125" customWidth="1"/>
  </cols>
  <sheetData>
    <row r="1" spans="2:16" ht="21" x14ac:dyDescent="0.4">
      <c r="B1" s="8" t="s">
        <v>79</v>
      </c>
      <c r="I1" s="8" t="s">
        <v>74</v>
      </c>
      <c r="P1" s="8" t="s">
        <v>82</v>
      </c>
    </row>
    <row r="2" spans="2:16" x14ac:dyDescent="0.3">
      <c r="P2" t="s">
        <v>84</v>
      </c>
    </row>
    <row r="3" spans="2:16" x14ac:dyDescent="0.3">
      <c r="I3" s="12" t="s">
        <v>75</v>
      </c>
      <c r="J3" s="40">
        <v>1</v>
      </c>
      <c r="K3" s="40">
        <v>2</v>
      </c>
      <c r="L3" s="40">
        <v>3</v>
      </c>
      <c r="M3" s="40">
        <v>4</v>
      </c>
      <c r="N3" s="40">
        <v>5</v>
      </c>
      <c r="P3" t="s">
        <v>83</v>
      </c>
    </row>
    <row r="4" spans="2:16" x14ac:dyDescent="0.3">
      <c r="I4" s="12" t="s">
        <v>76</v>
      </c>
      <c r="J4" s="45">
        <v>0.12790000000000001</v>
      </c>
      <c r="K4" s="45">
        <v>9.2100000000000001E-2</v>
      </c>
      <c r="L4" s="45">
        <v>0.14680000000000001</v>
      </c>
      <c r="M4" s="45">
        <v>0.21829999999999999</v>
      </c>
      <c r="N4" s="45">
        <v>-0.10340000000000001</v>
      </c>
    </row>
    <row r="7" spans="2:16" x14ac:dyDescent="0.3">
      <c r="I7" s="46" t="s">
        <v>77</v>
      </c>
      <c r="J7" s="42">
        <f>AVERAGE(J4:N4)</f>
        <v>9.6339999999999995E-2</v>
      </c>
    </row>
    <row r="8" spans="2:16" x14ac:dyDescent="0.3">
      <c r="H8" s="38"/>
      <c r="I8" s="46" t="s">
        <v>80</v>
      </c>
      <c r="J8">
        <f>_xlfn.VAR.S(J4:N4)</f>
        <v>1.4582633000000006E-2</v>
      </c>
      <c r="K8" s="32" t="s">
        <v>78</v>
      </c>
    </row>
    <row r="9" spans="2:16" x14ac:dyDescent="0.3">
      <c r="H9" s="38"/>
      <c r="I9" s="47" t="s">
        <v>81</v>
      </c>
      <c r="J9">
        <f>_xlfn.STDEV.S(J4:N4)</f>
        <v>0.12075857319461838</v>
      </c>
    </row>
    <row r="10" spans="2:16" x14ac:dyDescent="0.3">
      <c r="I10" s="24"/>
    </row>
    <row r="11" spans="2:16" x14ac:dyDescent="0.3">
      <c r="I11" s="44" t="s">
        <v>73</v>
      </c>
      <c r="J11" s="45">
        <f>(1+J4)-1</f>
        <v>0.1278999999999999</v>
      </c>
      <c r="K11" s="45">
        <f>(1+J11)*(1+K4)-1</f>
        <v>0.23177958999999992</v>
      </c>
      <c r="L11" s="45">
        <f t="shared" ref="L11:N11" si="0">(1+K11)*(1+L4)-1</f>
        <v>0.41260483381199986</v>
      </c>
      <c r="M11" s="45">
        <f t="shared" si="0"/>
        <v>0.72097646903315926</v>
      </c>
      <c r="N11" s="45">
        <f t="shared" si="0"/>
        <v>0.54302750213513051</v>
      </c>
    </row>
    <row r="12" spans="2:16" x14ac:dyDescent="0.3">
      <c r="I12" s="24"/>
    </row>
    <row r="13" spans="2:16" x14ac:dyDescent="0.3">
      <c r="B13" s="39" t="s">
        <v>66</v>
      </c>
      <c r="C13" s="40">
        <v>94.82</v>
      </c>
      <c r="D13" s="40">
        <v>97.18</v>
      </c>
      <c r="E13" s="40">
        <v>97.3</v>
      </c>
      <c r="F13" s="40">
        <v>97.18</v>
      </c>
      <c r="G13" s="40">
        <v>97.18</v>
      </c>
    </row>
    <row r="14" spans="2:16" x14ac:dyDescent="0.3">
      <c r="B14" s="39" t="s">
        <v>68</v>
      </c>
      <c r="C14" s="40">
        <f>1</f>
        <v>1</v>
      </c>
      <c r="D14" s="40">
        <v>1</v>
      </c>
      <c r="E14" s="40">
        <v>1</v>
      </c>
      <c r="F14" s="40">
        <v>1</v>
      </c>
      <c r="G14" s="40">
        <v>1</v>
      </c>
    </row>
    <row r="15" spans="2:16" x14ac:dyDescent="0.3">
      <c r="B15" s="39" t="s">
        <v>67</v>
      </c>
      <c r="C15" s="40"/>
      <c r="D15" s="40">
        <v>3.1</v>
      </c>
      <c r="E15" s="40"/>
      <c r="F15" s="40"/>
      <c r="G15" s="40"/>
    </row>
    <row r="16" spans="2:16" x14ac:dyDescent="0.3">
      <c r="B16" s="41" t="s">
        <v>72</v>
      </c>
      <c r="D16" s="42">
        <f>((D13*D14+D15)/C13-1)</f>
        <v>5.7582788441257193E-2</v>
      </c>
      <c r="E16" s="42">
        <f t="shared" ref="E16:G16" si="1">((E13*E14+E15)/D13-1)</f>
        <v>1.2348219798310467E-3</v>
      </c>
      <c r="F16" s="42">
        <f t="shared" si="1"/>
        <v>-1.2332990750255624E-3</v>
      </c>
      <c r="G16" s="42">
        <f t="shared" si="1"/>
        <v>0</v>
      </c>
    </row>
    <row r="17" spans="2:21" x14ac:dyDescent="0.3">
      <c r="B17" s="43" t="s">
        <v>70</v>
      </c>
      <c r="D17" s="42">
        <f>D15/C13</f>
        <v>3.2693524572874923E-2</v>
      </c>
      <c r="E17" s="42">
        <f t="shared" ref="E17:G17" si="2">E15/D13</f>
        <v>0</v>
      </c>
      <c r="F17" s="42">
        <f t="shared" si="2"/>
        <v>0</v>
      </c>
      <c r="G17" s="42">
        <f t="shared" si="2"/>
        <v>0</v>
      </c>
    </row>
    <row r="18" spans="2:21" x14ac:dyDescent="0.3">
      <c r="B18" s="43" t="s">
        <v>71</v>
      </c>
      <c r="D18" s="42">
        <f>D13*D14/C13-1</f>
        <v>2.4889263868382416E-2</v>
      </c>
      <c r="E18" s="42">
        <f t="shared" ref="E18:G18" si="3">E13*E14/D13-1</f>
        <v>1.2348219798310467E-3</v>
      </c>
      <c r="F18" s="42">
        <f t="shared" si="3"/>
        <v>-1.2332990750255624E-3</v>
      </c>
      <c r="G18" s="42">
        <f t="shared" si="3"/>
        <v>0</v>
      </c>
    </row>
    <row r="20" spans="2:21" x14ac:dyDescent="0.3">
      <c r="B20" s="53" t="s">
        <v>73</v>
      </c>
      <c r="C20" s="53"/>
      <c r="D20" s="45">
        <f>(1+D16)-1</f>
        <v>5.7582788441257193E-2</v>
      </c>
      <c r="E20" s="45">
        <f>(1+D20)*(1+E16)-1</f>
        <v>5.8888714913915452E-2</v>
      </c>
      <c r="F20" s="45">
        <f>(1+E20)*(1+F16)-1</f>
        <v>5.7582788441257193E-2</v>
      </c>
      <c r="G20" s="45">
        <f>(1+F20)*(1+G16)-1</f>
        <v>5.7582788441257193E-2</v>
      </c>
      <c r="P20" t="s">
        <v>200</v>
      </c>
      <c r="S20" t="s">
        <v>201</v>
      </c>
    </row>
    <row r="21" spans="2:21" x14ac:dyDescent="0.3">
      <c r="P21" t="s">
        <v>85</v>
      </c>
    </row>
    <row r="22" spans="2:21" x14ac:dyDescent="0.3">
      <c r="B22" s="39" t="s">
        <v>66</v>
      </c>
      <c r="C22" s="40">
        <v>76</v>
      </c>
      <c r="D22" s="40">
        <v>84</v>
      </c>
      <c r="E22" s="40">
        <v>97.3</v>
      </c>
      <c r="F22" s="40">
        <v>97.18</v>
      </c>
      <c r="G22" s="40">
        <v>97.18</v>
      </c>
    </row>
    <row r="23" spans="2:21" x14ac:dyDescent="0.3">
      <c r="B23" s="39" t="s">
        <v>68</v>
      </c>
      <c r="C23" s="40">
        <f>1</f>
        <v>1</v>
      </c>
      <c r="D23" s="40">
        <v>1</v>
      </c>
      <c r="E23" s="40">
        <v>1</v>
      </c>
      <c r="F23" s="40">
        <v>1</v>
      </c>
      <c r="G23" s="40">
        <v>1</v>
      </c>
      <c r="P23" s="24" t="s">
        <v>86</v>
      </c>
    </row>
    <row r="24" spans="2:21" x14ac:dyDescent="0.3">
      <c r="B24" s="39" t="s">
        <v>67</v>
      </c>
      <c r="C24" s="40"/>
      <c r="D24" s="40">
        <v>1.95</v>
      </c>
      <c r="E24" s="40"/>
      <c r="F24" s="40"/>
      <c r="G24" s="40"/>
    </row>
    <row r="25" spans="2:21" x14ac:dyDescent="0.3">
      <c r="B25" s="41" t="s">
        <v>69</v>
      </c>
      <c r="D25" s="42">
        <f>((D22*D23+D24)/C22-1)</f>
        <v>0.13092105263157894</v>
      </c>
      <c r="E25" s="42">
        <f t="shared" ref="E25" si="4">((E22*E23+E24)/D22-1)</f>
        <v>0.15833333333333321</v>
      </c>
      <c r="F25" s="42">
        <f t="shared" ref="F25" si="5">((F22*F23+F24)/E22-1)</f>
        <v>-1.2332990750255624E-3</v>
      </c>
      <c r="G25" s="42">
        <f t="shared" ref="G25" si="6">((G22*G23+G24)/F22-1)</f>
        <v>0</v>
      </c>
    </row>
    <row r="26" spans="2:21" x14ac:dyDescent="0.3">
      <c r="B26" s="43" t="s">
        <v>70</v>
      </c>
      <c r="D26">
        <f>D24/C22</f>
        <v>2.5657894736842105E-2</v>
      </c>
      <c r="E26">
        <f t="shared" ref="E26:G26" si="7">E24/D22</f>
        <v>0</v>
      </c>
      <c r="F26">
        <f t="shared" si="7"/>
        <v>0</v>
      </c>
      <c r="G26">
        <f t="shared" si="7"/>
        <v>0</v>
      </c>
    </row>
    <row r="27" spans="2:21" x14ac:dyDescent="0.3">
      <c r="B27" s="43" t="s">
        <v>71</v>
      </c>
      <c r="D27" s="42">
        <f>D22*D23/C22-1</f>
        <v>0.10526315789473695</v>
      </c>
      <c r="E27" s="42">
        <f t="shared" ref="E27:G27" si="8">E22*E23/D22-1</f>
        <v>0.15833333333333321</v>
      </c>
      <c r="F27" s="42">
        <f t="shared" si="8"/>
        <v>-1.2332990750255624E-3</v>
      </c>
      <c r="G27" s="42">
        <f t="shared" si="8"/>
        <v>0</v>
      </c>
    </row>
    <row r="29" spans="2:21" x14ac:dyDescent="0.3">
      <c r="B29" s="53" t="s">
        <v>73</v>
      </c>
      <c r="C29" s="53"/>
      <c r="D29" s="45">
        <f>(1+D25)-1</f>
        <v>0.13092105263157894</v>
      </c>
      <c r="E29" s="45">
        <f>(1+D29)*(1+E25)-1</f>
        <v>0.30998355263157884</v>
      </c>
      <c r="F29" s="45">
        <f>(1+E29)*(1+F25)-1</f>
        <v>0.30836795112781967</v>
      </c>
      <c r="G29" s="45">
        <f>(1+F29)*(1+G25)-1</f>
        <v>0.30836795112781967</v>
      </c>
    </row>
    <row r="30" spans="2:21" x14ac:dyDescent="0.3">
      <c r="P30" t="s">
        <v>210</v>
      </c>
    </row>
    <row r="31" spans="2:21" x14ac:dyDescent="0.3">
      <c r="Q31" t="s">
        <v>202</v>
      </c>
      <c r="T31" s="24" t="s">
        <v>87</v>
      </c>
    </row>
    <row r="32" spans="2:21" x14ac:dyDescent="0.3">
      <c r="P32" s="24"/>
      <c r="U32" t="s">
        <v>88</v>
      </c>
    </row>
    <row r="33" spans="16:21" x14ac:dyDescent="0.3">
      <c r="U33" t="s">
        <v>95</v>
      </c>
    </row>
    <row r="34" spans="16:21" x14ac:dyDescent="0.3">
      <c r="P34" s="10" t="s">
        <v>90</v>
      </c>
      <c r="Q34" s="10" t="s">
        <v>91</v>
      </c>
      <c r="R34" s="10" t="s">
        <v>92</v>
      </c>
      <c r="S34" s="44" t="s">
        <v>89</v>
      </c>
    </row>
    <row r="35" spans="16:21" x14ac:dyDescent="0.3">
      <c r="P35" s="45">
        <v>3.7999999999999999E-2</v>
      </c>
      <c r="Q35" s="45">
        <v>0.111</v>
      </c>
      <c r="R35" s="40">
        <v>1.1499999999999999</v>
      </c>
      <c r="S35" s="45">
        <f>P35+R35*(Q35-P35)</f>
        <v>0.12195</v>
      </c>
    </row>
    <row r="37" spans="16:21" x14ac:dyDescent="0.3">
      <c r="P37" s="10" t="s">
        <v>90</v>
      </c>
      <c r="Q37" s="10" t="s">
        <v>93</v>
      </c>
      <c r="R37" s="10" t="s">
        <v>92</v>
      </c>
      <c r="S37" s="44" t="s">
        <v>89</v>
      </c>
    </row>
    <row r="38" spans="16:21" x14ac:dyDescent="0.3">
      <c r="P38" s="45">
        <v>3.7999999999999999E-2</v>
      </c>
      <c r="Q38" s="45">
        <v>7.2999999999999995E-2</v>
      </c>
      <c r="R38" s="40">
        <v>1.1499999999999999</v>
      </c>
      <c r="S38" s="45">
        <f>P38+R38*Q38</f>
        <v>0.12194999999999998</v>
      </c>
    </row>
    <row r="40" spans="16:21" x14ac:dyDescent="0.3">
      <c r="P40" s="10" t="s">
        <v>90</v>
      </c>
      <c r="Q40" s="10" t="s">
        <v>91</v>
      </c>
      <c r="R40" s="10" t="s">
        <v>94</v>
      </c>
      <c r="S40" s="44" t="s">
        <v>92</v>
      </c>
    </row>
    <row r="41" spans="16:21" x14ac:dyDescent="0.3">
      <c r="P41" s="45">
        <v>3.7999999999999999E-2</v>
      </c>
      <c r="Q41" s="45">
        <v>0.111</v>
      </c>
      <c r="R41" s="45">
        <v>0.122</v>
      </c>
      <c r="S41" s="48">
        <f>(R41-P41)/(Q41-P41)</f>
        <v>1.150684931506849</v>
      </c>
    </row>
    <row r="43" spans="16:21" x14ac:dyDescent="0.3">
      <c r="P43" s="10" t="s">
        <v>90</v>
      </c>
      <c r="Q43" s="10" t="s">
        <v>93</v>
      </c>
      <c r="R43" s="10" t="s">
        <v>94</v>
      </c>
      <c r="S43" s="44" t="s">
        <v>92</v>
      </c>
    </row>
    <row r="44" spans="16:21" x14ac:dyDescent="0.3">
      <c r="P44" s="45">
        <v>3.7999999999999999E-2</v>
      </c>
      <c r="Q44" s="45">
        <v>7.0000000000000007E-2</v>
      </c>
      <c r="R44" s="45">
        <v>0.104</v>
      </c>
      <c r="S44" s="48">
        <f>(R44-P44)/Q44</f>
        <v>0.94285714285714284</v>
      </c>
    </row>
  </sheetData>
  <mergeCells count="2">
    <mergeCell ref="B20:C20"/>
    <mergeCell ref="B29:C2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C8BC0-E1BF-46A9-B407-9D389DD112AD}">
  <dimension ref="B1:AA26"/>
  <sheetViews>
    <sheetView workbookViewId="0">
      <selection activeCell="Q7" sqref="Q7"/>
    </sheetView>
  </sheetViews>
  <sheetFormatPr defaultRowHeight="14.4" x14ac:dyDescent="0.3"/>
  <cols>
    <col min="12" max="12" width="9.44140625" customWidth="1"/>
    <col min="20" max="20" width="10.5546875" customWidth="1"/>
  </cols>
  <sheetData>
    <row r="1" spans="2:27" ht="21" x14ac:dyDescent="0.4">
      <c r="S1" s="8" t="s">
        <v>116</v>
      </c>
    </row>
    <row r="2" spans="2:27" x14ac:dyDescent="0.3">
      <c r="B2" t="s">
        <v>97</v>
      </c>
      <c r="J2" s="24" t="s">
        <v>203</v>
      </c>
      <c r="U2" s="40" t="s">
        <v>117</v>
      </c>
      <c r="V2" s="40" t="s">
        <v>118</v>
      </c>
      <c r="W2" s="40" t="s">
        <v>41</v>
      </c>
      <c r="X2" s="40" t="s">
        <v>119</v>
      </c>
      <c r="Y2" s="40" t="s">
        <v>121</v>
      </c>
      <c r="Z2" s="40" t="s">
        <v>122</v>
      </c>
      <c r="AA2" t="s">
        <v>120</v>
      </c>
    </row>
    <row r="3" spans="2:27" x14ac:dyDescent="0.3">
      <c r="T3" s="44" t="s">
        <v>123</v>
      </c>
      <c r="U3" s="40"/>
      <c r="V3" s="40"/>
      <c r="W3" s="40"/>
      <c r="X3" s="40"/>
      <c r="Y3" s="40"/>
      <c r="Z3" s="40"/>
    </row>
    <row r="4" spans="2:27" x14ac:dyDescent="0.3">
      <c r="J4" s="58" t="s">
        <v>204</v>
      </c>
      <c r="T4" s="10" t="s">
        <v>124</v>
      </c>
      <c r="U4" s="51" t="s">
        <v>128</v>
      </c>
      <c r="V4" s="51"/>
      <c r="W4" s="51"/>
      <c r="X4" s="51"/>
      <c r="Y4" s="51"/>
      <c r="Z4" s="51"/>
    </row>
    <row r="5" spans="2:27" x14ac:dyDescent="0.3">
      <c r="K5" t="s">
        <v>205</v>
      </c>
      <c r="T5" t="s">
        <v>126</v>
      </c>
    </row>
    <row r="6" spans="2:27" x14ac:dyDescent="0.3">
      <c r="K6" s="24" t="s">
        <v>107</v>
      </c>
    </row>
    <row r="7" spans="2:27" x14ac:dyDescent="0.3">
      <c r="J7" t="s">
        <v>206</v>
      </c>
    </row>
    <row r="8" spans="2:27" x14ac:dyDescent="0.3">
      <c r="K8" t="s">
        <v>108</v>
      </c>
    </row>
    <row r="10" spans="2:27" x14ac:dyDescent="0.3">
      <c r="B10" t="s">
        <v>101</v>
      </c>
      <c r="J10" s="58" t="s">
        <v>207</v>
      </c>
      <c r="M10" t="s">
        <v>208</v>
      </c>
      <c r="Q10" t="s">
        <v>159</v>
      </c>
    </row>
    <row r="11" spans="2:27" x14ac:dyDescent="0.3">
      <c r="C11" t="s">
        <v>98</v>
      </c>
    </row>
    <row r="12" spans="2:27" x14ac:dyDescent="0.3">
      <c r="C12" t="s">
        <v>99</v>
      </c>
    </row>
    <row r="13" spans="2:27" x14ac:dyDescent="0.3">
      <c r="B13" s="24" t="s">
        <v>100</v>
      </c>
    </row>
    <row r="14" spans="2:27" x14ac:dyDescent="0.3">
      <c r="C14" t="s">
        <v>102</v>
      </c>
      <c r="R14" s="52"/>
    </row>
    <row r="17" spans="2:17" x14ac:dyDescent="0.3">
      <c r="J17" t="s">
        <v>210</v>
      </c>
    </row>
    <row r="18" spans="2:17" x14ac:dyDescent="0.3">
      <c r="B18" t="s">
        <v>104</v>
      </c>
      <c r="D18" t="s">
        <v>103</v>
      </c>
      <c r="J18" t="s">
        <v>209</v>
      </c>
    </row>
    <row r="19" spans="2:17" x14ac:dyDescent="0.3">
      <c r="B19" t="s">
        <v>105</v>
      </c>
      <c r="J19" s="24" t="s">
        <v>211</v>
      </c>
      <c r="M19" t="s">
        <v>212</v>
      </c>
    </row>
    <row r="20" spans="2:17" x14ac:dyDescent="0.3">
      <c r="C20" t="s">
        <v>106</v>
      </c>
      <c r="K20" t="s">
        <v>213</v>
      </c>
    </row>
    <row r="21" spans="2:17" x14ac:dyDescent="0.3">
      <c r="B21" s="24" t="s">
        <v>127</v>
      </c>
      <c r="K21" t="s">
        <v>110</v>
      </c>
    </row>
    <row r="23" spans="2:17" x14ac:dyDescent="0.3">
      <c r="J23" s="24" t="s">
        <v>92</v>
      </c>
      <c r="K23" t="s">
        <v>111</v>
      </c>
      <c r="Q23" t="s">
        <v>113</v>
      </c>
    </row>
    <row r="24" spans="2:17" x14ac:dyDescent="0.3">
      <c r="K24" t="s">
        <v>112</v>
      </c>
      <c r="M24" t="s">
        <v>214</v>
      </c>
    </row>
    <row r="25" spans="2:17" x14ac:dyDescent="0.3">
      <c r="M25" t="s">
        <v>115</v>
      </c>
    </row>
    <row r="26" spans="2:17" x14ac:dyDescent="0.3">
      <c r="M26" t="s">
        <v>114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EF109-6244-44A6-8913-53A44194650A}">
  <dimension ref="B1:X65"/>
  <sheetViews>
    <sheetView tabSelected="1" topLeftCell="I39" zoomScale="85" zoomScaleNormal="85" workbookViewId="0">
      <selection activeCell="AG20" sqref="AG20"/>
    </sheetView>
  </sheetViews>
  <sheetFormatPr defaultRowHeight="14.4" x14ac:dyDescent="0.3"/>
  <cols>
    <col min="9" max="9" width="10.33203125" customWidth="1"/>
  </cols>
  <sheetData>
    <row r="1" spans="2:24" ht="21" x14ac:dyDescent="0.4">
      <c r="B1" s="8" t="s">
        <v>129</v>
      </c>
      <c r="M1" s="8" t="s">
        <v>218</v>
      </c>
      <c r="W1" s="8" t="s">
        <v>125</v>
      </c>
    </row>
    <row r="2" spans="2:24" x14ac:dyDescent="0.3">
      <c r="X2" t="s">
        <v>135</v>
      </c>
    </row>
    <row r="3" spans="2:24" x14ac:dyDescent="0.3">
      <c r="B3" s="58" t="s">
        <v>215</v>
      </c>
      <c r="M3" t="s">
        <v>219</v>
      </c>
      <c r="X3" t="s">
        <v>136</v>
      </c>
    </row>
    <row r="5" spans="2:24" x14ac:dyDescent="0.3">
      <c r="F5" t="s">
        <v>216</v>
      </c>
      <c r="M5" t="s">
        <v>220</v>
      </c>
      <c r="O5" t="s">
        <v>221</v>
      </c>
      <c r="X5" t="s">
        <v>138</v>
      </c>
    </row>
    <row r="6" spans="2:24" x14ac:dyDescent="0.3">
      <c r="N6" s="26" t="s">
        <v>131</v>
      </c>
    </row>
    <row r="7" spans="2:24" x14ac:dyDescent="0.3">
      <c r="M7" s="26" t="s">
        <v>222</v>
      </c>
      <c r="W7" s="24" t="s">
        <v>139</v>
      </c>
    </row>
    <row r="8" spans="2:24" x14ac:dyDescent="0.3">
      <c r="W8" t="s">
        <v>140</v>
      </c>
    </row>
    <row r="9" spans="2:24" x14ac:dyDescent="0.3">
      <c r="B9" s="24" t="s">
        <v>217</v>
      </c>
      <c r="M9" s="24" t="s">
        <v>223</v>
      </c>
      <c r="O9" t="s">
        <v>132</v>
      </c>
      <c r="W9" s="24" t="s">
        <v>141</v>
      </c>
    </row>
    <row r="10" spans="2:24" x14ac:dyDescent="0.3">
      <c r="N10" t="s">
        <v>224</v>
      </c>
      <c r="X10" t="s">
        <v>142</v>
      </c>
    </row>
    <row r="11" spans="2:24" ht="15.6" x14ac:dyDescent="0.3">
      <c r="B11" s="59" t="s">
        <v>227</v>
      </c>
      <c r="M11" t="s">
        <v>133</v>
      </c>
      <c r="W11" s="24" t="s">
        <v>143</v>
      </c>
    </row>
    <row r="12" spans="2:24" x14ac:dyDescent="0.3">
      <c r="B12" t="s">
        <v>228</v>
      </c>
      <c r="N12" s="24" t="s">
        <v>137</v>
      </c>
      <c r="X12" t="s">
        <v>144</v>
      </c>
    </row>
    <row r="13" spans="2:24" x14ac:dyDescent="0.3">
      <c r="C13" t="s">
        <v>229</v>
      </c>
      <c r="M13" t="s">
        <v>134</v>
      </c>
      <c r="W13" s="24" t="s">
        <v>145</v>
      </c>
    </row>
    <row r="14" spans="2:24" x14ac:dyDescent="0.3">
      <c r="C14" t="s">
        <v>230</v>
      </c>
      <c r="M14" t="s">
        <v>225</v>
      </c>
      <c r="X14" t="s">
        <v>146</v>
      </c>
    </row>
    <row r="16" spans="2:24" x14ac:dyDescent="0.3">
      <c r="W16" t="s">
        <v>226</v>
      </c>
    </row>
    <row r="19" spans="2:23" x14ac:dyDescent="0.3">
      <c r="W19" s="24" t="s">
        <v>147</v>
      </c>
    </row>
    <row r="21" spans="2:23" x14ac:dyDescent="0.3">
      <c r="B21" s="24" t="s">
        <v>231</v>
      </c>
      <c r="J21" t="s">
        <v>130</v>
      </c>
    </row>
    <row r="22" spans="2:23" x14ac:dyDescent="0.3">
      <c r="B22" s="58" t="s">
        <v>232</v>
      </c>
    </row>
    <row r="35" spans="21:22" x14ac:dyDescent="0.3">
      <c r="V35" s="24" t="s">
        <v>151</v>
      </c>
    </row>
    <row r="38" spans="21:22" x14ac:dyDescent="0.3">
      <c r="U38" t="s">
        <v>149</v>
      </c>
    </row>
    <row r="39" spans="21:22" x14ac:dyDescent="0.3">
      <c r="V39" t="s">
        <v>150</v>
      </c>
    </row>
    <row r="40" spans="21:22" x14ac:dyDescent="0.3">
      <c r="U40" t="s">
        <v>148</v>
      </c>
    </row>
    <row r="58" spans="21:21" x14ac:dyDescent="0.3">
      <c r="U58" s="24" t="s">
        <v>152</v>
      </c>
    </row>
    <row r="59" spans="21:21" x14ac:dyDescent="0.3">
      <c r="U59" t="s">
        <v>153</v>
      </c>
    </row>
    <row r="60" spans="21:21" x14ac:dyDescent="0.3">
      <c r="U60" t="s">
        <v>154</v>
      </c>
    </row>
    <row r="61" spans="21:21" x14ac:dyDescent="0.3">
      <c r="U61" t="s">
        <v>155</v>
      </c>
    </row>
    <row r="62" spans="21:21" x14ac:dyDescent="0.3">
      <c r="U62" t="s">
        <v>156</v>
      </c>
    </row>
    <row r="63" spans="21:21" x14ac:dyDescent="0.3">
      <c r="U63" t="s">
        <v>157</v>
      </c>
    </row>
    <row r="65" spans="21:21" x14ac:dyDescent="0.3">
      <c r="U65" t="s">
        <v>158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PV, FV, perpetuity, annuity </vt:lpstr>
      <vt:lpstr>APR, EAR, Bonds</vt:lpstr>
      <vt:lpstr>Investment criteria</vt:lpstr>
      <vt:lpstr>Free Cash Flow, Budgeting</vt:lpstr>
      <vt:lpstr>Risk&amp;Return, CAPM</vt:lpstr>
      <vt:lpstr>WACC, Cost of Capital</vt:lpstr>
      <vt:lpstr>FirmVal, Market 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Hanics Mihály</dc:creator>
  <cp:lastModifiedBy>Mihaly Hanics</cp:lastModifiedBy>
  <dcterms:created xsi:type="dcterms:W3CDTF">2015-06-05T18:17:20Z</dcterms:created>
  <dcterms:modified xsi:type="dcterms:W3CDTF">2024-11-12T03:04:09Z</dcterms:modified>
</cp:coreProperties>
</file>