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/>
  <bookViews>
    <workbookView xWindow="0" yWindow="0" windowWidth="28800" windowHeight="12255"/>
  </bookViews>
  <sheets>
    <sheet name="现金流量表" sheetId="1" r:id="rId1"/>
    <sheet name="人力资源预算" sheetId="4" r:id="rId2"/>
    <sheet name="办公空间" sheetId="3" r:id="rId3"/>
  </sheets>
  <definedNames>
    <definedName name="FiscalYearStartDate" localSheetId="1">人力资源预算!$B$4</definedName>
    <definedName name="FiscalYearStartDate">现金流量表!$B$4</definedName>
    <definedName name="_xlnm.Print_Area" localSheetId="1">人力资源预算!$A$1:$N$23</definedName>
    <definedName name="_xlnm.Print_Area" localSheetId="0">现金流量表!$A$1:$N$27</definedName>
  </definedNames>
  <calcPr calcId="171027"/>
</workbook>
</file>

<file path=xl/calcChain.xml><?xml version="1.0" encoding="utf-8"?>
<calcChain xmlns="http://schemas.openxmlformats.org/spreadsheetml/2006/main">
  <c r="F13" i="4" l="1"/>
  <c r="F28" i="4" s="1"/>
  <c r="E13" i="4"/>
  <c r="E28" i="4" s="1"/>
  <c r="D28" i="4"/>
  <c r="F26" i="4"/>
  <c r="G26" i="4"/>
  <c r="H26" i="4"/>
  <c r="I26" i="4"/>
  <c r="J26" i="4"/>
  <c r="L26" i="4"/>
  <c r="N26" i="4"/>
  <c r="P26" i="4"/>
  <c r="E26" i="4"/>
  <c r="P24" i="4"/>
  <c r="O24" i="4"/>
  <c r="O26" i="4" s="1"/>
  <c r="N24" i="4"/>
  <c r="M24" i="4"/>
  <c r="M26" i="4" s="1"/>
  <c r="L24" i="4"/>
  <c r="K24" i="4"/>
  <c r="K26" i="4" s="1"/>
  <c r="J24" i="4"/>
  <c r="I24" i="4"/>
  <c r="H24" i="4"/>
  <c r="G24" i="4"/>
  <c r="F24" i="4"/>
  <c r="E24" i="4"/>
  <c r="P11" i="4"/>
  <c r="P13" i="4" s="1"/>
  <c r="O11" i="4"/>
  <c r="O13" i="4" s="1"/>
  <c r="N11" i="4"/>
  <c r="N13" i="4" s="1"/>
  <c r="N28" i="4" s="1"/>
  <c r="M11" i="4"/>
  <c r="M13" i="4" s="1"/>
  <c r="L11" i="4"/>
  <c r="L13" i="4" s="1"/>
  <c r="K11" i="4"/>
  <c r="K13" i="4" s="1"/>
  <c r="J11" i="4"/>
  <c r="J13" i="4" s="1"/>
  <c r="I11" i="4"/>
  <c r="I13" i="4" s="1"/>
  <c r="I28" i="4" s="1"/>
  <c r="H11" i="4"/>
  <c r="H13" i="4" s="1"/>
  <c r="H28" i="4" s="1"/>
  <c r="G11" i="4"/>
  <c r="G13" i="4" s="1"/>
  <c r="F11" i="4"/>
  <c r="E11" i="4"/>
  <c r="D11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P3" i="4"/>
  <c r="O3" i="4"/>
  <c r="N3" i="4"/>
  <c r="M3" i="4"/>
  <c r="L3" i="4"/>
  <c r="K3" i="4"/>
  <c r="J3" i="4"/>
  <c r="I3" i="4"/>
  <c r="H3" i="4"/>
  <c r="G3" i="4"/>
  <c r="F3" i="4"/>
  <c r="E3" i="4"/>
  <c r="M28" i="4" l="1"/>
  <c r="L28" i="4"/>
  <c r="J28" i="4"/>
  <c r="P28" i="4"/>
  <c r="O28" i="4"/>
  <c r="R26" i="4"/>
  <c r="K28" i="4"/>
  <c r="R13" i="4"/>
  <c r="G28" i="4"/>
  <c r="P3" i="1"/>
  <c r="O3" i="1"/>
  <c r="N3" i="1"/>
  <c r="M3" i="1"/>
  <c r="L3" i="1"/>
  <c r="K3" i="1"/>
  <c r="J3" i="1"/>
  <c r="I3" i="1"/>
  <c r="H3" i="1"/>
  <c r="G3" i="1"/>
  <c r="F3" i="1"/>
  <c r="E3" i="1"/>
  <c r="R28" i="4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E4" i="1"/>
  <c r="F4" i="1" s="1"/>
  <c r="G4" i="1" l="1"/>
  <c r="H4" i="1" s="1"/>
  <c r="I4" i="1" s="1"/>
  <c r="J4" i="1" s="1"/>
  <c r="K4" i="1" s="1"/>
  <c r="L4" i="1" s="1"/>
  <c r="M4" i="1" s="1"/>
  <c r="N4" i="1" s="1"/>
  <c r="O4" i="1" s="1"/>
  <c r="P4" i="1" s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P30" i="1"/>
  <c r="P31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I30" i="1"/>
  <c r="I31" i="1" s="1"/>
  <c r="H30" i="1"/>
  <c r="H31" i="1" s="1"/>
  <c r="G30" i="1"/>
  <c r="G31" i="1" s="1"/>
  <c r="F30" i="1"/>
  <c r="F31" i="1" s="1"/>
  <c r="E30" i="1"/>
  <c r="E31" i="1" s="1"/>
  <c r="D30" i="1"/>
  <c r="R16" i="1"/>
  <c r="D13" i="1"/>
  <c r="R9" i="1"/>
  <c r="R10" i="1"/>
  <c r="R11" i="1"/>
  <c r="R12" i="1" l="1"/>
  <c r="E6" i="1"/>
  <c r="E13" i="1" s="1"/>
  <c r="E33" i="1" s="1"/>
  <c r="F6" i="1" s="1"/>
  <c r="F13" i="1" s="1"/>
  <c r="F33" i="1" s="1"/>
  <c r="G6" i="1" s="1"/>
  <c r="G13" i="1" s="1"/>
  <c r="G33" i="1" s="1"/>
  <c r="H6" i="1" s="1"/>
  <c r="H13" i="1" s="1"/>
  <c r="H33" i="1" s="1"/>
  <c r="I6" i="1" s="1"/>
  <c r="I13" i="1" s="1"/>
  <c r="I33" i="1" s="1"/>
  <c r="J6" i="1" s="1"/>
  <c r="J13" i="1" s="1"/>
  <c r="J33" i="1" s="1"/>
  <c r="K6" i="1" s="1"/>
  <c r="K13" i="1" s="1"/>
  <c r="K33" i="1" s="1"/>
  <c r="L6" i="1" s="1"/>
  <c r="L13" i="1" s="1"/>
  <c r="L33" i="1" s="1"/>
  <c r="M6" i="1" s="1"/>
  <c r="M13" i="1" s="1"/>
  <c r="M33" i="1" s="1"/>
  <c r="N6" i="1" s="1"/>
  <c r="N13" i="1" s="1"/>
  <c r="N33" i="1" s="1"/>
  <c r="O6" i="1" s="1"/>
  <c r="O13" i="1" s="1"/>
  <c r="O33" i="1" s="1"/>
  <c r="P6" i="1" s="1"/>
  <c r="R31" i="1"/>
  <c r="R30" i="1"/>
  <c r="P13" i="1" l="1"/>
  <c r="P33" i="1" s="1"/>
  <c r="R6" i="1"/>
  <c r="R13" i="1" s="1"/>
  <c r="R33" i="1" s="1"/>
</calcChain>
</file>

<file path=xl/sharedStrings.xml><?xml version="1.0" encoding="utf-8"?>
<sst xmlns="http://schemas.openxmlformats.org/spreadsheetml/2006/main" count="64" uniqueCount="54">
  <si>
    <t>EST</t>
  </si>
  <si>
    <t>现金销售</t>
  </si>
  <si>
    <t>贷款/其他现金投入</t>
  </si>
  <si>
    <t>总计</t>
    <phoneticPr fontId="7" type="noConversion"/>
  </si>
  <si>
    <t>外包服务</t>
  </si>
  <si>
    <t>与经营活动有关的费用 (含办公室租金)</t>
  </si>
  <si>
    <t>汽车，运输及差旅费用</t>
  </si>
  <si>
    <t>财务及法务费用</t>
  </si>
  <si>
    <t>保险费</t>
  </si>
  <si>
    <t>税款（房地产等）</t>
  </si>
  <si>
    <t>其他费用（请指定）</t>
  </si>
  <si>
    <t>杂项</t>
  </si>
  <si>
    <t>其他启动费用</t>
  </si>
  <si>
    <t>（预）启动</t>
    <phoneticPr fontId="7" type="noConversion"/>
  </si>
  <si>
    <t xml:space="preserve"> </t>
    <phoneticPr fontId="7" type="noConversion"/>
  </si>
  <si>
    <t>项目 EST</t>
    <phoneticPr fontId="7" type="noConversion"/>
  </si>
  <si>
    <t>会计年度起始于:</t>
    <phoneticPr fontId="7" type="noConversion"/>
  </si>
  <si>
    <t>投资方资金投入</t>
  </si>
  <si>
    <t>广告销售费</t>
  </si>
  <si>
    <t>Plarn现金流量预算</t>
  </si>
  <si>
    <t>研发活动经费（与哈佛联合实验室等）</t>
  </si>
  <si>
    <t>库存现金 (月初)单</t>
  </si>
  <si>
    <t xml:space="preserve">总计 </t>
  </si>
  <si>
    <r>
      <rPr>
        <b/>
        <sz val="11"/>
        <color theme="1" tint="0.14975432599871821"/>
        <rFont val="Microsoft YaHei UI"/>
        <family val="2"/>
      </rPr>
      <t>现金收入</t>
    </r>
    <r>
      <rPr>
        <sz val="11"/>
        <color theme="1" tint="0.14975432599871821"/>
        <rFont val="Microsoft YaHei UI"/>
        <family val="2"/>
        <charset val="134"/>
      </rPr>
      <t>（单位/万元）</t>
    </r>
  </si>
  <si>
    <r>
      <rPr>
        <b/>
        <sz val="11"/>
        <color theme="1" tint="0.14975432599871821"/>
        <rFont val="Microsoft YaHei UI"/>
        <family val="2"/>
      </rPr>
      <t>现金支付</t>
    </r>
    <r>
      <rPr>
        <sz val="11"/>
        <color theme="1" tint="0.14975432599871821"/>
        <rFont val="Microsoft YaHei UI"/>
        <family val="2"/>
        <charset val="134"/>
      </rPr>
      <t xml:space="preserve"> （单位/万元）</t>
    </r>
  </si>
  <si>
    <t>总可用现金（现金支出前）</t>
  </si>
  <si>
    <t>现金头寸 (月末)</t>
  </si>
  <si>
    <t>总现金支付</t>
  </si>
  <si>
    <t>国内：</t>
  </si>
  <si>
    <t>武汉</t>
  </si>
  <si>
    <t>国外：</t>
  </si>
  <si>
    <t>Boston</t>
  </si>
  <si>
    <t>Plarn人力资源估算</t>
  </si>
  <si>
    <t>销售</t>
  </si>
  <si>
    <t>运营</t>
  </si>
  <si>
    <t>市场</t>
  </si>
  <si>
    <t>行政</t>
  </si>
  <si>
    <t>人事</t>
  </si>
  <si>
    <t>财务</t>
  </si>
  <si>
    <t>产品设计</t>
  </si>
  <si>
    <t>产品技术支持</t>
  </si>
  <si>
    <t>产品研发</t>
  </si>
  <si>
    <r>
      <rPr>
        <b/>
        <sz val="11"/>
        <color theme="1" tint="0.14975432599871821"/>
        <rFont val="Microsoft YaHei UI"/>
        <family val="2"/>
      </rPr>
      <t>美国人力资源配置</t>
    </r>
    <r>
      <rPr>
        <sz val="11"/>
        <color theme="1" tint="0.14975432599871821"/>
        <rFont val="Microsoft YaHei UI"/>
        <family val="2"/>
        <charset val="134"/>
      </rPr>
      <t>（人数）</t>
    </r>
  </si>
  <si>
    <r>
      <rPr>
        <b/>
        <sz val="11"/>
        <color theme="1" tint="0.14975432599871821"/>
        <rFont val="Microsoft YaHei UI"/>
        <family val="2"/>
      </rPr>
      <t>中国人力资源配置</t>
    </r>
    <r>
      <rPr>
        <sz val="11"/>
        <color theme="1" tint="0.14975432599871821"/>
        <rFont val="Microsoft YaHei UI"/>
        <family val="2"/>
        <charset val="134"/>
      </rPr>
      <t xml:space="preserve"> （人数）</t>
    </r>
  </si>
  <si>
    <t>年度起始于:</t>
  </si>
  <si>
    <t>总计人数</t>
  </si>
  <si>
    <t>人均成本 （万元）</t>
  </si>
  <si>
    <t>总人力成本 (月末)</t>
  </si>
  <si>
    <t>总现金支出（现金支出前）</t>
  </si>
  <si>
    <t>总现金支出</t>
  </si>
  <si>
    <t xml:space="preserve">22 </t>
  </si>
  <si>
    <t xml:space="preserve">56 </t>
  </si>
  <si>
    <t>云、数据库服务器等技术服务</t>
  </si>
  <si>
    <t>总工资支出（具体提款）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</si>
</sst>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m"/>
    <numFmt numFmtId="165" formatCode="dd"/>
    <numFmt numFmtId="166" formatCode="0_);\!\-0_)"/>
    <numFmt numFmtId="167" formatCode="0.0_);\(0.0\)"/>
  </numFmts>
  <fonts count="22">
    <font>
      <sz val="10"/>
      <color theme="1" tint="0.14996795556505021"/>
      <name val="Franklin Gothic Medium"/>
      <family val="2"/>
      <scheme val="minor"/>
    </font>
    <font>
      <sz val="10"/>
      <color theme="1" tint="0.14999847407452621"/>
      <name val="Franklin Gothic Medium"/>
      <family val="2"/>
      <scheme val="minor"/>
    </font>
    <font>
      <b/>
      <sz val="28"/>
      <color theme="4"/>
      <name val="Franklin Gothic Medium"/>
      <family val="2"/>
      <scheme val="major"/>
    </font>
    <font>
      <sz val="18"/>
      <color theme="1" tint="0.14996795556505021"/>
      <name val="Franklin Gothic Medium"/>
      <family val="2"/>
      <scheme val="major"/>
    </font>
    <font>
      <sz val="11"/>
      <color theme="1" tint="0.14975432599871821"/>
      <name val="Franklin Gothic Medium"/>
      <family val="2"/>
      <scheme val="major"/>
    </font>
    <font>
      <sz val="12"/>
      <color theme="3"/>
      <name val="Franklin Gothic Medium"/>
      <family val="2"/>
      <scheme val="major"/>
    </font>
    <font>
      <sz val="11"/>
      <color theme="1" tint="0.14993743705557422"/>
      <name val="Franklin Gothic Medium"/>
      <family val="2"/>
      <scheme val="major"/>
    </font>
    <font>
      <sz val="9"/>
      <name val="Franklin Gothic Medium"/>
      <family val="3"/>
      <charset val="134"/>
      <scheme val="minor"/>
    </font>
    <font>
      <b/>
      <sz val="28"/>
      <color theme="4"/>
      <name val="Microsoft YaHei UI"/>
      <family val="2"/>
      <charset val="134"/>
    </font>
    <font>
      <sz val="10"/>
      <color theme="1" tint="0.14996795556505021"/>
      <name val="Microsoft YaHei UI"/>
      <family val="2"/>
      <charset val="134"/>
    </font>
    <font>
      <b/>
      <sz val="11"/>
      <color theme="4" tint="-0.249977111117893"/>
      <name val="Microsoft YaHei UI"/>
      <family val="2"/>
      <charset val="134"/>
    </font>
    <font>
      <b/>
      <sz val="14"/>
      <color theme="1" tint="0.14975432599871821"/>
      <name val="Microsoft YaHei UI"/>
      <family val="2"/>
      <charset val="134"/>
    </font>
    <font>
      <sz val="9"/>
      <color theme="1" tint="0.14999847407452621"/>
      <name val="Microsoft YaHei UI"/>
      <family val="2"/>
      <charset val="134"/>
    </font>
    <font>
      <sz val="18"/>
      <color theme="1" tint="0.14996795556505021"/>
      <name val="Microsoft YaHei UI"/>
      <family val="2"/>
      <charset val="134"/>
    </font>
    <font>
      <b/>
      <sz val="12"/>
      <color theme="1" tint="0.14999847407452621"/>
      <name val="Microsoft YaHei UI"/>
      <family val="2"/>
      <charset val="134"/>
    </font>
    <font>
      <sz val="10"/>
      <color theme="1" tint="0.14999847407452621"/>
      <name val="Microsoft YaHei UI"/>
      <family val="2"/>
      <charset val="134"/>
    </font>
    <font>
      <b/>
      <sz val="11"/>
      <color theme="1" tint="0.14975432599871821"/>
      <name val="Microsoft YaHei UI"/>
      <family val="2"/>
      <charset val="134"/>
    </font>
    <font>
      <sz val="11"/>
      <color theme="1" tint="0.14975432599871821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b/>
      <sz val="11"/>
      <color theme="1" tint="0.14975432599871821"/>
      <name val="Microsoft YaHei UI"/>
      <family val="2"/>
    </font>
    <font>
      <sz val="11"/>
      <color theme="1" tint="0.14975432599871821"/>
      <name val="Microsoft YaHei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theme="1" tint="0.14996795556505021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/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/>
      </top>
      <bottom style="thin">
        <color theme="0"/>
      </bottom>
      <diagonal/>
    </border>
    <border>
      <left style="dotted">
        <color theme="0" tint="-0.34998626667073579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/>
      <bottom style="medium">
        <color theme="4" tint="0.39994506668294322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6" fontId="1" fillId="3" borderId="10" applyFont="0" applyAlignment="0">
      <alignment vertical="center"/>
    </xf>
    <xf numFmtId="164" fontId="3" fillId="0" borderId="2">
      <alignment horizontal="right" vertical="center" wrapText="1" indent="1"/>
    </xf>
  </cellStyleXfs>
  <cellXfs count="64">
    <xf numFmtId="0" fontId="0" fillId="0" borderId="0" xfId="0">
      <alignment vertical="center"/>
    </xf>
    <xf numFmtId="0" fontId="8" fillId="0" borderId="1" xfId="1" applyFont="1" applyBorder="1"/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right"/>
    </xf>
    <xf numFmtId="0" fontId="9" fillId="0" borderId="0" xfId="0" applyFont="1">
      <alignment vertical="center"/>
    </xf>
    <xf numFmtId="0" fontId="9" fillId="2" borderId="9" xfId="0" applyFont="1" applyFill="1" applyBorder="1">
      <alignment vertical="center"/>
    </xf>
    <xf numFmtId="0" fontId="11" fillId="0" borderId="0" xfId="2" applyFont="1"/>
    <xf numFmtId="3" fontId="12" fillId="0" borderId="2" xfId="0" applyNumberFormat="1" applyFont="1" applyFill="1" applyBorder="1" applyAlignment="1">
      <alignment horizontal="right" wrapText="1" indent="1"/>
    </xf>
    <xf numFmtId="164" fontId="13" fillId="0" borderId="2" xfId="6" applyFont="1">
      <alignment horizontal="right" vertical="center" wrapText="1" indent="1"/>
    </xf>
    <xf numFmtId="164" fontId="14" fillId="2" borderId="7" xfId="0" applyNumberFormat="1" applyFont="1" applyFill="1" applyBorder="1" applyAlignment="1">
      <alignment horizontal="right" vertical="center" wrapText="1" indent="1"/>
    </xf>
    <xf numFmtId="3" fontId="14" fillId="0" borderId="2" xfId="0" applyNumberFormat="1" applyFont="1" applyFill="1" applyBorder="1" applyAlignment="1">
      <alignment horizontal="right" vertical="center" wrapText="1" indent="1"/>
    </xf>
    <xf numFmtId="0" fontId="9" fillId="0" borderId="0" xfId="0" applyFont="1" applyFill="1" applyBorder="1">
      <alignment vertical="center"/>
    </xf>
    <xf numFmtId="14" fontId="15" fillId="0" borderId="0" xfId="0" applyNumberFormat="1" applyFont="1" applyBorder="1" applyAlignment="1">
      <alignment horizontal="left" vertical="center" indent="1"/>
    </xf>
    <xf numFmtId="3" fontId="15" fillId="0" borderId="3" xfId="0" applyNumberFormat="1" applyFont="1" applyFill="1" applyBorder="1" applyAlignment="1">
      <alignment horizontal="right" wrapText="1" indent="1"/>
    </xf>
    <xf numFmtId="165" fontId="15" fillId="0" borderId="3" xfId="0" applyNumberFormat="1" applyFont="1" applyFill="1" applyBorder="1" applyAlignment="1">
      <alignment horizontal="right" wrapText="1" indent="1"/>
    </xf>
    <xf numFmtId="165" fontId="12" fillId="2" borderId="7" xfId="0" applyNumberFormat="1" applyFont="1" applyFill="1" applyBorder="1" applyAlignment="1">
      <alignment horizontal="right" wrapText="1" indent="1"/>
    </xf>
    <xf numFmtId="3" fontId="15" fillId="0" borderId="0" xfId="0" applyNumberFormat="1" applyFont="1" applyFill="1" applyBorder="1" applyAlignment="1">
      <alignment horizontal="right" wrapText="1" indent="1"/>
    </xf>
    <xf numFmtId="165" fontId="12" fillId="0" borderId="0" xfId="0" applyNumberFormat="1" applyFont="1" applyFill="1" applyBorder="1" applyAlignment="1">
      <alignment horizontal="right" wrapText="1" indent="1"/>
    </xf>
    <xf numFmtId="165" fontId="12" fillId="2" borderId="6" xfId="0" applyNumberFormat="1" applyFont="1" applyFill="1" applyBorder="1" applyAlignment="1">
      <alignment horizontal="right" wrapText="1" indent="1"/>
    </xf>
    <xf numFmtId="3" fontId="12" fillId="0" borderId="0" xfId="0" applyNumberFormat="1" applyFont="1" applyFill="1" applyBorder="1" applyAlignment="1">
      <alignment horizontal="right" wrapText="1" indent="1"/>
    </xf>
    <xf numFmtId="166" fontId="16" fillId="0" borderId="11" xfId="2" applyNumberFormat="1" applyFont="1" applyFill="1" applyBorder="1" applyAlignment="1">
      <alignment horizontal="left" vertical="center"/>
    </xf>
    <xf numFmtId="166" fontId="15" fillId="0" borderId="10" xfId="0" applyNumberFormat="1" applyFont="1" applyFill="1" applyBorder="1" applyAlignment="1">
      <alignment horizontal="right" vertical="center"/>
    </xf>
    <xf numFmtId="166" fontId="15" fillId="2" borderId="7" xfId="0" applyNumberFormat="1" applyFont="1" applyFill="1" applyBorder="1" applyAlignment="1">
      <alignment horizontal="right"/>
    </xf>
    <xf numFmtId="0" fontId="10" fillId="0" borderId="10" xfId="0" applyFont="1" applyFill="1" applyBorder="1">
      <alignment vertical="center"/>
    </xf>
    <xf numFmtId="0" fontId="9" fillId="2" borderId="6" xfId="0" applyFont="1" applyFill="1" applyBorder="1">
      <alignment vertical="center"/>
    </xf>
    <xf numFmtId="166" fontId="18" fillId="0" borderId="0" xfId="0" applyNumberFormat="1" applyFont="1" applyAlignment="1">
      <alignment horizontal="left" vertical="center" indent="1"/>
    </xf>
    <xf numFmtId="166" fontId="9" fillId="0" borderId="0" xfId="0" applyNumberFormat="1" applyFont="1" applyAlignment="1">
      <alignment horizontal="right" vertical="center"/>
    </xf>
    <xf numFmtId="166" fontId="9" fillId="2" borderId="6" xfId="0" applyNumberFormat="1" applyFont="1" applyFill="1" applyBorder="1">
      <alignment vertical="center"/>
    </xf>
    <xf numFmtId="166" fontId="9" fillId="0" borderId="0" xfId="0" applyNumberFormat="1" applyFont="1">
      <alignment vertical="center"/>
    </xf>
    <xf numFmtId="0" fontId="9" fillId="2" borderId="5" xfId="0" applyFont="1" applyFill="1" applyBorder="1">
      <alignment vertical="center"/>
    </xf>
    <xf numFmtId="166" fontId="19" fillId="0" borderId="0" xfId="0" applyNumberFormat="1" applyFont="1" applyAlignment="1">
      <alignment horizontal="left" vertical="center" indent="1"/>
    </xf>
    <xf numFmtId="0" fontId="9" fillId="2" borderId="4" xfId="0" applyFont="1" applyFill="1" applyBorder="1">
      <alignment vertical="center"/>
    </xf>
    <xf numFmtId="166" fontId="17" fillId="3" borderId="11" xfId="2" applyNumberFormat="1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166" fontId="15" fillId="3" borderId="10" xfId="5" applyFont="1" applyAlignment="1">
      <alignment vertical="center"/>
    </xf>
    <xf numFmtId="166" fontId="15" fillId="2" borderId="8" xfId="0" applyNumberFormat="1" applyFont="1" applyFill="1" applyBorder="1" applyAlignment="1">
      <alignment vertical="center"/>
    </xf>
    <xf numFmtId="0" fontId="9" fillId="0" borderId="10" xfId="0" applyFont="1" applyBorder="1">
      <alignment vertical="center"/>
    </xf>
    <xf numFmtId="0" fontId="18" fillId="0" borderId="0" xfId="0" applyFont="1" applyFill="1" applyBorder="1" applyAlignment="1">
      <alignment horizontal="left" vertical="center" indent="1"/>
    </xf>
    <xf numFmtId="166" fontId="9" fillId="0" borderId="0" xfId="0" applyNumberFormat="1" applyFont="1" applyFill="1" applyBorder="1" applyAlignment="1">
      <alignment horizontal="right" vertical="center"/>
    </xf>
    <xf numFmtId="3" fontId="9" fillId="2" borderId="6" xfId="0" applyNumberFormat="1" applyFont="1" applyFill="1" applyBorder="1">
      <alignment vertical="center"/>
    </xf>
    <xf numFmtId="166" fontId="9" fillId="0" borderId="0" xfId="0" applyNumberFormat="1" applyFont="1" applyFill="1" applyBorder="1">
      <alignment vertical="center"/>
    </xf>
    <xf numFmtId="3" fontId="9" fillId="0" borderId="0" xfId="0" applyNumberFormat="1" applyFont="1" applyFill="1" applyBorder="1">
      <alignment vertical="center"/>
    </xf>
    <xf numFmtId="0" fontId="9" fillId="0" borderId="0" xfId="0" applyFont="1" applyFill="1" applyBorder="1" applyAlignment="1">
      <alignment horizontal="left" vertical="center" indent="1"/>
    </xf>
    <xf numFmtId="166" fontId="9" fillId="0" borderId="0" xfId="0" applyNumberFormat="1" applyFont="1" applyFill="1" applyBorder="1" applyAlignment="1">
      <alignment vertical="center"/>
    </xf>
    <xf numFmtId="166" fontId="9" fillId="2" borderId="6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66" fontId="15" fillId="3" borderId="10" xfId="5" applyFont="1" applyBorder="1" applyAlignment="1">
      <alignment vertical="center"/>
    </xf>
    <xf numFmtId="0" fontId="10" fillId="0" borderId="11" xfId="0" applyFont="1" applyFill="1" applyBorder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166" fontId="18" fillId="0" borderId="12" xfId="0" applyNumberFormat="1" applyFont="1" applyBorder="1" applyAlignment="1">
      <alignment horizontal="left" vertical="center" indent="1"/>
    </xf>
    <xf numFmtId="166" fontId="18" fillId="0" borderId="13" xfId="0" applyNumberFormat="1" applyFont="1" applyBorder="1" applyAlignment="1">
      <alignment horizontal="right" vertical="center"/>
    </xf>
    <xf numFmtId="0" fontId="18" fillId="0" borderId="12" xfId="0" applyFont="1" applyBorder="1" applyAlignment="1">
      <alignment horizontal="left" vertical="center" indent="1"/>
    </xf>
    <xf numFmtId="0" fontId="21" fillId="0" borderId="0" xfId="2" applyFont="1" applyAlignment="1">
      <alignment vertical="center"/>
    </xf>
    <xf numFmtId="0" fontId="21" fillId="0" borderId="0" xfId="2" applyFont="1" applyAlignment="1">
      <alignment horizontal="left"/>
    </xf>
    <xf numFmtId="166" fontId="20" fillId="3" borderId="11" xfId="2" applyNumberFormat="1" applyFont="1" applyFill="1" applyBorder="1" applyAlignment="1">
      <alignment horizontal="left" vertical="center"/>
    </xf>
    <xf numFmtId="0" fontId="18" fillId="0" borderId="0" xfId="0" applyFont="1" applyFill="1" applyAlignment="1">
      <alignment horizontal="left" vertical="center" indent="1"/>
    </xf>
    <xf numFmtId="0" fontId="9" fillId="2" borderId="0" xfId="0" applyFont="1" applyFill="1" applyBorder="1">
      <alignment vertical="center"/>
    </xf>
    <xf numFmtId="166" fontId="9" fillId="2" borderId="0" xfId="0" applyNumberFormat="1" applyFont="1" applyFill="1" applyBorder="1" applyAlignment="1">
      <alignment vertical="center"/>
    </xf>
    <xf numFmtId="167" fontId="18" fillId="0" borderId="13" xfId="0" applyNumberFormat="1" applyFont="1" applyBorder="1" applyAlignment="1">
      <alignment horizontal="right" vertical="center"/>
    </xf>
    <xf numFmtId="167" fontId="9" fillId="0" borderId="0" xfId="0" applyNumberFormat="1" applyFont="1" applyFill="1" applyBorder="1" applyAlignment="1">
      <alignment horizontal="right" vertical="center"/>
    </xf>
    <xf numFmtId="167" fontId="9" fillId="0" borderId="0" xfId="0" applyNumberFormat="1" applyFont="1" applyFill="1" applyBorder="1" applyAlignment="1">
      <alignment vertical="center"/>
    </xf>
    <xf numFmtId="2" fontId="9" fillId="0" borderId="0" xfId="0" applyNumberFormat="1" applyFont="1" applyFill="1" applyBorder="1" applyAlignment="1">
      <alignment horizontal="right" vertical="center"/>
    </xf>
    <xf numFmtId="167" fontId="15" fillId="3" borderId="10" xfId="5" applyNumberFormat="1" applyFont="1" applyAlignment="1">
      <alignment vertical="center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Month" xfId="6"/>
    <cellStyle name="Normal" xfId="0" builtinId="0" customBuiltin="1"/>
    <cellStyle name="Title" xfId="1" builtinId="15" customBuiltin="1"/>
    <cellStyle name="Totals" xfId="5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7" formatCode="0.0_);\(0.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family val="2"/>
        <charset val="134"/>
        <scheme val="none"/>
      </font>
      <numFmt numFmtId="166" formatCode="0_);\!\-0_)"/>
      <alignment horizontal="left" vertical="center" textRotation="0" wrapText="0" indent="1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7" formatCode="0.0_);\(0.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family val="2"/>
        <charset val="134"/>
        <scheme val="none"/>
      </font>
      <numFmt numFmtId="166" formatCode="0_);\!\-0_)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numFmt numFmtId="166" formatCode="0_);\!\-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499984740745262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scheme val="none"/>
      </font>
      <numFmt numFmtId="3" formatCode="#,##0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Microsoft YaHei UI"/>
        <scheme val="none"/>
      </font>
      <numFmt numFmtId="166" formatCode="0_);\!\-0_)"/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6795556505021"/>
        <name val="Microsoft YaHei UI"/>
        <scheme val="none"/>
      </font>
      <numFmt numFmtId="3" formatCode="#,##0"/>
      <fill>
        <patternFill patternType="none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66" formatCode="0_);\!\-0_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499984740745262"/>
        <name val="Microsoft YaHei UI"/>
        <scheme val="none"/>
      </font>
      <numFmt numFmtId="166" formatCode="0_);\!\-0_)"/>
      <alignment horizontal="left" vertical="center" textRotation="0" wrapText="0" indent="1" justifyLastLine="0" shrinkToFit="0" readingOrder="0"/>
    </dxf>
    <dxf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ill>
        <patternFill patternType="none">
          <bgColor auto="1"/>
        </patternFill>
      </fill>
      <border>
        <vertical/>
        <horizontal/>
      </border>
    </dxf>
    <dxf>
      <font>
        <color theme="1" tint="0.14996795556505021"/>
      </font>
    </dxf>
    <dxf>
      <border diagonalUp="0" diagonalDown="0">
        <left style="dotted">
          <color theme="0" tint="-0.34998626667073579"/>
        </left>
        <right style="dotted">
          <color theme="0" tint="-0.34998626667073579"/>
        </right>
        <top style="thin">
          <color theme="0" tint="-0.34998626667073579"/>
        </top>
        <bottom style="dotted">
          <color theme="0" tint="-0.34998626667073579"/>
        </bottom>
        <vertical/>
        <horizontal/>
      </border>
    </dxf>
    <dxf>
      <font>
        <b val="0"/>
        <i val="0"/>
        <color theme="1" tint="0.34998626667073579"/>
      </font>
    </dxf>
    <dxf>
      <font>
        <b val="0"/>
        <i val="0"/>
        <color theme="1" tint="0.14996795556505021"/>
      </font>
      <fill>
        <patternFill patternType="solid">
          <bgColor theme="4" tint="0.79998168889431442"/>
        </patternFill>
      </fill>
      <border>
        <top/>
        <bottom style="medium">
          <color theme="4" tint="0.39994506668294322"/>
        </bottom>
      </border>
    </dxf>
    <dxf>
      <font>
        <b val="0"/>
        <i val="0"/>
        <color theme="1" tint="0.14996795556505021"/>
      </font>
    </dxf>
    <dxf>
      <font>
        <color theme="1" tint="0.499984740745262"/>
      </font>
      <border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dotted">
          <color theme="0" tint="-0.34998626667073579"/>
        </vertical>
        <horizontal style="thin">
          <color theme="0" tint="-0.34998626667073579"/>
        </horizontal>
      </border>
    </dxf>
  </dxfs>
  <tableStyles count="1" defaultTableStyle="Cash Receipts" defaultPivotStyle="PivotStyleLight16">
    <tableStyle name="Cash Receipts" pivot="0" count="7">
      <tableStyleElement type="wholeTable" dxfId="175"/>
      <tableStyleElement type="headerRow" dxfId="174"/>
      <tableStyleElement type="totalRow" dxfId="173"/>
      <tableStyleElement type="firstColumn" dxfId="172"/>
      <tableStyleElement type="lastColumn" dxfId="171"/>
      <tableStyleElement type="firstTotalCell" dxfId="170"/>
      <tableStyleElement type="lastTotalCell" dxfId="1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CashReceipts" displayName="CashReceipts" ref="B9:S12" headerRowCount="0" totalsRowCount="1" headerRowDxfId="168" dataDxfId="167" totalsRowDxfId="166">
  <tableColumns count="18">
    <tableColumn id="1" name="Items" totalsRowLabel="总计 " headerRowDxfId="165" dataDxfId="164" totalsRowDxfId="35"/>
    <tableColumn id="17" name="Column2" headerRowDxfId="163" dataDxfId="162" totalsRowDxfId="34"/>
    <tableColumn id="2" name="Period 0" totalsRowFunction="sum" dataDxfId="161" totalsRowDxfId="33"/>
    <tableColumn id="3" name="Period 1" totalsRowFunction="sum" dataDxfId="160" totalsRowDxfId="32"/>
    <tableColumn id="4" name="Period 2" totalsRowFunction="sum" dataDxfId="159" totalsRowDxfId="31"/>
    <tableColumn id="5" name="Period 3" totalsRowFunction="sum" dataDxfId="158" totalsRowDxfId="30"/>
    <tableColumn id="6" name="Period 4" totalsRowFunction="sum" dataDxfId="157" totalsRowDxfId="29"/>
    <tableColumn id="7" name="Period 5" totalsRowFunction="sum" dataDxfId="156" totalsRowDxfId="28"/>
    <tableColumn id="8" name="Period 6" totalsRowFunction="sum" dataDxfId="155" totalsRowDxfId="27"/>
    <tableColumn id="9" name="Period 7" totalsRowFunction="sum" dataDxfId="154" totalsRowDxfId="26"/>
    <tableColumn id="10" name="Period 8" totalsRowFunction="sum" dataDxfId="153" totalsRowDxfId="25"/>
    <tableColumn id="11" name="Period 9" totalsRowFunction="sum" dataDxfId="152" totalsRowDxfId="24"/>
    <tableColumn id="12" name="Period 10" totalsRowFunction="sum" dataDxfId="151" totalsRowDxfId="23"/>
    <tableColumn id="13" name="Period 11" totalsRowFunction="sum" dataDxfId="150" totalsRowDxfId="22"/>
    <tableColumn id="14" name="Period 12" totalsRowFunction="sum" dataDxfId="149" totalsRowDxfId="21"/>
    <tableColumn id="18" name="Column3" dataDxfId="148" totalsRowDxfId="20"/>
    <tableColumn id="15" name="Total" totalsRowFunction="sum" dataDxfId="147" totalsRowDxfId="19">
      <calculatedColumnFormula>SUM(CashReceipts[[#This Row],[Period 0]:[Period 12]])</calculatedColumnFormula>
    </tableColumn>
    <tableColumn id="16" name="Column1" dataDxfId="146" totalsRowDxfId="18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现金收入" altTextSummary="从财务年度的第一个月开始进行的 12 个月现金收入及总计。"/>
    </ext>
  </extLst>
</table>
</file>

<file path=xl/tables/table2.xml><?xml version="1.0" encoding="utf-8"?>
<table xmlns="http://schemas.openxmlformats.org/spreadsheetml/2006/main" id="2" name="CashPaidOut" displayName="CashPaidOut" ref="B16:S30" headerRowCount="0" totalsRowCount="1" headerRowDxfId="145" dataDxfId="144" totalsRowDxfId="143">
  <tableColumns count="18">
    <tableColumn id="1" name="Items" totalsRowLabel="总计" headerRowDxfId="142" dataDxfId="141" totalsRowDxfId="17"/>
    <tableColumn id="17" name="Column2" headerRowDxfId="140" dataDxfId="139" totalsRowDxfId="16"/>
    <tableColumn id="2" name="Period 0" totalsRowFunction="sum" dataDxfId="138" totalsRowDxfId="15"/>
    <tableColumn id="3" name="Period 1" totalsRowFunction="sum" dataDxfId="52" totalsRowDxfId="14"/>
    <tableColumn id="4" name="Period 2" totalsRowFunction="sum" dataDxfId="51" totalsRowDxfId="13"/>
    <tableColumn id="5" name="Period 3" totalsRowFunction="sum" dataDxfId="50" totalsRowDxfId="12"/>
    <tableColumn id="6" name="Period 4" totalsRowFunction="sum" dataDxfId="49" totalsRowDxfId="11"/>
    <tableColumn id="7" name="Period 5" totalsRowFunction="sum" dataDxfId="48" totalsRowDxfId="10"/>
    <tableColumn id="8" name="Period 6" totalsRowFunction="sum" dataDxfId="47" totalsRowDxfId="9"/>
    <tableColumn id="9" name="Period 7" totalsRowFunction="sum" dataDxfId="46" totalsRowDxfId="8"/>
    <tableColumn id="10" name="Period 8" totalsRowFunction="sum" dataDxfId="45" totalsRowDxfId="7"/>
    <tableColumn id="11" name="Period 9" totalsRowFunction="sum" dataDxfId="44" totalsRowDxfId="6"/>
    <tableColumn id="12" name="Period 10" totalsRowFunction="sum" dataDxfId="43" totalsRowDxfId="5"/>
    <tableColumn id="13" name="Period 11" totalsRowFunction="sum" dataDxfId="42" totalsRowDxfId="4"/>
    <tableColumn id="14" name="Period 12" totalsRowFunction="sum" dataDxfId="41" totalsRowDxfId="3"/>
    <tableColumn id="18" name="Column3" dataDxfId="137" totalsRowDxfId="2"/>
    <tableColumn id="15" name="Total" totalsRowFunction="sum" dataDxfId="136" totalsRowDxfId="1">
      <calculatedColumnFormula>SUM(CashPaidOut[[#This Row],[Period 0]:[Period 12]])</calculatedColumnFormula>
    </tableColumn>
    <tableColumn id="16" name="Column1" dataDxfId="135" totalsRowDxfId="0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金支付" altTextSummary="从财务年度的第一个月开始进行的 12 个月现金支付及总计"/>
    </ext>
  </extLst>
</table>
</file>

<file path=xl/tables/table3.xml><?xml version="1.0" encoding="utf-8"?>
<table xmlns="http://schemas.openxmlformats.org/spreadsheetml/2006/main" id="3" name="CashReceipts4" displayName="CashReceipts4" ref="B8:S11" headerRowCount="0" totalsRowCount="1" headerRowDxfId="134" dataDxfId="133" totalsRowDxfId="132">
  <tableColumns count="18">
    <tableColumn id="1" name="Items" totalsRowLabel="总计人数" headerRowDxfId="131" dataDxfId="130" totalsRowDxfId="70"/>
    <tableColumn id="17" name="Column2" headerRowDxfId="129" dataDxfId="128" totalsRowDxfId="69"/>
    <tableColumn id="2" name="Period 0" totalsRowFunction="sum" dataDxfId="127" totalsRowDxfId="68"/>
    <tableColumn id="3" name="Period 1" totalsRowFunction="sum" dataDxfId="126" totalsRowDxfId="67"/>
    <tableColumn id="4" name="Period 2" totalsRowFunction="sum" dataDxfId="125" totalsRowDxfId="66"/>
    <tableColumn id="5" name="Period 3" totalsRowFunction="sum" dataDxfId="124" totalsRowDxfId="65"/>
    <tableColumn id="6" name="Period 4" totalsRowFunction="sum" dataDxfId="123" totalsRowDxfId="64"/>
    <tableColumn id="7" name="Period 5" totalsRowFunction="sum" dataDxfId="122" totalsRowDxfId="63"/>
    <tableColumn id="8" name="Period 6" totalsRowFunction="sum" dataDxfId="121" totalsRowDxfId="62"/>
    <tableColumn id="9" name="Period 7" totalsRowFunction="sum" dataDxfId="120" totalsRowDxfId="61"/>
    <tableColumn id="10" name="Period 8" totalsRowFunction="sum" dataDxfId="119" totalsRowDxfId="60"/>
    <tableColumn id="11" name="Period 9" totalsRowFunction="sum" dataDxfId="118" totalsRowDxfId="59"/>
    <tableColumn id="12" name="Period 10" totalsRowFunction="sum" dataDxfId="117" totalsRowDxfId="58"/>
    <tableColumn id="13" name="Period 11" totalsRowFunction="sum" dataDxfId="116" totalsRowDxfId="57"/>
    <tableColumn id="14" name="Period 12" totalsRowFunction="sum" dataDxfId="115" totalsRowDxfId="56"/>
    <tableColumn id="18" name="Column3" dataDxfId="114" totalsRowDxfId="55"/>
    <tableColumn id="15" name="Total" totalsRowLabel="22 " dataDxfId="113" totalsRowDxfId="54">
      <calculatedColumnFormula>SUM(CashReceipts4[[#This Row],[Period 0]:[Period 12]])</calculatedColumnFormula>
    </tableColumn>
    <tableColumn id="16" name="Column1" dataDxfId="112" totalsRowDxfId="53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现金收入" altTextSummary="从财务年度的第一个月开始进行的 12 个月现金收入及总计。"/>
    </ext>
  </extLst>
</table>
</file>

<file path=xl/tables/table4.xml><?xml version="1.0" encoding="utf-8"?>
<table xmlns="http://schemas.openxmlformats.org/spreadsheetml/2006/main" id="4" name="CashPaidOut5" displayName="CashPaidOut5" ref="B16:S24" headerRowCount="0" totalsRowCount="1" headerRowDxfId="111" dataDxfId="110" totalsRowDxfId="109">
  <tableColumns count="18">
    <tableColumn id="1" name="Items" totalsRowLabel="总计人数" headerRowDxfId="108" dataDxfId="89" totalsRowDxfId="88"/>
    <tableColumn id="17" name="Column2" headerRowDxfId="107" dataDxfId="106" totalsRowDxfId="87"/>
    <tableColumn id="2" name="Period 0" dataDxfId="105" totalsRowDxfId="86"/>
    <tableColumn id="3" name="Period 1" totalsRowFunction="sum" dataDxfId="104" totalsRowDxfId="85"/>
    <tableColumn id="4" name="Period 2" totalsRowFunction="sum" dataDxfId="103" totalsRowDxfId="84"/>
    <tableColumn id="5" name="Period 3" totalsRowFunction="sum" dataDxfId="102" totalsRowDxfId="83"/>
    <tableColumn id="6" name="Period 4" totalsRowFunction="sum" dataDxfId="101" totalsRowDxfId="82"/>
    <tableColumn id="7" name="Period 5" totalsRowFunction="sum" dataDxfId="100" totalsRowDxfId="81"/>
    <tableColumn id="8" name="Period 6" totalsRowFunction="sum" dataDxfId="99" totalsRowDxfId="80"/>
    <tableColumn id="9" name="Period 7" totalsRowFunction="sum" dataDxfId="98" totalsRowDxfId="79"/>
    <tableColumn id="10" name="Period 8" totalsRowFunction="sum" dataDxfId="97" totalsRowDxfId="78"/>
    <tableColumn id="11" name="Period 9" totalsRowFunction="sum" dataDxfId="96" totalsRowDxfId="77"/>
    <tableColumn id="12" name="Period 10" totalsRowFunction="sum" dataDxfId="95" totalsRowDxfId="76"/>
    <tableColumn id="13" name="Period 11" totalsRowFunction="sum" dataDxfId="94" totalsRowDxfId="75"/>
    <tableColumn id="14" name="Period 12" totalsRowFunction="sum" dataDxfId="93" totalsRowDxfId="74"/>
    <tableColumn id="18" name="Column3" dataDxfId="92" totalsRowDxfId="73"/>
    <tableColumn id="15" name="Total" totalsRowLabel="56 " dataDxfId="91" totalsRowDxfId="71">
      <calculatedColumnFormula>SUM(CashPaidOut5[[#This Row],[Period 0]:[Period 12]])</calculatedColumnFormula>
    </tableColumn>
    <tableColumn id="16" name="Column1" dataDxfId="90" totalsRowDxfId="72"/>
  </tableColumns>
  <tableStyleInfo name="Cash Receipts" showFirstColumn="1" showLastColumn="1" showRowStripes="0" showColumnStripes="0"/>
  <extLst>
    <ext xmlns:x14="http://schemas.microsoft.com/office/spreadsheetml/2009/9/main" uri="{504A1905-F514-4f6f-8877-14C23A59335A}">
      <x14:table altText="金支付" altTextSummary="从财务年度的第一个月开始进行的 12 个月现金支付及总计"/>
    </ext>
  </extLst>
</table>
</file>

<file path=xl/theme/theme1.xml><?xml version="1.0" encoding="utf-8"?>
<a:theme xmlns:a="http://schemas.openxmlformats.org/drawingml/2006/main" name="Office Theme">
  <a:themeElements>
    <a:clrScheme name="Cash Flow Statement">
      <a:dk1>
        <a:sysClr val="windowText" lastClr="000000"/>
      </a:dk1>
      <a:lt1>
        <a:sysClr val="window" lastClr="FFFFFF"/>
      </a:lt1>
      <a:dk2>
        <a:srgbClr val="313F55"/>
      </a:dk2>
      <a:lt2>
        <a:srgbClr val="F2F2F2"/>
      </a:lt2>
      <a:accent1>
        <a:srgbClr val="308DA2"/>
      </a:accent1>
      <a:accent2>
        <a:srgbClr val="EB7A20"/>
      </a:accent2>
      <a:accent3>
        <a:srgbClr val="009D00"/>
      </a:accent3>
      <a:accent4>
        <a:srgbClr val="9D4CA4"/>
      </a:accent4>
      <a:accent5>
        <a:srgbClr val="FFC000"/>
      </a:accent5>
      <a:accent6>
        <a:srgbClr val="DC3220"/>
      </a:accent6>
      <a:hlink>
        <a:srgbClr val="1AA2B5"/>
      </a:hlink>
      <a:folHlink>
        <a:srgbClr val="9D4CA4"/>
      </a:folHlink>
    </a:clrScheme>
    <a:fontScheme name="Cash Flow Statement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S33"/>
  <sheetViews>
    <sheetView showGridLines="0" tabSelected="1" zoomScaleNormal="100" workbookViewId="0">
      <pane ySplit="4" topLeftCell="A5" activePane="bottomLeft" state="frozen"/>
      <selection pane="bottomLeft" activeCell="G23" sqref="G23"/>
    </sheetView>
  </sheetViews>
  <sheetFormatPr defaultRowHeight="17.25" customHeight="1"/>
  <cols>
    <col min="1" max="1" width="2.25" style="4" customWidth="1"/>
    <col min="2" max="2" width="32.625" style="4" customWidth="1"/>
    <col min="3" max="3" width="2.875" style="4" customWidth="1"/>
    <col min="4" max="4" width="9.375" style="4" customWidth="1"/>
    <col min="5" max="16" width="9.625" style="4" customWidth="1"/>
    <col min="17" max="17" width="2.875" style="4" customWidth="1"/>
    <col min="18" max="16384" width="9" style="4"/>
  </cols>
  <sheetData>
    <row r="1" spans="2:19" ht="42" customHeight="1" thickBot="1">
      <c r="B1" s="1" t="s">
        <v>19</v>
      </c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19" ht="22.5" customHeight="1" thickTop="1">
      <c r="Q2" s="5"/>
    </row>
    <row r="3" spans="2:19" ht="25.5" customHeight="1">
      <c r="B3" s="6" t="s">
        <v>16</v>
      </c>
      <c r="D3" s="7" t="s">
        <v>13</v>
      </c>
      <c r="E3" s="8" t="str">
        <f>UPPER(TEXT(FiscalYearStartDate,"M 月"))</f>
        <v>9 月</v>
      </c>
      <c r="F3" s="8" t="str">
        <f>UPPER(TEXT(EOMONTH(FiscalYearStartDate,1),"M 月"))</f>
        <v>10 月</v>
      </c>
      <c r="G3" s="8" t="str">
        <f>UPPER(TEXT(EOMONTH(FiscalYearStartDate,2),"M 月"))</f>
        <v>11 月</v>
      </c>
      <c r="H3" s="8" t="str">
        <f>UPPER(TEXT(EOMONTH(FiscalYearStartDate,3),"M 月"))</f>
        <v>12 月</v>
      </c>
      <c r="I3" s="8" t="str">
        <f>UPPER(TEXT(EOMONTH(FiscalYearStartDate,4),"M 月"))</f>
        <v>1 月</v>
      </c>
      <c r="J3" s="8" t="str">
        <f>UPPER(TEXT(EOMONTH(FiscalYearStartDate,5),"M 月"))</f>
        <v>2 月</v>
      </c>
      <c r="K3" s="8" t="str">
        <f>UPPER(TEXT(EOMONTH(FiscalYearStartDate,6),"M 月"))</f>
        <v>3 月</v>
      </c>
      <c r="L3" s="8" t="str">
        <f>UPPER(TEXT(EOMONTH(FiscalYearStartDate,7),"M 月"))</f>
        <v>4 月</v>
      </c>
      <c r="M3" s="8" t="str">
        <f>UPPER(TEXT(EOMONTH(FiscalYearStartDate,8),"M 月"))</f>
        <v>5 月</v>
      </c>
      <c r="N3" s="8" t="str">
        <f>UPPER(TEXT(EOMONTH(FiscalYearStartDate,9),"M 月"))</f>
        <v>6 月</v>
      </c>
      <c r="O3" s="8" t="str">
        <f>UPPER(TEXT(EOMONTH(FiscalYearStartDate,10),"M 月"))</f>
        <v>7 月</v>
      </c>
      <c r="P3" s="8" t="str">
        <f>UPPER(TEXT(EOMONTH(FiscalYearStartDate,11),"M 月"))</f>
        <v>8 月</v>
      </c>
      <c r="Q3" s="9"/>
      <c r="R3" s="10" t="s">
        <v>3</v>
      </c>
      <c r="S3" s="11"/>
    </row>
    <row r="4" spans="2:19" ht="12.75" customHeight="1" thickBot="1">
      <c r="B4" s="12">
        <v>43360</v>
      </c>
      <c r="D4" s="13" t="s">
        <v>0</v>
      </c>
      <c r="E4" s="14">
        <f>FiscalYearStartDate</f>
        <v>43360</v>
      </c>
      <c r="F4" s="14">
        <f t="shared" ref="F4" si="0">EOMONTH(E4,0)+DAY(FiscalYearStartDate)</f>
        <v>43390</v>
      </c>
      <c r="G4" s="14">
        <f t="shared" ref="G4" si="1">EOMONTH(F4,0)+DAY(FiscalYearStartDate)</f>
        <v>43421</v>
      </c>
      <c r="H4" s="14">
        <f t="shared" ref="H4" si="2">EOMONTH(G4,0)+DAY(FiscalYearStartDate)</f>
        <v>43451</v>
      </c>
      <c r="I4" s="14">
        <f t="shared" ref="I4" si="3">EOMONTH(H4,0)+DAY(FiscalYearStartDate)</f>
        <v>43482</v>
      </c>
      <c r="J4" s="14">
        <f t="shared" ref="J4" si="4">EOMONTH(I4,0)+DAY(FiscalYearStartDate)</f>
        <v>43513</v>
      </c>
      <c r="K4" s="14">
        <f t="shared" ref="K4" si="5">EOMONTH(J4,0)+DAY(FiscalYearStartDate)</f>
        <v>43541</v>
      </c>
      <c r="L4" s="14">
        <f t="shared" ref="L4" si="6">EOMONTH(K4,0)+DAY(FiscalYearStartDate)</f>
        <v>43572</v>
      </c>
      <c r="M4" s="14">
        <f t="shared" ref="M4" si="7">EOMONTH(L4,0)+DAY(FiscalYearStartDate)</f>
        <v>43602</v>
      </c>
      <c r="N4" s="14">
        <f t="shared" ref="N4" si="8">EOMONTH(M4,0)+DAY(FiscalYearStartDate)</f>
        <v>43633</v>
      </c>
      <c r="O4" s="14">
        <f t="shared" ref="O4" si="9">EOMONTH(N4,0)+DAY(FiscalYearStartDate)</f>
        <v>43663</v>
      </c>
      <c r="P4" s="14">
        <f t="shared" ref="P4" si="10">EOMONTH(O4,0)+DAY(FiscalYearStartDate)</f>
        <v>43694</v>
      </c>
      <c r="Q4" s="15"/>
      <c r="R4" s="7" t="s">
        <v>15</v>
      </c>
      <c r="S4" s="11"/>
    </row>
    <row r="5" spans="2:19" ht="17.25" customHeight="1" thickTop="1">
      <c r="B5" s="12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  <c r="R5" s="19"/>
      <c r="S5" s="11"/>
    </row>
    <row r="6" spans="2:19" ht="17.25" customHeight="1" thickBot="1">
      <c r="B6" s="20" t="s">
        <v>21</v>
      </c>
      <c r="D6" s="21">
        <v>100</v>
      </c>
      <c r="E6" s="21">
        <f>D33</f>
        <v>30</v>
      </c>
      <c r="F6" s="21">
        <f t="shared" ref="F6:P6" si="11">E33</f>
        <v>54.43</v>
      </c>
      <c r="G6" s="21">
        <f t="shared" si="11"/>
        <v>68.36</v>
      </c>
      <c r="H6" s="21">
        <f t="shared" si="11"/>
        <v>-38.909999999999997</v>
      </c>
      <c r="I6" s="21">
        <f t="shared" si="11"/>
        <v>-79.28</v>
      </c>
      <c r="J6" s="21">
        <f t="shared" si="11"/>
        <v>-125.73</v>
      </c>
      <c r="K6" s="21">
        <f t="shared" si="11"/>
        <v>-183.58</v>
      </c>
      <c r="L6" s="21">
        <f t="shared" si="11"/>
        <v>-267.73</v>
      </c>
      <c r="M6" s="21">
        <f t="shared" si="11"/>
        <v>-362.18000000000006</v>
      </c>
      <c r="N6" s="21">
        <f t="shared" si="11"/>
        <v>-450.58000000000004</v>
      </c>
      <c r="O6" s="21">
        <f t="shared" si="11"/>
        <v>-580.19000000000005</v>
      </c>
      <c r="P6" s="21">
        <f t="shared" si="11"/>
        <v>-724.7</v>
      </c>
      <c r="Q6" s="22"/>
      <c r="R6" s="21">
        <f>P6</f>
        <v>-724.7</v>
      </c>
      <c r="S6" s="23"/>
    </row>
    <row r="7" spans="2:19" ht="17.25" customHeight="1">
      <c r="Q7" s="24"/>
    </row>
    <row r="8" spans="2:19" ht="17.25" customHeight="1">
      <c r="B8" s="53" t="s">
        <v>23</v>
      </c>
      <c r="Q8" s="24"/>
    </row>
    <row r="9" spans="2:19" ht="17.25" customHeight="1">
      <c r="B9" s="25" t="s">
        <v>1</v>
      </c>
      <c r="C9" s="24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8">
        <f>SUM(CashReceipts[[#This Row],[Period 0]:[Period 12]])</f>
        <v>0</v>
      </c>
    </row>
    <row r="10" spans="2:19" ht="17.25" customHeight="1">
      <c r="B10" s="25" t="s">
        <v>17</v>
      </c>
      <c r="C10" s="24"/>
      <c r="D10" s="26">
        <v>30</v>
      </c>
      <c r="E10" s="26">
        <v>50</v>
      </c>
      <c r="F10" s="26">
        <v>50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7"/>
      <c r="R10" s="28">
        <f>SUM(CashReceipts[[#This Row],[Period 0]:[Period 12]])</f>
        <v>130</v>
      </c>
    </row>
    <row r="11" spans="2:19" ht="17.25" customHeight="1">
      <c r="B11" s="25" t="s">
        <v>2</v>
      </c>
      <c r="C11" s="29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7"/>
      <c r="R11" s="28">
        <f>SUM(CashReceipts[[#This Row],[Period 0]:[Period 12]])</f>
        <v>0</v>
      </c>
    </row>
    <row r="12" spans="2:19" ht="17.25" customHeight="1" thickBot="1">
      <c r="B12" s="30" t="s">
        <v>22</v>
      </c>
      <c r="C12" s="31"/>
      <c r="D12" s="28">
        <f>SUBTOTAL(109,CashReceipts[Period 0])</f>
        <v>30</v>
      </c>
      <c r="E12" s="28">
        <f>SUBTOTAL(109,CashReceipts[Period 1])</f>
        <v>50</v>
      </c>
      <c r="F12" s="28">
        <f>SUBTOTAL(109,CashReceipts[Period 2])</f>
        <v>50</v>
      </c>
      <c r="G12" s="28">
        <f>SUBTOTAL(109,CashReceipts[Period 3])</f>
        <v>0</v>
      </c>
      <c r="H12" s="28">
        <f>SUBTOTAL(109,CashReceipts[Period 4])</f>
        <v>0</v>
      </c>
      <c r="I12" s="28">
        <f>SUBTOTAL(109,CashReceipts[Period 5])</f>
        <v>0</v>
      </c>
      <c r="J12" s="28">
        <f>SUBTOTAL(109,CashReceipts[Period 6])</f>
        <v>0</v>
      </c>
      <c r="K12" s="28">
        <f>SUBTOTAL(109,CashReceipts[Period 7])</f>
        <v>0</v>
      </c>
      <c r="L12" s="28">
        <f>SUBTOTAL(109,CashReceipts[Period 8])</f>
        <v>0</v>
      </c>
      <c r="M12" s="28">
        <f>SUBTOTAL(109,CashReceipts[Period 9])</f>
        <v>0</v>
      </c>
      <c r="N12" s="28">
        <f>SUBTOTAL(109,CashReceipts[Period 10])</f>
        <v>0</v>
      </c>
      <c r="O12" s="28">
        <f>SUBTOTAL(109,CashReceipts[Period 11])</f>
        <v>0</v>
      </c>
      <c r="P12" s="28">
        <f>SUBTOTAL(109,CashReceipts[Period 12])</f>
        <v>0</v>
      </c>
      <c r="Q12" s="27"/>
      <c r="R12" s="28">
        <f>SUBTOTAL(109,CashReceipts[Total])</f>
        <v>130</v>
      </c>
    </row>
    <row r="13" spans="2:19" ht="17.25" customHeight="1" thickTop="1" thickBot="1">
      <c r="B13" s="55" t="s">
        <v>25</v>
      </c>
      <c r="C13" s="33"/>
      <c r="D13" s="34">
        <f>D6+SUM(CashReceipts[Period 0])</f>
        <v>130</v>
      </c>
      <c r="E13" s="34">
        <f>E6+SUM(CashReceipts[Period 1])</f>
        <v>80</v>
      </c>
      <c r="F13" s="34">
        <f>F6+SUM(CashReceipts[Period 2])</f>
        <v>104.43</v>
      </c>
      <c r="G13" s="34">
        <f>G6+SUM(CashReceipts[Period 3])</f>
        <v>68.36</v>
      </c>
      <c r="H13" s="34">
        <f>H6+SUM(CashReceipts[Period 4])</f>
        <v>-38.909999999999997</v>
      </c>
      <c r="I13" s="34">
        <f>I6+SUM(CashReceipts[Period 5])</f>
        <v>-79.28</v>
      </c>
      <c r="J13" s="34">
        <f>J6+SUM(CashReceipts[Period 6])</f>
        <v>-125.73</v>
      </c>
      <c r="K13" s="34">
        <f>K6+SUM(CashReceipts[Period 7])</f>
        <v>-183.58</v>
      </c>
      <c r="L13" s="34">
        <f>L6+SUM(CashReceipts[Period 8])</f>
        <v>-267.73</v>
      </c>
      <c r="M13" s="34">
        <f>M6+SUM(CashReceipts[Period 9])</f>
        <v>-362.18000000000006</v>
      </c>
      <c r="N13" s="34">
        <f>N6+SUM(CashReceipts[Period 10])</f>
        <v>-450.58000000000004</v>
      </c>
      <c r="O13" s="34">
        <f>O6+SUM(CashReceipts[Period 11])</f>
        <v>-580.19000000000005</v>
      </c>
      <c r="P13" s="34">
        <f>P6+SUM(CashReceipts[Period 12])</f>
        <v>-724.7</v>
      </c>
      <c r="Q13" s="35"/>
      <c r="R13" s="34">
        <f>R6+SUM(CashReceipts[Total])</f>
        <v>-594.70000000000005</v>
      </c>
      <c r="S13" s="36"/>
    </row>
    <row r="14" spans="2:19" ht="17.25" customHeight="1"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2:19" ht="17.25" customHeight="1">
      <c r="B15" s="54" t="s">
        <v>24</v>
      </c>
      <c r="C15" s="24"/>
      <c r="Q15" s="24"/>
    </row>
    <row r="16" spans="2:19" ht="17.25" customHeight="1">
      <c r="B16" s="37" t="s">
        <v>52</v>
      </c>
      <c r="C16" s="24"/>
      <c r="D16" s="62"/>
      <c r="E16" s="62">
        <v>7.0000000000000007E-2</v>
      </c>
      <c r="F16" s="62">
        <v>7.0000000000000007E-2</v>
      </c>
      <c r="G16" s="62">
        <v>7.0000000000000007E-2</v>
      </c>
      <c r="H16" s="62">
        <v>7.0000000000000007E-2</v>
      </c>
      <c r="I16" s="62">
        <v>0.15</v>
      </c>
      <c r="J16" s="62">
        <v>0.15</v>
      </c>
      <c r="K16" s="62">
        <v>0.15</v>
      </c>
      <c r="L16" s="62">
        <v>0.15</v>
      </c>
      <c r="M16" s="62">
        <v>0.6</v>
      </c>
      <c r="N16" s="62">
        <v>0.61</v>
      </c>
      <c r="O16" s="62">
        <v>0.61</v>
      </c>
      <c r="P16" s="62">
        <v>0.61</v>
      </c>
      <c r="Q16" s="39"/>
      <c r="R16" s="40">
        <f>SUM(CashPaidOut[[#This Row],[Period 0]:[Period 12]])</f>
        <v>3.3099999999999996</v>
      </c>
      <c r="S16" s="41"/>
    </row>
    <row r="17" spans="2:19" ht="17.25" customHeight="1">
      <c r="B17" s="37" t="s">
        <v>20</v>
      </c>
      <c r="C17" s="24"/>
      <c r="D17" s="38"/>
      <c r="E17" s="60"/>
      <c r="F17" s="60"/>
      <c r="G17" s="60">
        <v>70</v>
      </c>
      <c r="H17" s="60"/>
      <c r="I17" s="60"/>
      <c r="J17" s="60"/>
      <c r="K17" s="60">
        <v>12</v>
      </c>
      <c r="L17" s="60">
        <v>12</v>
      </c>
      <c r="M17" s="60"/>
      <c r="N17" s="60"/>
      <c r="O17" s="60"/>
      <c r="P17" s="60"/>
      <c r="Q17" s="39"/>
      <c r="R17" s="40">
        <f>SUM(CashPaidOut[[#This Row],[Period 0]:[Period 12]])</f>
        <v>94</v>
      </c>
      <c r="S17" s="41"/>
    </row>
    <row r="18" spans="2:19" ht="17.25" customHeight="1">
      <c r="B18" s="37" t="s">
        <v>53</v>
      </c>
      <c r="C18" s="24"/>
      <c r="D18" s="38"/>
      <c r="E18" s="60">
        <v>20.8</v>
      </c>
      <c r="F18" s="60">
        <v>26.8</v>
      </c>
      <c r="G18" s="60">
        <v>28</v>
      </c>
      <c r="H18" s="60">
        <v>32.6</v>
      </c>
      <c r="I18" s="60">
        <v>38.6</v>
      </c>
      <c r="J18" s="60">
        <v>48</v>
      </c>
      <c r="K18" s="60">
        <v>61.6</v>
      </c>
      <c r="L18" s="60">
        <v>70.300000000000011</v>
      </c>
      <c r="M18" s="60">
        <v>76.800000000000011</v>
      </c>
      <c r="N18" s="60">
        <v>117</v>
      </c>
      <c r="O18" s="60">
        <v>130.5</v>
      </c>
      <c r="P18" s="60">
        <v>141</v>
      </c>
      <c r="Q18" s="39"/>
      <c r="R18" s="40">
        <f>SUM(CashPaidOut[[#This Row],[Period 0]:[Period 12]])</f>
        <v>792</v>
      </c>
      <c r="S18" s="41"/>
    </row>
    <row r="19" spans="2:19" ht="17.25" customHeight="1">
      <c r="B19" s="37" t="s">
        <v>4</v>
      </c>
      <c r="C19" s="24"/>
      <c r="D19" s="38"/>
      <c r="E19" s="60">
        <v>2</v>
      </c>
      <c r="F19" s="60">
        <v>6</v>
      </c>
      <c r="G19" s="60">
        <v>6</v>
      </c>
      <c r="H19" s="60">
        <v>4</v>
      </c>
      <c r="I19" s="60">
        <v>4</v>
      </c>
      <c r="J19" s="60">
        <v>4</v>
      </c>
      <c r="K19" s="60">
        <v>4</v>
      </c>
      <c r="L19" s="60">
        <v>4</v>
      </c>
      <c r="M19" s="60"/>
      <c r="N19" s="60"/>
      <c r="O19" s="60"/>
      <c r="P19" s="60"/>
      <c r="Q19" s="39"/>
      <c r="R19" s="40">
        <f>SUM(CashPaidOut[[#This Row],[Period 0]:[Period 12]])</f>
        <v>34</v>
      </c>
      <c r="S19" s="41"/>
    </row>
    <row r="20" spans="2:19" ht="17.25" customHeight="1">
      <c r="B20" s="37" t="s">
        <v>5</v>
      </c>
      <c r="C20" s="24"/>
      <c r="D20" s="38"/>
      <c r="E20" s="60">
        <v>1.7</v>
      </c>
      <c r="F20" s="60">
        <v>1.7</v>
      </c>
      <c r="G20" s="60">
        <v>1.7</v>
      </c>
      <c r="H20" s="60">
        <v>1.7</v>
      </c>
      <c r="I20" s="60">
        <v>1.7</v>
      </c>
      <c r="J20" s="60">
        <v>1.7</v>
      </c>
      <c r="K20" s="60">
        <v>2.4</v>
      </c>
      <c r="L20" s="60">
        <v>2.4</v>
      </c>
      <c r="M20" s="60">
        <v>2.4</v>
      </c>
      <c r="N20" s="60">
        <v>2.4</v>
      </c>
      <c r="O20" s="60">
        <v>2.4</v>
      </c>
      <c r="P20" s="60">
        <v>2.4</v>
      </c>
      <c r="Q20" s="39"/>
      <c r="R20" s="40">
        <f>SUM(CashPaidOut[[#This Row],[Period 0]:[Period 12]])</f>
        <v>24.599999999999994</v>
      </c>
      <c r="S20" s="41"/>
    </row>
    <row r="21" spans="2:19" ht="17.25" customHeight="1">
      <c r="B21" s="37" t="s">
        <v>18</v>
      </c>
      <c r="C21" s="24"/>
      <c r="D21" s="38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39"/>
      <c r="R21" s="40">
        <f>SUM(CashPaidOut[[#This Row],[Period 0]:[Period 12]])</f>
        <v>0</v>
      </c>
      <c r="S21" s="41"/>
    </row>
    <row r="22" spans="2:19" ht="17.25" customHeight="1">
      <c r="B22" s="37" t="s">
        <v>6</v>
      </c>
      <c r="C22" s="24"/>
      <c r="D22" s="38"/>
      <c r="E22" s="60">
        <v>1</v>
      </c>
      <c r="F22" s="60">
        <v>1.5</v>
      </c>
      <c r="G22" s="60">
        <v>1.5</v>
      </c>
      <c r="H22" s="60">
        <v>2</v>
      </c>
      <c r="I22" s="60">
        <v>2</v>
      </c>
      <c r="J22" s="60">
        <v>4</v>
      </c>
      <c r="K22" s="60">
        <v>4</v>
      </c>
      <c r="L22" s="60">
        <v>4</v>
      </c>
      <c r="M22" s="60">
        <v>7</v>
      </c>
      <c r="N22" s="60">
        <v>7</v>
      </c>
      <c r="O22" s="60">
        <v>7</v>
      </c>
      <c r="P22" s="60">
        <v>7</v>
      </c>
      <c r="Q22" s="39"/>
      <c r="R22" s="40">
        <f>SUM(CashPaidOut[[#This Row],[Period 0]:[Period 12]])</f>
        <v>48</v>
      </c>
      <c r="S22" s="41"/>
    </row>
    <row r="23" spans="2:19" ht="17.25" customHeight="1">
      <c r="B23" s="37" t="s">
        <v>7</v>
      </c>
      <c r="C23" s="24"/>
      <c r="D23" s="38"/>
      <c r="E23" s="60"/>
      <c r="F23" s="60"/>
      <c r="G23" s="60"/>
      <c r="H23" s="60"/>
      <c r="I23" s="60"/>
      <c r="J23" s="60"/>
      <c r="K23" s="60"/>
      <c r="L23" s="60">
        <v>0.6</v>
      </c>
      <c r="M23" s="60">
        <v>0.6</v>
      </c>
      <c r="N23" s="60">
        <v>0.6</v>
      </c>
      <c r="O23" s="60">
        <v>1</v>
      </c>
      <c r="P23" s="60">
        <v>1</v>
      </c>
      <c r="Q23" s="39"/>
      <c r="R23" s="40">
        <f>SUM(CashPaidOut[[#This Row],[Period 0]:[Period 12]])</f>
        <v>3.8</v>
      </c>
      <c r="S23" s="41"/>
    </row>
    <row r="24" spans="2:19" ht="17.25" customHeight="1">
      <c r="B24" s="37" t="s">
        <v>8</v>
      </c>
      <c r="C24" s="24"/>
      <c r="D24" s="38"/>
      <c r="E24" s="60"/>
      <c r="F24" s="60"/>
      <c r="G24" s="60"/>
      <c r="H24" s="60"/>
      <c r="I24" s="60"/>
      <c r="J24" s="60"/>
      <c r="K24" s="60"/>
      <c r="L24" s="60">
        <v>1</v>
      </c>
      <c r="M24" s="60">
        <v>1</v>
      </c>
      <c r="N24" s="60">
        <v>2</v>
      </c>
      <c r="O24" s="60">
        <v>3</v>
      </c>
      <c r="P24" s="60">
        <v>3</v>
      </c>
      <c r="Q24" s="39"/>
      <c r="R24" s="40">
        <f>SUM(CashPaidOut[[#This Row],[Period 0]:[Period 12]])</f>
        <v>10</v>
      </c>
      <c r="S24" s="41"/>
    </row>
    <row r="25" spans="2:19" ht="17.25" customHeight="1">
      <c r="B25" s="37" t="s">
        <v>9</v>
      </c>
      <c r="C25" s="24"/>
      <c r="D25" s="38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39"/>
      <c r="R25" s="40">
        <f>SUM(CashPaidOut[[#This Row],[Period 0]:[Period 12]])</f>
        <v>0</v>
      </c>
      <c r="S25" s="41"/>
    </row>
    <row r="26" spans="2:19" ht="17.25" customHeight="1">
      <c r="B26" s="37" t="s">
        <v>12</v>
      </c>
      <c r="C26" s="24"/>
      <c r="D26" s="38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 t="s">
        <v>14</v>
      </c>
      <c r="Q26" s="39"/>
      <c r="R26" s="40">
        <f>SUM(CashPaidOut[[#This Row],[Period 0]:[Period 12]])</f>
        <v>0</v>
      </c>
      <c r="S26" s="41"/>
    </row>
    <row r="27" spans="2:19" ht="17.25" customHeight="1">
      <c r="B27" s="37" t="s">
        <v>10</v>
      </c>
      <c r="C27" s="24"/>
      <c r="D27" s="38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39"/>
      <c r="R27" s="40">
        <f>SUM(CashPaidOut[[#This Row],[Period 0]:[Period 12]])</f>
        <v>0</v>
      </c>
      <c r="S27" s="41"/>
    </row>
    <row r="28" spans="2:19" ht="17.25" customHeight="1">
      <c r="B28" s="37" t="s">
        <v>10</v>
      </c>
      <c r="C28" s="24"/>
      <c r="D28" s="38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39"/>
      <c r="R28" s="40">
        <f>SUM(CashPaidOut[[#This Row],[Period 0]:[Period 12]])</f>
        <v>0</v>
      </c>
      <c r="S28" s="41"/>
    </row>
    <row r="29" spans="2:19" ht="17.25" customHeight="1">
      <c r="B29" s="37" t="s">
        <v>11</v>
      </c>
      <c r="C29" s="24"/>
      <c r="D29" s="38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39"/>
      <c r="R29" s="40">
        <f>SUM(CashPaidOut[[#This Row],[Period 0]:[Period 12]])</f>
        <v>0</v>
      </c>
      <c r="S29" s="41"/>
    </row>
    <row r="30" spans="2:19" ht="17.25" customHeight="1">
      <c r="B30" s="42" t="s">
        <v>3</v>
      </c>
      <c r="C30" s="24"/>
      <c r="D30" s="43">
        <f>SUBTOTAL(109,CashPaidOut[Period 0])</f>
        <v>0</v>
      </c>
      <c r="E30" s="61">
        <f>SUBTOTAL(109,CashPaidOut[Period 1])</f>
        <v>25.57</v>
      </c>
      <c r="F30" s="61">
        <f>SUBTOTAL(109,CashPaidOut[Period 2])</f>
        <v>36.070000000000007</v>
      </c>
      <c r="G30" s="61">
        <f>SUBTOTAL(109,CashPaidOut[Period 3])</f>
        <v>107.27</v>
      </c>
      <c r="H30" s="61">
        <f>SUBTOTAL(109,CashPaidOut[Period 4])</f>
        <v>40.370000000000005</v>
      </c>
      <c r="I30" s="61">
        <f>SUBTOTAL(109,CashPaidOut[Period 5])</f>
        <v>46.45</v>
      </c>
      <c r="J30" s="61">
        <f>SUBTOTAL(109,CashPaidOut[Period 6])</f>
        <v>57.85</v>
      </c>
      <c r="K30" s="61">
        <f>SUBTOTAL(109,CashPaidOut[Period 7])</f>
        <v>84.15</v>
      </c>
      <c r="L30" s="61">
        <f>SUBTOTAL(109,CashPaidOut[Period 8])</f>
        <v>94.450000000000017</v>
      </c>
      <c r="M30" s="61">
        <f>SUBTOTAL(109,CashPaidOut[Period 9])</f>
        <v>88.4</v>
      </c>
      <c r="N30" s="61">
        <f>SUBTOTAL(109,CashPaidOut[Period 10])</f>
        <v>129.61000000000001</v>
      </c>
      <c r="O30" s="61">
        <f>SUBTOTAL(109,CashPaidOut[Period 11])</f>
        <v>144.51000000000002</v>
      </c>
      <c r="P30" s="61">
        <f>SUBTOTAL(109,CashPaidOut[Period 12])</f>
        <v>155.01000000000002</v>
      </c>
      <c r="Q30" s="44"/>
      <c r="R30" s="43">
        <f>SUBTOTAL(109,CashPaidOut[Total])</f>
        <v>1009.7099999999999</v>
      </c>
      <c r="S30" s="45"/>
    </row>
    <row r="31" spans="2:19" ht="17.25" customHeight="1" thickBot="1">
      <c r="B31" s="55" t="s">
        <v>27</v>
      </c>
      <c r="C31" s="33"/>
      <c r="D31" s="34"/>
      <c r="E31" s="63">
        <f>CashPaidOut[[#Totals],[Period 1]]</f>
        <v>25.57</v>
      </c>
      <c r="F31" s="63">
        <f>CashPaidOut[[#Totals],[Period 2]]</f>
        <v>36.070000000000007</v>
      </c>
      <c r="G31" s="63">
        <f>CashPaidOut[[#Totals],[Period 3]]</f>
        <v>107.27</v>
      </c>
      <c r="H31" s="63">
        <f>CashPaidOut[[#Totals],[Period 4]]</f>
        <v>40.370000000000005</v>
      </c>
      <c r="I31" s="63">
        <f>CashPaidOut[[#Totals],[Period 5]]</f>
        <v>46.45</v>
      </c>
      <c r="J31" s="63">
        <f>CashPaidOut[[#Totals],[Period 6]]</f>
        <v>57.85</v>
      </c>
      <c r="K31" s="63">
        <f>CashPaidOut[[#Totals],[Period 7]]</f>
        <v>84.15</v>
      </c>
      <c r="L31" s="63">
        <f>CashPaidOut[[#Totals],[Period 8]]</f>
        <v>94.450000000000017</v>
      </c>
      <c r="M31" s="63">
        <f>CashPaidOut[[#Totals],[Period 9]]</f>
        <v>88.4</v>
      </c>
      <c r="N31" s="63">
        <f>CashPaidOut[[#Totals],[Period 10]]</f>
        <v>129.61000000000001</v>
      </c>
      <c r="O31" s="63">
        <f>CashPaidOut[[#Totals],[Period 11]]</f>
        <v>144.51000000000002</v>
      </c>
      <c r="P31" s="63">
        <f>CashPaidOut[[#Totals],[Period 12]]</f>
        <v>155.01000000000002</v>
      </c>
      <c r="Q31" s="33"/>
      <c r="R31" s="34" t="e">
        <f>SUM(CashPaidOut[Total],#REF!)</f>
        <v>#REF!</v>
      </c>
      <c r="S31" s="47"/>
    </row>
    <row r="32" spans="2:19" s="48" customFormat="1" ht="17.25" customHeight="1"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</row>
    <row r="33" spans="2:19" ht="17.25" customHeight="1" thickBot="1">
      <c r="B33" s="32" t="s">
        <v>26</v>
      </c>
      <c r="C33" s="33"/>
      <c r="D33" s="34">
        <v>30</v>
      </c>
      <c r="E33" s="34">
        <f>E13-E31</f>
        <v>54.43</v>
      </c>
      <c r="F33" s="34">
        <f>F13-F31</f>
        <v>68.36</v>
      </c>
      <c r="G33" s="34">
        <f>G13-G31</f>
        <v>-38.909999999999997</v>
      </c>
      <c r="H33" s="34">
        <f>H13-H31</f>
        <v>-79.28</v>
      </c>
      <c r="I33" s="34">
        <f>I13-I31</f>
        <v>-125.73</v>
      </c>
      <c r="J33" s="34">
        <f>J13-J31</f>
        <v>-183.58</v>
      </c>
      <c r="K33" s="34">
        <f>K13-K31</f>
        <v>-267.73</v>
      </c>
      <c r="L33" s="34">
        <f>L13-L31</f>
        <v>-362.18000000000006</v>
      </c>
      <c r="M33" s="34">
        <f>M13-M31</f>
        <v>-450.58000000000004</v>
      </c>
      <c r="N33" s="34">
        <f>N13-N31</f>
        <v>-580.19000000000005</v>
      </c>
      <c r="O33" s="34">
        <f>O13-O31</f>
        <v>-724.7</v>
      </c>
      <c r="P33" s="46">
        <f>P13-P31</f>
        <v>-879.71</v>
      </c>
      <c r="Q33" s="33"/>
      <c r="R33" s="34" t="e">
        <f>R13-R31</f>
        <v>#REF!</v>
      </c>
      <c r="S33" s="47"/>
    </row>
  </sheetData>
  <mergeCells count="2">
    <mergeCell ref="B14:S14"/>
    <mergeCell ref="B32:S32"/>
  </mergeCells>
  <phoneticPr fontId="7" type="noConversion"/>
  <conditionalFormatting sqref="E6:P6">
    <cfRule type="expression" dxfId="40" priority="3">
      <formula>E6&lt;0</formula>
    </cfRule>
  </conditionalFormatting>
  <conditionalFormatting sqref="E33:P33">
    <cfRule type="expression" dxfId="39" priority="2">
      <formula>E33&lt;0</formula>
    </cfRule>
  </conditionalFormatting>
  <conditionalFormatting sqref="E13:P13">
    <cfRule type="expression" dxfId="38" priority="1">
      <formula>E13&lt;0</formula>
    </cfRule>
  </conditionalFormatting>
  <printOptions horizontalCentered="1" verticalCentered="1"/>
  <pageMargins left="0.5" right="0.5" top="0.5" bottom="0.5" header="0.3" footer="0.3"/>
  <pageSetup scale="84" orientation="landscape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2A825BFE-E693-4238-8389-5BCCFE76FDDD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E6:R6</xm:sqref>
        </x14:conditionalFormatting>
        <x14:conditionalFormatting xmlns:xm="http://schemas.microsoft.com/office/excel/2006/main">
          <x14:cfRule type="iconSet" priority="10" id="{3C1E0335-68B6-4E32-9520-0CC0127E0E6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11" id="{46DB4F99-6858-4D3F-B689-77C99193522A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D33:P33 R33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现金流量表!D33:P33</xm:f>
              <xm:sqref>S33</xm:sqref>
            </x14:sparkline>
            <x14:sparkline>
              <xm:f>现金流量表!D13:P13</xm:f>
              <xm:sqref>S13</xm:sqref>
            </x14:sparkline>
            <x14:sparkline>
              <xm:f>现金流量表!D31:P31</xm:f>
              <xm:sqref>S31</xm:sqref>
            </x14:sparkline>
            <x14:sparkline>
              <xm:f>现金流量表!D30:P30</xm:f>
              <xm:sqref>S30</xm:sqref>
            </x14:sparkline>
            <x14:sparkline>
              <xm:f>现金流量表!D6:P6</xm:f>
              <xm:sqref>S6</xm:sqref>
            </x14:sparkline>
            <x14:sparkline>
              <xm:f>现金流量表!D12:P12</xm:f>
              <xm:sqref>S12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S28"/>
  <sheetViews>
    <sheetView showGridLines="0" zoomScaleNormal="100" workbookViewId="0">
      <pane ySplit="4" topLeftCell="A5" activePane="bottomLeft" state="frozen"/>
      <selection pane="bottomLeft" activeCell="E28" sqref="E28:P28"/>
    </sheetView>
  </sheetViews>
  <sheetFormatPr defaultRowHeight="17.25" customHeight="1"/>
  <cols>
    <col min="1" max="1" width="2.25" style="4" customWidth="1"/>
    <col min="2" max="2" width="37.375" style="4" customWidth="1"/>
    <col min="3" max="3" width="2.875" style="4" customWidth="1"/>
    <col min="4" max="4" width="9.375" style="4" customWidth="1"/>
    <col min="5" max="16" width="9.625" style="4" customWidth="1"/>
    <col min="17" max="17" width="2.875" style="4" customWidth="1"/>
    <col min="18" max="16384" width="9" style="4"/>
  </cols>
  <sheetData>
    <row r="1" spans="2:19" ht="42" customHeight="1" thickBot="1">
      <c r="B1" s="1" t="s">
        <v>32</v>
      </c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19" ht="22.5" customHeight="1" thickTop="1">
      <c r="Q2" s="5"/>
    </row>
    <row r="3" spans="2:19" ht="25.5" customHeight="1">
      <c r="B3" s="6" t="s">
        <v>44</v>
      </c>
      <c r="D3" s="7" t="s">
        <v>13</v>
      </c>
      <c r="E3" s="8" t="str">
        <f>UPPER(TEXT(FiscalYearStartDate,"M 月"))</f>
        <v>9 月</v>
      </c>
      <c r="F3" s="8" t="str">
        <f>UPPER(TEXT(EOMONTH(FiscalYearStartDate,1),"M 月"))</f>
        <v>10 月</v>
      </c>
      <c r="G3" s="8" t="str">
        <f>UPPER(TEXT(EOMONTH(FiscalYearStartDate,2),"M 月"))</f>
        <v>11 月</v>
      </c>
      <c r="H3" s="8" t="str">
        <f>UPPER(TEXT(EOMONTH(FiscalYearStartDate,3),"M 月"))</f>
        <v>12 月</v>
      </c>
      <c r="I3" s="8" t="str">
        <f>UPPER(TEXT(EOMONTH(FiscalYearStartDate,4),"M 月"))</f>
        <v>1 月</v>
      </c>
      <c r="J3" s="8" t="str">
        <f>UPPER(TEXT(EOMONTH(FiscalYearStartDate,5),"M 月"))</f>
        <v>2 月</v>
      </c>
      <c r="K3" s="8" t="str">
        <f>UPPER(TEXT(EOMONTH(FiscalYearStartDate,6),"M 月"))</f>
        <v>3 月</v>
      </c>
      <c r="L3" s="8" t="str">
        <f>UPPER(TEXT(EOMONTH(FiscalYearStartDate,7),"M 月"))</f>
        <v>4 月</v>
      </c>
      <c r="M3" s="8" t="str">
        <f>UPPER(TEXT(EOMONTH(FiscalYearStartDate,8),"M 月"))</f>
        <v>5 月</v>
      </c>
      <c r="N3" s="8" t="str">
        <f>UPPER(TEXT(EOMONTH(FiscalYearStartDate,9),"M 月"))</f>
        <v>6 月</v>
      </c>
      <c r="O3" s="8" t="str">
        <f>UPPER(TEXT(EOMONTH(FiscalYearStartDate,10),"M 月"))</f>
        <v>7 月</v>
      </c>
      <c r="P3" s="8" t="str">
        <f>UPPER(TEXT(EOMONTH(FiscalYearStartDate,11),"M 月"))</f>
        <v>8 月</v>
      </c>
      <c r="Q3" s="9"/>
      <c r="R3" s="10" t="s">
        <v>3</v>
      </c>
      <c r="S3" s="11"/>
    </row>
    <row r="4" spans="2:19" ht="12.75" customHeight="1" thickBot="1">
      <c r="B4" s="12">
        <v>43360</v>
      </c>
      <c r="D4" s="13" t="s">
        <v>0</v>
      </c>
      <c r="E4" s="14">
        <f>FiscalYearStartDate</f>
        <v>43360</v>
      </c>
      <c r="F4" s="14">
        <f t="shared" ref="F4" si="0">EOMONTH(E4,0)+DAY(FiscalYearStartDate)</f>
        <v>43390</v>
      </c>
      <c r="G4" s="14">
        <f t="shared" ref="G4" si="1">EOMONTH(F4,0)+DAY(FiscalYearStartDate)</f>
        <v>43421</v>
      </c>
      <c r="H4" s="14">
        <f t="shared" ref="H4" si="2">EOMONTH(G4,0)+DAY(FiscalYearStartDate)</f>
        <v>43451</v>
      </c>
      <c r="I4" s="14">
        <f t="shared" ref="I4" si="3">EOMONTH(H4,0)+DAY(FiscalYearStartDate)</f>
        <v>43482</v>
      </c>
      <c r="J4" s="14">
        <f t="shared" ref="J4" si="4">EOMONTH(I4,0)+DAY(FiscalYearStartDate)</f>
        <v>43513</v>
      </c>
      <c r="K4" s="14">
        <f t="shared" ref="K4" si="5">EOMONTH(J4,0)+DAY(FiscalYearStartDate)</f>
        <v>43541</v>
      </c>
      <c r="L4" s="14">
        <f t="shared" ref="L4" si="6">EOMONTH(K4,0)+DAY(FiscalYearStartDate)</f>
        <v>43572</v>
      </c>
      <c r="M4" s="14">
        <f t="shared" ref="M4" si="7">EOMONTH(L4,0)+DAY(FiscalYearStartDate)</f>
        <v>43602</v>
      </c>
      <c r="N4" s="14">
        <f t="shared" ref="N4" si="8">EOMONTH(M4,0)+DAY(FiscalYearStartDate)</f>
        <v>43633</v>
      </c>
      <c r="O4" s="14">
        <f t="shared" ref="O4" si="9">EOMONTH(N4,0)+DAY(FiscalYearStartDate)</f>
        <v>43663</v>
      </c>
      <c r="P4" s="14">
        <f t="shared" ref="P4" si="10">EOMONTH(O4,0)+DAY(FiscalYearStartDate)</f>
        <v>43694</v>
      </c>
      <c r="Q4" s="15"/>
      <c r="R4" s="7" t="s">
        <v>15</v>
      </c>
      <c r="S4" s="11"/>
    </row>
    <row r="5" spans="2:19" ht="17.25" customHeight="1" thickTop="1">
      <c r="B5" s="12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8"/>
      <c r="R5" s="19"/>
      <c r="S5" s="11"/>
    </row>
    <row r="6" spans="2:19" ht="17.25" customHeight="1">
      <c r="Q6" s="24"/>
    </row>
    <row r="7" spans="2:19" ht="17.25" customHeight="1">
      <c r="B7" s="53" t="s">
        <v>42</v>
      </c>
      <c r="Q7" s="24"/>
    </row>
    <row r="8" spans="2:19" ht="17.25" customHeight="1">
      <c r="B8" s="25" t="s">
        <v>41</v>
      </c>
      <c r="C8" s="24"/>
      <c r="D8" s="26"/>
      <c r="E8" s="26">
        <v>6</v>
      </c>
      <c r="F8" s="26">
        <v>9</v>
      </c>
      <c r="G8" s="26">
        <v>9</v>
      </c>
      <c r="H8" s="26">
        <v>9</v>
      </c>
      <c r="I8" s="26">
        <v>9</v>
      </c>
      <c r="J8" s="26">
        <v>9</v>
      </c>
      <c r="K8" s="26">
        <v>12</v>
      </c>
      <c r="L8" s="26">
        <v>12</v>
      </c>
      <c r="M8" s="26">
        <v>12</v>
      </c>
      <c r="N8" s="26">
        <v>12</v>
      </c>
      <c r="O8" s="26">
        <v>12</v>
      </c>
      <c r="P8" s="26">
        <v>12</v>
      </c>
      <c r="Q8" s="27"/>
      <c r="R8" s="28"/>
    </row>
    <row r="9" spans="2:19" ht="17.25" customHeight="1">
      <c r="B9" s="25" t="s">
        <v>34</v>
      </c>
      <c r="C9" s="24"/>
      <c r="D9" s="26"/>
      <c r="E9" s="26">
        <v>1</v>
      </c>
      <c r="F9" s="26">
        <v>1</v>
      </c>
      <c r="G9" s="26">
        <v>1</v>
      </c>
      <c r="H9" s="26">
        <v>1</v>
      </c>
      <c r="I9" s="26">
        <v>1</v>
      </c>
      <c r="J9" s="26">
        <v>1</v>
      </c>
      <c r="K9" s="26">
        <v>1</v>
      </c>
      <c r="L9" s="26">
        <v>1</v>
      </c>
      <c r="M9" s="26">
        <v>1</v>
      </c>
      <c r="N9" s="26">
        <v>2</v>
      </c>
      <c r="O9" s="26">
        <v>2</v>
      </c>
      <c r="P9" s="26">
        <v>2</v>
      </c>
      <c r="Q9" s="27"/>
      <c r="R9" s="28"/>
    </row>
    <row r="10" spans="2:19" ht="17.25" customHeight="1">
      <c r="B10" s="25" t="s">
        <v>33</v>
      </c>
      <c r="C10" s="29"/>
      <c r="D10" s="26"/>
      <c r="E10" s="26">
        <v>1</v>
      </c>
      <c r="F10" s="26">
        <v>1</v>
      </c>
      <c r="G10" s="26">
        <v>1</v>
      </c>
      <c r="H10" s="26">
        <v>1</v>
      </c>
      <c r="I10" s="26">
        <v>1</v>
      </c>
      <c r="J10" s="26">
        <v>2</v>
      </c>
      <c r="K10" s="26">
        <v>2</v>
      </c>
      <c r="L10" s="26">
        <v>3</v>
      </c>
      <c r="M10" s="26">
        <v>3</v>
      </c>
      <c r="N10" s="26">
        <v>5</v>
      </c>
      <c r="O10" s="26">
        <v>5</v>
      </c>
      <c r="P10" s="26">
        <v>5</v>
      </c>
      <c r="Q10" s="27"/>
      <c r="R10" s="28"/>
    </row>
    <row r="11" spans="2:19" ht="17.25" customHeight="1" thickBot="1">
      <c r="B11" s="30" t="s">
        <v>45</v>
      </c>
      <c r="C11" s="31"/>
      <c r="D11" s="28">
        <f>SUBTOTAL(109,CashReceipts4[Period 0])</f>
        <v>0</v>
      </c>
      <c r="E11" s="28">
        <f>SUBTOTAL(109,CashReceipts4[Period 1])</f>
        <v>8</v>
      </c>
      <c r="F11" s="28">
        <f>SUBTOTAL(109,CashReceipts4[Period 2])</f>
        <v>11</v>
      </c>
      <c r="G11" s="28">
        <f>SUBTOTAL(109,CashReceipts4[Period 3])</f>
        <v>11</v>
      </c>
      <c r="H11" s="28">
        <f>SUBTOTAL(109,CashReceipts4[Period 4])</f>
        <v>11</v>
      </c>
      <c r="I11" s="28">
        <f>SUBTOTAL(109,CashReceipts4[Period 5])</f>
        <v>11</v>
      </c>
      <c r="J11" s="28">
        <f>SUBTOTAL(109,CashReceipts4[Period 6])</f>
        <v>12</v>
      </c>
      <c r="K11" s="28">
        <f>SUBTOTAL(109,CashReceipts4[Period 7])</f>
        <v>15</v>
      </c>
      <c r="L11" s="28">
        <f>SUBTOTAL(109,CashReceipts4[Period 8])</f>
        <v>16</v>
      </c>
      <c r="M11" s="28">
        <f>SUBTOTAL(109,CashReceipts4[Period 9])</f>
        <v>16</v>
      </c>
      <c r="N11" s="28">
        <f>SUBTOTAL(109,CashReceipts4[Period 10])</f>
        <v>19</v>
      </c>
      <c r="O11" s="28">
        <f>SUBTOTAL(109,CashReceipts4[Period 11])</f>
        <v>19</v>
      </c>
      <c r="P11" s="28">
        <f>SUBTOTAL(109,CashReceipts4[Period 12])</f>
        <v>19</v>
      </c>
      <c r="Q11" s="27"/>
      <c r="R11" s="26" t="s">
        <v>50</v>
      </c>
    </row>
    <row r="12" spans="2:19" ht="17.25" customHeight="1" thickTop="1">
      <c r="B12" s="50" t="s">
        <v>46</v>
      </c>
      <c r="C12" s="57"/>
      <c r="D12" s="51">
        <v>0</v>
      </c>
      <c r="E12" s="59">
        <v>2</v>
      </c>
      <c r="F12" s="59">
        <v>2</v>
      </c>
      <c r="G12" s="59">
        <v>2</v>
      </c>
      <c r="H12" s="59">
        <v>2.2000000000000002</v>
      </c>
      <c r="I12" s="59">
        <v>2.2000000000000002</v>
      </c>
      <c r="J12" s="59">
        <v>2.2000000000000002</v>
      </c>
      <c r="K12" s="59">
        <v>2.2000000000000002</v>
      </c>
      <c r="L12" s="59">
        <v>2.2000000000000002</v>
      </c>
      <c r="M12" s="59">
        <v>2.2000000000000002</v>
      </c>
      <c r="N12" s="59">
        <v>3</v>
      </c>
      <c r="O12" s="59">
        <v>3</v>
      </c>
      <c r="P12" s="59">
        <v>3</v>
      </c>
      <c r="Q12" s="27"/>
      <c r="R12" s="28"/>
    </row>
    <row r="13" spans="2:19" ht="17.25" customHeight="1" thickBot="1">
      <c r="B13" s="55" t="s">
        <v>48</v>
      </c>
      <c r="C13" s="33"/>
      <c r="D13" s="34">
        <v>0</v>
      </c>
      <c r="E13" s="34">
        <f>E12*CashReceipts4[[#Totals],[Period 1]]</f>
        <v>16</v>
      </c>
      <c r="F13" s="34">
        <f>F12*CashReceipts4[[#Totals],[Period 2]]</f>
        <v>22</v>
      </c>
      <c r="G13" s="34">
        <f>G12*CashReceipts4[[#Totals],[Period 3]]</f>
        <v>22</v>
      </c>
      <c r="H13" s="34">
        <f>H12*CashReceipts4[[#Totals],[Period 4]]</f>
        <v>24.200000000000003</v>
      </c>
      <c r="I13" s="34">
        <f>I12*CashReceipts4[[#Totals],[Period 5]]</f>
        <v>24.200000000000003</v>
      </c>
      <c r="J13" s="34">
        <f>J12*CashReceipts4[[#Totals],[Period 6]]</f>
        <v>26.400000000000002</v>
      </c>
      <c r="K13" s="34">
        <f>K12*CashReceipts4[[#Totals],[Period 7]]</f>
        <v>33</v>
      </c>
      <c r="L13" s="34">
        <f>L12*CashReceipts4[[#Totals],[Period 8]]</f>
        <v>35.200000000000003</v>
      </c>
      <c r="M13" s="34">
        <f>M12*CashReceipts4[[#Totals],[Period 9]]</f>
        <v>35.200000000000003</v>
      </c>
      <c r="N13" s="34">
        <f>N12*CashReceipts4[[#Totals],[Period 10]]</f>
        <v>57</v>
      </c>
      <c r="O13" s="34">
        <f>O12*CashReceipts4[[#Totals],[Period 11]]</f>
        <v>57</v>
      </c>
      <c r="P13" s="34">
        <f>P12*CashReceipts4[[#Totals],[Period 12]]</f>
        <v>57</v>
      </c>
      <c r="Q13" s="35"/>
      <c r="R13" s="34">
        <f>SUM(D13:P13)</f>
        <v>409.2</v>
      </c>
      <c r="S13" s="36"/>
    </row>
    <row r="14" spans="2:19" ht="17.25" customHeight="1"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2:19" ht="17.25" customHeight="1">
      <c r="B15" s="54" t="s">
        <v>43</v>
      </c>
      <c r="C15" s="24"/>
      <c r="Q15" s="24"/>
    </row>
    <row r="16" spans="2:19" ht="17.25" customHeight="1">
      <c r="B16" s="37" t="s">
        <v>33</v>
      </c>
      <c r="C16" s="24"/>
      <c r="D16" s="38"/>
      <c r="E16" s="38">
        <v>2</v>
      </c>
      <c r="F16" s="38">
        <v>2</v>
      </c>
      <c r="G16" s="38">
        <v>3</v>
      </c>
      <c r="H16" s="38">
        <v>5</v>
      </c>
      <c r="I16" s="38">
        <v>5</v>
      </c>
      <c r="J16" s="38">
        <v>8</v>
      </c>
      <c r="K16" s="38">
        <v>8</v>
      </c>
      <c r="L16" s="38">
        <v>10</v>
      </c>
      <c r="M16" s="38">
        <v>10</v>
      </c>
      <c r="N16" s="38">
        <v>15</v>
      </c>
      <c r="O16" s="38">
        <v>15</v>
      </c>
      <c r="P16" s="38">
        <v>15</v>
      </c>
      <c r="Q16" s="39"/>
      <c r="R16" s="40"/>
      <c r="S16" s="41"/>
    </row>
    <row r="17" spans="2:19" ht="17.25" customHeight="1">
      <c r="B17" s="37" t="s">
        <v>34</v>
      </c>
      <c r="C17" s="24"/>
      <c r="D17" s="38"/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3</v>
      </c>
      <c r="K17" s="38">
        <v>3</v>
      </c>
      <c r="L17" s="38">
        <v>3</v>
      </c>
      <c r="M17" s="38">
        <v>5</v>
      </c>
      <c r="N17" s="38">
        <v>5</v>
      </c>
      <c r="O17" s="38">
        <v>7</v>
      </c>
      <c r="P17" s="38">
        <v>7</v>
      </c>
      <c r="Q17" s="39"/>
      <c r="R17" s="40"/>
      <c r="S17" s="41"/>
    </row>
    <row r="18" spans="2:19" ht="17.25" customHeight="1">
      <c r="B18" s="37" t="s">
        <v>35</v>
      </c>
      <c r="C18" s="24"/>
      <c r="D18" s="38"/>
      <c r="E18" s="38"/>
      <c r="F18" s="38"/>
      <c r="G18" s="38"/>
      <c r="H18" s="38"/>
      <c r="I18" s="38"/>
      <c r="J18" s="38">
        <v>1</v>
      </c>
      <c r="K18" s="38">
        <v>1</v>
      </c>
      <c r="L18" s="38">
        <v>2</v>
      </c>
      <c r="M18" s="38">
        <v>2</v>
      </c>
      <c r="N18" s="38">
        <v>5</v>
      </c>
      <c r="O18" s="38">
        <v>10</v>
      </c>
      <c r="P18" s="38">
        <v>15</v>
      </c>
      <c r="Q18" s="39"/>
      <c r="R18" s="40"/>
      <c r="S18" s="41"/>
    </row>
    <row r="19" spans="2:19" ht="17.25" customHeight="1">
      <c r="B19" s="56" t="s">
        <v>39</v>
      </c>
      <c r="C19" s="24"/>
      <c r="D19" s="38"/>
      <c r="E19" s="38">
        <v>1</v>
      </c>
      <c r="F19" s="38">
        <v>1</v>
      </c>
      <c r="G19" s="38">
        <v>1</v>
      </c>
      <c r="H19" s="38">
        <v>1</v>
      </c>
      <c r="I19" s="38">
        <v>3</v>
      </c>
      <c r="J19" s="38">
        <v>3</v>
      </c>
      <c r="K19" s="38">
        <v>3</v>
      </c>
      <c r="L19" s="38">
        <v>5</v>
      </c>
      <c r="M19" s="38">
        <v>5</v>
      </c>
      <c r="N19" s="38">
        <v>5</v>
      </c>
      <c r="O19" s="38">
        <v>5</v>
      </c>
      <c r="P19" s="38">
        <v>5</v>
      </c>
      <c r="Q19" s="39"/>
      <c r="R19" s="40"/>
      <c r="S19" s="41"/>
    </row>
    <row r="20" spans="2:19" ht="17.25" customHeight="1">
      <c r="B20" s="56" t="s">
        <v>40</v>
      </c>
      <c r="C20" s="24"/>
      <c r="D20" s="38"/>
      <c r="E20" s="38"/>
      <c r="F20" s="38"/>
      <c r="G20" s="38"/>
      <c r="H20" s="38"/>
      <c r="I20" s="38">
        <v>2</v>
      </c>
      <c r="J20" s="38">
        <v>2</v>
      </c>
      <c r="K20" s="38">
        <v>5</v>
      </c>
      <c r="L20" s="38">
        <v>5</v>
      </c>
      <c r="M20" s="38">
        <v>8</v>
      </c>
      <c r="N20" s="38">
        <v>8</v>
      </c>
      <c r="O20" s="38">
        <v>8</v>
      </c>
      <c r="P20" s="38">
        <v>10</v>
      </c>
      <c r="Q20" s="39"/>
      <c r="R20" s="40"/>
      <c r="S20" s="41"/>
    </row>
    <row r="21" spans="2:19" ht="17.25" customHeight="1">
      <c r="B21" s="37" t="s">
        <v>36</v>
      </c>
      <c r="C21" s="24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>
        <v>1</v>
      </c>
      <c r="Q21" s="39"/>
      <c r="R21" s="40"/>
      <c r="S21" s="41"/>
    </row>
    <row r="22" spans="2:19" ht="17.25" customHeight="1">
      <c r="B22" s="37" t="s">
        <v>38</v>
      </c>
      <c r="C22" s="24"/>
      <c r="D22" s="38"/>
      <c r="E22" s="38"/>
      <c r="F22" s="38"/>
      <c r="G22" s="38"/>
      <c r="H22" s="38"/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1</v>
      </c>
      <c r="P22" s="38">
        <v>1</v>
      </c>
      <c r="Q22" s="39"/>
      <c r="R22" s="40"/>
      <c r="S22" s="41"/>
    </row>
    <row r="23" spans="2:19" ht="17.25" customHeight="1">
      <c r="B23" s="37" t="s">
        <v>37</v>
      </c>
      <c r="C23" s="24"/>
      <c r="D23" s="38"/>
      <c r="E23" s="38"/>
      <c r="F23" s="38"/>
      <c r="G23" s="38"/>
      <c r="H23" s="38"/>
      <c r="I23" s="38"/>
      <c r="J23" s="38"/>
      <c r="K23" s="38">
        <v>1</v>
      </c>
      <c r="L23" s="38">
        <v>1</v>
      </c>
      <c r="M23" s="38">
        <v>1</v>
      </c>
      <c r="N23" s="38">
        <v>1</v>
      </c>
      <c r="O23" s="38">
        <v>2</v>
      </c>
      <c r="P23" s="38">
        <v>2</v>
      </c>
      <c r="Q23" s="39"/>
      <c r="R23" s="40"/>
      <c r="S23" s="41"/>
    </row>
    <row r="24" spans="2:19" ht="17.25" customHeight="1">
      <c r="B24" s="42" t="s">
        <v>45</v>
      </c>
      <c r="C24" s="24"/>
      <c r="D24" s="43"/>
      <c r="E24" s="43">
        <f>SUBTOTAL(109,CashPaidOut5[Period 1])</f>
        <v>4</v>
      </c>
      <c r="F24" s="43">
        <f>SUBTOTAL(109,CashPaidOut5[Period 2])</f>
        <v>4</v>
      </c>
      <c r="G24" s="43">
        <f>SUBTOTAL(109,CashPaidOut5[Period 3])</f>
        <v>5</v>
      </c>
      <c r="H24" s="43">
        <f>SUBTOTAL(109,CashPaidOut5[Period 4])</f>
        <v>7</v>
      </c>
      <c r="I24" s="43">
        <f>SUBTOTAL(109,CashPaidOut5[Period 5])</f>
        <v>12</v>
      </c>
      <c r="J24" s="43">
        <f>SUBTOTAL(109,CashPaidOut5[Period 6])</f>
        <v>18</v>
      </c>
      <c r="K24" s="43">
        <f>SUBTOTAL(109,CashPaidOut5[Period 7])</f>
        <v>22</v>
      </c>
      <c r="L24" s="43">
        <f>SUBTOTAL(109,CashPaidOut5[Period 8])</f>
        <v>27</v>
      </c>
      <c r="M24" s="43">
        <f>SUBTOTAL(109,CashPaidOut5[Period 9])</f>
        <v>32</v>
      </c>
      <c r="N24" s="43">
        <f>SUBTOTAL(109,CashPaidOut5[Period 10])</f>
        <v>40</v>
      </c>
      <c r="O24" s="43">
        <f>SUBTOTAL(109,CashPaidOut5[Period 11])</f>
        <v>49</v>
      </c>
      <c r="P24" s="43">
        <f>SUBTOTAL(109,CashPaidOut5[Period 12])</f>
        <v>56</v>
      </c>
      <c r="Q24" s="44"/>
      <c r="R24" s="38" t="s">
        <v>51</v>
      </c>
      <c r="S24" s="45"/>
    </row>
    <row r="25" spans="2:19" ht="17.25" customHeight="1">
      <c r="B25" s="52" t="s">
        <v>46</v>
      </c>
      <c r="C25" s="57"/>
      <c r="D25" s="59">
        <v>0</v>
      </c>
      <c r="E25" s="59">
        <v>1.2</v>
      </c>
      <c r="F25" s="59">
        <v>1.2</v>
      </c>
      <c r="G25" s="59">
        <v>1.2</v>
      </c>
      <c r="H25" s="59">
        <v>1.2</v>
      </c>
      <c r="I25" s="59">
        <v>1.2</v>
      </c>
      <c r="J25" s="59">
        <v>1.2</v>
      </c>
      <c r="K25" s="59">
        <v>1.3</v>
      </c>
      <c r="L25" s="59">
        <v>1.3</v>
      </c>
      <c r="M25" s="59">
        <v>1.3</v>
      </c>
      <c r="N25" s="59">
        <v>1.5</v>
      </c>
      <c r="O25" s="59">
        <v>1.5</v>
      </c>
      <c r="P25" s="59">
        <v>1.5</v>
      </c>
      <c r="Q25" s="58"/>
      <c r="R25" s="43"/>
      <c r="S25" s="45"/>
    </row>
    <row r="26" spans="2:19" ht="17.25" customHeight="1" thickBot="1">
      <c r="B26" s="55" t="s">
        <v>49</v>
      </c>
      <c r="C26" s="33"/>
      <c r="D26" s="34">
        <v>0</v>
      </c>
      <c r="E26" s="34">
        <f>CashPaidOut5[[#Totals],[Period 1]]*E25</f>
        <v>4.8</v>
      </c>
      <c r="F26" s="34">
        <f>CashPaidOut5[[#Totals],[Period 2]]*F25</f>
        <v>4.8</v>
      </c>
      <c r="G26" s="34">
        <f>CashPaidOut5[[#Totals],[Period 3]]*G25</f>
        <v>6</v>
      </c>
      <c r="H26" s="34">
        <f>CashPaidOut5[[#Totals],[Period 4]]*H25</f>
        <v>8.4</v>
      </c>
      <c r="I26" s="34">
        <f>CashPaidOut5[[#Totals],[Period 5]]*I25</f>
        <v>14.399999999999999</v>
      </c>
      <c r="J26" s="34">
        <f>CashPaidOut5[[#Totals],[Period 6]]*J25</f>
        <v>21.599999999999998</v>
      </c>
      <c r="K26" s="34">
        <f>CashPaidOut5[[#Totals],[Period 7]]*K25</f>
        <v>28.6</v>
      </c>
      <c r="L26" s="34">
        <f>CashPaidOut5[[#Totals],[Period 8]]*L25</f>
        <v>35.1</v>
      </c>
      <c r="M26" s="34">
        <f>CashPaidOut5[[#Totals],[Period 9]]*M25</f>
        <v>41.6</v>
      </c>
      <c r="N26" s="34">
        <f>CashPaidOut5[[#Totals],[Period 10]]*N25</f>
        <v>60</v>
      </c>
      <c r="O26" s="34">
        <f>CashPaidOut5[[#Totals],[Period 11]]*O25</f>
        <v>73.5</v>
      </c>
      <c r="P26" s="34">
        <f>CashPaidOut5[[#Totals],[Period 12]]*P25</f>
        <v>84</v>
      </c>
      <c r="Q26" s="33"/>
      <c r="R26" s="34">
        <f>SUM(C26:P26)</f>
        <v>382.79999999999995</v>
      </c>
      <c r="S26" s="47"/>
    </row>
    <row r="27" spans="2:19" s="48" customFormat="1" ht="17.25" customHeight="1"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</row>
    <row r="28" spans="2:19" ht="17.25" customHeight="1" thickBot="1">
      <c r="B28" s="32" t="s">
        <v>47</v>
      </c>
      <c r="C28" s="33"/>
      <c r="D28" s="34">
        <f>D13+D26</f>
        <v>0</v>
      </c>
      <c r="E28" s="34">
        <f>E26+E13</f>
        <v>20.8</v>
      </c>
      <c r="F28" s="34">
        <f t="shared" ref="F28:P28" si="11">F26+F13</f>
        <v>26.8</v>
      </c>
      <c r="G28" s="34">
        <f t="shared" si="11"/>
        <v>28</v>
      </c>
      <c r="H28" s="34">
        <f t="shared" si="11"/>
        <v>32.6</v>
      </c>
      <c r="I28" s="34">
        <f t="shared" si="11"/>
        <v>38.6</v>
      </c>
      <c r="J28" s="34">
        <f t="shared" si="11"/>
        <v>48</v>
      </c>
      <c r="K28" s="34">
        <f t="shared" si="11"/>
        <v>61.6</v>
      </c>
      <c r="L28" s="34">
        <f t="shared" si="11"/>
        <v>70.300000000000011</v>
      </c>
      <c r="M28" s="34">
        <f t="shared" si="11"/>
        <v>76.800000000000011</v>
      </c>
      <c r="N28" s="34">
        <f t="shared" si="11"/>
        <v>117</v>
      </c>
      <c r="O28" s="34">
        <f t="shared" si="11"/>
        <v>130.5</v>
      </c>
      <c r="P28" s="34">
        <f t="shared" si="11"/>
        <v>141</v>
      </c>
      <c r="Q28" s="33"/>
      <c r="R28" s="34">
        <f>SUM(D28:Q28)</f>
        <v>792</v>
      </c>
      <c r="S28" s="47"/>
    </row>
  </sheetData>
  <mergeCells count="2">
    <mergeCell ref="B14:S14"/>
    <mergeCell ref="B27:S27"/>
  </mergeCells>
  <conditionalFormatting sqref="E28:P28">
    <cfRule type="expression" dxfId="37" priority="2">
      <formula>E28&lt;0</formula>
    </cfRule>
  </conditionalFormatting>
  <conditionalFormatting sqref="E13:P13">
    <cfRule type="expression" dxfId="36" priority="1">
      <formula>E13&lt;0</formula>
    </cfRule>
  </conditionalFormatting>
  <printOptions horizontalCentered="1" verticalCentered="1"/>
  <pageMargins left="0.5" right="0.5" top="0.5" bottom="0.5" header="0.3" footer="0.3"/>
  <pageSetup scale="84" orientation="landscape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B298F47-FA3E-4167-A45D-5EAB76434AA2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D13:R13</xm:sqref>
        </x14:conditionalFormatting>
        <x14:conditionalFormatting xmlns:xm="http://schemas.microsoft.com/office/excel/2006/main">
          <x14:cfRule type="iconSet" priority="6" id="{534D948B-B08A-4B7F-A10D-80B2A26551E1}">
            <x14:iconSet iconSet="3Flags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Flags" iconId="0"/>
              <x14:cfIcon iconSet="NoIcons" iconId="0"/>
              <x14:cfIcon iconSet="NoIcons" iconId="0"/>
            </x14:iconSet>
          </x14:cfRule>
          <xm:sqref>R28 D28:P28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0" tint="-0.34998626667073579"/>
          <x14:colorNegative theme="9"/>
          <x14:colorAxis rgb="FF000000"/>
          <x14:colorMarkers theme="9"/>
          <x14:colorFirst theme="4"/>
          <x14:colorLast theme="5"/>
          <x14:colorHigh theme="6"/>
          <x14:colorLow theme="7"/>
          <x14:sparklines>
            <x14:sparkline>
              <xm:f>人力资源预算!D28:P28</xm:f>
              <xm:sqref>S28</xm:sqref>
            </x14:sparkline>
            <x14:sparkline>
              <xm:f>人力资源预算!D13:P13</xm:f>
              <xm:sqref>S13</xm:sqref>
            </x14:sparkline>
            <x14:sparkline>
              <xm:f>人力资源预算!D26:P26</xm:f>
              <xm:sqref>S26</xm:sqref>
            </x14:sparkline>
            <x14:sparkline>
              <xm:f>人力资源预算!D24:P24</xm:f>
              <xm:sqref>S24</xm:sqref>
            </x14:sparkline>
            <x14:sparkline>
              <xm:f>人力资源预算!D25:P25</xm:f>
              <xm:sqref>S25</xm:sqref>
            </x14:sparkline>
            <x14:sparkline>
              <xm:f>人力资源预算!D11:P11</xm:f>
              <xm:sqref>S11</xm:sqref>
            </x14:sparkline>
            <x14:sparkline>
              <xm:f>人力资源预算!D12:P12</xm:f>
              <xm:sqref>S12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B4" sqref="B4"/>
    </sheetView>
  </sheetViews>
  <sheetFormatPr defaultRowHeight="13.5"/>
  <sheetData>
    <row r="3" spans="1:2">
      <c r="A3" t="s">
        <v>28</v>
      </c>
      <c r="B3" t="s">
        <v>29</v>
      </c>
    </row>
    <row r="4" spans="1:2">
      <c r="A4" t="s">
        <v>30</v>
      </c>
      <c r="B4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848662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>Complete</EditorialStatus>
    <Markets xmlns="905c3888-6285-45d0-bd76-60a9ac2d738c"/>
    <OriginAsset xmlns="905c3888-6285-45d0-bd76-60a9ac2d738c" xsi:nil="true"/>
    <AssetStart xmlns="905c3888-6285-45d0-bd76-60a9ac2d738c">2012-07-27T02:37:00+00:00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480155</Value>
    </PublishStatusLookup>
    <APAuthor xmlns="905c3888-6285-45d0-bd76-60a9ac2d738c">
      <UserInfo>
        <DisplayName>REDMOND\v-sa</DisplayName>
        <AccountId>2467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>TP</AssetType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true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true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2007 Default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TP103107636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66D4A87-7C4B-4040-B09A-85AE0CC8C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3E0B03-3C0B-4CFD-B845-625A9F95FDA1}">
  <ds:schemaRefs>
    <ds:schemaRef ds:uri="http://schemas.microsoft.com/office/2006/metadata/properties"/>
    <ds:schemaRef ds:uri="http://schemas.microsoft.com/office/infopath/2007/PartnerControls"/>
    <ds:schemaRef ds:uri="905c3888-6285-45d0-bd76-60a9ac2d738c"/>
    <ds:schemaRef ds:uri="a0b64b53-fba7-43ca-b952-90e5e74773dd"/>
  </ds:schemaRefs>
</ds:datastoreItem>
</file>

<file path=customXml/itemProps3.xml><?xml version="1.0" encoding="utf-8"?>
<ds:datastoreItem xmlns:ds="http://schemas.openxmlformats.org/officeDocument/2006/customXml" ds:itemID="{484A6592-B3DF-4E49-A978-FDD19C943E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现金流量表</vt:lpstr>
      <vt:lpstr>人力资源预算</vt:lpstr>
      <vt:lpstr>办公空间</vt:lpstr>
      <vt:lpstr>人力资源预算!FiscalYearStartDate</vt:lpstr>
      <vt:lpstr>FiscalYearStartDate</vt:lpstr>
      <vt:lpstr>人力资源预算!Print_Area</vt:lpstr>
      <vt:lpstr>现金流量表!Print_Area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2012-07-26T18:07:35Z</dcterms:created>
  <dcterms:modified xsi:type="dcterms:W3CDTF">2018-09-05T20:20:22Z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  <property fmtid="{D5CDD505-2E9C-101B-9397-08002B2CF9AE}" pid="13" name="MSIP_Label_ab77315c-b517-4740-877c-0c6cb060fe38_Enabled">
    <vt:lpwstr>True</vt:lpwstr>
  </property>
  <property fmtid="{D5CDD505-2E9C-101B-9397-08002B2CF9AE}" pid="14" name="MSIP_Label_ab77315c-b517-4740-877c-0c6cb060fe38_SiteId">
    <vt:lpwstr>0465519d-7f55-4d47-998b-55e2a86f04a8</vt:lpwstr>
  </property>
  <property fmtid="{D5CDD505-2E9C-101B-9397-08002B2CF9AE}" pid="15" name="MSIP_Label_ab77315c-b517-4740-877c-0c6cb060fe38_Owner">
    <vt:lpwstr>YWang@dtcc.com</vt:lpwstr>
  </property>
  <property fmtid="{D5CDD505-2E9C-101B-9397-08002B2CF9AE}" pid="16" name="MSIP_Label_ab77315c-b517-4740-877c-0c6cb060fe38_SetDate">
    <vt:lpwstr>2018-09-05T16:28:10.0816273Z</vt:lpwstr>
  </property>
  <property fmtid="{D5CDD505-2E9C-101B-9397-08002B2CF9AE}" pid="17" name="MSIP_Label_ab77315c-b517-4740-877c-0c6cb060fe38_Name">
    <vt:lpwstr>DTCC Internal (Green)</vt:lpwstr>
  </property>
  <property fmtid="{D5CDD505-2E9C-101B-9397-08002B2CF9AE}" pid="18" name="MSIP_Label_ab77315c-b517-4740-877c-0c6cb060fe38_Application">
    <vt:lpwstr>Microsoft Azure Information Protection</vt:lpwstr>
  </property>
  <property fmtid="{D5CDD505-2E9C-101B-9397-08002B2CF9AE}" pid="19" name="MSIP_Label_ab77315c-b517-4740-877c-0c6cb060fe38_Extended_MSFT_Method">
    <vt:lpwstr>Manual</vt:lpwstr>
  </property>
  <property fmtid="{D5CDD505-2E9C-101B-9397-08002B2CF9AE}" pid="20" name="MSIP_Label_3b89453d-90c7-48fb-b952-076e9f1ff45a_Enabled">
    <vt:lpwstr>True</vt:lpwstr>
  </property>
  <property fmtid="{D5CDD505-2E9C-101B-9397-08002B2CF9AE}" pid="21" name="MSIP_Label_3b89453d-90c7-48fb-b952-076e9f1ff45a_SiteId">
    <vt:lpwstr>0465519d-7f55-4d47-998b-55e2a86f04a8</vt:lpwstr>
  </property>
  <property fmtid="{D5CDD505-2E9C-101B-9397-08002B2CF9AE}" pid="22" name="MSIP_Label_3b89453d-90c7-48fb-b952-076e9f1ff45a_Owner">
    <vt:lpwstr>YWang@dtcc.com</vt:lpwstr>
  </property>
  <property fmtid="{D5CDD505-2E9C-101B-9397-08002B2CF9AE}" pid="23" name="MSIP_Label_3b89453d-90c7-48fb-b952-076e9f1ff45a_SetDate">
    <vt:lpwstr>2018-09-05T16:28:10.0816273Z</vt:lpwstr>
  </property>
  <property fmtid="{D5CDD505-2E9C-101B-9397-08002B2CF9AE}" pid="24" name="MSIP_Label_3b89453d-90c7-48fb-b952-076e9f1ff45a_Name">
    <vt:lpwstr>No Marking</vt:lpwstr>
  </property>
  <property fmtid="{D5CDD505-2E9C-101B-9397-08002B2CF9AE}" pid="25" name="MSIP_Label_3b89453d-90c7-48fb-b952-076e9f1ff45a_Application">
    <vt:lpwstr>Microsoft Azure Information Protection</vt:lpwstr>
  </property>
  <property fmtid="{D5CDD505-2E9C-101B-9397-08002B2CF9AE}" pid="26" name="MSIP_Label_3b89453d-90c7-48fb-b952-076e9f1ff45a_Parent">
    <vt:lpwstr>ab77315c-b517-4740-877c-0c6cb060fe38</vt:lpwstr>
  </property>
  <property fmtid="{D5CDD505-2E9C-101B-9397-08002B2CF9AE}" pid="27" name="MSIP_Label_3b89453d-90c7-48fb-b952-076e9f1ff45a_Extended_MSFT_Method">
    <vt:lpwstr>Manual</vt:lpwstr>
  </property>
  <property fmtid="{D5CDD505-2E9C-101B-9397-08002B2CF9AE}" pid="28" name="Sensitivity">
    <vt:lpwstr>DTCC Internal (Green) No Marking</vt:lpwstr>
  </property>
</Properties>
</file>