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 LinkIT\All Product Dashboard\"/>
    </mc:Choice>
  </mc:AlternateContent>
  <xr:revisionPtr revIDLastSave="0" documentId="13_ncr:1_{C46D9C33-A0E7-4ADA-AD4A-83044D37328C}" xr6:coauthVersionLast="47" xr6:coauthVersionMax="47" xr10:uidLastSave="{00000000-0000-0000-0000-000000000000}"/>
  <bookViews>
    <workbookView xWindow="-120" yWindow="-120" windowWidth="29040" windowHeight="15840" activeTab="11" xr2:uid="{BC26FDB4-59D2-4FD0-AE01-9D8F3624CEEE}"/>
  </bookViews>
  <sheets>
    <sheet name="Sheet1" sheetId="1" r:id="rId1"/>
    <sheet name="21052021" sheetId="2" r:id="rId2"/>
    <sheet name="Sheet4" sheetId="5" r:id="rId3"/>
    <sheet name="Sheet3" sheetId="4" r:id="rId4"/>
    <sheet name="210621" sheetId="6" r:id="rId5"/>
    <sheet name="220621" sheetId="7" r:id="rId6"/>
    <sheet name="Sheet2" sheetId="10" r:id="rId7"/>
    <sheet name="230621" sheetId="8" r:id="rId8"/>
    <sheet name="010721" sheetId="9" r:id="rId9"/>
    <sheet name="020721" sheetId="11" r:id="rId10"/>
    <sheet name="030721" sheetId="12" r:id="rId11"/>
    <sheet name="040721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1" l="1"/>
  <c r="B45" i="11"/>
  <c r="C45" i="13"/>
  <c r="B45" i="13"/>
  <c r="C45" i="12"/>
  <c r="B45" i="12"/>
  <c r="E50" i="9" l="1"/>
  <c r="C45" i="9"/>
  <c r="B45" i="9"/>
  <c r="M13" i="9"/>
  <c r="G33" i="12" l="1"/>
  <c r="F44" i="13" l="1"/>
  <c r="E44" i="13"/>
  <c r="B47" i="9"/>
  <c r="E44" i="9"/>
  <c r="F44" i="9"/>
  <c r="D44" i="9"/>
  <c r="G40" i="13"/>
  <c r="F40" i="13"/>
  <c r="E40" i="13"/>
  <c r="D40" i="13"/>
  <c r="C40" i="13"/>
  <c r="B40" i="13"/>
  <c r="G40" i="12"/>
  <c r="F40" i="12"/>
  <c r="E40" i="12"/>
  <c r="D40" i="12"/>
  <c r="C40" i="12"/>
  <c r="B40" i="12"/>
  <c r="G40" i="11"/>
  <c r="F40" i="11"/>
  <c r="E40" i="11"/>
  <c r="D40" i="11"/>
  <c r="C40" i="11"/>
  <c r="B40" i="11"/>
  <c r="C40" i="9"/>
  <c r="G34" i="13"/>
  <c r="F34" i="13"/>
  <c r="E34" i="13"/>
  <c r="D34" i="13"/>
  <c r="C34" i="13"/>
  <c r="G34" i="12"/>
  <c r="F34" i="12"/>
  <c r="E34" i="12"/>
  <c r="D34" i="12"/>
  <c r="C34" i="12"/>
  <c r="B34" i="12"/>
  <c r="G34" i="11"/>
  <c r="F34" i="11"/>
  <c r="E34" i="11"/>
  <c r="D34" i="11"/>
  <c r="C34" i="11"/>
  <c r="B34" i="11"/>
  <c r="C34" i="9"/>
  <c r="B34" i="9"/>
  <c r="D54" i="11"/>
  <c r="C54" i="11"/>
  <c r="G53" i="11"/>
  <c r="D53" i="11"/>
  <c r="C53" i="11"/>
  <c r="D52" i="11"/>
  <c r="C52" i="11"/>
  <c r="B52" i="11"/>
  <c r="G51" i="11"/>
  <c r="F51" i="11"/>
  <c r="E51" i="11"/>
  <c r="D51" i="11"/>
  <c r="G50" i="11"/>
  <c r="F50" i="11"/>
  <c r="E50" i="11"/>
  <c r="D50" i="11"/>
  <c r="E49" i="11"/>
  <c r="D49" i="11"/>
  <c r="D48" i="11"/>
  <c r="F47" i="11"/>
  <c r="E47" i="11"/>
  <c r="D47" i="11"/>
  <c r="C47" i="11"/>
  <c r="G46" i="11"/>
  <c r="D46" i="11"/>
  <c r="D45" i="11"/>
  <c r="D44" i="11"/>
  <c r="G43" i="11"/>
  <c r="F43" i="11"/>
  <c r="E43" i="11"/>
  <c r="D43" i="11"/>
  <c r="G42" i="11"/>
  <c r="F42" i="11"/>
  <c r="E42" i="11"/>
  <c r="D42" i="11"/>
  <c r="C42" i="11"/>
  <c r="B42" i="11"/>
  <c r="G41" i="11"/>
  <c r="F41" i="11"/>
  <c r="E41" i="11"/>
  <c r="D41" i="11"/>
  <c r="G39" i="11"/>
  <c r="F39" i="11"/>
  <c r="E39" i="11"/>
  <c r="D39" i="11"/>
  <c r="C39" i="11"/>
  <c r="B39" i="11"/>
  <c r="E37" i="11"/>
  <c r="D37" i="11"/>
  <c r="G36" i="11"/>
  <c r="F36" i="11"/>
  <c r="E36" i="11"/>
  <c r="D36" i="11"/>
  <c r="C36" i="11"/>
  <c r="B36" i="11"/>
  <c r="G33" i="11"/>
  <c r="F33" i="11"/>
  <c r="D33" i="11"/>
  <c r="C33" i="11"/>
  <c r="B33" i="11"/>
  <c r="G25" i="11"/>
  <c r="G54" i="11" s="1"/>
  <c r="F25" i="11"/>
  <c r="F54" i="11" s="1"/>
  <c r="E25" i="11"/>
  <c r="E54" i="11" s="1"/>
  <c r="B25" i="11"/>
  <c r="B54" i="11" s="1"/>
  <c r="G24" i="11"/>
  <c r="F24" i="11"/>
  <c r="F53" i="11" s="1"/>
  <c r="E24" i="11"/>
  <c r="E53" i="11" s="1"/>
  <c r="G23" i="11"/>
  <c r="G52" i="11" s="1"/>
  <c r="F23" i="11"/>
  <c r="F52" i="11" s="1"/>
  <c r="E23" i="11"/>
  <c r="E52" i="11" s="1"/>
  <c r="G20" i="11"/>
  <c r="G49" i="11" s="1"/>
  <c r="F20" i="11"/>
  <c r="F49" i="11" s="1"/>
  <c r="E20" i="11"/>
  <c r="G19" i="11"/>
  <c r="G48" i="11" s="1"/>
  <c r="F19" i="11"/>
  <c r="F48" i="11" s="1"/>
  <c r="E19" i="11"/>
  <c r="E48" i="11" s="1"/>
  <c r="G18" i="11"/>
  <c r="G47" i="11" s="1"/>
  <c r="F18" i="11"/>
  <c r="E18" i="11"/>
  <c r="B18" i="11"/>
  <c r="B47" i="11" s="1"/>
  <c r="G17" i="11"/>
  <c r="F17" i="11"/>
  <c r="F46" i="11" s="1"/>
  <c r="E17" i="11"/>
  <c r="E46" i="11" s="1"/>
  <c r="G16" i="11"/>
  <c r="G45" i="11" s="1"/>
  <c r="F16" i="11"/>
  <c r="F45" i="11" s="1"/>
  <c r="E16" i="11"/>
  <c r="E45" i="11" s="1"/>
  <c r="B16" i="11"/>
  <c r="G15" i="11"/>
  <c r="G44" i="11" s="1"/>
  <c r="F15" i="11"/>
  <c r="F44" i="11" s="1"/>
  <c r="E15" i="11"/>
  <c r="E44" i="11" s="1"/>
  <c r="G8" i="11"/>
  <c r="G37" i="11" s="1"/>
  <c r="F8" i="11"/>
  <c r="F37" i="11" s="1"/>
  <c r="E8" i="11"/>
  <c r="F4" i="11"/>
  <c r="E4" i="11"/>
  <c r="E33" i="11" s="1"/>
  <c r="D54" i="12"/>
  <c r="C54" i="12"/>
  <c r="G53" i="12"/>
  <c r="F53" i="12"/>
  <c r="D53" i="12"/>
  <c r="C53" i="12"/>
  <c r="D52" i="12"/>
  <c r="C52" i="12"/>
  <c r="B52" i="12"/>
  <c r="G51" i="12"/>
  <c r="F51" i="12"/>
  <c r="E51" i="12"/>
  <c r="D51" i="12"/>
  <c r="G50" i="12"/>
  <c r="F50" i="12"/>
  <c r="E50" i="12"/>
  <c r="D50" i="12"/>
  <c r="E49" i="12"/>
  <c r="D49" i="12"/>
  <c r="D48" i="12"/>
  <c r="F47" i="12"/>
  <c r="E47" i="12"/>
  <c r="D47" i="12"/>
  <c r="C47" i="12"/>
  <c r="G46" i="12"/>
  <c r="D46" i="12"/>
  <c r="D45" i="12"/>
  <c r="D44" i="12"/>
  <c r="G43" i="12"/>
  <c r="F43" i="12"/>
  <c r="E43" i="12"/>
  <c r="D43" i="12"/>
  <c r="G42" i="12"/>
  <c r="F42" i="12"/>
  <c r="E42" i="12"/>
  <c r="D42" i="12"/>
  <c r="C42" i="12"/>
  <c r="B42" i="12"/>
  <c r="G41" i="12"/>
  <c r="F41" i="12"/>
  <c r="E41" i="12"/>
  <c r="D41" i="12"/>
  <c r="G39" i="12"/>
  <c r="F39" i="12"/>
  <c r="E39" i="12"/>
  <c r="D39" i="12"/>
  <c r="C39" i="12"/>
  <c r="B39" i="12"/>
  <c r="E37" i="12"/>
  <c r="D37" i="12"/>
  <c r="G36" i="12"/>
  <c r="F36" i="12"/>
  <c r="E36" i="12"/>
  <c r="D36" i="12"/>
  <c r="C36" i="12"/>
  <c r="B36" i="12"/>
  <c r="F33" i="12"/>
  <c r="D33" i="12"/>
  <c r="C33" i="12"/>
  <c r="B33" i="12"/>
  <c r="G25" i="12"/>
  <c r="G54" i="12" s="1"/>
  <c r="F25" i="12"/>
  <c r="F54" i="12" s="1"/>
  <c r="E25" i="12"/>
  <c r="E54" i="12" s="1"/>
  <c r="B25" i="12"/>
  <c r="B54" i="12" s="1"/>
  <c r="G24" i="12"/>
  <c r="F24" i="12"/>
  <c r="E24" i="12"/>
  <c r="E53" i="12" s="1"/>
  <c r="G23" i="12"/>
  <c r="G52" i="12" s="1"/>
  <c r="F23" i="12"/>
  <c r="F52" i="12" s="1"/>
  <c r="E23" i="12"/>
  <c r="E52" i="12" s="1"/>
  <c r="G20" i="12"/>
  <c r="G49" i="12" s="1"/>
  <c r="F20" i="12"/>
  <c r="F49" i="12" s="1"/>
  <c r="E20" i="12"/>
  <c r="G19" i="12"/>
  <c r="G48" i="12" s="1"/>
  <c r="F19" i="12"/>
  <c r="F48" i="12" s="1"/>
  <c r="E19" i="12"/>
  <c r="E48" i="12" s="1"/>
  <c r="G18" i="12"/>
  <c r="G47" i="12" s="1"/>
  <c r="F18" i="12"/>
  <c r="E18" i="12"/>
  <c r="B18" i="12"/>
  <c r="B47" i="12" s="1"/>
  <c r="G17" i="12"/>
  <c r="F17" i="12"/>
  <c r="F46" i="12" s="1"/>
  <c r="E17" i="12"/>
  <c r="E46" i="12" s="1"/>
  <c r="G16" i="12"/>
  <c r="G45" i="12" s="1"/>
  <c r="F16" i="12"/>
  <c r="F45" i="12" s="1"/>
  <c r="E16" i="12"/>
  <c r="E45" i="12" s="1"/>
  <c r="B16" i="12"/>
  <c r="G15" i="12"/>
  <c r="G44" i="12" s="1"/>
  <c r="F15" i="12"/>
  <c r="F44" i="12" s="1"/>
  <c r="E15" i="12"/>
  <c r="E44" i="12" s="1"/>
  <c r="G8" i="12"/>
  <c r="G37" i="12" s="1"/>
  <c r="F8" i="12"/>
  <c r="F37" i="12" s="1"/>
  <c r="E8" i="12"/>
  <c r="F4" i="12"/>
  <c r="E4" i="12"/>
  <c r="E33" i="12" s="1"/>
  <c r="D54" i="13"/>
  <c r="C54" i="13"/>
  <c r="G53" i="13"/>
  <c r="F53" i="13"/>
  <c r="D53" i="13"/>
  <c r="C53" i="13"/>
  <c r="D52" i="13"/>
  <c r="C52" i="13"/>
  <c r="B52" i="13"/>
  <c r="G51" i="13"/>
  <c r="F51" i="13"/>
  <c r="E51" i="13"/>
  <c r="D51" i="13"/>
  <c r="G50" i="13"/>
  <c r="F50" i="13"/>
  <c r="E50" i="13"/>
  <c r="D50" i="13"/>
  <c r="E49" i="13"/>
  <c r="D49" i="13"/>
  <c r="D48" i="13"/>
  <c r="F47" i="13"/>
  <c r="E47" i="13"/>
  <c r="D47" i="13"/>
  <c r="C47" i="13"/>
  <c r="G46" i="13"/>
  <c r="D46" i="13"/>
  <c r="D45" i="13"/>
  <c r="D44" i="13"/>
  <c r="G43" i="13"/>
  <c r="F43" i="13"/>
  <c r="E43" i="13"/>
  <c r="D43" i="13"/>
  <c r="G42" i="13"/>
  <c r="F42" i="13"/>
  <c r="E42" i="13"/>
  <c r="D42" i="13"/>
  <c r="C42" i="13"/>
  <c r="B42" i="13"/>
  <c r="G41" i="13"/>
  <c r="F41" i="13"/>
  <c r="E41" i="13"/>
  <c r="D41" i="13"/>
  <c r="G39" i="13"/>
  <c r="F39" i="13"/>
  <c r="E39" i="13"/>
  <c r="D39" i="13"/>
  <c r="C39" i="13"/>
  <c r="B39" i="13"/>
  <c r="E37" i="13"/>
  <c r="D37" i="13"/>
  <c r="G36" i="13"/>
  <c r="F36" i="13"/>
  <c r="E36" i="13"/>
  <c r="D36" i="13"/>
  <c r="C36" i="13"/>
  <c r="B36" i="13"/>
  <c r="G33" i="13"/>
  <c r="F33" i="13"/>
  <c r="D33" i="13"/>
  <c r="C33" i="13"/>
  <c r="B33" i="13"/>
  <c r="G25" i="13"/>
  <c r="G54" i="13" s="1"/>
  <c r="F25" i="13"/>
  <c r="F54" i="13" s="1"/>
  <c r="E25" i="13"/>
  <c r="E54" i="13" s="1"/>
  <c r="B25" i="13"/>
  <c r="B54" i="13" s="1"/>
  <c r="G24" i="13"/>
  <c r="F24" i="13"/>
  <c r="E24" i="13"/>
  <c r="E53" i="13" s="1"/>
  <c r="G23" i="13"/>
  <c r="G52" i="13" s="1"/>
  <c r="F23" i="13"/>
  <c r="F52" i="13" s="1"/>
  <c r="E23" i="13"/>
  <c r="E52" i="13" s="1"/>
  <c r="G20" i="13"/>
  <c r="G49" i="13" s="1"/>
  <c r="F20" i="13"/>
  <c r="F49" i="13" s="1"/>
  <c r="E20" i="13"/>
  <c r="G19" i="13"/>
  <c r="G48" i="13" s="1"/>
  <c r="F19" i="13"/>
  <c r="F48" i="13" s="1"/>
  <c r="E19" i="13"/>
  <c r="E48" i="13" s="1"/>
  <c r="G18" i="13"/>
  <c r="G47" i="13" s="1"/>
  <c r="F18" i="13"/>
  <c r="E18" i="13"/>
  <c r="B18" i="13"/>
  <c r="B47" i="13" s="1"/>
  <c r="G17" i="13"/>
  <c r="F17" i="13"/>
  <c r="F46" i="13" s="1"/>
  <c r="E17" i="13"/>
  <c r="E46" i="13" s="1"/>
  <c r="G16" i="13"/>
  <c r="G45" i="13" s="1"/>
  <c r="F16" i="13"/>
  <c r="F45" i="13" s="1"/>
  <c r="E16" i="13"/>
  <c r="E45" i="13" s="1"/>
  <c r="B16" i="13"/>
  <c r="G15" i="13"/>
  <c r="G44" i="13" s="1"/>
  <c r="F15" i="13"/>
  <c r="E15" i="13"/>
  <c r="G8" i="13"/>
  <c r="G37" i="13" s="1"/>
  <c r="F8" i="13"/>
  <c r="F37" i="13" s="1"/>
  <c r="E8" i="13"/>
  <c r="F4" i="13"/>
  <c r="E4" i="13"/>
  <c r="E33" i="13" s="1"/>
  <c r="D54" i="9"/>
  <c r="C54" i="9"/>
  <c r="G53" i="9"/>
  <c r="F53" i="9"/>
  <c r="D53" i="9"/>
  <c r="C53" i="9"/>
  <c r="D52" i="9"/>
  <c r="C52" i="9"/>
  <c r="B52" i="9"/>
  <c r="G51" i="9"/>
  <c r="F51" i="9"/>
  <c r="E51" i="9"/>
  <c r="D51" i="9"/>
  <c r="G50" i="9"/>
  <c r="F50" i="9"/>
  <c r="D50" i="9"/>
  <c r="E49" i="9"/>
  <c r="D49" i="9"/>
  <c r="D48" i="9"/>
  <c r="F47" i="9"/>
  <c r="E47" i="9"/>
  <c r="D47" i="9"/>
  <c r="C47" i="9"/>
  <c r="G46" i="9"/>
  <c r="D46" i="9"/>
  <c r="D45" i="9"/>
  <c r="G43" i="9"/>
  <c r="F43" i="9"/>
  <c r="E43" i="9"/>
  <c r="D43" i="9"/>
  <c r="G42" i="9"/>
  <c r="F42" i="9"/>
  <c r="E42" i="9"/>
  <c r="D42" i="9"/>
  <c r="C42" i="9"/>
  <c r="B42" i="9"/>
  <c r="G41" i="9"/>
  <c r="F41" i="9"/>
  <c r="E41" i="9"/>
  <c r="D41" i="9"/>
  <c r="G40" i="9"/>
  <c r="F40" i="9"/>
  <c r="E40" i="9"/>
  <c r="D40" i="9"/>
  <c r="B40" i="9"/>
  <c r="G39" i="9"/>
  <c r="F39" i="9"/>
  <c r="E39" i="9"/>
  <c r="D39" i="9"/>
  <c r="C39" i="9"/>
  <c r="B39" i="9"/>
  <c r="E37" i="9"/>
  <c r="D37" i="9"/>
  <c r="G36" i="9"/>
  <c r="F36" i="9"/>
  <c r="E36" i="9"/>
  <c r="D36" i="9"/>
  <c r="C36" i="9"/>
  <c r="B36" i="9"/>
  <c r="G34" i="9"/>
  <c r="F34" i="9"/>
  <c r="E34" i="9"/>
  <c r="D34" i="9"/>
  <c r="G33" i="9"/>
  <c r="F33" i="9"/>
  <c r="D33" i="9"/>
  <c r="C33" i="9"/>
  <c r="B33" i="9"/>
  <c r="G25" i="9"/>
  <c r="G54" i="9" s="1"/>
  <c r="F25" i="9"/>
  <c r="F54" i="9" s="1"/>
  <c r="E25" i="9"/>
  <c r="E54" i="9" s="1"/>
  <c r="B25" i="9"/>
  <c r="B54" i="9" s="1"/>
  <c r="G24" i="9"/>
  <c r="F24" i="9"/>
  <c r="E24" i="9"/>
  <c r="E53" i="9" s="1"/>
  <c r="G23" i="9"/>
  <c r="G52" i="9" s="1"/>
  <c r="F23" i="9"/>
  <c r="F52" i="9" s="1"/>
  <c r="E23" i="9"/>
  <c r="E52" i="9" s="1"/>
  <c r="G20" i="9"/>
  <c r="G49" i="9" s="1"/>
  <c r="F20" i="9"/>
  <c r="F49" i="9" s="1"/>
  <c r="E20" i="9"/>
  <c r="G19" i="9"/>
  <c r="G48" i="9" s="1"/>
  <c r="F19" i="9"/>
  <c r="F48" i="9" s="1"/>
  <c r="E19" i="9"/>
  <c r="E48" i="9" s="1"/>
  <c r="G18" i="9"/>
  <c r="G47" i="9" s="1"/>
  <c r="F18" i="9"/>
  <c r="E18" i="9"/>
  <c r="B18" i="9"/>
  <c r="G17" i="9"/>
  <c r="F17" i="9"/>
  <c r="F46" i="9" s="1"/>
  <c r="E17" i="9"/>
  <c r="E46" i="9" s="1"/>
  <c r="G16" i="9"/>
  <c r="G45" i="9" s="1"/>
  <c r="F16" i="9"/>
  <c r="F45" i="9" s="1"/>
  <c r="E16" i="9"/>
  <c r="E45" i="9" s="1"/>
  <c r="B16" i="9"/>
  <c r="G15" i="9"/>
  <c r="G44" i="9" s="1"/>
  <c r="F15" i="9"/>
  <c r="E15" i="9"/>
  <c r="G8" i="9"/>
  <c r="G37" i="9" s="1"/>
  <c r="F8" i="9"/>
  <c r="F37" i="9" s="1"/>
  <c r="E8" i="9"/>
  <c r="F4" i="9"/>
  <c r="E4" i="9"/>
  <c r="E33" i="9" s="1"/>
  <c r="B39" i="8"/>
  <c r="C39" i="8"/>
  <c r="D39" i="8"/>
  <c r="E39" i="8"/>
  <c r="F39" i="8"/>
  <c r="G39" i="8"/>
  <c r="B40" i="8"/>
  <c r="C40" i="8"/>
  <c r="D40" i="8"/>
  <c r="E40" i="8"/>
  <c r="F40" i="8"/>
  <c r="G40" i="8"/>
  <c r="D41" i="8"/>
  <c r="E41" i="8"/>
  <c r="F41" i="8"/>
  <c r="G41" i="8"/>
  <c r="B42" i="8"/>
  <c r="C42" i="8"/>
  <c r="D42" i="8"/>
  <c r="E42" i="8"/>
  <c r="F42" i="8"/>
  <c r="G42" i="8"/>
  <c r="D43" i="8"/>
  <c r="E43" i="8"/>
  <c r="F43" i="8"/>
  <c r="G43" i="8"/>
  <c r="D44" i="8"/>
  <c r="D45" i="8"/>
  <c r="D46" i="8"/>
  <c r="C47" i="8"/>
  <c r="D47" i="8"/>
  <c r="E47" i="8"/>
  <c r="F47" i="8"/>
  <c r="D48" i="8"/>
  <c r="D49" i="8"/>
  <c r="E49" i="8"/>
  <c r="F49" i="8"/>
  <c r="G49" i="8"/>
  <c r="D50" i="8"/>
  <c r="E50" i="8"/>
  <c r="F50" i="8"/>
  <c r="G50" i="8"/>
  <c r="D51" i="8"/>
  <c r="E51" i="8"/>
  <c r="F51" i="8"/>
  <c r="G51" i="8"/>
  <c r="B52" i="8"/>
  <c r="C52" i="8"/>
  <c r="D52" i="8"/>
  <c r="C53" i="8"/>
  <c r="D53" i="8"/>
  <c r="E53" i="8"/>
  <c r="F53" i="8"/>
  <c r="C54" i="8"/>
  <c r="D54" i="8"/>
  <c r="F33" i="8"/>
  <c r="G33" i="8"/>
  <c r="B33" i="8" l="1"/>
  <c r="G52" i="7"/>
  <c r="F52" i="7"/>
  <c r="E52" i="7"/>
  <c r="D52" i="7"/>
  <c r="G51" i="7"/>
  <c r="F51" i="7"/>
  <c r="E51" i="7"/>
  <c r="D51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C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C41" i="7"/>
  <c r="B41" i="7"/>
  <c r="G40" i="7"/>
  <c r="F40" i="7"/>
  <c r="E40" i="7"/>
  <c r="D40" i="7"/>
  <c r="G39" i="7"/>
  <c r="F39" i="7"/>
  <c r="E39" i="7"/>
  <c r="D39" i="7"/>
  <c r="C39" i="7"/>
  <c r="B39" i="7"/>
  <c r="G38" i="7"/>
  <c r="F38" i="7"/>
  <c r="E38" i="7"/>
  <c r="D38" i="7"/>
  <c r="C38" i="7"/>
  <c r="B38" i="7"/>
  <c r="G36" i="7"/>
  <c r="F36" i="7"/>
  <c r="E36" i="7"/>
  <c r="D36" i="7"/>
  <c r="G35" i="7"/>
  <c r="F35" i="7"/>
  <c r="E35" i="7"/>
  <c r="D35" i="7"/>
  <c r="C35" i="7"/>
  <c r="B35" i="7"/>
  <c r="G33" i="7"/>
  <c r="F33" i="7"/>
  <c r="E33" i="7"/>
  <c r="D33" i="7"/>
  <c r="C33" i="7"/>
  <c r="B33" i="7"/>
  <c r="G32" i="7"/>
  <c r="F32" i="7"/>
  <c r="E32" i="7"/>
  <c r="D32" i="7"/>
  <c r="C32" i="7"/>
  <c r="B32" i="7"/>
  <c r="G52" i="6"/>
  <c r="F52" i="6"/>
  <c r="E52" i="6"/>
  <c r="D52" i="6"/>
  <c r="G51" i="6"/>
  <c r="F51" i="6"/>
  <c r="E51" i="6"/>
  <c r="D51" i="6"/>
  <c r="G50" i="6"/>
  <c r="F50" i="6"/>
  <c r="E50" i="6"/>
  <c r="D50" i="6"/>
  <c r="C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C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C41" i="6"/>
  <c r="B41" i="6"/>
  <c r="G40" i="6"/>
  <c r="F40" i="6"/>
  <c r="E40" i="6"/>
  <c r="D40" i="6"/>
  <c r="C40" i="6"/>
  <c r="B40" i="6"/>
  <c r="G39" i="6"/>
  <c r="F39" i="6"/>
  <c r="E39" i="6"/>
  <c r="D39" i="6"/>
  <c r="C39" i="6"/>
  <c r="B39" i="6"/>
  <c r="G38" i="6"/>
  <c r="F38" i="6"/>
  <c r="E38" i="6"/>
  <c r="D38" i="6"/>
  <c r="C38" i="6"/>
  <c r="B38" i="6"/>
  <c r="G36" i="6"/>
  <c r="F36" i="6"/>
  <c r="E36" i="6"/>
  <c r="D36" i="6"/>
  <c r="G35" i="6"/>
  <c r="F35" i="6"/>
  <c r="E35" i="6"/>
  <c r="D35" i="6"/>
  <c r="C35" i="6"/>
  <c r="B35" i="6"/>
  <c r="G33" i="6"/>
  <c r="F33" i="6"/>
  <c r="E33" i="6"/>
  <c r="D33" i="6"/>
  <c r="C33" i="6"/>
  <c r="B33" i="6"/>
  <c r="G32" i="6"/>
  <c r="F32" i="6"/>
  <c r="E32" i="6"/>
  <c r="D32" i="6"/>
  <c r="C32" i="6"/>
  <c r="B32" i="6"/>
  <c r="G25" i="8"/>
  <c r="G54" i="8" s="1"/>
  <c r="F25" i="8"/>
  <c r="F54" i="8" s="1"/>
  <c r="E25" i="8"/>
  <c r="E54" i="8" s="1"/>
  <c r="B25" i="8"/>
  <c r="B54" i="8" s="1"/>
  <c r="G24" i="8" l="1"/>
  <c r="G53" i="8" s="1"/>
  <c r="G23" i="8" l="1"/>
  <c r="G52" i="8" s="1"/>
  <c r="F23" i="8"/>
  <c r="F52" i="8" s="1"/>
  <c r="E23" i="8"/>
  <c r="E52" i="8" s="1"/>
  <c r="G19" i="8" l="1"/>
  <c r="G48" i="8" s="1"/>
  <c r="F19" i="8"/>
  <c r="F48" i="8" s="1"/>
  <c r="E19" i="8"/>
  <c r="E48" i="8" s="1"/>
  <c r="G18" i="8" l="1"/>
  <c r="G47" i="8" s="1"/>
  <c r="B18" i="8"/>
  <c r="B47" i="8" s="1"/>
  <c r="G17" i="8"/>
  <c r="G46" i="8" s="1"/>
  <c r="F17" i="8"/>
  <c r="F46" i="8" s="1"/>
  <c r="E17" i="8"/>
  <c r="E46" i="8" s="1"/>
  <c r="G16" i="8" l="1"/>
  <c r="G45" i="8" s="1"/>
  <c r="F16" i="8"/>
  <c r="F45" i="8" s="1"/>
  <c r="E16" i="8"/>
  <c r="E45" i="8" s="1"/>
  <c r="G15" i="8"/>
  <c r="G44" i="8" s="1"/>
  <c r="F15" i="8"/>
  <c r="F44" i="8" s="1"/>
  <c r="E15" i="8"/>
  <c r="E44" i="8" s="1"/>
  <c r="G8" i="8" l="1"/>
  <c r="G37" i="8" s="1"/>
  <c r="F8" i="8"/>
  <c r="F37" i="8" s="1"/>
  <c r="E8" i="8"/>
  <c r="E37" i="8" s="1"/>
  <c r="D8" i="8"/>
  <c r="D37" i="8" s="1"/>
  <c r="G7" i="8" l="1"/>
  <c r="G36" i="8" s="1"/>
  <c r="F7" i="8"/>
  <c r="F36" i="8" s="1"/>
  <c r="D7" i="8"/>
  <c r="D36" i="8" s="1"/>
  <c r="E7" i="8"/>
  <c r="E36" i="8" s="1"/>
  <c r="C7" i="8"/>
  <c r="C36" i="8" s="1"/>
  <c r="B7" i="8"/>
  <c r="B36" i="8" s="1"/>
  <c r="G5" i="8" l="1"/>
  <c r="G34" i="8" s="1"/>
  <c r="E5" i="8"/>
  <c r="E34" i="8" s="1"/>
  <c r="D5" i="8"/>
  <c r="D34" i="8" s="1"/>
  <c r="C4" i="8" l="1"/>
  <c r="C33" i="8" s="1"/>
  <c r="E4" i="8"/>
  <c r="E33" i="8" s="1"/>
  <c r="D4" i="8"/>
  <c r="D33" i="8" s="1"/>
  <c r="M5" i="8" l="1"/>
  <c r="F34" i="8" s="1"/>
  <c r="F5" i="7"/>
  <c r="G24" i="7" l="1"/>
  <c r="F24" i="7"/>
  <c r="E24" i="7"/>
  <c r="B24" i="7"/>
  <c r="G23" i="7" l="1"/>
  <c r="F23" i="7"/>
  <c r="E23" i="7"/>
  <c r="G22" i="7" l="1"/>
  <c r="E22" i="7"/>
  <c r="F22" i="7"/>
  <c r="G19" i="7" l="1"/>
  <c r="F19" i="7"/>
  <c r="E19" i="7"/>
  <c r="G18" i="7" l="1"/>
  <c r="F18" i="7"/>
  <c r="E18" i="7"/>
  <c r="G17" i="7"/>
  <c r="F17" i="7"/>
  <c r="E17" i="7"/>
  <c r="G8" i="7" l="1"/>
  <c r="F8" i="7"/>
  <c r="E8" i="7"/>
  <c r="D8" i="7"/>
  <c r="G7" i="7" l="1"/>
  <c r="F7" i="7"/>
  <c r="E7" i="7"/>
  <c r="D7" i="7"/>
  <c r="C7" i="7"/>
  <c r="B7" i="7"/>
  <c r="G5" i="7" l="1"/>
  <c r="E5" i="7"/>
  <c r="D5" i="7"/>
  <c r="F4" i="7" l="1"/>
  <c r="E4" i="7"/>
  <c r="D4" i="7"/>
  <c r="C4" i="7"/>
  <c r="G24" i="6" l="1"/>
  <c r="F24" i="6"/>
  <c r="E24" i="6"/>
  <c r="B24" i="6"/>
  <c r="G23" i="6" l="1"/>
  <c r="F23" i="6"/>
  <c r="E23" i="6"/>
  <c r="G22" i="6" l="1"/>
  <c r="F22" i="6"/>
  <c r="E22" i="6"/>
  <c r="G19" i="6" l="1"/>
  <c r="F19" i="6"/>
  <c r="E19" i="6"/>
  <c r="G18" i="6" l="1"/>
  <c r="F18" i="6"/>
  <c r="E18" i="6"/>
  <c r="G17" i="6"/>
  <c r="F17" i="6"/>
  <c r="E17" i="6"/>
  <c r="G15" i="6" l="1"/>
  <c r="F15" i="6"/>
  <c r="E15" i="6"/>
  <c r="G8" i="6" l="1"/>
  <c r="F8" i="6"/>
  <c r="E8" i="6"/>
  <c r="D8" i="6"/>
  <c r="G7" i="6" l="1"/>
  <c r="F7" i="6"/>
  <c r="E7" i="6"/>
  <c r="D7" i="6"/>
  <c r="C7" i="6"/>
  <c r="B7" i="6"/>
  <c r="G5" i="6" l="1"/>
  <c r="E5" i="6"/>
  <c r="F5" i="6" s="1"/>
  <c r="D5" i="6"/>
  <c r="C5" i="6"/>
  <c r="F4" i="6" l="1"/>
  <c r="E4" i="6"/>
  <c r="D4" i="6"/>
  <c r="C4" i="6"/>
  <c r="G24" i="5" l="1"/>
  <c r="F24" i="5"/>
  <c r="E24" i="5"/>
  <c r="B24" i="5"/>
  <c r="G23" i="5" l="1"/>
  <c r="F23" i="5"/>
  <c r="E23" i="5"/>
  <c r="G22" i="5" l="1"/>
  <c r="F22" i="5"/>
  <c r="E22" i="5"/>
  <c r="G21" i="5"/>
  <c r="F21" i="5"/>
  <c r="E21" i="5"/>
  <c r="G20" i="5" l="1"/>
  <c r="F20" i="5"/>
  <c r="E20" i="5"/>
  <c r="G19" i="5" l="1"/>
  <c r="F19" i="5"/>
  <c r="E19" i="5"/>
  <c r="G15" i="5" l="1"/>
  <c r="F15" i="5"/>
  <c r="E15" i="5"/>
  <c r="F8" i="5" l="1"/>
  <c r="G8" i="5"/>
  <c r="E8" i="5"/>
  <c r="D8" i="5"/>
  <c r="G7" i="5" l="1"/>
  <c r="F7" i="5"/>
  <c r="E7" i="5"/>
  <c r="D7" i="5"/>
  <c r="C7" i="5"/>
  <c r="B7" i="5"/>
  <c r="G5" i="5" l="1"/>
  <c r="F5" i="5"/>
  <c r="E5" i="5"/>
  <c r="D5" i="5"/>
  <c r="G4" i="5" l="1"/>
  <c r="F4" i="5"/>
  <c r="E4" i="5"/>
  <c r="D4" i="5"/>
  <c r="C4" i="5"/>
  <c r="B4" i="5"/>
  <c r="G19" i="2"/>
  <c r="E19" i="2"/>
  <c r="G15" i="2"/>
  <c r="E15" i="2"/>
  <c r="G4" i="2"/>
  <c r="E4" i="2"/>
  <c r="G4" i="4"/>
  <c r="F4" i="4"/>
  <c r="E4" i="4"/>
  <c r="F19" i="2" l="1"/>
  <c r="F15" i="2" l="1"/>
  <c r="F8" i="2" l="1"/>
  <c r="F4" i="2" l="1"/>
  <c r="G7" i="2" l="1"/>
  <c r="E7" i="2"/>
  <c r="D7" i="2"/>
  <c r="C7" i="2"/>
  <c r="B7" i="2"/>
  <c r="G5" i="2" l="1"/>
  <c r="E5" i="2" l="1"/>
  <c r="D5" i="2"/>
  <c r="D4" i="2" l="1"/>
  <c r="C4" i="2"/>
</calcChain>
</file>

<file path=xl/sharedStrings.xml><?xml version="1.0" encoding="utf-8"?>
<sst xmlns="http://schemas.openxmlformats.org/spreadsheetml/2006/main" count="614" uniqueCount="62">
  <si>
    <t>PnL</t>
  </si>
  <si>
    <t>Dashboard</t>
  </si>
  <si>
    <t>Daily Report Dini</t>
  </si>
  <si>
    <t>Gross Revenue</t>
  </si>
  <si>
    <t>Revenue After Sharing</t>
  </si>
  <si>
    <t>PAKISTAN JAZZ</t>
  </si>
  <si>
    <t>PAKISTAN JAZZ EVOLVE</t>
  </si>
  <si>
    <t>MO</t>
  </si>
  <si>
    <t>LAOS LTC</t>
  </si>
  <si>
    <t>LAOS UNITEL</t>
  </si>
  <si>
    <t>CYBERUS - DOOCLIP 2</t>
  </si>
  <si>
    <t>CYBERUS - SERMRACK</t>
  </si>
  <si>
    <t>TH QR - AIS</t>
  </si>
  <si>
    <t>TH QR - TRUE</t>
  </si>
  <si>
    <t>TH MAKRO - AIS</t>
  </si>
  <si>
    <t>TL GEMEZZ</t>
  </si>
  <si>
    <t>TL SCRELLO</t>
  </si>
  <si>
    <t>KENYA - SAFARICOM</t>
  </si>
  <si>
    <t>AE - ETISALAT</t>
  </si>
  <si>
    <t>KUWAIT - VIVO</t>
  </si>
  <si>
    <t>CAMBODIA - SMART</t>
  </si>
  <si>
    <t>COST</t>
  </si>
  <si>
    <t>ACTIVE SUBS</t>
  </si>
  <si>
    <t>GROSS REVENUE</t>
  </si>
  <si>
    <t>PNL</t>
  </si>
  <si>
    <t>SMARTFREN</t>
  </si>
  <si>
    <t>TH CYBERUS</t>
  </si>
  <si>
    <t>THREE</t>
  </si>
  <si>
    <t>TELCOMCELL</t>
  </si>
  <si>
    <t>INDOSAT</t>
  </si>
  <si>
    <t>KE SAFARICOM</t>
  </si>
  <si>
    <t>PK JAZZ</t>
  </si>
  <si>
    <t>AE ETISALAT</t>
  </si>
  <si>
    <t>TH AIS MAKRO</t>
  </si>
  <si>
    <t>KW VIVA</t>
  </si>
  <si>
    <t>TSEL TELESAT</t>
  </si>
  <si>
    <t>XL PASS</t>
  </si>
  <si>
    <t>Rev. After Sharing</t>
  </si>
  <si>
    <t>XL Axiata LINKIT</t>
  </si>
  <si>
    <t>TH AIS cm</t>
  </si>
  <si>
    <t>PASS TELESAT</t>
  </si>
  <si>
    <t>ISAT PASS</t>
  </si>
  <si>
    <t>XL YATTA</t>
  </si>
  <si>
    <t>ISAT YATTA</t>
  </si>
  <si>
    <t>ISAT WAKI</t>
  </si>
  <si>
    <t>TELKOMSEL</t>
  </si>
  <si>
    <t>XL WAKI</t>
  </si>
  <si>
    <t>high percentage because different rev share</t>
  </si>
  <si>
    <t>calculation already correct but have high percentage only</t>
  </si>
  <si>
    <t>waiting for data comparison</t>
  </si>
  <si>
    <t>something wrong with data or calculation</t>
  </si>
  <si>
    <t>harus minta waki kirim ulang data</t>
  </si>
  <si>
    <t>harus minta ganti nama service di waki</t>
  </si>
  <si>
    <t>CALCULATION ISSUE</t>
  </si>
  <si>
    <t>usd converter issue</t>
  </si>
  <si>
    <t>need to finish the double operator issue</t>
  </si>
  <si>
    <t>new operator no data yet</t>
  </si>
  <si>
    <t>checking from source</t>
  </si>
  <si>
    <t>new operator</t>
  </si>
  <si>
    <t xml:space="preserve">mbak dini input wrong number </t>
  </si>
  <si>
    <t>ada 1 service ga kekirim</t>
  </si>
  <si>
    <t>ada service baru yg blm masuk ke wakicamp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</si>
</sst>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164" formatCode="_-[$$-409]* #,##0.00_ ;_-[$$-409]* \-#,##0.00\ ;_-[$$-409]* &quot;-&quot;??_ ;_-@_ "/>
    <numFmt numFmtId="165" formatCode="[$$-409]#,##0.00;[Red][$$-409]#,##0.00"/>
    <numFmt numFmtId="166" formatCode="[$$-409]#,##0.00_ ;[Red]\-[$$-409]#,##0.00\ "/>
    <numFmt numFmtId="167" formatCode="_-* #,##0.000_-;\-* #,##0.0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E7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FDFE"/>
        <bgColor indexed="64"/>
      </patternFill>
    </fill>
    <fill>
      <patternFill patternType="solid">
        <fgColor rgb="FF15D4B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E6E6E6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66">
    <xf numFmtId="0" fontId="0" fillId="0" borderId="0" xfId="0"/>
    <xf numFmtId="0" fontId="0" fillId="7" borderId="0" xfId="0" applyFill="1"/>
    <xf numFmtId="164" fontId="0" fillId="0" borderId="0" xfId="0" applyNumberFormat="1"/>
    <xf numFmtId="41" fontId="0" fillId="0" borderId="0" xfId="1" applyFont="1"/>
    <xf numFmtId="164" fontId="0" fillId="0" borderId="0" xfId="2" applyNumberFormat="1" applyFont="1"/>
    <xf numFmtId="41" fontId="0" fillId="4" borderId="0" xfId="1" applyFon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0" borderId="0" xfId="0" applyNumberFormat="1"/>
    <xf numFmtId="164" fontId="0" fillId="8" borderId="0" xfId="0" applyNumberFormat="1" applyFill="1"/>
    <xf numFmtId="164" fontId="0" fillId="0" borderId="0" xfId="0" applyNumberFormat="1" applyFill="1"/>
    <xf numFmtId="16" fontId="0" fillId="0" borderId="0" xfId="0" applyNumberFormat="1"/>
    <xf numFmtId="164" fontId="0" fillId="9" borderId="1" xfId="0" applyNumberFormat="1" applyFill="1" applyBorder="1" applyAlignment="1">
      <alignment horizontal="center"/>
    </xf>
    <xf numFmtId="41" fontId="0" fillId="9" borderId="1" xfId="1" applyFont="1" applyFill="1" applyBorder="1" applyAlignment="1">
      <alignment horizontal="center"/>
    </xf>
    <xf numFmtId="164" fontId="0" fillId="9" borderId="1" xfId="0" applyNumberFormat="1" applyFill="1" applyBorder="1"/>
    <xf numFmtId="0" fontId="0" fillId="0" borderId="1" xfId="0" applyBorder="1"/>
    <xf numFmtId="0" fontId="0" fillId="8" borderId="1" xfId="0" applyFill="1" applyBorder="1" applyAlignment="1">
      <alignment horizontal="center"/>
    </xf>
    <xf numFmtId="164" fontId="0" fillId="0" borderId="1" xfId="0" applyNumberFormat="1" applyBorder="1"/>
    <xf numFmtId="41" fontId="0" fillId="0" borderId="1" xfId="1" applyFont="1" applyBorder="1"/>
    <xf numFmtId="42" fontId="0" fillId="0" borderId="1" xfId="3" applyFont="1" applyBorder="1"/>
    <xf numFmtId="42" fontId="0" fillId="8" borderId="1" xfId="3" applyFont="1" applyFill="1" applyBorder="1"/>
    <xf numFmtId="164" fontId="0" fillId="0" borderId="1" xfId="1" applyNumberFormat="1" applyFont="1" applyBorder="1"/>
    <xf numFmtId="164" fontId="0" fillId="8" borderId="1" xfId="0" applyNumberFormat="1" applyFill="1" applyBorder="1"/>
    <xf numFmtId="164" fontId="0" fillId="0" borderId="1" xfId="2" applyNumberFormat="1" applyFont="1" applyBorder="1"/>
    <xf numFmtId="164" fontId="0" fillId="8" borderId="1" xfId="2" applyNumberFormat="1" applyFont="1" applyFill="1" applyBorder="1"/>
    <xf numFmtId="165" fontId="0" fillId="0" borderId="1" xfId="0" applyNumberFormat="1" applyBorder="1"/>
    <xf numFmtId="165" fontId="0" fillId="8" borderId="1" xfId="0" applyNumberFormat="1" applyFill="1" applyBorder="1"/>
    <xf numFmtId="164" fontId="0" fillId="10" borderId="1" xfId="0" applyNumberFormat="1" applyFill="1" applyBorder="1"/>
    <xf numFmtId="164" fontId="0" fillId="10" borderId="1" xfId="2" applyNumberFormat="1" applyFont="1" applyFill="1" applyBorder="1"/>
    <xf numFmtId="164" fontId="0" fillId="10" borderId="1" xfId="3" applyNumberFormat="1" applyFont="1" applyFill="1" applyBorder="1"/>
    <xf numFmtId="164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11" borderId="1" xfId="0" applyNumberFormat="1" applyFill="1" applyBorder="1"/>
    <xf numFmtId="9" fontId="0" fillId="12" borderId="1" xfId="0" applyNumberFormat="1" applyFill="1" applyBorder="1"/>
    <xf numFmtId="9" fontId="0" fillId="13" borderId="1" xfId="0" applyNumberFormat="1" applyFill="1" applyBorder="1"/>
    <xf numFmtId="9" fontId="0" fillId="14" borderId="1" xfId="0" applyNumberFormat="1" applyFill="1" applyBorder="1"/>
    <xf numFmtId="164" fontId="0" fillId="11" borderId="0" xfId="0" applyNumberFormat="1" applyFill="1"/>
    <xf numFmtId="164" fontId="0" fillId="14" borderId="0" xfId="0" applyNumberFormat="1" applyFill="1"/>
    <xf numFmtId="9" fontId="0" fillId="15" borderId="1" xfId="0" applyNumberFormat="1" applyFill="1" applyBorder="1"/>
    <xf numFmtId="15" fontId="0" fillId="0" borderId="1" xfId="0" applyNumberFormat="1" applyBorder="1"/>
    <xf numFmtId="164" fontId="0" fillId="16" borderId="1" xfId="0" applyNumberFormat="1" applyFill="1" applyBorder="1"/>
    <xf numFmtId="41" fontId="0" fillId="16" borderId="1" xfId="1" applyFont="1" applyFill="1" applyBorder="1"/>
    <xf numFmtId="164" fontId="0" fillId="16" borderId="1" xfId="1" applyNumberFormat="1" applyFont="1" applyFill="1" applyBorder="1"/>
    <xf numFmtId="165" fontId="0" fillId="16" borderId="1" xfId="0" applyNumberFormat="1" applyFill="1" applyBorder="1"/>
    <xf numFmtId="9" fontId="0" fillId="17" borderId="1" xfId="0" applyNumberFormat="1" applyFill="1" applyBorder="1"/>
    <xf numFmtId="9" fontId="0" fillId="16" borderId="1" xfId="0" applyNumberFormat="1" applyFill="1" applyBorder="1"/>
    <xf numFmtId="164" fontId="0" fillId="16" borderId="0" xfId="0" applyNumberFormat="1" applyFill="1"/>
    <xf numFmtId="164" fontId="0" fillId="11" borderId="1" xfId="0" applyNumberFormat="1" applyFill="1" applyBorder="1"/>
    <xf numFmtId="41" fontId="0" fillId="0" borderId="1" xfId="1" applyFont="1" applyFill="1" applyBorder="1"/>
    <xf numFmtId="164" fontId="0" fillId="0" borderId="1" xfId="1" applyNumberFormat="1" applyFont="1" applyFill="1" applyBorder="1"/>
    <xf numFmtId="41" fontId="0" fillId="0" borderId="2" xfId="1" applyFont="1" applyBorder="1"/>
    <xf numFmtId="0" fontId="0" fillId="0" borderId="0" xfId="0" applyFill="1"/>
    <xf numFmtId="9" fontId="0" fillId="18" borderId="1" xfId="0" applyNumberFormat="1" applyFill="1" applyBorder="1"/>
    <xf numFmtId="164" fontId="0" fillId="18" borderId="0" xfId="0" applyNumberFormat="1" applyFill="1"/>
    <xf numFmtId="167" fontId="0" fillId="0" borderId="1" xfId="1" applyNumberFormat="1" applyFont="1" applyBorder="1"/>
    <xf numFmtId="41" fontId="0" fillId="0" borderId="1" xfId="1" applyNumberFormat="1" applyFont="1" applyBorder="1"/>
    <xf numFmtId="0" fontId="0" fillId="15" borderId="0" xfId="0" applyFill="1"/>
    <xf numFmtId="14" fontId="2" fillId="0" borderId="1" xfId="0" applyNumberFormat="1" applyFont="1" applyBorder="1"/>
    <xf numFmtId="0" fontId="3" fillId="20" borderId="3" xfId="0" applyFont="1" applyFill="1" applyBorder="1" applyAlignment="1">
      <alignment vertical="top" wrapText="1"/>
    </xf>
    <xf numFmtId="0" fontId="3" fillId="19" borderId="3" xfId="0" applyFont="1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Comma [0]" xfId="1" builtinId="6"/>
    <cellStyle name="Currency [0]" xfId="3" builtinId="7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DA996-5FEE-4201-A267-52A98417945D}">
  <dimension ref="A2:H18"/>
  <sheetViews>
    <sheetView workbookViewId="0">
      <selection sqref="A1:XFD1048576"/>
    </sheetView>
  </sheetViews>
  <sheetFormatPr defaultRowHeight="15" x14ac:dyDescent="0.25"/>
  <cols>
    <col min="1" max="1" width="20.140625" bestFit="1" customWidth="1"/>
    <col min="2" max="2" width="8.85546875" style="3"/>
    <col min="3" max="3" width="13.140625" style="2" bestFit="1" customWidth="1"/>
    <col min="4" max="4" width="19.140625" style="2" bestFit="1" customWidth="1"/>
    <col min="5" max="5" width="11.42578125" style="2" bestFit="1" customWidth="1"/>
    <col min="6" max="6" width="10.140625" style="3" bestFit="1" customWidth="1"/>
    <col min="7" max="7" width="13.7109375" style="2" bestFit="1" customWidth="1"/>
  </cols>
  <sheetData>
    <row r="2" spans="1:8" x14ac:dyDescent="0.25">
      <c r="B2" s="62" t="s">
        <v>2</v>
      </c>
      <c r="C2" s="62"/>
      <c r="D2" s="62"/>
      <c r="E2" s="62"/>
      <c r="F2" s="63" t="s">
        <v>1</v>
      </c>
      <c r="G2" s="63"/>
      <c r="H2" s="63"/>
    </row>
    <row r="3" spans="1:8" x14ac:dyDescent="0.25">
      <c r="B3" s="5" t="s">
        <v>7</v>
      </c>
      <c r="C3" s="6" t="s">
        <v>3</v>
      </c>
      <c r="D3" s="7" t="s">
        <v>4</v>
      </c>
      <c r="E3" s="8" t="s">
        <v>0</v>
      </c>
      <c r="F3" s="5" t="s">
        <v>7</v>
      </c>
      <c r="G3" s="6" t="s">
        <v>3</v>
      </c>
      <c r="H3" s="1" t="s">
        <v>0</v>
      </c>
    </row>
    <row r="4" spans="1:8" x14ac:dyDescent="0.25">
      <c r="A4" t="s">
        <v>5</v>
      </c>
      <c r="B4" s="3">
        <v>8002</v>
      </c>
      <c r="C4" s="2">
        <v>2402.7082527135999</v>
      </c>
      <c r="D4" s="2">
        <v>1441.6249516281598</v>
      </c>
      <c r="E4" s="2">
        <v>725.90320332363376</v>
      </c>
      <c r="F4" s="3">
        <v>7613</v>
      </c>
      <c r="G4" s="2">
        <v>368336</v>
      </c>
    </row>
    <row r="5" spans="1:8" x14ac:dyDescent="0.25">
      <c r="A5" t="s">
        <v>6</v>
      </c>
      <c r="B5" s="3">
        <v>2074</v>
      </c>
      <c r="C5" s="2">
        <v>712.00101479</v>
      </c>
      <c r="D5" s="2">
        <v>284.80040591599999</v>
      </c>
      <c r="E5" s="2">
        <v>249.15139373852</v>
      </c>
      <c r="F5" s="3">
        <v>2089</v>
      </c>
      <c r="G5" s="2">
        <v>130375.96</v>
      </c>
    </row>
    <row r="6" spans="1:8" x14ac:dyDescent="0.25">
      <c r="A6" t="s">
        <v>8</v>
      </c>
      <c r="B6" s="3">
        <v>438</v>
      </c>
      <c r="C6" s="4">
        <v>344.86815772079996</v>
      </c>
      <c r="D6" s="2">
        <v>206.92089463247996</v>
      </c>
      <c r="E6" s="2">
        <v>126.58013359863355</v>
      </c>
      <c r="F6" s="3">
        <v>460</v>
      </c>
      <c r="G6" s="2">
        <v>3473526</v>
      </c>
    </row>
    <row r="7" spans="1:8" x14ac:dyDescent="0.25">
      <c r="A7" t="s">
        <v>9</v>
      </c>
      <c r="B7" s="3">
        <v>1</v>
      </c>
      <c r="C7" s="2">
        <v>55.303566480000001</v>
      </c>
      <c r="D7" s="2">
        <v>35.947318211999999</v>
      </c>
      <c r="E7" s="2">
        <v>14.683096900439999</v>
      </c>
      <c r="F7" s="3">
        <v>7</v>
      </c>
      <c r="G7" s="2">
        <v>521000</v>
      </c>
    </row>
    <row r="8" spans="1:8" x14ac:dyDescent="0.25">
      <c r="A8" t="s">
        <v>10</v>
      </c>
      <c r="B8" s="3">
        <v>0</v>
      </c>
      <c r="C8" s="2">
        <v>1389.2661125100001</v>
      </c>
      <c r="D8" s="2">
        <v>694.63305625500004</v>
      </c>
      <c r="E8" s="4">
        <v>222.2825780016</v>
      </c>
      <c r="F8" s="3">
        <v>0</v>
      </c>
      <c r="G8" s="2">
        <v>43345</v>
      </c>
    </row>
    <row r="9" spans="1:8" x14ac:dyDescent="0.25">
      <c r="A9" t="s">
        <v>11</v>
      </c>
      <c r="B9" s="3">
        <v>0</v>
      </c>
      <c r="C9" s="2">
        <v>1963.7867046600002</v>
      </c>
      <c r="D9" s="2">
        <v>981.89335233000008</v>
      </c>
      <c r="E9" s="2">
        <v>314.2058727456</v>
      </c>
      <c r="F9" s="3">
        <v>0</v>
      </c>
      <c r="G9" s="2">
        <v>61270</v>
      </c>
    </row>
    <row r="10" spans="1:8" x14ac:dyDescent="0.25">
      <c r="A10" t="s">
        <v>12</v>
      </c>
      <c r="B10" s="3">
        <v>21</v>
      </c>
      <c r="C10" s="2">
        <v>252.692906472</v>
      </c>
      <c r="D10" s="2">
        <v>101.07716258880001</v>
      </c>
      <c r="E10" s="2">
        <v>53.497519700083203</v>
      </c>
      <c r="F10" s="3">
        <v>52</v>
      </c>
      <c r="G10" s="2">
        <v>7884</v>
      </c>
    </row>
    <row r="11" spans="1:8" x14ac:dyDescent="0.25">
      <c r="A11" t="s">
        <v>13</v>
      </c>
      <c r="B11" s="3">
        <v>0</v>
      </c>
      <c r="C11" s="2">
        <v>1.4423111100000001</v>
      </c>
      <c r="D11" s="2">
        <v>0.57692444400000009</v>
      </c>
      <c r="E11" s="2">
        <v>0.37903935970800007</v>
      </c>
      <c r="F11" s="3">
        <v>0</v>
      </c>
      <c r="G11" s="2">
        <v>45</v>
      </c>
    </row>
    <row r="12" spans="1:8" x14ac:dyDescent="0.25">
      <c r="A12" t="s">
        <v>14</v>
      </c>
      <c r="B12" s="3">
        <v>24</v>
      </c>
      <c r="C12" s="2">
        <v>37.596242934000003</v>
      </c>
      <c r="D12" s="2">
        <v>15.038497173600001</v>
      </c>
      <c r="E12" s="2">
        <v>6.7908832568437854</v>
      </c>
      <c r="F12" s="3">
        <v>24</v>
      </c>
      <c r="G12" s="2">
        <v>1164</v>
      </c>
    </row>
    <row r="13" spans="1:8" x14ac:dyDescent="0.25">
      <c r="A13" t="s">
        <v>15</v>
      </c>
      <c r="B13" s="3">
        <v>35</v>
      </c>
      <c r="C13" s="2">
        <v>22.4</v>
      </c>
      <c r="D13" s="2">
        <v>10.08</v>
      </c>
      <c r="E13" s="2">
        <v>4.5275999999999996</v>
      </c>
      <c r="F13" s="3">
        <v>36</v>
      </c>
      <c r="G13" s="2">
        <v>22.4</v>
      </c>
    </row>
    <row r="14" spans="1:8" x14ac:dyDescent="0.25">
      <c r="A14" t="s">
        <v>16</v>
      </c>
      <c r="B14" s="3">
        <v>170</v>
      </c>
      <c r="C14" s="2">
        <v>22</v>
      </c>
      <c r="D14" s="2">
        <v>9.9</v>
      </c>
      <c r="E14" s="9">
        <v>-2.2319999999999993</v>
      </c>
      <c r="F14" s="3">
        <v>16</v>
      </c>
      <c r="G14" s="2">
        <v>22</v>
      </c>
    </row>
    <row r="15" spans="1:8" x14ac:dyDescent="0.25">
      <c r="A15" t="s">
        <v>17</v>
      </c>
      <c r="B15" s="3">
        <v>19</v>
      </c>
      <c r="C15" s="2">
        <v>42.301836816000005</v>
      </c>
      <c r="D15" s="2">
        <v>15.905490642816002</v>
      </c>
      <c r="E15" s="2">
        <v>6.8181364416076899</v>
      </c>
      <c r="F15" s="3">
        <v>19</v>
      </c>
      <c r="G15" s="2">
        <v>4560</v>
      </c>
    </row>
    <row r="16" spans="1:8" x14ac:dyDescent="0.25">
      <c r="A16" t="s">
        <v>18</v>
      </c>
      <c r="B16" s="3">
        <v>0</v>
      </c>
      <c r="C16" s="2">
        <v>38.938041999999996</v>
      </c>
      <c r="D16" s="2">
        <v>19.079640579999996</v>
      </c>
      <c r="E16" s="2">
        <v>12.363607095839996</v>
      </c>
      <c r="F16" s="3">
        <v>1</v>
      </c>
      <c r="G16" s="2">
        <v>140</v>
      </c>
    </row>
    <row r="17" spans="1:7" x14ac:dyDescent="0.25">
      <c r="A17" t="s">
        <v>19</v>
      </c>
      <c r="B17" s="3">
        <v>0</v>
      </c>
      <c r="C17" s="2">
        <v>16.923224940000001</v>
      </c>
      <c r="D17" s="2">
        <v>6.4308254772</v>
      </c>
      <c r="E17" s="9">
        <v>-0.82047232308266693</v>
      </c>
      <c r="F17" s="3">
        <v>0</v>
      </c>
      <c r="G17" s="2">
        <v>5100</v>
      </c>
    </row>
    <row r="18" spans="1:7" x14ac:dyDescent="0.25">
      <c r="A18" t="s">
        <v>20</v>
      </c>
      <c r="B18" s="3">
        <v>0</v>
      </c>
      <c r="C18" s="2">
        <v>218.95999999999998</v>
      </c>
      <c r="D18" s="2">
        <v>155.2374220653133</v>
      </c>
      <c r="E18" s="2">
        <v>48.061505871420991</v>
      </c>
      <c r="F18" s="3">
        <v>1</v>
      </c>
      <c r="G18" s="2">
        <v>220.16</v>
      </c>
    </row>
  </sheetData>
  <mergeCells count="2">
    <mergeCell ref="B2:E2"/>
    <mergeCell ref="F2:H2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7B54-7AA8-481A-9B20-A4F5E011D90D}">
  <dimension ref="A1:N58"/>
  <sheetViews>
    <sheetView topLeftCell="A16" workbookViewId="0">
      <selection activeCell="O14" sqref="O14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9.14062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7109375" style="2" bestFit="1" customWidth="1"/>
  </cols>
  <sheetData>
    <row r="1" spans="1:14" x14ac:dyDescent="0.25">
      <c r="A1" s="12">
        <v>44379</v>
      </c>
      <c r="H1" s="2"/>
    </row>
    <row r="2" spans="1:14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4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4" x14ac:dyDescent="0.25">
      <c r="A4" s="16" t="s">
        <v>25</v>
      </c>
      <c r="B4" s="18">
        <v>87.165000000000006</v>
      </c>
      <c r="C4" s="19">
        <v>4741</v>
      </c>
      <c r="D4" s="19">
        <v>801000</v>
      </c>
      <c r="E4" s="18">
        <f>6136000/14500</f>
        <v>423.17241379310343</v>
      </c>
      <c r="F4" s="28">
        <f>2607800/14500</f>
        <v>179.84827586206896</v>
      </c>
      <c r="G4" s="31">
        <v>49.17</v>
      </c>
      <c r="H4" s="21"/>
      <c r="I4" s="18">
        <v>86.99</v>
      </c>
      <c r="J4" s="19">
        <v>4686</v>
      </c>
      <c r="K4" s="19">
        <v>804085</v>
      </c>
      <c r="L4" s="22">
        <v>426.42</v>
      </c>
      <c r="M4" s="28">
        <v>181.23</v>
      </c>
      <c r="N4" s="32">
        <v>50.1</v>
      </c>
    </row>
    <row r="5" spans="1:14" x14ac:dyDescent="0.25">
      <c r="A5" s="16" t="s">
        <v>26</v>
      </c>
      <c r="B5" s="18">
        <v>1.04</v>
      </c>
      <c r="C5" s="52">
        <v>2</v>
      </c>
      <c r="D5" s="19">
        <v>182055</v>
      </c>
      <c r="E5" s="18">
        <v>1841.35179221</v>
      </c>
      <c r="F5" s="28">
        <v>460.3379480525</v>
      </c>
      <c r="G5" s="18">
        <v>293.57628675360002</v>
      </c>
      <c r="H5" s="23"/>
      <c r="I5" s="18">
        <v>47.84</v>
      </c>
      <c r="J5" s="19">
        <v>227</v>
      </c>
      <c r="K5" s="19">
        <v>182055</v>
      </c>
      <c r="L5" s="22">
        <v>1929.29</v>
      </c>
      <c r="M5" s="28">
        <v>482.33</v>
      </c>
      <c r="N5" s="18">
        <v>260.85000000000002</v>
      </c>
    </row>
    <row r="6" spans="1:14" x14ac:dyDescent="0.25">
      <c r="A6" s="16" t="s">
        <v>27</v>
      </c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32"/>
    </row>
    <row r="7" spans="1:14" x14ac:dyDescent="0.25">
      <c r="A7" s="16" t="s">
        <v>28</v>
      </c>
      <c r="B7" s="18">
        <v>6.63</v>
      </c>
      <c r="C7" s="19">
        <v>110</v>
      </c>
      <c r="D7" s="19">
        <v>17746</v>
      </c>
      <c r="E7" s="18">
        <v>40.900000000000006</v>
      </c>
      <c r="F7" s="28">
        <v>18.405000000000001</v>
      </c>
      <c r="G7" s="18">
        <v>6.6216000000000017</v>
      </c>
      <c r="H7" s="23"/>
      <c r="I7" s="18">
        <v>6.63</v>
      </c>
      <c r="J7" s="19">
        <v>107</v>
      </c>
      <c r="K7" s="19">
        <v>17769</v>
      </c>
      <c r="L7" s="22">
        <v>40.9</v>
      </c>
      <c r="M7" s="28">
        <v>18.41</v>
      </c>
      <c r="N7" s="18">
        <v>6.62</v>
      </c>
    </row>
    <row r="8" spans="1:14" x14ac:dyDescent="0.25">
      <c r="A8" s="16" t="s">
        <v>29</v>
      </c>
      <c r="B8" s="18"/>
      <c r="C8" s="19"/>
      <c r="D8" s="19">
        <v>25308</v>
      </c>
      <c r="E8" s="31">
        <f>72000/14500</f>
        <v>4.9655172413793105</v>
      </c>
      <c r="F8" s="30">
        <f>28800/14500</f>
        <v>1.9862068965517241</v>
      </c>
      <c r="G8" s="31">
        <f>22176/14500</f>
        <v>1.5293793103448277</v>
      </c>
      <c r="H8" s="25"/>
      <c r="I8" s="24"/>
      <c r="J8" s="19"/>
      <c r="K8" s="19"/>
      <c r="L8" s="22"/>
      <c r="M8" s="28"/>
      <c r="N8" s="18"/>
    </row>
    <row r="9" spans="1:14" x14ac:dyDescent="0.25">
      <c r="A9" s="16" t="s">
        <v>39</v>
      </c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</row>
    <row r="10" spans="1:14" x14ac:dyDescent="0.25">
      <c r="A10" s="16" t="s">
        <v>30</v>
      </c>
      <c r="B10" s="18">
        <v>3.9000000000000004</v>
      </c>
      <c r="C10" s="19">
        <v>14</v>
      </c>
      <c r="D10" s="19">
        <v>6495</v>
      </c>
      <c r="E10" s="18">
        <v>33.075500577</v>
      </c>
      <c r="F10" s="28">
        <v>12.436388216952</v>
      </c>
      <c r="G10" s="32">
        <v>5.5965764201574952</v>
      </c>
      <c r="H10" s="23"/>
      <c r="I10" s="18">
        <v>3.9</v>
      </c>
      <c r="J10" s="19">
        <v>14</v>
      </c>
      <c r="K10" s="19">
        <v>6495</v>
      </c>
      <c r="L10" s="22">
        <v>32.840000000000003</v>
      </c>
      <c r="M10" s="28">
        <v>12.35</v>
      </c>
      <c r="N10" s="32">
        <v>5.53</v>
      </c>
    </row>
    <row r="11" spans="1:14" x14ac:dyDescent="0.25">
      <c r="A11" s="16" t="s">
        <v>31</v>
      </c>
      <c r="B11" s="18">
        <v>131.63</v>
      </c>
      <c r="C11" s="19">
        <v>10133</v>
      </c>
      <c r="D11" s="19">
        <v>3759380</v>
      </c>
      <c r="E11" s="18">
        <v>2320.7565847699998</v>
      </c>
      <c r="F11" s="28">
        <v>1183.5858582326998</v>
      </c>
      <c r="G11" s="18">
        <v>690.60322698754385</v>
      </c>
      <c r="H11" s="23"/>
      <c r="I11" s="18">
        <v>131.63</v>
      </c>
      <c r="J11" s="19">
        <v>10133</v>
      </c>
      <c r="K11" s="19">
        <v>3759380</v>
      </c>
      <c r="L11" s="22">
        <v>2345.1999999999998</v>
      </c>
      <c r="M11" s="28">
        <v>1407.12</v>
      </c>
      <c r="N11" s="18">
        <v>717.33</v>
      </c>
    </row>
    <row r="12" spans="1:14" x14ac:dyDescent="0.25">
      <c r="A12" s="16" t="s">
        <v>32</v>
      </c>
      <c r="B12" s="18"/>
      <c r="C12" s="19"/>
      <c r="D12" s="19"/>
      <c r="E12" s="18">
        <v>11.980936</v>
      </c>
      <c r="F12" s="28">
        <v>5.283592775999999</v>
      </c>
      <c r="G12" s="18">
        <v>3.8041867987199991</v>
      </c>
      <c r="H12" s="23"/>
      <c r="I12" s="18"/>
      <c r="J12" s="19"/>
      <c r="K12" s="19"/>
      <c r="L12" s="22"/>
      <c r="M12" s="28"/>
      <c r="N12" s="18"/>
    </row>
    <row r="13" spans="1:14" x14ac:dyDescent="0.25">
      <c r="A13" s="16" t="s">
        <v>8</v>
      </c>
      <c r="B13" s="18">
        <v>4.875</v>
      </c>
      <c r="C13" s="50">
        <v>48</v>
      </c>
      <c r="D13" s="50">
        <v>329289</v>
      </c>
      <c r="E13" s="18">
        <v>598.5898076087999</v>
      </c>
      <c r="F13" s="28">
        <v>359.15388456527995</v>
      </c>
      <c r="G13" s="18">
        <v>289.63118534352952</v>
      </c>
      <c r="H13" s="23"/>
      <c r="I13" s="18">
        <v>4.49</v>
      </c>
      <c r="J13" s="50">
        <v>46</v>
      </c>
      <c r="K13" s="50">
        <v>329289</v>
      </c>
      <c r="L13" s="51">
        <v>680.94</v>
      </c>
      <c r="M13" s="28">
        <v>272.38</v>
      </c>
      <c r="N13" s="18">
        <v>308.87</v>
      </c>
    </row>
    <row r="14" spans="1:14" x14ac:dyDescent="0.25">
      <c r="A14" s="16" t="s">
        <v>9</v>
      </c>
      <c r="B14" s="18"/>
      <c r="C14" s="50"/>
      <c r="D14" s="50">
        <v>29781</v>
      </c>
      <c r="E14" s="18">
        <v>81.055672319999999</v>
      </c>
      <c r="F14" s="28">
        <v>28.369485311999998</v>
      </c>
      <c r="G14" s="26">
        <v>21.520281000959997</v>
      </c>
      <c r="H14" s="23"/>
      <c r="I14" s="18"/>
      <c r="J14" s="50"/>
      <c r="K14" s="50">
        <v>29781</v>
      </c>
      <c r="L14" s="51">
        <v>81.38</v>
      </c>
      <c r="M14" s="28">
        <v>28</v>
      </c>
      <c r="N14" s="18">
        <v>21.61</v>
      </c>
    </row>
    <row r="15" spans="1:14" x14ac:dyDescent="0.25">
      <c r="A15" s="16" t="s">
        <v>36</v>
      </c>
      <c r="B15" s="18"/>
      <c r="C15" s="19"/>
      <c r="D15" s="19">
        <v>138763</v>
      </c>
      <c r="E15" s="31">
        <f>3084000/14500</f>
        <v>212.68965517241378</v>
      </c>
      <c r="F15" s="30">
        <f>1233600/14500</f>
        <v>85.07586206896552</v>
      </c>
      <c r="G15" s="31">
        <f>1233600/14500</f>
        <v>85.07586206896552</v>
      </c>
      <c r="H15" s="23"/>
      <c r="I15" s="18"/>
      <c r="J15" s="19"/>
      <c r="K15" s="19">
        <v>138763</v>
      </c>
      <c r="L15" s="22">
        <v>212.8</v>
      </c>
      <c r="M15" s="28">
        <v>85.12</v>
      </c>
      <c r="N15" s="32">
        <v>85.12</v>
      </c>
    </row>
    <row r="16" spans="1:14" x14ac:dyDescent="0.25">
      <c r="A16" s="16" t="s">
        <v>41</v>
      </c>
      <c r="B16" s="18">
        <f>1042808/14500</f>
        <v>71.917793103448275</v>
      </c>
      <c r="C16" s="19">
        <v>594</v>
      </c>
      <c r="D16" s="19">
        <v>145799</v>
      </c>
      <c r="E16" s="24">
        <f>3812850/14500</f>
        <v>262.95517241379309</v>
      </c>
      <c r="F16" s="29">
        <f>1525140/14500</f>
        <v>105.18206896551725</v>
      </c>
      <c r="G16" s="18">
        <f>482332/14500</f>
        <v>33.264275862068963</v>
      </c>
      <c r="H16" s="23"/>
      <c r="I16" s="18">
        <v>70.459999999999994</v>
      </c>
      <c r="J16" s="19">
        <v>572</v>
      </c>
      <c r="K16" s="19">
        <v>145799</v>
      </c>
      <c r="L16" s="24">
        <v>263.08999999999997</v>
      </c>
      <c r="M16" s="29">
        <v>105.23</v>
      </c>
      <c r="N16" s="32">
        <v>34.770000000000003</v>
      </c>
    </row>
    <row r="17" spans="1:14" x14ac:dyDescent="0.25">
      <c r="A17" s="16" t="s">
        <v>42</v>
      </c>
      <c r="B17" s="18"/>
      <c r="C17" s="19"/>
      <c r="D17" s="19">
        <v>212475</v>
      </c>
      <c r="E17" s="24">
        <f>14630000/14500</f>
        <v>1008.9655172413793</v>
      </c>
      <c r="F17" s="29">
        <f>5852000/14500</f>
        <v>403.58620689655174</v>
      </c>
      <c r="G17" s="18">
        <f>5852000/14500</f>
        <v>403.58620689655174</v>
      </c>
      <c r="H17" s="23"/>
      <c r="I17" s="18"/>
      <c r="J17" s="19"/>
      <c r="K17" s="19">
        <v>212475</v>
      </c>
      <c r="L17" s="22">
        <v>1009.47</v>
      </c>
      <c r="M17" s="28">
        <v>403.79</v>
      </c>
      <c r="N17" s="32">
        <v>403.79</v>
      </c>
    </row>
    <row r="18" spans="1:14" x14ac:dyDescent="0.25">
      <c r="A18" s="16" t="s">
        <v>43</v>
      </c>
      <c r="B18" s="18">
        <f>123136/14500</f>
        <v>8.4921379310344829</v>
      </c>
      <c r="C18" s="19">
        <v>318</v>
      </c>
      <c r="D18" s="19">
        <v>218225</v>
      </c>
      <c r="E18" s="24">
        <f>6853250/14500</f>
        <v>472.63793103448273</v>
      </c>
      <c r="F18" s="29">
        <f>2741300/14500</f>
        <v>189.05517241379312</v>
      </c>
      <c r="G18" s="18">
        <f>2618164/14500</f>
        <v>180.56303448275861</v>
      </c>
      <c r="H18" s="23"/>
      <c r="I18" s="18">
        <v>7.28</v>
      </c>
      <c r="J18" s="19">
        <v>280</v>
      </c>
      <c r="K18" s="19">
        <v>218225</v>
      </c>
      <c r="L18" s="22">
        <v>472.87</v>
      </c>
      <c r="M18" s="28">
        <v>189.15</v>
      </c>
      <c r="N18" s="32">
        <v>181.87</v>
      </c>
    </row>
    <row r="19" spans="1:14" x14ac:dyDescent="0.25">
      <c r="A19" s="16" t="s">
        <v>46</v>
      </c>
      <c r="B19" s="18"/>
      <c r="C19" s="19"/>
      <c r="D19" s="19">
        <v>166637</v>
      </c>
      <c r="E19" s="24">
        <f>3822000/14500</f>
        <v>263.58620689655174</v>
      </c>
      <c r="F19" s="29">
        <f>1528800/14500</f>
        <v>105.43448275862069</v>
      </c>
      <c r="G19" s="18">
        <f>1528800/14500</f>
        <v>105.43448275862069</v>
      </c>
      <c r="H19" s="23"/>
      <c r="I19" s="18"/>
      <c r="J19" s="19"/>
      <c r="K19" s="19">
        <v>166637</v>
      </c>
      <c r="L19" s="22">
        <v>263.72000000000003</v>
      </c>
      <c r="M19" s="28">
        <v>105.49</v>
      </c>
      <c r="N19" s="32">
        <v>105.49</v>
      </c>
    </row>
    <row r="20" spans="1:14" x14ac:dyDescent="0.25">
      <c r="A20" s="16" t="s">
        <v>44</v>
      </c>
      <c r="B20" s="18"/>
      <c r="C20" s="19"/>
      <c r="D20" s="19">
        <v>199665</v>
      </c>
      <c r="E20" s="24">
        <f>7664550/14500</f>
        <v>528.58965517241381</v>
      </c>
      <c r="F20" s="29">
        <f>3065820/14500</f>
        <v>211.43586206896552</v>
      </c>
      <c r="G20" s="18">
        <f>3065820/14500</f>
        <v>211.43586206896552</v>
      </c>
      <c r="H20" s="23"/>
      <c r="I20" s="18"/>
      <c r="J20" s="19"/>
      <c r="K20" s="19">
        <v>199665</v>
      </c>
      <c r="L20" s="24">
        <v>528.85</v>
      </c>
      <c r="M20" s="29">
        <v>211.54</v>
      </c>
      <c r="N20" s="32">
        <v>211.54</v>
      </c>
    </row>
    <row r="21" spans="1:14" x14ac:dyDescent="0.25">
      <c r="A21" s="16" t="s">
        <v>33</v>
      </c>
      <c r="B21" s="18"/>
      <c r="C21" s="19"/>
      <c r="D21" s="19">
        <v>13043</v>
      </c>
      <c r="E21" s="18">
        <v>18.13605183</v>
      </c>
      <c r="F21" s="28">
        <v>6.5289786587999998</v>
      </c>
      <c r="G21" s="18">
        <v>5.2825966328350802</v>
      </c>
      <c r="H21" s="23"/>
      <c r="I21" s="18"/>
      <c r="J21" s="19"/>
      <c r="K21" s="19">
        <v>13043</v>
      </c>
      <c r="L21" s="22">
        <v>18.989999999999998</v>
      </c>
      <c r="M21" s="28">
        <v>6.65</v>
      </c>
      <c r="N21" s="18">
        <v>4.84</v>
      </c>
    </row>
    <row r="22" spans="1:14" x14ac:dyDescent="0.25">
      <c r="A22" s="16" t="s">
        <v>34</v>
      </c>
      <c r="B22" s="18"/>
      <c r="C22" s="19"/>
      <c r="D22" s="19">
        <v>1661</v>
      </c>
      <c r="E22" s="18">
        <v>27.204884159999995</v>
      </c>
      <c r="F22" s="28">
        <v>10.337855980799999</v>
      </c>
      <c r="G22" s="32">
        <v>1.9925896395093314</v>
      </c>
      <c r="H22" s="27"/>
      <c r="I22" s="18"/>
      <c r="J22" s="19"/>
      <c r="K22" s="19">
        <v>1661</v>
      </c>
      <c r="L22" s="22">
        <v>27.06</v>
      </c>
      <c r="M22" s="28">
        <v>10.82</v>
      </c>
      <c r="N22" s="32">
        <v>2.52</v>
      </c>
    </row>
    <row r="23" spans="1:14" x14ac:dyDescent="0.25">
      <c r="A23" s="16" t="s">
        <v>35</v>
      </c>
      <c r="B23" s="18">
        <v>135.97999999999999</v>
      </c>
      <c r="C23" s="19">
        <v>2097</v>
      </c>
      <c r="D23" s="19">
        <v>97642</v>
      </c>
      <c r="E23" s="18">
        <f>6204000/14500</f>
        <v>427.86206896551727</v>
      </c>
      <c r="F23" s="28">
        <f>2636700/14500</f>
        <v>181.84137931034482</v>
      </c>
      <c r="G23" s="32">
        <f>(-17918)/14500</f>
        <v>-1.2357241379310344</v>
      </c>
      <c r="H23" s="23"/>
      <c r="I23" s="18"/>
      <c r="J23" s="19"/>
      <c r="K23" s="19"/>
      <c r="L23" s="22"/>
      <c r="M23" s="28"/>
      <c r="N23" s="18"/>
    </row>
    <row r="24" spans="1:14" x14ac:dyDescent="0.25">
      <c r="A24" s="16" t="s">
        <v>38</v>
      </c>
      <c r="B24" s="18"/>
      <c r="C24" s="19"/>
      <c r="D24" s="19">
        <v>24820</v>
      </c>
      <c r="E24" s="31">
        <f>372000/14500</f>
        <v>25.655172413793103</v>
      </c>
      <c r="F24" s="30">
        <f>148800/14500</f>
        <v>10.262068965517241</v>
      </c>
      <c r="G24" s="31">
        <f>114576/14500</f>
        <v>7.9017931034482762</v>
      </c>
      <c r="H24" s="23"/>
      <c r="I24" s="18"/>
      <c r="J24" s="19"/>
      <c r="K24" s="19"/>
      <c r="L24" s="22"/>
      <c r="M24" s="28"/>
      <c r="N24" s="32"/>
    </row>
    <row r="25" spans="1:14" x14ac:dyDescent="0.25">
      <c r="A25" s="16" t="s">
        <v>45</v>
      </c>
      <c r="B25" s="18">
        <f>8700/14500</f>
        <v>0.6</v>
      </c>
      <c r="C25" s="19">
        <v>8</v>
      </c>
      <c r="D25" s="19">
        <v>92157</v>
      </c>
      <c r="E25" s="24">
        <f>1838000/14500</f>
        <v>126.75862068965517</v>
      </c>
      <c r="F25" s="29">
        <f>1093610/14500</f>
        <v>75.421379310344832</v>
      </c>
      <c r="G25" s="32">
        <f>909932.4/14500</f>
        <v>62.753958620689659</v>
      </c>
      <c r="H25" s="23"/>
      <c r="I25" s="18"/>
      <c r="J25" s="19"/>
      <c r="K25" s="19"/>
      <c r="L25" s="22"/>
      <c r="M25" s="28"/>
      <c r="N25" s="18"/>
    </row>
    <row r="26" spans="1:14" x14ac:dyDescent="0.25">
      <c r="A26" s="16"/>
      <c r="B26" s="18"/>
      <c r="C26" s="19"/>
      <c r="D26" s="19"/>
      <c r="E26" s="24"/>
      <c r="F26" s="29"/>
      <c r="G26" s="18"/>
      <c r="H26" s="23"/>
      <c r="I26" s="18"/>
      <c r="J26" s="19"/>
      <c r="K26" s="19"/>
      <c r="L26" s="22"/>
      <c r="M26" s="28"/>
      <c r="N26" s="18"/>
    </row>
    <row r="27" spans="1:14" x14ac:dyDescent="0.25">
      <c r="A27" s="16"/>
      <c r="B27" s="18"/>
      <c r="C27" s="19"/>
      <c r="D27" s="19"/>
      <c r="E27" s="24"/>
      <c r="F27" s="29"/>
      <c r="G27" s="18"/>
      <c r="H27" s="23"/>
      <c r="I27" s="18"/>
      <c r="J27" s="19"/>
      <c r="K27" s="19"/>
      <c r="L27" s="22"/>
      <c r="M27" s="28"/>
      <c r="N27" s="18"/>
    </row>
    <row r="28" spans="1:14" x14ac:dyDescent="0.25">
      <c r="A28" s="16"/>
      <c r="B28" s="18"/>
      <c r="C28" s="19"/>
      <c r="D28" s="19"/>
      <c r="E28" s="24"/>
      <c r="F28" s="29"/>
      <c r="G28" s="18"/>
      <c r="H28" s="23"/>
      <c r="I28" s="18"/>
      <c r="J28" s="19"/>
      <c r="K28" s="19"/>
      <c r="L28" s="22"/>
      <c r="M28" s="28"/>
      <c r="N28" s="18"/>
    </row>
    <row r="29" spans="1:14" x14ac:dyDescent="0.25">
      <c r="A29" s="16"/>
      <c r="B29" s="18"/>
      <c r="C29" s="19"/>
      <c r="D29" s="19"/>
      <c r="E29" s="24"/>
      <c r="F29" s="29"/>
      <c r="G29" s="18"/>
      <c r="H29" s="23"/>
      <c r="I29" s="18"/>
      <c r="J29" s="19"/>
      <c r="K29" s="19"/>
      <c r="L29" s="22"/>
      <c r="M29" s="28"/>
      <c r="N29" s="18"/>
    </row>
    <row r="30" spans="1:14" x14ac:dyDescent="0.25">
      <c r="A30" s="16"/>
      <c r="B30" s="18"/>
      <c r="C30" s="19"/>
      <c r="D30" s="19"/>
      <c r="E30" s="24"/>
      <c r="F30" s="29"/>
      <c r="G30" s="18"/>
      <c r="H30" s="23"/>
      <c r="I30" s="18"/>
      <c r="J30" s="19"/>
      <c r="K30" s="19"/>
      <c r="L30" s="22"/>
      <c r="M30" s="28"/>
      <c r="N30" s="18"/>
    </row>
    <row r="32" spans="1:14" x14ac:dyDescent="0.25">
      <c r="A32" s="59">
        <v>44379</v>
      </c>
      <c r="B32" s="13" t="s">
        <v>21</v>
      </c>
      <c r="C32" s="14" t="s">
        <v>7</v>
      </c>
      <c r="D32" s="14" t="s">
        <v>22</v>
      </c>
      <c r="E32" s="13" t="s">
        <v>23</v>
      </c>
      <c r="F32" s="15" t="s">
        <v>37</v>
      </c>
      <c r="G32" s="13" t="s">
        <v>24</v>
      </c>
    </row>
    <row r="33" spans="1:9" x14ac:dyDescent="0.25">
      <c r="A33" s="16" t="s">
        <v>25</v>
      </c>
      <c r="B33" s="36">
        <f>100%-(B4/I4)</f>
        <v>-2.0117254856881761E-3</v>
      </c>
      <c r="C33" s="36">
        <f t="shared" ref="C33:G48" si="0">100%-(C4/J4)</f>
        <v>-1.1737089201877993E-2</v>
      </c>
      <c r="D33" s="36">
        <f t="shared" si="0"/>
        <v>3.8366590596765615E-3</v>
      </c>
      <c r="E33" s="36">
        <f t="shared" si="0"/>
        <v>7.6159331337568581E-3</v>
      </c>
      <c r="F33" s="36">
        <f t="shared" si="0"/>
        <v>7.6241468737572315E-3</v>
      </c>
      <c r="G33" s="36">
        <f t="shared" si="0"/>
        <v>1.8562874251497052E-2</v>
      </c>
    </row>
    <row r="34" spans="1:9" x14ac:dyDescent="0.25">
      <c r="A34" s="16" t="s">
        <v>26</v>
      </c>
      <c r="B34" s="34">
        <f>100%-(B5/I5)</f>
        <v>0.97826086956521741</v>
      </c>
      <c r="C34" s="34">
        <f>100%-(C5/J5)</f>
        <v>0.99118942731277537</v>
      </c>
      <c r="D34" s="36">
        <f t="shared" si="0"/>
        <v>0</v>
      </c>
      <c r="E34" s="34">
        <f t="shared" si="0"/>
        <v>4.5580606228197929E-2</v>
      </c>
      <c r="F34" s="34">
        <f t="shared" si="0"/>
        <v>4.5595446991686162E-2</v>
      </c>
      <c r="G34" s="34">
        <f t="shared" si="0"/>
        <v>-0.12546017540195509</v>
      </c>
      <c r="I34" s="2" t="s">
        <v>52</v>
      </c>
    </row>
    <row r="35" spans="1:9" x14ac:dyDescent="0.25">
      <c r="A35" s="16" t="s">
        <v>27</v>
      </c>
      <c r="B35" s="40"/>
      <c r="C35" s="40"/>
      <c r="D35" s="40"/>
      <c r="E35" s="40"/>
      <c r="F35" s="40"/>
      <c r="G35" s="40"/>
    </row>
    <row r="36" spans="1:9" x14ac:dyDescent="0.25">
      <c r="A36" s="16" t="s">
        <v>28</v>
      </c>
      <c r="B36" s="36">
        <f t="shared" ref="B36:C47" si="1">100%-(B7/I7)</f>
        <v>0</v>
      </c>
      <c r="C36" s="36">
        <f t="shared" si="1"/>
        <v>-2.8037383177569986E-2</v>
      </c>
      <c r="D36" s="36">
        <f t="shared" si="0"/>
        <v>1.2943891046204303E-3</v>
      </c>
      <c r="E36" s="36">
        <f t="shared" si="0"/>
        <v>0</v>
      </c>
      <c r="F36" s="36">
        <f t="shared" si="0"/>
        <v>2.7159152634437245E-4</v>
      </c>
      <c r="G36" s="36">
        <f t="shared" si="0"/>
        <v>-2.4169184290045997E-4</v>
      </c>
    </row>
    <row r="37" spans="1:9" x14ac:dyDescent="0.25">
      <c r="A37" s="16" t="s">
        <v>29</v>
      </c>
      <c r="B37" s="40"/>
      <c r="C37" s="40"/>
      <c r="D37" s="37" t="e">
        <f t="shared" si="0"/>
        <v>#DIV/0!</v>
      </c>
      <c r="E37" s="37" t="e">
        <f t="shared" si="0"/>
        <v>#DIV/0!</v>
      </c>
      <c r="F37" s="37" t="e">
        <f t="shared" si="0"/>
        <v>#DIV/0!</v>
      </c>
      <c r="G37" s="37" t="e">
        <f t="shared" si="0"/>
        <v>#DIV/0!</v>
      </c>
    </row>
    <row r="38" spans="1:9" x14ac:dyDescent="0.25">
      <c r="A38" s="16" t="s">
        <v>39</v>
      </c>
      <c r="B38" s="40"/>
      <c r="C38" s="40"/>
      <c r="D38" s="40"/>
      <c r="E38" s="40"/>
      <c r="F38" s="40"/>
      <c r="G38" s="40"/>
    </row>
    <row r="39" spans="1:9" x14ac:dyDescent="0.25">
      <c r="A39" s="16" t="s">
        <v>30</v>
      </c>
      <c r="B39" s="36">
        <f t="shared" si="1"/>
        <v>0</v>
      </c>
      <c r="C39" s="36">
        <f t="shared" si="1"/>
        <v>0</v>
      </c>
      <c r="D39" s="36">
        <f t="shared" si="0"/>
        <v>0</v>
      </c>
      <c r="E39" s="36">
        <f t="shared" si="0"/>
        <v>-7.1711503349571881E-3</v>
      </c>
      <c r="F39" s="36">
        <f t="shared" si="0"/>
        <v>-6.9949973240486241E-3</v>
      </c>
      <c r="G39" s="36">
        <f t="shared" si="0"/>
        <v>-1.203913565234993E-2</v>
      </c>
    </row>
    <row r="40" spans="1:9" x14ac:dyDescent="0.25">
      <c r="A40" s="16" t="s">
        <v>31</v>
      </c>
      <c r="B40" s="36">
        <f t="shared" si="1"/>
        <v>0</v>
      </c>
      <c r="C40" s="36">
        <f>100%-(C11/J11)</f>
        <v>0</v>
      </c>
      <c r="D40" s="36">
        <f t="shared" si="0"/>
        <v>0</v>
      </c>
      <c r="E40" s="36">
        <f t="shared" si="0"/>
        <v>1.0422742294900256E-2</v>
      </c>
      <c r="F40" s="34">
        <f t="shared" si="0"/>
        <v>0.15885933095066529</v>
      </c>
      <c r="G40" s="34">
        <f t="shared" si="0"/>
        <v>3.7258685698989602E-2</v>
      </c>
      <c r="I40" s="2" t="s">
        <v>53</v>
      </c>
    </row>
    <row r="41" spans="1:9" x14ac:dyDescent="0.25">
      <c r="A41" s="16" t="s">
        <v>32</v>
      </c>
      <c r="B41" s="40"/>
      <c r="C41" s="40"/>
      <c r="D41" s="34" t="e">
        <f t="shared" si="0"/>
        <v>#DIV/0!</v>
      </c>
      <c r="E41" s="34" t="e">
        <f t="shared" si="0"/>
        <v>#DIV/0!</v>
      </c>
      <c r="F41" s="34" t="e">
        <f t="shared" si="0"/>
        <v>#DIV/0!</v>
      </c>
      <c r="G41" s="34" t="e">
        <f t="shared" si="0"/>
        <v>#DIV/0!</v>
      </c>
    </row>
    <row r="42" spans="1:9" x14ac:dyDescent="0.25">
      <c r="A42" s="16" t="s">
        <v>8</v>
      </c>
      <c r="B42" s="34">
        <f t="shared" si="1"/>
        <v>-8.5746102449888673E-2</v>
      </c>
      <c r="C42" s="34">
        <f t="shared" si="1"/>
        <v>-4.3478260869565188E-2</v>
      </c>
      <c r="D42" s="36">
        <f t="shared" si="0"/>
        <v>0</v>
      </c>
      <c r="E42" s="34">
        <f t="shared" si="0"/>
        <v>0.12093604780333089</v>
      </c>
      <c r="F42" s="34">
        <f t="shared" si="0"/>
        <v>-0.31857656423114755</v>
      </c>
      <c r="G42" s="34">
        <f t="shared" si="0"/>
        <v>6.2287741303689192E-2</v>
      </c>
      <c r="I42" s="2" t="s">
        <v>54</v>
      </c>
    </row>
    <row r="43" spans="1:9" x14ac:dyDescent="0.25">
      <c r="A43" s="16" t="s">
        <v>9</v>
      </c>
      <c r="B43" s="40"/>
      <c r="C43" s="40"/>
      <c r="D43" s="36">
        <f t="shared" si="0"/>
        <v>0</v>
      </c>
      <c r="E43" s="36">
        <f t="shared" si="0"/>
        <v>3.9853487343327609E-3</v>
      </c>
      <c r="F43" s="36">
        <f t="shared" si="0"/>
        <v>-1.3195904000000036E-2</v>
      </c>
      <c r="G43" s="36">
        <f t="shared" si="0"/>
        <v>4.151735263304146E-3</v>
      </c>
    </row>
    <row r="44" spans="1:9" x14ac:dyDescent="0.25">
      <c r="A44" s="16" t="s">
        <v>36</v>
      </c>
      <c r="B44" s="40"/>
      <c r="C44" s="40"/>
      <c r="D44" s="36">
        <f t="shared" si="0"/>
        <v>0</v>
      </c>
      <c r="E44" s="36">
        <f t="shared" si="0"/>
        <v>5.1853772361953876E-4</v>
      </c>
      <c r="F44" s="36">
        <f t="shared" si="0"/>
        <v>5.1853772361942774E-4</v>
      </c>
      <c r="G44" s="36">
        <f t="shared" si="0"/>
        <v>5.1853772361942774E-4</v>
      </c>
    </row>
    <row r="45" spans="1:9" x14ac:dyDescent="0.25">
      <c r="A45" s="16" t="s">
        <v>41</v>
      </c>
      <c r="B45" s="36">
        <f t="shared" si="1"/>
        <v>-2.0689655172413834E-2</v>
      </c>
      <c r="C45" s="36">
        <f t="shared" si="1"/>
        <v>-3.8461538461538547E-2</v>
      </c>
      <c r="D45" s="36">
        <f t="shared" si="0"/>
        <v>0</v>
      </c>
      <c r="E45" s="36">
        <f t="shared" si="0"/>
        <v>5.1247704666423921E-4</v>
      </c>
      <c r="F45" s="36">
        <f t="shared" si="0"/>
        <v>4.5548830640274041E-4</v>
      </c>
      <c r="G45" s="36">
        <f t="shared" si="0"/>
        <v>4.3305267124850166E-2</v>
      </c>
      <c r="I45" s="2" t="s">
        <v>61</v>
      </c>
    </row>
    <row r="46" spans="1:9" x14ac:dyDescent="0.25">
      <c r="A46" s="16" t="s">
        <v>42</v>
      </c>
      <c r="B46" s="40"/>
      <c r="C46" s="40"/>
      <c r="D46" s="36">
        <f t="shared" si="0"/>
        <v>0</v>
      </c>
      <c r="E46" s="36">
        <f t="shared" si="0"/>
        <v>4.997501249375258E-4</v>
      </c>
      <c r="F46" s="36">
        <f t="shared" si="0"/>
        <v>5.0470071930530658E-4</v>
      </c>
      <c r="G46" s="36">
        <f t="shared" si="0"/>
        <v>5.0470071930530658E-4</v>
      </c>
    </row>
    <row r="47" spans="1:9" x14ac:dyDescent="0.25">
      <c r="A47" s="16" t="s">
        <v>43</v>
      </c>
      <c r="B47" s="34">
        <f t="shared" si="1"/>
        <v>-0.16650246305418714</v>
      </c>
      <c r="C47" s="34">
        <f t="shared" si="1"/>
        <v>-0.13571428571428568</v>
      </c>
      <c r="D47" s="36">
        <f t="shared" si="0"/>
        <v>0</v>
      </c>
      <c r="E47" s="36">
        <f t="shared" si="0"/>
        <v>4.9076694549721189E-4</v>
      </c>
      <c r="F47" s="36">
        <f t="shared" si="0"/>
        <v>5.013353751355254E-4</v>
      </c>
      <c r="G47" s="36">
        <f t="shared" si="0"/>
        <v>7.1862622600835646E-3</v>
      </c>
      <c r="I47" s="2" t="s">
        <v>60</v>
      </c>
    </row>
    <row r="48" spans="1:9" x14ac:dyDescent="0.25">
      <c r="A48" s="16" t="s">
        <v>46</v>
      </c>
      <c r="B48" s="40"/>
      <c r="C48" s="40"/>
      <c r="D48" s="36">
        <f t="shared" si="0"/>
        <v>0</v>
      </c>
      <c r="E48" s="36">
        <f t="shared" si="0"/>
        <v>5.0733013593307064E-4</v>
      </c>
      <c r="F48" s="36">
        <f t="shared" si="0"/>
        <v>5.2627966043516938E-4</v>
      </c>
      <c r="G48" s="36">
        <f t="shared" si="0"/>
        <v>5.2627966043516938E-4</v>
      </c>
    </row>
    <row r="49" spans="1:9" x14ac:dyDescent="0.25">
      <c r="A49" s="16" t="s">
        <v>44</v>
      </c>
      <c r="B49" s="40"/>
      <c r="C49" s="40"/>
      <c r="D49" s="36">
        <f t="shared" ref="D49:G54" si="2">100%-(D20/K20)</f>
        <v>0</v>
      </c>
      <c r="E49" s="36">
        <f t="shared" si="2"/>
        <v>4.9228482100072135E-4</v>
      </c>
      <c r="F49" s="36">
        <f t="shared" si="2"/>
        <v>4.9228482100061033E-4</v>
      </c>
      <c r="G49" s="36">
        <f t="shared" si="2"/>
        <v>4.9228482100061033E-4</v>
      </c>
    </row>
    <row r="50" spans="1:9" x14ac:dyDescent="0.25">
      <c r="A50" s="16" t="s">
        <v>33</v>
      </c>
      <c r="B50" s="40"/>
      <c r="C50" s="40"/>
      <c r="D50" s="36">
        <f t="shared" si="2"/>
        <v>0</v>
      </c>
      <c r="E50" s="36">
        <f t="shared" si="2"/>
        <v>4.4968308056872019E-2</v>
      </c>
      <c r="F50" s="47">
        <f t="shared" si="2"/>
        <v>1.8198697924812102E-2</v>
      </c>
      <c r="G50" s="47">
        <f t="shared" si="2"/>
        <v>-9.144558529650415E-2</v>
      </c>
      <c r="I50" s="2" t="s">
        <v>57</v>
      </c>
    </row>
    <row r="51" spans="1:9" x14ac:dyDescent="0.25">
      <c r="A51" s="16" t="s">
        <v>34</v>
      </c>
      <c r="B51" s="40"/>
      <c r="C51" s="40"/>
      <c r="D51" s="36">
        <f t="shared" si="2"/>
        <v>0</v>
      </c>
      <c r="E51" s="36">
        <f t="shared" si="2"/>
        <v>-5.3541818181817025E-3</v>
      </c>
      <c r="F51" s="47">
        <f t="shared" si="2"/>
        <v>4.4560445397412329E-2</v>
      </c>
      <c r="G51" s="47">
        <f t="shared" si="2"/>
        <v>0.20928982559153519</v>
      </c>
      <c r="I51" s="2" t="s">
        <v>59</v>
      </c>
    </row>
    <row r="52" spans="1:9" x14ac:dyDescent="0.25">
      <c r="A52" s="16" t="s">
        <v>35</v>
      </c>
      <c r="B52" s="34" t="e">
        <f t="shared" ref="B52:C54" si="3">100%-(B23/I23)</f>
        <v>#DIV/0!</v>
      </c>
      <c r="C52" s="34" t="e">
        <f t="shared" si="3"/>
        <v>#DIV/0!</v>
      </c>
      <c r="D52" s="34" t="e">
        <f t="shared" si="2"/>
        <v>#DIV/0!</v>
      </c>
      <c r="E52" s="34" t="e">
        <f t="shared" si="2"/>
        <v>#DIV/0!</v>
      </c>
      <c r="F52" s="34" t="e">
        <f t="shared" si="2"/>
        <v>#DIV/0!</v>
      </c>
      <c r="G52" s="34" t="e">
        <f t="shared" si="2"/>
        <v>#DIV/0!</v>
      </c>
      <c r="I52" s="2" t="s">
        <v>56</v>
      </c>
    </row>
    <row r="53" spans="1:9" x14ac:dyDescent="0.25">
      <c r="A53" s="16" t="s">
        <v>38</v>
      </c>
      <c r="B53" s="40"/>
      <c r="C53" s="36" t="e">
        <f t="shared" si="3"/>
        <v>#DIV/0!</v>
      </c>
      <c r="D53" s="35" t="e">
        <f t="shared" si="2"/>
        <v>#DIV/0!</v>
      </c>
      <c r="E53" s="35" t="e">
        <f t="shared" si="2"/>
        <v>#DIV/0!</v>
      </c>
      <c r="F53" s="35" t="e">
        <f t="shared" si="2"/>
        <v>#DIV/0!</v>
      </c>
      <c r="G53" s="35" t="e">
        <f t="shared" si="2"/>
        <v>#DIV/0!</v>
      </c>
    </row>
    <row r="54" spans="1:9" x14ac:dyDescent="0.25">
      <c r="A54" s="16" t="s">
        <v>45</v>
      </c>
      <c r="B54" s="34" t="e">
        <f t="shared" si="3"/>
        <v>#DIV/0!</v>
      </c>
      <c r="C54" s="34" t="e">
        <f t="shared" si="3"/>
        <v>#DIV/0!</v>
      </c>
      <c r="D54" s="34" t="e">
        <f t="shared" si="2"/>
        <v>#DIV/0!</v>
      </c>
      <c r="E54" s="34" t="e">
        <f t="shared" si="2"/>
        <v>#DIV/0!</v>
      </c>
      <c r="F54" s="34" t="e">
        <f t="shared" si="2"/>
        <v>#DIV/0!</v>
      </c>
      <c r="G54" s="34" t="e">
        <f t="shared" si="2"/>
        <v>#DIV/0!</v>
      </c>
      <c r="I54" s="2" t="s">
        <v>58</v>
      </c>
    </row>
    <row r="55" spans="1:9" x14ac:dyDescent="0.25">
      <c r="B55" s="48"/>
      <c r="C55" s="3" t="s">
        <v>47</v>
      </c>
    </row>
    <row r="56" spans="1:9" x14ac:dyDescent="0.25">
      <c r="B56" s="55"/>
      <c r="C56" s="3" t="s">
        <v>48</v>
      </c>
    </row>
    <row r="57" spans="1:9" x14ac:dyDescent="0.25">
      <c r="B57" s="39"/>
      <c r="C57" s="3" t="s">
        <v>49</v>
      </c>
    </row>
    <row r="58" spans="1:9" x14ac:dyDescent="0.25">
      <c r="B58" s="38"/>
      <c r="C58" s="3" t="s">
        <v>50</v>
      </c>
    </row>
  </sheetData>
  <mergeCells count="2">
    <mergeCell ref="B2:G2"/>
    <mergeCell ref="I2:N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9B3B-DDB7-49D6-9C0E-3123D531AEED}">
  <dimension ref="A1:O58"/>
  <sheetViews>
    <sheetView topLeftCell="A17" workbookViewId="0">
      <selection activeCell="G50" sqref="G50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9.14062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7109375" style="2" bestFit="1" customWidth="1"/>
  </cols>
  <sheetData>
    <row r="1" spans="1:15" x14ac:dyDescent="0.25">
      <c r="A1" s="12">
        <v>44380</v>
      </c>
      <c r="H1" s="2"/>
    </row>
    <row r="2" spans="1:15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5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5" x14ac:dyDescent="0.25">
      <c r="A4" s="16" t="s">
        <v>25</v>
      </c>
      <c r="B4" s="18">
        <v>69.030000000000015</v>
      </c>
      <c r="C4" s="19">
        <v>3737</v>
      </c>
      <c r="D4" s="19">
        <v>778585</v>
      </c>
      <c r="E4" s="18">
        <f>6262000/14500</f>
        <v>431.86206896551727</v>
      </c>
      <c r="F4" s="28">
        <f>2661350/14500</f>
        <v>183.54137931034484</v>
      </c>
      <c r="G4" s="31">
        <v>70.11</v>
      </c>
      <c r="H4" s="21"/>
      <c r="I4" s="18">
        <v>68.66</v>
      </c>
      <c r="J4" s="19">
        <v>3686</v>
      </c>
      <c r="K4" s="19">
        <v>780531</v>
      </c>
      <c r="L4" s="22">
        <v>432.25</v>
      </c>
      <c r="M4" s="28">
        <v>184.98</v>
      </c>
      <c r="N4" s="32">
        <v>71.27</v>
      </c>
      <c r="O4" s="58"/>
    </row>
    <row r="5" spans="1:15" x14ac:dyDescent="0.25">
      <c r="A5" s="16" t="s">
        <v>26</v>
      </c>
      <c r="B5" s="18">
        <v>13.52</v>
      </c>
      <c r="C5" s="52">
        <v>14</v>
      </c>
      <c r="D5" s="19">
        <v>181513</v>
      </c>
      <c r="E5" s="18">
        <v>1739.04585881</v>
      </c>
      <c r="F5" s="28">
        <v>434.76146470250001</v>
      </c>
      <c r="G5" s="18">
        <v>264.72733740960001</v>
      </c>
      <c r="H5" s="23"/>
      <c r="I5" s="18">
        <v>13.52</v>
      </c>
      <c r="J5" s="19">
        <v>14</v>
      </c>
      <c r="K5" s="19">
        <v>181513</v>
      </c>
      <c r="L5" s="22">
        <v>1822.06</v>
      </c>
      <c r="M5" s="28">
        <v>455.52</v>
      </c>
      <c r="N5" s="18">
        <v>278.01</v>
      </c>
    </row>
    <row r="6" spans="1:15" x14ac:dyDescent="0.25">
      <c r="A6" s="16" t="s">
        <v>27</v>
      </c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32"/>
    </row>
    <row r="7" spans="1:15" x14ac:dyDescent="0.25">
      <c r="A7" s="16" t="s">
        <v>28</v>
      </c>
      <c r="B7" s="18">
        <v>8.58</v>
      </c>
      <c r="C7" s="19">
        <v>139</v>
      </c>
      <c r="D7" s="19">
        <v>17783</v>
      </c>
      <c r="E7" s="18">
        <v>46.1</v>
      </c>
      <c r="F7" s="28">
        <v>20.745000000000001</v>
      </c>
      <c r="G7" s="18">
        <v>6.3564000000000025</v>
      </c>
      <c r="H7" s="23"/>
      <c r="I7" s="18">
        <v>8.19</v>
      </c>
      <c r="J7" s="19">
        <v>135</v>
      </c>
      <c r="K7" s="19">
        <v>17803</v>
      </c>
      <c r="L7" s="22">
        <v>46.1</v>
      </c>
      <c r="M7" s="28">
        <v>20.75</v>
      </c>
      <c r="N7" s="18">
        <v>6.75</v>
      </c>
    </row>
    <row r="8" spans="1:15" x14ac:dyDescent="0.25">
      <c r="A8" s="16" t="s">
        <v>29</v>
      </c>
      <c r="B8" s="18"/>
      <c r="C8" s="19"/>
      <c r="D8" s="19">
        <v>25308</v>
      </c>
      <c r="E8" s="31">
        <f>111000/14500</f>
        <v>7.6551724137931032</v>
      </c>
      <c r="F8" s="30">
        <f>44400/14500</f>
        <v>3.0620689655172413</v>
      </c>
      <c r="G8" s="31">
        <f>34188/14500</f>
        <v>2.3577931034482758</v>
      </c>
      <c r="H8" s="25"/>
      <c r="I8" s="24"/>
      <c r="J8" s="19"/>
      <c r="K8" s="19"/>
      <c r="L8" s="22"/>
      <c r="M8" s="28"/>
      <c r="N8" s="18"/>
    </row>
    <row r="9" spans="1:15" x14ac:dyDescent="0.25">
      <c r="A9" s="16" t="s">
        <v>39</v>
      </c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</row>
    <row r="10" spans="1:15" x14ac:dyDescent="0.25">
      <c r="A10" s="16" t="s">
        <v>30</v>
      </c>
      <c r="B10" s="18">
        <v>1.3</v>
      </c>
      <c r="C10" s="19">
        <v>4</v>
      </c>
      <c r="D10" s="19">
        <v>6473</v>
      </c>
      <c r="E10" s="18">
        <v>29.462210597999999</v>
      </c>
      <c r="F10" s="28">
        <v>11.077791184848</v>
      </c>
      <c r="G10" s="32">
        <v>7.095700243448384</v>
      </c>
      <c r="H10" s="23"/>
      <c r="I10" s="18">
        <v>1.3</v>
      </c>
      <c r="J10" s="19">
        <v>4</v>
      </c>
      <c r="K10" s="19">
        <v>6473</v>
      </c>
      <c r="L10" s="22">
        <v>29.26</v>
      </c>
      <c r="M10" s="28">
        <v>11</v>
      </c>
      <c r="N10" s="32">
        <v>7.03</v>
      </c>
    </row>
    <row r="11" spans="1:15" x14ac:dyDescent="0.25">
      <c r="A11" s="16" t="s">
        <v>31</v>
      </c>
      <c r="B11" s="18">
        <v>130.46</v>
      </c>
      <c r="C11" s="19">
        <v>10006</v>
      </c>
      <c r="D11" s="19">
        <v>3768687</v>
      </c>
      <c r="E11" s="18">
        <v>2151.1925892600002</v>
      </c>
      <c r="F11" s="28">
        <v>1097.1082205226</v>
      </c>
      <c r="G11" s="18">
        <v>627.64684864627202</v>
      </c>
      <c r="H11" s="23"/>
      <c r="I11" s="18">
        <v>130.47</v>
      </c>
      <c r="J11" s="19">
        <v>10006</v>
      </c>
      <c r="K11" s="19">
        <v>3768687</v>
      </c>
      <c r="L11" s="22">
        <v>2173.85</v>
      </c>
      <c r="M11" s="28">
        <v>1304.31</v>
      </c>
      <c r="N11" s="18">
        <v>656.46</v>
      </c>
    </row>
    <row r="12" spans="1:15" x14ac:dyDescent="0.25">
      <c r="A12" s="16" t="s">
        <v>32</v>
      </c>
      <c r="B12" s="18"/>
      <c r="C12" s="19"/>
      <c r="D12" s="19"/>
      <c r="E12" s="18">
        <v>26.957106</v>
      </c>
      <c r="F12" s="28">
        <v>11.888083746</v>
      </c>
      <c r="G12" s="18">
        <v>8.5594202971199991</v>
      </c>
      <c r="H12" s="23"/>
      <c r="I12" s="18"/>
      <c r="J12" s="19"/>
      <c r="K12" s="19"/>
      <c r="L12" s="22"/>
      <c r="M12" s="28"/>
      <c r="N12" s="18"/>
    </row>
    <row r="13" spans="1:15" x14ac:dyDescent="0.25">
      <c r="A13" s="16" t="s">
        <v>8</v>
      </c>
      <c r="B13" s="18">
        <v>18.72</v>
      </c>
      <c r="C13" s="50">
        <v>190</v>
      </c>
      <c r="D13" s="50">
        <v>329365</v>
      </c>
      <c r="E13" s="18">
        <v>631.16088968519989</v>
      </c>
      <c r="F13" s="28">
        <v>378.69653381111993</v>
      </c>
      <c r="G13" s="18">
        <v>291.81115772511833</v>
      </c>
      <c r="H13" s="23"/>
      <c r="I13" s="18">
        <v>18.34</v>
      </c>
      <c r="J13" s="50">
        <v>185</v>
      </c>
      <c r="K13" s="50">
        <v>329365</v>
      </c>
      <c r="L13" s="51">
        <v>718</v>
      </c>
      <c r="M13" s="28">
        <v>287.2</v>
      </c>
      <c r="N13" s="18">
        <v>312.07</v>
      </c>
    </row>
    <row r="14" spans="1:15" x14ac:dyDescent="0.25">
      <c r="A14" s="16" t="s">
        <v>9</v>
      </c>
      <c r="B14" s="18"/>
      <c r="C14" s="50"/>
      <c r="D14" s="50">
        <v>29828</v>
      </c>
      <c r="E14" s="18">
        <v>88.285247260000006</v>
      </c>
      <c r="F14" s="28">
        <v>30.899836540999999</v>
      </c>
      <c r="G14" s="26">
        <v>23.439733147529999</v>
      </c>
      <c r="H14" s="23"/>
      <c r="I14" s="18"/>
      <c r="J14" s="50"/>
      <c r="K14" s="50">
        <v>29828</v>
      </c>
      <c r="L14" s="51">
        <v>88.64</v>
      </c>
      <c r="M14" s="28">
        <v>31</v>
      </c>
      <c r="N14" s="18">
        <v>23.53</v>
      </c>
    </row>
    <row r="15" spans="1:15" x14ac:dyDescent="0.25">
      <c r="A15" s="16" t="s">
        <v>36</v>
      </c>
      <c r="B15" s="18"/>
      <c r="C15" s="19"/>
      <c r="D15" s="19">
        <v>138763</v>
      </c>
      <c r="E15" s="31">
        <f>3160000/14500</f>
        <v>217.93103448275863</v>
      </c>
      <c r="F15" s="30">
        <f>1264000/14500</f>
        <v>87.172413793103445</v>
      </c>
      <c r="G15" s="31">
        <f>1264000/14500</f>
        <v>87.172413793103445</v>
      </c>
      <c r="H15" s="23"/>
      <c r="I15" s="18"/>
      <c r="J15" s="19"/>
      <c r="K15" s="19">
        <v>138763</v>
      </c>
      <c r="L15" s="22">
        <v>218.04</v>
      </c>
      <c r="M15" s="28">
        <v>87.22</v>
      </c>
      <c r="N15" s="32">
        <v>87.22</v>
      </c>
    </row>
    <row r="16" spans="1:15" x14ac:dyDescent="0.25">
      <c r="A16" s="16" t="s">
        <v>41</v>
      </c>
      <c r="B16" s="18">
        <f>796536/14500</f>
        <v>54.933517241379313</v>
      </c>
      <c r="C16" s="19">
        <v>404</v>
      </c>
      <c r="D16" s="19">
        <v>146187</v>
      </c>
      <c r="E16" s="24">
        <f>4001550/14500</f>
        <v>275.96896551724137</v>
      </c>
      <c r="F16" s="29">
        <f>1600620/14500</f>
        <v>110.38758620689656</v>
      </c>
      <c r="G16" s="18">
        <f>804084/14500</f>
        <v>55.454068965517244</v>
      </c>
      <c r="H16" s="23"/>
      <c r="I16" s="18">
        <v>52</v>
      </c>
      <c r="J16" s="19">
        <v>401</v>
      </c>
      <c r="K16" s="19">
        <v>146187</v>
      </c>
      <c r="L16" s="24">
        <v>276.11</v>
      </c>
      <c r="M16" s="29">
        <v>110.44</v>
      </c>
      <c r="N16" s="32">
        <v>58.44</v>
      </c>
    </row>
    <row r="17" spans="1:14" x14ac:dyDescent="0.25">
      <c r="A17" s="16" t="s">
        <v>42</v>
      </c>
      <c r="B17" s="18"/>
      <c r="C17" s="19"/>
      <c r="D17" s="19">
        <v>212474</v>
      </c>
      <c r="E17" s="24">
        <f>12530000/14500</f>
        <v>864.13793103448279</v>
      </c>
      <c r="F17" s="29">
        <f>5012000/14500</f>
        <v>345.65517241379308</v>
      </c>
      <c r="G17" s="18">
        <f>5012000/14500</f>
        <v>345.65517241379308</v>
      </c>
      <c r="H17" s="23"/>
      <c r="I17" s="18"/>
      <c r="J17" s="19"/>
      <c r="K17" s="19">
        <v>212474</v>
      </c>
      <c r="L17" s="22">
        <v>864.57</v>
      </c>
      <c r="M17" s="28">
        <v>345.83</v>
      </c>
      <c r="N17" s="32">
        <v>345.83</v>
      </c>
    </row>
    <row r="18" spans="1:14" x14ac:dyDescent="0.25">
      <c r="A18" s="16" t="s">
        <v>43</v>
      </c>
      <c r="B18" s="18">
        <f>119288/14500</f>
        <v>8.2267586206896546</v>
      </c>
      <c r="C18" s="19">
        <v>304</v>
      </c>
      <c r="D18" s="19">
        <v>218460</v>
      </c>
      <c r="E18" s="24">
        <f>6376800/14500</f>
        <v>439.77931034482759</v>
      </c>
      <c r="F18" s="29">
        <f>2550720/14500</f>
        <v>175.91172413793103</v>
      </c>
      <c r="G18" s="18">
        <f>2431432/14500</f>
        <v>167.68496551724138</v>
      </c>
      <c r="H18" s="23"/>
      <c r="I18" s="18">
        <v>7.28</v>
      </c>
      <c r="J18" s="19">
        <v>260</v>
      </c>
      <c r="K18" s="19">
        <v>218460</v>
      </c>
      <c r="L18" s="22">
        <v>440</v>
      </c>
      <c r="M18" s="28">
        <v>176</v>
      </c>
      <c r="N18" s="32">
        <v>168.72</v>
      </c>
    </row>
    <row r="19" spans="1:14" x14ac:dyDescent="0.25">
      <c r="A19" s="16" t="s">
        <v>46</v>
      </c>
      <c r="B19" s="18"/>
      <c r="C19" s="19"/>
      <c r="D19" s="19">
        <v>166637</v>
      </c>
      <c r="E19" s="24">
        <f>3846000/14500</f>
        <v>265.24137931034483</v>
      </c>
      <c r="F19" s="29">
        <f>1538400/14500</f>
        <v>106.09655172413792</v>
      </c>
      <c r="G19" s="18">
        <f>1538400/14500</f>
        <v>106.09655172413792</v>
      </c>
      <c r="H19" s="23"/>
      <c r="I19" s="18"/>
      <c r="J19" s="19"/>
      <c r="K19" s="19">
        <v>166637</v>
      </c>
      <c r="L19" s="22">
        <v>265.37</v>
      </c>
      <c r="M19" s="28">
        <v>106.15</v>
      </c>
      <c r="N19" s="32">
        <v>106.15</v>
      </c>
    </row>
    <row r="20" spans="1:14" x14ac:dyDescent="0.25">
      <c r="A20" s="16" t="s">
        <v>44</v>
      </c>
      <c r="B20" s="18"/>
      <c r="C20" s="19"/>
      <c r="D20" s="19">
        <v>199642</v>
      </c>
      <c r="E20" s="24">
        <f>7139150/14500</f>
        <v>492.35517241379313</v>
      </c>
      <c r="F20" s="29">
        <f>2855660/14500</f>
        <v>196.94206896551725</v>
      </c>
      <c r="G20" s="18">
        <f>2855660/14500</f>
        <v>196.94206896551725</v>
      </c>
      <c r="H20" s="23"/>
      <c r="I20" s="18"/>
      <c r="J20" s="19"/>
      <c r="K20" s="19">
        <v>199642</v>
      </c>
      <c r="L20" s="24">
        <v>492.6</v>
      </c>
      <c r="M20" s="29">
        <v>197.04</v>
      </c>
      <c r="N20" s="32">
        <v>197.04</v>
      </c>
    </row>
    <row r="21" spans="1:14" x14ac:dyDescent="0.25">
      <c r="A21" s="16" t="s">
        <v>33</v>
      </c>
      <c r="B21" s="18"/>
      <c r="C21" s="19"/>
      <c r="D21" s="19">
        <v>13031</v>
      </c>
      <c r="E21" s="18">
        <v>17.764030254000001</v>
      </c>
      <c r="F21" s="28">
        <v>6.3950508914400013</v>
      </c>
      <c r="G21" s="18">
        <v>5.1742356762641046</v>
      </c>
      <c r="H21" s="23"/>
      <c r="I21" s="18"/>
      <c r="J21" s="19"/>
      <c r="K21" s="19">
        <v>13031</v>
      </c>
      <c r="L21" s="22">
        <v>18.600000000000001</v>
      </c>
      <c r="M21" s="28">
        <v>6.51</v>
      </c>
      <c r="N21" s="18">
        <v>4.74</v>
      </c>
    </row>
    <row r="22" spans="1:14" x14ac:dyDescent="0.25">
      <c r="A22" s="16" t="s">
        <v>34</v>
      </c>
      <c r="B22" s="18"/>
      <c r="C22" s="19"/>
      <c r="D22" s="19">
        <v>1661</v>
      </c>
      <c r="E22" s="18">
        <v>23.887215359999999</v>
      </c>
      <c r="F22" s="28">
        <v>9.0771418367999992</v>
      </c>
      <c r="G22" s="32">
        <v>1.0848754558293328</v>
      </c>
      <c r="H22" s="27"/>
      <c r="I22" s="18"/>
      <c r="J22" s="19"/>
      <c r="K22" s="19">
        <v>1661</v>
      </c>
      <c r="L22" s="22">
        <v>23.76</v>
      </c>
      <c r="M22" s="28">
        <v>9.5</v>
      </c>
      <c r="N22" s="32">
        <v>1.57</v>
      </c>
    </row>
    <row r="23" spans="1:14" x14ac:dyDescent="0.25">
      <c r="A23" s="16" t="s">
        <v>35</v>
      </c>
      <c r="B23" s="18">
        <v>159.38000000000002</v>
      </c>
      <c r="C23" s="19">
        <v>2468</v>
      </c>
      <c r="D23" s="19">
        <v>99813</v>
      </c>
      <c r="E23" s="18">
        <f>7040000/14500</f>
        <v>485.51724137931035</v>
      </c>
      <c r="F23" s="28">
        <f>2992000/14500</f>
        <v>206.34482758620689</v>
      </c>
      <c r="G23" s="32">
        <f>(-95464)/14500</f>
        <v>-6.5837241379310347</v>
      </c>
      <c r="H23" s="23"/>
      <c r="I23" s="18"/>
      <c r="J23" s="19"/>
      <c r="K23" s="19"/>
      <c r="L23" s="22"/>
      <c r="M23" s="28"/>
      <c r="N23" s="18"/>
    </row>
    <row r="24" spans="1:14" x14ac:dyDescent="0.25">
      <c r="A24" s="16" t="s">
        <v>38</v>
      </c>
      <c r="B24" s="18"/>
      <c r="C24" s="19"/>
      <c r="D24" s="19">
        <v>24820</v>
      </c>
      <c r="E24" s="31">
        <f>340000/14500</f>
        <v>23.448275862068964</v>
      </c>
      <c r="F24" s="30">
        <f>136000/14500</f>
        <v>9.3793103448275854</v>
      </c>
      <c r="G24" s="31">
        <f>104720/14500</f>
        <v>7.2220689655172414</v>
      </c>
      <c r="H24" s="23"/>
      <c r="I24" s="18"/>
      <c r="J24" s="19"/>
      <c r="K24" s="19"/>
      <c r="L24" s="22"/>
      <c r="M24" s="28"/>
      <c r="N24" s="32"/>
    </row>
    <row r="25" spans="1:14" x14ac:dyDescent="0.25">
      <c r="A25" s="16" t="s">
        <v>45</v>
      </c>
      <c r="B25" s="18">
        <f>110200/14500</f>
        <v>7.6</v>
      </c>
      <c r="C25" s="19">
        <v>58</v>
      </c>
      <c r="D25" s="19">
        <v>92204</v>
      </c>
      <c r="E25" s="24">
        <f>1720000/14500</f>
        <v>118.62068965517241</v>
      </c>
      <c r="F25" s="29">
        <f>1023400/14500</f>
        <v>70.57931034482759</v>
      </c>
      <c r="G25" s="32">
        <f>749456/14500</f>
        <v>51.686620689655172</v>
      </c>
      <c r="H25" s="23"/>
      <c r="I25" s="18"/>
      <c r="J25" s="19"/>
      <c r="K25" s="19"/>
      <c r="L25" s="22"/>
      <c r="M25" s="28"/>
      <c r="N25" s="18"/>
    </row>
    <row r="26" spans="1:14" x14ac:dyDescent="0.25">
      <c r="A26" s="16"/>
      <c r="B26" s="18"/>
      <c r="C26" s="19"/>
      <c r="D26" s="19"/>
      <c r="E26" s="24"/>
      <c r="F26" s="29"/>
      <c r="G26" s="18"/>
      <c r="H26" s="23"/>
      <c r="I26" s="18"/>
      <c r="J26" s="19"/>
      <c r="K26" s="19"/>
      <c r="L26" s="22"/>
      <c r="M26" s="28"/>
      <c r="N26" s="18"/>
    </row>
    <row r="27" spans="1:14" x14ac:dyDescent="0.25">
      <c r="A27" s="16"/>
      <c r="B27" s="18"/>
      <c r="C27" s="19"/>
      <c r="D27" s="19"/>
      <c r="E27" s="24"/>
      <c r="F27" s="29"/>
      <c r="G27" s="18"/>
      <c r="H27" s="23"/>
      <c r="I27" s="18"/>
      <c r="J27" s="19"/>
      <c r="K27" s="19"/>
      <c r="L27" s="22"/>
      <c r="M27" s="28"/>
      <c r="N27" s="18"/>
    </row>
    <row r="28" spans="1:14" x14ac:dyDescent="0.25">
      <c r="A28" s="16"/>
      <c r="B28" s="18"/>
      <c r="C28" s="19"/>
      <c r="D28" s="19"/>
      <c r="E28" s="24"/>
      <c r="F28" s="29"/>
      <c r="G28" s="18"/>
      <c r="H28" s="23"/>
      <c r="I28" s="18"/>
      <c r="J28" s="19"/>
      <c r="K28" s="19"/>
      <c r="L28" s="22"/>
      <c r="M28" s="28"/>
      <c r="N28" s="18"/>
    </row>
    <row r="29" spans="1:14" x14ac:dyDescent="0.25">
      <c r="A29" s="16"/>
      <c r="B29" s="18"/>
      <c r="C29" s="19"/>
      <c r="D29" s="19"/>
      <c r="E29" s="24"/>
      <c r="F29" s="29"/>
      <c r="G29" s="18"/>
      <c r="H29" s="23"/>
      <c r="I29" s="18"/>
      <c r="J29" s="19"/>
      <c r="K29" s="19"/>
      <c r="L29" s="22"/>
      <c r="M29" s="28"/>
      <c r="N29" s="18"/>
    </row>
    <row r="30" spans="1:14" x14ac:dyDescent="0.25">
      <c r="A30" s="16"/>
      <c r="B30" s="18"/>
      <c r="C30" s="19"/>
      <c r="D30" s="19"/>
      <c r="E30" s="24"/>
      <c r="F30" s="29"/>
      <c r="G30" s="18"/>
      <c r="H30" s="23"/>
      <c r="I30" s="18"/>
      <c r="J30" s="19"/>
      <c r="K30" s="19"/>
      <c r="L30" s="22"/>
      <c r="M30" s="28"/>
      <c r="N30" s="18"/>
    </row>
    <row r="32" spans="1:14" x14ac:dyDescent="0.25">
      <c r="A32" s="59">
        <v>44380</v>
      </c>
      <c r="B32" s="13" t="s">
        <v>21</v>
      </c>
      <c r="C32" s="14" t="s">
        <v>7</v>
      </c>
      <c r="D32" s="14" t="s">
        <v>22</v>
      </c>
      <c r="E32" s="13" t="s">
        <v>23</v>
      </c>
      <c r="F32" s="15" t="s">
        <v>37</v>
      </c>
      <c r="G32" s="13" t="s">
        <v>24</v>
      </c>
    </row>
    <row r="33" spans="1:9" x14ac:dyDescent="0.25">
      <c r="A33" s="16" t="s">
        <v>25</v>
      </c>
      <c r="B33" s="36">
        <f>100%-(B4/I4)</f>
        <v>-5.3888727060882324E-3</v>
      </c>
      <c r="C33" s="36">
        <f t="shared" ref="C33:G48" si="0">100%-(C4/J4)</f>
        <v>-1.3836136733586635E-2</v>
      </c>
      <c r="D33" s="36">
        <f t="shared" si="0"/>
        <v>2.4931745183727205E-3</v>
      </c>
      <c r="E33" s="36">
        <f t="shared" si="0"/>
        <v>8.9746913703347975E-4</v>
      </c>
      <c r="F33" s="36">
        <f t="shared" si="0"/>
        <v>7.7771688271983663E-3</v>
      </c>
      <c r="G33" s="36">
        <f t="shared" si="0"/>
        <v>1.6276133015293959E-2</v>
      </c>
    </row>
    <row r="34" spans="1:9" x14ac:dyDescent="0.25">
      <c r="A34" s="16" t="s">
        <v>26</v>
      </c>
      <c r="B34" s="36">
        <f>100%-(B5/I5)</f>
        <v>0</v>
      </c>
      <c r="C34" s="36">
        <f>100%-(C5/J5)</f>
        <v>0</v>
      </c>
      <c r="D34" s="36">
        <f t="shared" si="0"/>
        <v>0</v>
      </c>
      <c r="E34" s="34">
        <f t="shared" si="0"/>
        <v>4.5560596901309425E-2</v>
      </c>
      <c r="F34" s="34">
        <f t="shared" si="0"/>
        <v>4.5571073273401819E-2</v>
      </c>
      <c r="G34" s="34">
        <f t="shared" si="0"/>
        <v>4.777764321571154E-2</v>
      </c>
      <c r="I34" s="2" t="s">
        <v>52</v>
      </c>
    </row>
    <row r="35" spans="1:9" x14ac:dyDescent="0.25">
      <c r="A35" s="16" t="s">
        <v>27</v>
      </c>
      <c r="B35" s="40"/>
      <c r="C35" s="40"/>
      <c r="D35" s="40"/>
      <c r="E35" s="40"/>
      <c r="F35" s="40"/>
      <c r="G35" s="40"/>
    </row>
    <row r="36" spans="1:9" x14ac:dyDescent="0.25">
      <c r="A36" s="16" t="s">
        <v>28</v>
      </c>
      <c r="B36" s="34">
        <f t="shared" ref="B36:C47" si="1">100%-(B7/I7)</f>
        <v>-4.7619047619047672E-2</v>
      </c>
      <c r="C36" s="36">
        <f t="shared" si="1"/>
        <v>-2.9629629629629672E-2</v>
      </c>
      <c r="D36" s="36">
        <f t="shared" si="0"/>
        <v>1.1234061674998408E-3</v>
      </c>
      <c r="E36" s="36">
        <f t="shared" si="0"/>
        <v>0</v>
      </c>
      <c r="F36" s="36">
        <f t="shared" si="0"/>
        <v>2.4096385542160537E-4</v>
      </c>
      <c r="G36" s="34">
        <f t="shared" si="0"/>
        <v>5.8311111111110758E-2</v>
      </c>
      <c r="I36" s="2" t="s">
        <v>51</v>
      </c>
    </row>
    <row r="37" spans="1:9" x14ac:dyDescent="0.25">
      <c r="A37" s="16" t="s">
        <v>29</v>
      </c>
      <c r="B37" s="40"/>
      <c r="C37" s="40"/>
      <c r="D37" s="37" t="e">
        <f t="shared" si="0"/>
        <v>#DIV/0!</v>
      </c>
      <c r="E37" s="37" t="e">
        <f t="shared" si="0"/>
        <v>#DIV/0!</v>
      </c>
      <c r="F37" s="37" t="e">
        <f t="shared" si="0"/>
        <v>#DIV/0!</v>
      </c>
      <c r="G37" s="37" t="e">
        <f t="shared" si="0"/>
        <v>#DIV/0!</v>
      </c>
    </row>
    <row r="38" spans="1:9" x14ac:dyDescent="0.25">
      <c r="A38" s="16" t="s">
        <v>39</v>
      </c>
      <c r="B38" s="40"/>
      <c r="C38" s="40"/>
      <c r="D38" s="40"/>
      <c r="E38" s="40"/>
      <c r="F38" s="40"/>
      <c r="G38" s="40"/>
    </row>
    <row r="39" spans="1:9" x14ac:dyDescent="0.25">
      <c r="A39" s="16" t="s">
        <v>30</v>
      </c>
      <c r="B39" s="36">
        <f t="shared" si="1"/>
        <v>0</v>
      </c>
      <c r="C39" s="36">
        <f t="shared" si="1"/>
        <v>0</v>
      </c>
      <c r="D39" s="36">
        <f t="shared" si="0"/>
        <v>0</v>
      </c>
      <c r="E39" s="36">
        <f t="shared" si="0"/>
        <v>-6.9108201640464273E-3</v>
      </c>
      <c r="F39" s="36">
        <f t="shared" si="0"/>
        <v>-7.0719258952727237E-3</v>
      </c>
      <c r="G39" s="36">
        <f t="shared" si="0"/>
        <v>-9.345696080851118E-3</v>
      </c>
    </row>
    <row r="40" spans="1:9" x14ac:dyDescent="0.25">
      <c r="A40" s="16" t="s">
        <v>31</v>
      </c>
      <c r="B40" s="36">
        <f t="shared" si="1"/>
        <v>7.6645972254096861E-5</v>
      </c>
      <c r="C40" s="36">
        <f>100%-(C11/J11)</f>
        <v>0</v>
      </c>
      <c r="D40" s="36">
        <f t="shared" si="0"/>
        <v>0</v>
      </c>
      <c r="E40" s="36">
        <f t="shared" si="0"/>
        <v>1.0422711199024604E-2</v>
      </c>
      <c r="F40" s="34">
        <f t="shared" si="0"/>
        <v>0.15885930451917096</v>
      </c>
      <c r="G40" s="34">
        <f t="shared" si="0"/>
        <v>4.3891709096865017E-2</v>
      </c>
      <c r="I40" s="2" t="s">
        <v>53</v>
      </c>
    </row>
    <row r="41" spans="1:9" x14ac:dyDescent="0.25">
      <c r="A41" s="16" t="s">
        <v>32</v>
      </c>
      <c r="B41" s="40"/>
      <c r="C41" s="40"/>
      <c r="D41" s="34" t="e">
        <f t="shared" si="0"/>
        <v>#DIV/0!</v>
      </c>
      <c r="E41" s="34" t="e">
        <f t="shared" si="0"/>
        <v>#DIV/0!</v>
      </c>
      <c r="F41" s="34" t="e">
        <f t="shared" si="0"/>
        <v>#DIV/0!</v>
      </c>
      <c r="G41" s="34" t="e">
        <f t="shared" si="0"/>
        <v>#DIV/0!</v>
      </c>
    </row>
    <row r="42" spans="1:9" x14ac:dyDescent="0.25">
      <c r="A42" s="16" t="s">
        <v>8</v>
      </c>
      <c r="B42" s="36">
        <f t="shared" si="1"/>
        <v>-2.0719738276990141E-2</v>
      </c>
      <c r="C42" s="36">
        <f t="shared" si="1"/>
        <v>-2.7027027027026973E-2</v>
      </c>
      <c r="D42" s="36">
        <f t="shared" si="0"/>
        <v>0</v>
      </c>
      <c r="E42" s="34">
        <f t="shared" si="0"/>
        <v>0.12094583609303633</v>
      </c>
      <c r="F42" s="34">
        <f t="shared" si="0"/>
        <v>-0.31858124586044556</v>
      </c>
      <c r="G42" s="34">
        <f t="shared" si="0"/>
        <v>6.4917621927393365E-2</v>
      </c>
      <c r="I42" s="2" t="s">
        <v>54</v>
      </c>
    </row>
    <row r="43" spans="1:9" x14ac:dyDescent="0.25">
      <c r="A43" s="16" t="s">
        <v>9</v>
      </c>
      <c r="B43" s="40"/>
      <c r="C43" s="40"/>
      <c r="D43" s="36">
        <f t="shared" si="0"/>
        <v>0</v>
      </c>
      <c r="E43" s="36">
        <f t="shared" si="0"/>
        <v>4.0021744133573733E-3</v>
      </c>
      <c r="F43" s="36">
        <f t="shared" si="0"/>
        <v>3.23107932258071E-3</v>
      </c>
      <c r="G43" s="36">
        <f t="shared" si="0"/>
        <v>3.8362453238419691E-3</v>
      </c>
    </row>
    <row r="44" spans="1:9" x14ac:dyDescent="0.25">
      <c r="A44" s="16" t="s">
        <v>36</v>
      </c>
      <c r="B44" s="40"/>
      <c r="C44" s="40"/>
      <c r="D44" s="36">
        <f t="shared" si="0"/>
        <v>0</v>
      </c>
      <c r="E44" s="36">
        <f t="shared" si="0"/>
        <v>4.9975012493741477E-4</v>
      </c>
      <c r="F44" s="36">
        <f t="shared" si="0"/>
        <v>5.4558824692219066E-4</v>
      </c>
      <c r="G44" s="36">
        <f t="shared" si="0"/>
        <v>5.4558824692219066E-4</v>
      </c>
    </row>
    <row r="45" spans="1:9" x14ac:dyDescent="0.25">
      <c r="A45" s="16" t="s">
        <v>41</v>
      </c>
      <c r="B45" s="34">
        <f t="shared" ref="B45" si="2">100%-(B16/I16)</f>
        <v>-5.6413793103448295E-2</v>
      </c>
      <c r="C45" s="36">
        <f t="shared" ref="C45" si="3">100%-(C16/J16)</f>
        <v>-7.4812967581048273E-3</v>
      </c>
      <c r="D45" s="36">
        <f t="shared" si="0"/>
        <v>0</v>
      </c>
      <c r="E45" s="36">
        <f t="shared" si="0"/>
        <v>5.1079092665473613E-4</v>
      </c>
      <c r="F45" s="36">
        <f t="shared" si="0"/>
        <v>4.7459066555088913E-4</v>
      </c>
      <c r="G45" s="34">
        <f t="shared" si="0"/>
        <v>5.1093960206754829E-2</v>
      </c>
      <c r="I45" s="2" t="s">
        <v>55</v>
      </c>
    </row>
    <row r="46" spans="1:9" x14ac:dyDescent="0.25">
      <c r="A46" s="16" t="s">
        <v>42</v>
      </c>
      <c r="B46" s="40"/>
      <c r="C46" s="40"/>
      <c r="D46" s="36">
        <f t="shared" si="0"/>
        <v>0</v>
      </c>
      <c r="E46" s="36">
        <f t="shared" si="0"/>
        <v>4.997501249375258E-4</v>
      </c>
      <c r="F46" s="36">
        <f t="shared" si="0"/>
        <v>5.0553042306022977E-4</v>
      </c>
      <c r="G46" s="36">
        <f t="shared" si="0"/>
        <v>5.0553042306022977E-4</v>
      </c>
    </row>
    <row r="47" spans="1:9" x14ac:dyDescent="0.25">
      <c r="A47" s="16" t="s">
        <v>43</v>
      </c>
      <c r="B47" s="34">
        <f t="shared" si="1"/>
        <v>-0.13004926108374382</v>
      </c>
      <c r="C47" s="34">
        <f t="shared" si="1"/>
        <v>-0.1692307692307693</v>
      </c>
      <c r="D47" s="36">
        <f t="shared" si="0"/>
        <v>0</v>
      </c>
      <c r="E47" s="36">
        <f t="shared" si="0"/>
        <v>5.0156739811912932E-4</v>
      </c>
      <c r="F47" s="36">
        <f t="shared" si="0"/>
        <v>5.0156739811912932E-4</v>
      </c>
      <c r="G47" s="36">
        <f t="shared" si="0"/>
        <v>6.1346282761890469E-3</v>
      </c>
      <c r="I47" s="2" t="s">
        <v>55</v>
      </c>
    </row>
    <row r="48" spans="1:9" x14ac:dyDescent="0.25">
      <c r="A48" s="16" t="s">
        <v>46</v>
      </c>
      <c r="B48" s="40"/>
      <c r="C48" s="40"/>
      <c r="D48" s="36">
        <f t="shared" si="0"/>
        <v>0</v>
      </c>
      <c r="E48" s="36">
        <f t="shared" si="0"/>
        <v>4.8468436392656855E-4</v>
      </c>
      <c r="F48" s="36">
        <f t="shared" si="0"/>
        <v>5.0351649422586409E-4</v>
      </c>
      <c r="G48" s="36">
        <f t="shared" si="0"/>
        <v>5.0351649422586409E-4</v>
      </c>
    </row>
    <row r="49" spans="1:9" x14ac:dyDescent="0.25">
      <c r="A49" s="16" t="s">
        <v>44</v>
      </c>
      <c r="B49" s="40"/>
      <c r="C49" s="40"/>
      <c r="D49" s="36">
        <f t="shared" ref="D49:G54" si="4">100%-(D20/K20)</f>
        <v>0</v>
      </c>
      <c r="E49" s="36">
        <f t="shared" si="4"/>
        <v>4.9701093424059373E-4</v>
      </c>
      <c r="F49" s="36">
        <f t="shared" si="4"/>
        <v>4.970109342404827E-4</v>
      </c>
      <c r="G49" s="36">
        <f t="shared" si="4"/>
        <v>4.970109342404827E-4</v>
      </c>
    </row>
    <row r="50" spans="1:9" x14ac:dyDescent="0.25">
      <c r="A50" s="16" t="s">
        <v>33</v>
      </c>
      <c r="B50" s="40"/>
      <c r="C50" s="40"/>
      <c r="D50" s="36">
        <f t="shared" si="4"/>
        <v>0</v>
      </c>
      <c r="E50" s="36">
        <f t="shared" si="4"/>
        <v>4.494460999999994E-2</v>
      </c>
      <c r="F50" s="47">
        <f t="shared" si="4"/>
        <v>1.7657313142856901E-2</v>
      </c>
      <c r="G50" s="47">
        <f t="shared" si="4"/>
        <v>-9.1610902165422781E-2</v>
      </c>
      <c r="I50" s="2" t="s">
        <v>57</v>
      </c>
    </row>
    <row r="51" spans="1:9" x14ac:dyDescent="0.25">
      <c r="A51" s="16" t="s">
        <v>34</v>
      </c>
      <c r="B51" s="40"/>
      <c r="C51" s="40"/>
      <c r="D51" s="36">
        <f t="shared" si="4"/>
        <v>0</v>
      </c>
      <c r="E51" s="36">
        <f t="shared" si="4"/>
        <v>-5.3541818181817025E-3</v>
      </c>
      <c r="F51" s="47">
        <f t="shared" si="4"/>
        <v>4.451138560000012E-2</v>
      </c>
      <c r="G51" s="47">
        <f t="shared" si="4"/>
        <v>0.30899652494946961</v>
      </c>
      <c r="I51" s="2" t="s">
        <v>59</v>
      </c>
    </row>
    <row r="52" spans="1:9" x14ac:dyDescent="0.25">
      <c r="A52" s="16" t="s">
        <v>35</v>
      </c>
      <c r="B52" s="34" t="e">
        <f t="shared" ref="B52:C54" si="5">100%-(B23/I23)</f>
        <v>#DIV/0!</v>
      </c>
      <c r="C52" s="34" t="e">
        <f t="shared" si="5"/>
        <v>#DIV/0!</v>
      </c>
      <c r="D52" s="34" t="e">
        <f t="shared" si="4"/>
        <v>#DIV/0!</v>
      </c>
      <c r="E52" s="34" t="e">
        <f t="shared" si="4"/>
        <v>#DIV/0!</v>
      </c>
      <c r="F52" s="34" t="e">
        <f t="shared" si="4"/>
        <v>#DIV/0!</v>
      </c>
      <c r="G52" s="34" t="e">
        <f t="shared" si="4"/>
        <v>#DIV/0!</v>
      </c>
      <c r="I52" s="2" t="s">
        <v>56</v>
      </c>
    </row>
    <row r="53" spans="1:9" x14ac:dyDescent="0.25">
      <c r="A53" s="16" t="s">
        <v>38</v>
      </c>
      <c r="B53" s="40"/>
      <c r="C53" s="36" t="e">
        <f t="shared" si="5"/>
        <v>#DIV/0!</v>
      </c>
      <c r="D53" s="36" t="e">
        <f t="shared" si="4"/>
        <v>#DIV/0!</v>
      </c>
      <c r="E53" s="36" t="e">
        <f t="shared" si="4"/>
        <v>#DIV/0!</v>
      </c>
      <c r="F53" s="36" t="e">
        <f t="shared" si="4"/>
        <v>#DIV/0!</v>
      </c>
      <c r="G53" s="34" t="e">
        <f t="shared" si="4"/>
        <v>#DIV/0!</v>
      </c>
    </row>
    <row r="54" spans="1:9" x14ac:dyDescent="0.25">
      <c r="A54" s="16" t="s">
        <v>45</v>
      </c>
      <c r="B54" s="34" t="e">
        <f t="shared" si="5"/>
        <v>#DIV/0!</v>
      </c>
      <c r="C54" s="34" t="e">
        <f t="shared" si="5"/>
        <v>#DIV/0!</v>
      </c>
      <c r="D54" s="34" t="e">
        <f t="shared" si="4"/>
        <v>#DIV/0!</v>
      </c>
      <c r="E54" s="34" t="e">
        <f t="shared" si="4"/>
        <v>#DIV/0!</v>
      </c>
      <c r="F54" s="34" t="e">
        <f t="shared" si="4"/>
        <v>#DIV/0!</v>
      </c>
      <c r="G54" s="34" t="e">
        <f t="shared" si="4"/>
        <v>#DIV/0!</v>
      </c>
      <c r="I54" s="2" t="s">
        <v>58</v>
      </c>
    </row>
    <row r="55" spans="1:9" x14ac:dyDescent="0.25">
      <c r="B55" s="48"/>
      <c r="C55" s="3" t="s">
        <v>47</v>
      </c>
    </row>
    <row r="56" spans="1:9" x14ac:dyDescent="0.25">
      <c r="B56" s="55"/>
      <c r="C56" s="3" t="s">
        <v>48</v>
      </c>
    </row>
    <row r="57" spans="1:9" x14ac:dyDescent="0.25">
      <c r="B57" s="39"/>
      <c r="C57" s="3" t="s">
        <v>49</v>
      </c>
    </row>
    <row r="58" spans="1:9" x14ac:dyDescent="0.25">
      <c r="B58" s="38"/>
      <c r="C58" s="3" t="s">
        <v>50</v>
      </c>
    </row>
  </sheetData>
  <mergeCells count="2">
    <mergeCell ref="B2:G2"/>
    <mergeCell ref="I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5029-31CA-492E-9DF5-91E0677FDE0C}">
  <dimension ref="A1:N58"/>
  <sheetViews>
    <sheetView tabSelected="1" topLeftCell="A28" workbookViewId="0">
      <selection activeCell="F51" sqref="F51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9.14062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7109375" style="2" bestFit="1" customWidth="1"/>
  </cols>
  <sheetData>
    <row r="1" spans="1:14" x14ac:dyDescent="0.25">
      <c r="A1" s="12">
        <v>44381</v>
      </c>
      <c r="H1" s="2"/>
    </row>
    <row r="2" spans="1:14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4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4" x14ac:dyDescent="0.25">
      <c r="A4" s="16" t="s">
        <v>25</v>
      </c>
      <c r="B4" s="18">
        <v>86.385000000000005</v>
      </c>
      <c r="C4" s="19">
        <v>4762</v>
      </c>
      <c r="D4" s="19">
        <v>775705</v>
      </c>
      <c r="E4" s="18">
        <f>5470000/14500</f>
        <v>377.24137931034483</v>
      </c>
      <c r="F4" s="28">
        <f>2324750/14500</f>
        <v>160.32758620689654</v>
      </c>
      <c r="G4" s="31">
        <v>35.15</v>
      </c>
      <c r="H4" s="21"/>
      <c r="I4" s="18">
        <v>86.01</v>
      </c>
      <c r="J4" s="19">
        <v>4731</v>
      </c>
      <c r="K4" s="19">
        <v>777683</v>
      </c>
      <c r="L4" s="22">
        <v>380.88</v>
      </c>
      <c r="M4" s="28">
        <v>161.87</v>
      </c>
      <c r="N4" s="32">
        <v>36.44</v>
      </c>
    </row>
    <row r="5" spans="1:14" x14ac:dyDescent="0.25">
      <c r="A5" s="16" t="s">
        <v>26</v>
      </c>
      <c r="B5" s="18">
        <v>0</v>
      </c>
      <c r="C5" s="52">
        <v>1</v>
      </c>
      <c r="D5" s="19">
        <v>180930</v>
      </c>
      <c r="E5" s="18">
        <v>1698.5885124199999</v>
      </c>
      <c r="F5" s="28">
        <v>424.64712810499998</v>
      </c>
      <c r="G5" s="18">
        <v>271.77416198719993</v>
      </c>
      <c r="H5" s="23"/>
      <c r="I5" s="18"/>
      <c r="J5" s="19">
        <v>1</v>
      </c>
      <c r="K5" s="19">
        <v>180930</v>
      </c>
      <c r="L5" s="22">
        <v>1779.69</v>
      </c>
      <c r="M5" s="28">
        <v>444.92</v>
      </c>
      <c r="N5" s="18">
        <v>284.75</v>
      </c>
    </row>
    <row r="6" spans="1:14" x14ac:dyDescent="0.25">
      <c r="A6" s="16" t="s">
        <v>27</v>
      </c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32"/>
    </row>
    <row r="7" spans="1:14" x14ac:dyDescent="0.25">
      <c r="A7" s="16" t="s">
        <v>28</v>
      </c>
      <c r="B7" s="18">
        <v>6.24</v>
      </c>
      <c r="C7" s="19">
        <v>112</v>
      </c>
      <c r="D7" s="19">
        <v>17821</v>
      </c>
      <c r="E7" s="18">
        <v>43.900000000000006</v>
      </c>
      <c r="F7" s="28">
        <v>19.755000000000003</v>
      </c>
      <c r="G7" s="18">
        <v>7.9836000000000018</v>
      </c>
      <c r="H7" s="23"/>
      <c r="I7" s="18">
        <v>6.24</v>
      </c>
      <c r="J7" s="19">
        <v>110</v>
      </c>
      <c r="K7" s="19">
        <v>17837</v>
      </c>
      <c r="L7" s="22">
        <v>43.9</v>
      </c>
      <c r="M7" s="28">
        <v>19.760000000000002</v>
      </c>
      <c r="N7" s="18">
        <v>7.98</v>
      </c>
    </row>
    <row r="8" spans="1:14" x14ac:dyDescent="0.25">
      <c r="A8" s="16" t="s">
        <v>29</v>
      </c>
      <c r="B8" s="18"/>
      <c r="C8" s="19"/>
      <c r="D8" s="19">
        <v>25306</v>
      </c>
      <c r="E8" s="31">
        <f>66000/14500</f>
        <v>4.5517241379310347</v>
      </c>
      <c r="F8" s="30">
        <f>26400/14500</f>
        <v>1.8206896551724139</v>
      </c>
      <c r="G8" s="31">
        <f>20328/14500</f>
        <v>1.4019310344827587</v>
      </c>
      <c r="H8" s="25"/>
      <c r="I8" s="24"/>
      <c r="J8" s="19"/>
      <c r="K8" s="19"/>
      <c r="L8" s="22"/>
      <c r="M8" s="28"/>
      <c r="N8" s="18"/>
    </row>
    <row r="9" spans="1:14" x14ac:dyDescent="0.25">
      <c r="A9" s="16" t="s">
        <v>39</v>
      </c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</row>
    <row r="10" spans="1:14" x14ac:dyDescent="0.25">
      <c r="A10" s="16" t="s">
        <v>30</v>
      </c>
      <c r="B10" s="18">
        <v>2.6</v>
      </c>
      <c r="C10" s="19">
        <v>8</v>
      </c>
      <c r="D10" s="19">
        <v>6456</v>
      </c>
      <c r="E10" s="18">
        <v>37.244681321999998</v>
      </c>
      <c r="F10" s="28">
        <v>14.004000177071999</v>
      </c>
      <c r="G10" s="32">
        <v>8.0683745340739357</v>
      </c>
      <c r="H10" s="23"/>
      <c r="I10" s="18">
        <v>2.6</v>
      </c>
      <c r="J10" s="19">
        <v>8</v>
      </c>
      <c r="K10" s="19">
        <v>6456</v>
      </c>
      <c r="L10" s="22">
        <v>36.979999999999997</v>
      </c>
      <c r="M10" s="28">
        <v>13.91</v>
      </c>
      <c r="N10" s="32">
        <v>7.99</v>
      </c>
    </row>
    <row r="11" spans="1:14" x14ac:dyDescent="0.25">
      <c r="A11" s="16" t="s">
        <v>31</v>
      </c>
      <c r="B11" s="18">
        <v>131.63</v>
      </c>
      <c r="C11" s="19">
        <v>10135</v>
      </c>
      <c r="D11" s="19">
        <v>3778014</v>
      </c>
      <c r="E11" s="18">
        <v>2125.6755541839998</v>
      </c>
      <c r="F11" s="28">
        <v>1084.0945326338399</v>
      </c>
      <c r="G11" s="18">
        <v>617.8304356963647</v>
      </c>
      <c r="H11" s="23"/>
      <c r="I11" s="18">
        <v>131.63999999999999</v>
      </c>
      <c r="J11" s="19">
        <v>10135</v>
      </c>
      <c r="K11" s="19">
        <v>3778014</v>
      </c>
      <c r="L11" s="22">
        <v>2148.06</v>
      </c>
      <c r="M11" s="28">
        <v>1288.8399999999999</v>
      </c>
      <c r="N11" s="18">
        <v>645.96</v>
      </c>
    </row>
    <row r="12" spans="1:14" x14ac:dyDescent="0.25">
      <c r="A12" s="16" t="s">
        <v>32</v>
      </c>
      <c r="B12" s="18"/>
      <c r="C12" s="19"/>
      <c r="D12" s="19"/>
      <c r="E12" s="18">
        <v>26.957106</v>
      </c>
      <c r="F12" s="28">
        <v>11.888083746</v>
      </c>
      <c r="G12" s="18">
        <v>8.5594202971199991</v>
      </c>
      <c r="H12" s="23"/>
      <c r="I12" s="18"/>
      <c r="J12" s="19"/>
      <c r="K12" s="19"/>
      <c r="L12" s="22"/>
      <c r="M12" s="28"/>
      <c r="N12" s="18"/>
    </row>
    <row r="13" spans="1:14" x14ac:dyDescent="0.25">
      <c r="A13" s="16" t="s">
        <v>8</v>
      </c>
      <c r="B13" s="18">
        <v>16.575000000000003</v>
      </c>
      <c r="C13" s="50">
        <v>170</v>
      </c>
      <c r="D13" s="50">
        <v>329457</v>
      </c>
      <c r="E13" s="18">
        <v>495.14883828480004</v>
      </c>
      <c r="F13" s="28">
        <v>297.08930297088</v>
      </c>
      <c r="G13" s="18">
        <v>227.03822843612159</v>
      </c>
      <c r="H13" s="23"/>
      <c r="I13" s="18">
        <v>16.190000000000001</v>
      </c>
      <c r="J13" s="50">
        <v>166</v>
      </c>
      <c r="K13" s="50">
        <v>329457</v>
      </c>
      <c r="L13" s="51">
        <v>563.27</v>
      </c>
      <c r="M13" s="28">
        <v>225.31</v>
      </c>
      <c r="N13" s="18">
        <v>243.02</v>
      </c>
    </row>
    <row r="14" spans="1:14" x14ac:dyDescent="0.25">
      <c r="A14" s="16" t="s">
        <v>9</v>
      </c>
      <c r="B14" s="18"/>
      <c r="C14" s="50"/>
      <c r="D14" s="50">
        <v>29846</v>
      </c>
      <c r="E14" s="18">
        <v>86.860440519999997</v>
      </c>
      <c r="F14" s="28">
        <v>30.401154181999996</v>
      </c>
      <c r="G14" s="26">
        <v>23.061446958059996</v>
      </c>
      <c r="H14" s="23"/>
      <c r="I14" s="18"/>
      <c r="J14" s="50"/>
      <c r="K14" s="50">
        <v>29848</v>
      </c>
      <c r="L14" s="51">
        <v>87.21</v>
      </c>
      <c r="M14" s="28">
        <v>31</v>
      </c>
      <c r="N14" s="18">
        <v>23.15</v>
      </c>
    </row>
    <row r="15" spans="1:14" x14ac:dyDescent="0.25">
      <c r="A15" s="16" t="s">
        <v>36</v>
      </c>
      <c r="B15" s="18"/>
      <c r="C15" s="19"/>
      <c r="D15" s="19">
        <v>138763</v>
      </c>
      <c r="E15" s="31">
        <f>3026000/14500</f>
        <v>208.68965517241378</v>
      </c>
      <c r="F15" s="30">
        <f>1210400/14500</f>
        <v>83.475862068965512</v>
      </c>
      <c r="G15" s="31">
        <f>1210400/14500</f>
        <v>83.475862068965512</v>
      </c>
      <c r="H15" s="23"/>
      <c r="I15" s="18"/>
      <c r="J15" s="19"/>
      <c r="K15" s="19">
        <v>138763</v>
      </c>
      <c r="L15" s="22">
        <v>208.79</v>
      </c>
      <c r="M15" s="28">
        <v>83.52</v>
      </c>
      <c r="N15" s="32">
        <v>83.52</v>
      </c>
    </row>
    <row r="16" spans="1:14" x14ac:dyDescent="0.25">
      <c r="A16" s="16" t="s">
        <v>41</v>
      </c>
      <c r="B16" s="18">
        <f>311688/14500</f>
        <v>21.495724137931035</v>
      </c>
      <c r="C16" s="19">
        <v>162</v>
      </c>
      <c r="D16" s="19">
        <v>146324</v>
      </c>
      <c r="E16" s="24">
        <f>3927550/14500</f>
        <v>270.86551724137934</v>
      </c>
      <c r="F16" s="29">
        <f>1571020/14500</f>
        <v>108.34620689655172</v>
      </c>
      <c r="G16" s="18">
        <f>1259332/14500</f>
        <v>86.850482758620686</v>
      </c>
      <c r="H16" s="23"/>
      <c r="I16" s="18">
        <v>21.06</v>
      </c>
      <c r="J16" s="19">
        <v>161</v>
      </c>
      <c r="K16" s="19">
        <v>146324</v>
      </c>
      <c r="L16" s="24">
        <v>217</v>
      </c>
      <c r="M16" s="29">
        <v>108.4</v>
      </c>
      <c r="N16" s="32">
        <v>87.34</v>
      </c>
    </row>
    <row r="17" spans="1:14" x14ac:dyDescent="0.25">
      <c r="A17" s="16" t="s">
        <v>42</v>
      </c>
      <c r="B17" s="18"/>
      <c r="C17" s="19"/>
      <c r="D17" s="19">
        <v>212473</v>
      </c>
      <c r="E17" s="24">
        <f>12638000/14500</f>
        <v>871.58620689655174</v>
      </c>
      <c r="F17" s="29">
        <f>5055200/14500</f>
        <v>348.63448275862066</v>
      </c>
      <c r="G17" s="18">
        <f>5055200/14500</f>
        <v>348.63448275862066</v>
      </c>
      <c r="H17" s="23"/>
      <c r="I17" s="18"/>
      <c r="J17" s="19"/>
      <c r="K17" s="19">
        <v>212473</v>
      </c>
      <c r="L17" s="22">
        <v>872.02</v>
      </c>
      <c r="M17" s="28">
        <v>348.81</v>
      </c>
      <c r="N17" s="32">
        <v>348.81</v>
      </c>
    </row>
    <row r="18" spans="1:14" x14ac:dyDescent="0.25">
      <c r="A18" s="16" t="s">
        <v>43</v>
      </c>
      <c r="B18" s="18">
        <f>88504/14500</f>
        <v>6.1037241379310343</v>
      </c>
      <c r="C18" s="19">
        <v>232</v>
      </c>
      <c r="D18" s="19">
        <v>218620</v>
      </c>
      <c r="E18" s="24">
        <f>7746650/14500</f>
        <v>534.25172413793098</v>
      </c>
      <c r="F18" s="29">
        <f>3098660/14500</f>
        <v>213.70068965517243</v>
      </c>
      <c r="G18" s="18">
        <f>3010156/14500</f>
        <v>207.59696551724139</v>
      </c>
      <c r="H18" s="23"/>
      <c r="I18" s="18">
        <v>4.68</v>
      </c>
      <c r="J18" s="19">
        <v>200</v>
      </c>
      <c r="K18" s="19">
        <v>218620</v>
      </c>
      <c r="L18" s="22">
        <v>534.52</v>
      </c>
      <c r="M18" s="28">
        <v>213.81</v>
      </c>
      <c r="N18" s="32">
        <v>209.13</v>
      </c>
    </row>
    <row r="19" spans="1:14" x14ac:dyDescent="0.25">
      <c r="A19" s="16" t="s">
        <v>46</v>
      </c>
      <c r="B19" s="18"/>
      <c r="C19" s="19"/>
      <c r="D19" s="19">
        <v>166636</v>
      </c>
      <c r="E19" s="24">
        <f>3766000/14500</f>
        <v>259.72413793103448</v>
      </c>
      <c r="F19" s="29">
        <f>1506400/14500</f>
        <v>103.8896551724138</v>
      </c>
      <c r="G19" s="18">
        <f>1506400/14500</f>
        <v>103.8896551724138</v>
      </c>
      <c r="H19" s="23"/>
      <c r="I19" s="18"/>
      <c r="J19" s="19"/>
      <c r="K19" s="19">
        <v>166636</v>
      </c>
      <c r="L19" s="22">
        <v>259.85000000000002</v>
      </c>
      <c r="M19" s="28">
        <v>103.94</v>
      </c>
      <c r="N19" s="32">
        <v>103.94</v>
      </c>
    </row>
    <row r="20" spans="1:14" x14ac:dyDescent="0.25">
      <c r="A20" s="16" t="s">
        <v>44</v>
      </c>
      <c r="B20" s="18"/>
      <c r="C20" s="19">
        <v>304</v>
      </c>
      <c r="D20" s="19">
        <v>199624</v>
      </c>
      <c r="E20" s="24">
        <f>7335250/14500</f>
        <v>505.87931034482756</v>
      </c>
      <c r="F20" s="29">
        <f>2934100/14500</f>
        <v>202.35172413793103</v>
      </c>
      <c r="G20" s="18">
        <f>2934100/14500</f>
        <v>202.35172413793103</v>
      </c>
      <c r="H20" s="23"/>
      <c r="I20" s="18"/>
      <c r="J20" s="19"/>
      <c r="K20" s="19">
        <v>199624</v>
      </c>
      <c r="L20" s="24">
        <v>506.13</v>
      </c>
      <c r="M20" s="29">
        <v>202.45</v>
      </c>
      <c r="N20" s="32">
        <v>202.45</v>
      </c>
    </row>
    <row r="21" spans="1:14" x14ac:dyDescent="0.25">
      <c r="A21" s="16" t="s">
        <v>33</v>
      </c>
      <c r="B21" s="18"/>
      <c r="C21" s="19"/>
      <c r="D21" s="19">
        <v>13017</v>
      </c>
      <c r="E21" s="18">
        <v>15.34589001</v>
      </c>
      <c r="F21" s="28">
        <v>5.5245204036000004</v>
      </c>
      <c r="G21" s="18">
        <v>4.4698894585527604</v>
      </c>
      <c r="H21" s="23"/>
      <c r="I21" s="18"/>
      <c r="J21" s="19"/>
      <c r="K21" s="19">
        <v>13017</v>
      </c>
      <c r="L21" s="22">
        <v>16.07</v>
      </c>
      <c r="M21" s="28">
        <v>5.62</v>
      </c>
      <c r="N21" s="18">
        <v>4.0999999999999996</v>
      </c>
    </row>
    <row r="22" spans="1:14" x14ac:dyDescent="0.25">
      <c r="A22" s="16" t="s">
        <v>34</v>
      </c>
      <c r="B22" s="18"/>
      <c r="C22" s="19"/>
      <c r="D22" s="19">
        <v>1661</v>
      </c>
      <c r="E22" s="18">
        <v>15.261276479999998</v>
      </c>
      <c r="F22" s="28">
        <v>5.7992850623999992</v>
      </c>
      <c r="G22" s="32">
        <v>-1.275181421738667</v>
      </c>
      <c r="H22" s="27"/>
      <c r="I22" s="18"/>
      <c r="J22" s="19"/>
      <c r="K22" s="19">
        <v>1661</v>
      </c>
      <c r="L22" s="22">
        <v>15.18</v>
      </c>
      <c r="M22" s="28">
        <v>6.07</v>
      </c>
      <c r="N22" s="32">
        <v>0.9</v>
      </c>
    </row>
    <row r="23" spans="1:14" x14ac:dyDescent="0.25">
      <c r="A23" s="16" t="s">
        <v>35</v>
      </c>
      <c r="B23" s="18">
        <v>173.94000000000003</v>
      </c>
      <c r="C23" s="19">
        <v>2703</v>
      </c>
      <c r="D23" s="19">
        <v>102239</v>
      </c>
      <c r="E23" s="18">
        <f>6596000/14500</f>
        <v>454.89655172413791</v>
      </c>
      <c r="F23" s="28">
        <f>2803300/14500</f>
        <v>193.33103448275861</v>
      </c>
      <c r="G23" s="32">
        <f>(-453698)/14500</f>
        <v>-31.289517241379311</v>
      </c>
      <c r="H23" s="23"/>
      <c r="I23" s="18"/>
      <c r="J23" s="19"/>
      <c r="K23" s="19"/>
      <c r="L23" s="22"/>
      <c r="M23" s="28"/>
      <c r="N23" s="18"/>
    </row>
    <row r="24" spans="1:14" x14ac:dyDescent="0.25">
      <c r="A24" s="16" t="s">
        <v>38</v>
      </c>
      <c r="B24" s="18"/>
      <c r="C24" s="19"/>
      <c r="D24" s="19">
        <v>24820</v>
      </c>
      <c r="E24" s="31">
        <f>356000/14500</f>
        <v>24.551724137931036</v>
      </c>
      <c r="F24" s="30">
        <f>142400/14500</f>
        <v>9.8206896551724139</v>
      </c>
      <c r="G24" s="31">
        <f>109648/14500</f>
        <v>7.5619310344827584</v>
      </c>
      <c r="H24" s="23"/>
      <c r="I24" s="18"/>
      <c r="J24" s="19"/>
      <c r="K24" s="19"/>
      <c r="L24" s="22"/>
      <c r="M24" s="28"/>
      <c r="N24" s="32"/>
    </row>
    <row r="25" spans="1:14" x14ac:dyDescent="0.25">
      <c r="A25" s="16" t="s">
        <v>45</v>
      </c>
      <c r="B25" s="18">
        <f>14500/14500</f>
        <v>1</v>
      </c>
      <c r="C25" s="19">
        <v>10</v>
      </c>
      <c r="D25" s="19">
        <v>92203</v>
      </c>
      <c r="E25" s="24">
        <f>1720000/14500</f>
        <v>118.62068965517241</v>
      </c>
      <c r="F25" s="29">
        <f>1023400/14500</f>
        <v>70.57931034482759</v>
      </c>
      <c r="G25" s="32">
        <f>845156/14500</f>
        <v>58.286620689655173</v>
      </c>
      <c r="H25" s="23"/>
      <c r="I25" s="18"/>
      <c r="J25" s="19"/>
      <c r="K25" s="19"/>
      <c r="L25" s="22"/>
      <c r="M25" s="28"/>
      <c r="N25" s="18"/>
    </row>
    <row r="26" spans="1:14" x14ac:dyDescent="0.25">
      <c r="A26" s="16"/>
      <c r="B26" s="18"/>
      <c r="C26" s="19"/>
      <c r="D26" s="19"/>
      <c r="E26" s="24"/>
      <c r="F26" s="29"/>
      <c r="G26" s="18"/>
      <c r="H26" s="23"/>
      <c r="I26" s="18"/>
      <c r="J26" s="19"/>
      <c r="K26" s="19"/>
      <c r="L26" s="22"/>
      <c r="M26" s="28"/>
      <c r="N26" s="18"/>
    </row>
    <row r="27" spans="1:14" x14ac:dyDescent="0.25">
      <c r="A27" s="16"/>
      <c r="B27" s="18"/>
      <c r="C27" s="19"/>
      <c r="D27" s="19"/>
      <c r="E27" s="24"/>
      <c r="F27" s="29"/>
      <c r="G27" s="18"/>
      <c r="H27" s="23"/>
      <c r="I27" s="18"/>
      <c r="J27" s="19"/>
      <c r="K27" s="19"/>
      <c r="L27" s="22"/>
      <c r="M27" s="28"/>
      <c r="N27" s="18"/>
    </row>
    <row r="28" spans="1:14" x14ac:dyDescent="0.25">
      <c r="A28" s="16"/>
      <c r="B28" s="18"/>
      <c r="C28" s="19"/>
      <c r="D28" s="19"/>
      <c r="E28" s="24"/>
      <c r="F28" s="29"/>
      <c r="G28" s="18"/>
      <c r="H28" s="23"/>
      <c r="I28" s="18"/>
      <c r="J28" s="19"/>
      <c r="K28" s="19"/>
      <c r="L28" s="22"/>
      <c r="M28" s="28"/>
      <c r="N28" s="18"/>
    </row>
    <row r="29" spans="1:14" x14ac:dyDescent="0.25">
      <c r="A29" s="16"/>
      <c r="B29" s="18"/>
      <c r="C29" s="19"/>
      <c r="D29" s="19"/>
      <c r="E29" s="24"/>
      <c r="F29" s="29"/>
      <c r="G29" s="18"/>
      <c r="H29" s="23"/>
      <c r="I29" s="18"/>
      <c r="J29" s="19"/>
      <c r="K29" s="19"/>
      <c r="L29" s="22"/>
      <c r="M29" s="28"/>
      <c r="N29" s="18"/>
    </row>
    <row r="30" spans="1:14" x14ac:dyDescent="0.25">
      <c r="A30" s="16"/>
      <c r="B30" s="18"/>
      <c r="C30" s="19"/>
      <c r="D30" s="19"/>
      <c r="E30" s="24"/>
      <c r="F30" s="29"/>
      <c r="G30" s="18"/>
      <c r="H30" s="23"/>
      <c r="I30" s="18"/>
      <c r="J30" s="19"/>
      <c r="K30" s="19"/>
      <c r="L30" s="22"/>
      <c r="M30" s="28"/>
      <c r="N30" s="18"/>
    </row>
    <row r="32" spans="1:14" x14ac:dyDescent="0.25">
      <c r="A32" s="59">
        <v>44381</v>
      </c>
      <c r="B32" s="13" t="s">
        <v>21</v>
      </c>
      <c r="C32" s="14" t="s">
        <v>7</v>
      </c>
      <c r="D32" s="14" t="s">
        <v>22</v>
      </c>
      <c r="E32" s="13" t="s">
        <v>23</v>
      </c>
      <c r="F32" s="15" t="s">
        <v>37</v>
      </c>
      <c r="G32" s="13" t="s">
        <v>24</v>
      </c>
    </row>
    <row r="33" spans="1:9" x14ac:dyDescent="0.25">
      <c r="A33" s="16" t="s">
        <v>25</v>
      </c>
      <c r="B33" s="36">
        <f t="shared" ref="B33:G33" si="0">100%-(B4/I4)</f>
        <v>-4.3599581444018209E-3</v>
      </c>
      <c r="C33" s="36">
        <f t="shared" si="0"/>
        <v>-6.5525258930458907E-3</v>
      </c>
      <c r="D33" s="36">
        <f t="shared" si="0"/>
        <v>2.5434527950334296E-3</v>
      </c>
      <c r="E33" s="36">
        <f t="shared" si="0"/>
        <v>9.5531944172840833E-3</v>
      </c>
      <c r="F33" s="36">
        <f t="shared" si="0"/>
        <v>9.5287193000770376E-3</v>
      </c>
      <c r="G33" s="36">
        <f t="shared" si="0"/>
        <v>3.5400658616904446E-2</v>
      </c>
    </row>
    <row r="34" spans="1:9" x14ac:dyDescent="0.25">
      <c r="A34" s="16" t="s">
        <v>26</v>
      </c>
      <c r="B34" s="40"/>
      <c r="C34" s="36">
        <f>100%-(C5/J5)</f>
        <v>0</v>
      </c>
      <c r="D34" s="36">
        <f>100%-(D5/K5)</f>
        <v>0</v>
      </c>
      <c r="E34" s="34">
        <f>100%-(E5/L5)</f>
        <v>4.5570569919480386E-2</v>
      </c>
      <c r="F34" s="34">
        <f>100%-(F5/M5)</f>
        <v>4.5565206992268403E-2</v>
      </c>
      <c r="G34" s="34">
        <f>100%-(G5/N5)</f>
        <v>4.5569229193327732E-2</v>
      </c>
      <c r="I34" s="2" t="s">
        <v>52</v>
      </c>
    </row>
    <row r="35" spans="1:9" x14ac:dyDescent="0.25">
      <c r="A35" s="16" t="s">
        <v>27</v>
      </c>
      <c r="B35" s="40"/>
      <c r="C35" s="40"/>
      <c r="D35" s="40"/>
      <c r="E35" s="40"/>
      <c r="F35" s="40"/>
      <c r="G35" s="40"/>
    </row>
    <row r="36" spans="1:9" x14ac:dyDescent="0.25">
      <c r="A36" s="16" t="s">
        <v>28</v>
      </c>
      <c r="B36" s="36">
        <f t="shared" ref="B36:C47" si="1">100%-(B7/I7)</f>
        <v>0</v>
      </c>
      <c r="C36" s="36">
        <f t="shared" si="1"/>
        <v>-1.8181818181818077E-2</v>
      </c>
      <c r="D36" s="36">
        <f t="shared" ref="D36:G37" si="2">100%-(D7/K7)</f>
        <v>8.970118293435414E-4</v>
      </c>
      <c r="E36" s="36">
        <f t="shared" si="2"/>
        <v>0</v>
      </c>
      <c r="F36" s="36">
        <f t="shared" si="2"/>
        <v>2.5303643724694513E-4</v>
      </c>
      <c r="G36" s="36">
        <f t="shared" si="2"/>
        <v>-4.5112781954914638E-4</v>
      </c>
    </row>
    <row r="37" spans="1:9" x14ac:dyDescent="0.25">
      <c r="A37" s="16" t="s">
        <v>29</v>
      </c>
      <c r="B37" s="40"/>
      <c r="C37" s="40"/>
      <c r="D37" s="37" t="e">
        <f t="shared" si="2"/>
        <v>#DIV/0!</v>
      </c>
      <c r="E37" s="37" t="e">
        <f t="shared" si="2"/>
        <v>#DIV/0!</v>
      </c>
      <c r="F37" s="37" t="e">
        <f t="shared" si="2"/>
        <v>#DIV/0!</v>
      </c>
      <c r="G37" s="37" t="e">
        <f t="shared" si="2"/>
        <v>#DIV/0!</v>
      </c>
    </row>
    <row r="38" spans="1:9" x14ac:dyDescent="0.25">
      <c r="A38" s="16" t="s">
        <v>39</v>
      </c>
      <c r="B38" s="40"/>
      <c r="C38" s="40"/>
      <c r="D38" s="40"/>
      <c r="E38" s="40"/>
      <c r="F38" s="40"/>
      <c r="G38" s="40"/>
    </row>
    <row r="39" spans="1:9" x14ac:dyDescent="0.25">
      <c r="A39" s="16" t="s">
        <v>30</v>
      </c>
      <c r="B39" s="36">
        <f t="shared" si="1"/>
        <v>0</v>
      </c>
      <c r="C39" s="36">
        <f t="shared" si="1"/>
        <v>0</v>
      </c>
      <c r="D39" s="36">
        <f t="shared" ref="D39:G43" si="3">100%-(D10/K10)</f>
        <v>0</v>
      </c>
      <c r="E39" s="36">
        <f t="shared" si="3"/>
        <v>-7.1574181179014928E-3</v>
      </c>
      <c r="F39" s="36">
        <f t="shared" si="3"/>
        <v>-6.7577409828898372E-3</v>
      </c>
      <c r="G39" s="36">
        <f t="shared" si="3"/>
        <v>-9.8090781068755906E-3</v>
      </c>
    </row>
    <row r="40" spans="1:9" x14ac:dyDescent="0.25">
      <c r="A40" s="16" t="s">
        <v>31</v>
      </c>
      <c r="B40" s="36">
        <f t="shared" si="1"/>
        <v>7.5964752354829024E-5</v>
      </c>
      <c r="C40" s="36">
        <f>100%-(C11/J11)</f>
        <v>0</v>
      </c>
      <c r="D40" s="36">
        <f t="shared" si="3"/>
        <v>0</v>
      </c>
      <c r="E40" s="36">
        <f t="shared" si="3"/>
        <v>1.0420773077102208E-2</v>
      </c>
      <c r="F40" s="34">
        <f t="shared" si="3"/>
        <v>0.15886026765631112</v>
      </c>
      <c r="G40" s="34">
        <f t="shared" si="3"/>
        <v>4.3546913591608338E-2</v>
      </c>
      <c r="I40" s="2" t="s">
        <v>53</v>
      </c>
    </row>
    <row r="41" spans="1:9" x14ac:dyDescent="0.25">
      <c r="A41" s="16" t="s">
        <v>32</v>
      </c>
      <c r="B41" s="40"/>
      <c r="C41" s="40"/>
      <c r="D41" s="34" t="e">
        <f t="shared" si="3"/>
        <v>#DIV/0!</v>
      </c>
      <c r="E41" s="34" t="e">
        <f t="shared" si="3"/>
        <v>#DIV/0!</v>
      </c>
      <c r="F41" s="34" t="e">
        <f t="shared" si="3"/>
        <v>#DIV/0!</v>
      </c>
      <c r="G41" s="34" t="e">
        <f t="shared" si="3"/>
        <v>#DIV/0!</v>
      </c>
    </row>
    <row r="42" spans="1:9" x14ac:dyDescent="0.25">
      <c r="A42" s="16" t="s">
        <v>8</v>
      </c>
      <c r="B42" s="36">
        <f t="shared" si="1"/>
        <v>-2.3780111179740659E-2</v>
      </c>
      <c r="C42" s="36">
        <f t="shared" si="1"/>
        <v>-2.4096385542168752E-2</v>
      </c>
      <c r="D42" s="36">
        <f t="shared" si="3"/>
        <v>0</v>
      </c>
      <c r="E42" s="34">
        <f t="shared" si="3"/>
        <v>0.1209387358020132</v>
      </c>
      <c r="F42" s="34">
        <f t="shared" si="3"/>
        <v>-0.31858019160658646</v>
      </c>
      <c r="G42" s="34">
        <f t="shared" si="3"/>
        <v>6.5763194650145795E-2</v>
      </c>
      <c r="I42" s="2" t="s">
        <v>54</v>
      </c>
    </row>
    <row r="43" spans="1:9" x14ac:dyDescent="0.25">
      <c r="A43" s="16" t="s">
        <v>9</v>
      </c>
      <c r="B43" s="40"/>
      <c r="C43" s="40"/>
      <c r="D43" s="36">
        <f t="shared" si="3"/>
        <v>6.7006164567118276E-5</v>
      </c>
      <c r="E43" s="36">
        <f t="shared" si="3"/>
        <v>4.0082499713335329E-3</v>
      </c>
      <c r="F43" s="36">
        <f t="shared" si="3"/>
        <v>1.9317607032258155E-2</v>
      </c>
      <c r="G43" s="36">
        <f t="shared" si="3"/>
        <v>3.8251853969764049E-3</v>
      </c>
    </row>
    <row r="44" spans="1:9" x14ac:dyDescent="0.25">
      <c r="A44" s="16" t="s">
        <v>36</v>
      </c>
      <c r="B44" s="40"/>
      <c r="C44" s="40"/>
      <c r="D44" s="36">
        <f>100%-(D15/'010721'!K15)</f>
        <v>0</v>
      </c>
      <c r="E44" s="36">
        <f t="shared" ref="E44:G48" si="4">100%-(E15/L15)</f>
        <v>4.8060169350161441E-4</v>
      </c>
      <c r="F44" s="36">
        <f t="shared" si="4"/>
        <v>5.2847139648570796E-4</v>
      </c>
      <c r="G44" s="36">
        <f t="shared" si="4"/>
        <v>5.2847139648570796E-4</v>
      </c>
    </row>
    <row r="45" spans="1:9" x14ac:dyDescent="0.25">
      <c r="A45" s="16" t="s">
        <v>41</v>
      </c>
      <c r="B45" s="36">
        <f t="shared" ref="B45" si="5">100%-(B16/I16)</f>
        <v>-2.0689655172413834E-2</v>
      </c>
      <c r="C45" s="36">
        <f t="shared" ref="C45" si="6">100%-(C16/J16)</f>
        <v>-6.2111801242235032E-3</v>
      </c>
      <c r="D45" s="36">
        <f>100%-(D16/K16)</f>
        <v>0</v>
      </c>
      <c r="E45" s="36">
        <f t="shared" si="4"/>
        <v>-0.24822819005243923</v>
      </c>
      <c r="F45" s="36">
        <f t="shared" si="4"/>
        <v>4.9624634177380944E-4</v>
      </c>
      <c r="G45" s="36">
        <f t="shared" si="4"/>
        <v>5.6047314103425672E-3</v>
      </c>
      <c r="I45" s="2" t="s">
        <v>55</v>
      </c>
    </row>
    <row r="46" spans="1:9" x14ac:dyDescent="0.25">
      <c r="A46" s="16" t="s">
        <v>42</v>
      </c>
      <c r="B46" s="40"/>
      <c r="C46" s="40"/>
      <c r="D46" s="36">
        <f>100%-(D17/K17)</f>
        <v>0</v>
      </c>
      <c r="E46" s="36">
        <f t="shared" si="4"/>
        <v>4.9745774574927459E-4</v>
      </c>
      <c r="F46" s="36">
        <f t="shared" si="4"/>
        <v>5.0318867400400702E-4</v>
      </c>
      <c r="G46" s="36">
        <f t="shared" si="4"/>
        <v>5.0318867400400702E-4</v>
      </c>
    </row>
    <row r="47" spans="1:9" x14ac:dyDescent="0.25">
      <c r="A47" s="16" t="s">
        <v>43</v>
      </c>
      <c r="B47" s="34">
        <f t="shared" si="1"/>
        <v>-0.30421455938697317</v>
      </c>
      <c r="C47" s="34">
        <f t="shared" si="1"/>
        <v>-0.15999999999999992</v>
      </c>
      <c r="D47" s="36">
        <f>100%-(D18/K18)</f>
        <v>0</v>
      </c>
      <c r="E47" s="36">
        <f t="shared" si="4"/>
        <v>5.0190051273857339E-4</v>
      </c>
      <c r="F47" s="36">
        <f t="shared" si="4"/>
        <v>5.1124991734519121E-4</v>
      </c>
      <c r="G47" s="36">
        <f t="shared" si="4"/>
        <v>7.330533556919705E-3</v>
      </c>
      <c r="I47" s="2" t="s">
        <v>55</v>
      </c>
    </row>
    <row r="48" spans="1:9" x14ac:dyDescent="0.25">
      <c r="A48" s="16" t="s">
        <v>46</v>
      </c>
      <c r="B48" s="40"/>
      <c r="C48" s="40"/>
      <c r="D48" s="36">
        <f>100%-(D19/K19)</f>
        <v>0</v>
      </c>
      <c r="E48" s="36">
        <f t="shared" si="4"/>
        <v>4.8436432159149057E-4</v>
      </c>
      <c r="F48" s="36">
        <f t="shared" si="4"/>
        <v>4.8436432159126852E-4</v>
      </c>
      <c r="G48" s="36">
        <f t="shared" si="4"/>
        <v>4.8436432159126852E-4</v>
      </c>
    </row>
    <row r="49" spans="1:9" x14ac:dyDescent="0.25">
      <c r="A49" s="16" t="s">
        <v>44</v>
      </c>
      <c r="B49" s="40"/>
      <c r="C49" s="40"/>
      <c r="D49" s="36">
        <f t="shared" ref="D49:G54" si="7">100%-(D20/K20)</f>
        <v>0</v>
      </c>
      <c r="E49" s="36">
        <f t="shared" si="7"/>
        <v>4.953068483837253E-4</v>
      </c>
      <c r="F49" s="36">
        <f t="shared" si="7"/>
        <v>4.8543275904644467E-4</v>
      </c>
      <c r="G49" s="36">
        <f t="shared" si="7"/>
        <v>4.8543275904644467E-4</v>
      </c>
    </row>
    <row r="50" spans="1:9" x14ac:dyDescent="0.25">
      <c r="A50" s="16" t="s">
        <v>33</v>
      </c>
      <c r="B50" s="40"/>
      <c r="C50" s="40"/>
      <c r="D50" s="36">
        <f t="shared" si="7"/>
        <v>0</v>
      </c>
      <c r="E50" s="36">
        <f t="shared" si="7"/>
        <v>4.5059738021157481E-2</v>
      </c>
      <c r="F50" s="47">
        <f t="shared" si="7"/>
        <v>1.6989252028469681E-2</v>
      </c>
      <c r="G50" s="47">
        <f t="shared" si="7"/>
        <v>-9.0216941110429438E-2</v>
      </c>
      <c r="I50" s="2" t="s">
        <v>57</v>
      </c>
    </row>
    <row r="51" spans="1:9" x14ac:dyDescent="0.25">
      <c r="A51" s="16" t="s">
        <v>34</v>
      </c>
      <c r="B51" s="40"/>
      <c r="C51" s="40"/>
      <c r="D51" s="36">
        <f t="shared" si="7"/>
        <v>0</v>
      </c>
      <c r="E51" s="36">
        <f t="shared" si="7"/>
        <v>-5.3541818181817025E-3</v>
      </c>
      <c r="F51" s="47">
        <f t="shared" si="7"/>
        <v>4.4598836507413697E-2</v>
      </c>
      <c r="G51" s="47">
        <f t="shared" si="7"/>
        <v>2.4168682463762967</v>
      </c>
      <c r="I51" s="2" t="s">
        <v>59</v>
      </c>
    </row>
    <row r="52" spans="1:9" x14ac:dyDescent="0.25">
      <c r="A52" s="16" t="s">
        <v>35</v>
      </c>
      <c r="B52" s="34" t="e">
        <f t="shared" ref="B52:C54" si="8">100%-(B23/I23)</f>
        <v>#DIV/0!</v>
      </c>
      <c r="C52" s="34" t="e">
        <f t="shared" si="8"/>
        <v>#DIV/0!</v>
      </c>
      <c r="D52" s="34" t="e">
        <f t="shared" si="7"/>
        <v>#DIV/0!</v>
      </c>
      <c r="E52" s="34" t="e">
        <f t="shared" si="7"/>
        <v>#DIV/0!</v>
      </c>
      <c r="F52" s="34" t="e">
        <f t="shared" si="7"/>
        <v>#DIV/0!</v>
      </c>
      <c r="G52" s="34" t="e">
        <f t="shared" si="7"/>
        <v>#DIV/0!</v>
      </c>
      <c r="I52" s="2" t="s">
        <v>56</v>
      </c>
    </row>
    <row r="53" spans="1:9" x14ac:dyDescent="0.25">
      <c r="A53" s="16" t="s">
        <v>38</v>
      </c>
      <c r="B53" s="40"/>
      <c r="C53" s="36" t="e">
        <f t="shared" si="8"/>
        <v>#DIV/0!</v>
      </c>
      <c r="D53" s="36" t="e">
        <f t="shared" si="7"/>
        <v>#DIV/0!</v>
      </c>
      <c r="E53" s="36" t="e">
        <f t="shared" si="7"/>
        <v>#DIV/0!</v>
      </c>
      <c r="F53" s="36" t="e">
        <f t="shared" si="7"/>
        <v>#DIV/0!</v>
      </c>
      <c r="G53" s="34" t="e">
        <f t="shared" si="7"/>
        <v>#DIV/0!</v>
      </c>
    </row>
    <row r="54" spans="1:9" x14ac:dyDescent="0.25">
      <c r="A54" s="16" t="s">
        <v>45</v>
      </c>
      <c r="B54" s="34" t="e">
        <f t="shared" si="8"/>
        <v>#DIV/0!</v>
      </c>
      <c r="C54" s="34" t="e">
        <f t="shared" si="8"/>
        <v>#DIV/0!</v>
      </c>
      <c r="D54" s="34" t="e">
        <f t="shared" si="7"/>
        <v>#DIV/0!</v>
      </c>
      <c r="E54" s="34" t="e">
        <f t="shared" si="7"/>
        <v>#DIV/0!</v>
      </c>
      <c r="F54" s="34" t="e">
        <f t="shared" si="7"/>
        <v>#DIV/0!</v>
      </c>
      <c r="G54" s="34" t="e">
        <f t="shared" si="7"/>
        <v>#DIV/0!</v>
      </c>
      <c r="I54" s="2" t="s">
        <v>58</v>
      </c>
    </row>
    <row r="55" spans="1:9" x14ac:dyDescent="0.25">
      <c r="B55" s="48"/>
      <c r="C55" s="3" t="s">
        <v>47</v>
      </c>
    </row>
    <row r="56" spans="1:9" x14ac:dyDescent="0.25">
      <c r="B56" s="55"/>
      <c r="C56" s="3" t="s">
        <v>48</v>
      </c>
    </row>
    <row r="57" spans="1:9" x14ac:dyDescent="0.25">
      <c r="B57" s="39"/>
      <c r="C57" s="3" t="s">
        <v>49</v>
      </c>
    </row>
    <row r="58" spans="1:9" x14ac:dyDescent="0.25">
      <c r="B58" s="38"/>
      <c r="C58" s="3" t="s">
        <v>50</v>
      </c>
    </row>
  </sheetData>
  <mergeCells count="2">
    <mergeCell ref="B2:G2"/>
    <mergeCell ref="I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3693-AB18-45BE-A9B8-57A335B31A07}">
  <dimension ref="A1:N19"/>
  <sheetViews>
    <sheetView showGridLines="0" workbookViewId="0">
      <selection sqref="A1:XFD1048576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8.8554687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140625" style="2" bestFit="1" customWidth="1"/>
  </cols>
  <sheetData>
    <row r="1" spans="1:14" x14ac:dyDescent="0.25">
      <c r="A1" s="12">
        <v>44337</v>
      </c>
      <c r="H1" s="11"/>
    </row>
    <row r="2" spans="1:14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4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4" x14ac:dyDescent="0.25">
      <c r="A4" s="16" t="s">
        <v>25</v>
      </c>
      <c r="B4" s="18">
        <v>104.13</v>
      </c>
      <c r="C4" s="19">
        <f>5158+5</f>
        <v>5163</v>
      </c>
      <c r="D4" s="19">
        <f>332275+131427</f>
        <v>463702</v>
      </c>
      <c r="E4" s="18">
        <f>(6445000+708000)/14500</f>
        <v>493.31034482758622</v>
      </c>
      <c r="F4" s="28">
        <f>(2900625/14500)</f>
        <v>200.04310344827587</v>
      </c>
      <c r="G4" s="31">
        <f>(541356.5+227622)/14500</f>
        <v>53.033000000000001</v>
      </c>
      <c r="H4" s="21"/>
      <c r="I4" s="18">
        <v>99.1</v>
      </c>
      <c r="J4" s="19">
        <v>5118</v>
      </c>
      <c r="K4" s="19">
        <v>854027</v>
      </c>
      <c r="L4" s="22">
        <v>504.11</v>
      </c>
      <c r="M4" s="28">
        <v>202</v>
      </c>
      <c r="N4" s="18">
        <v>46</v>
      </c>
    </row>
    <row r="5" spans="1:14" x14ac:dyDescent="0.25">
      <c r="A5" s="16" t="s">
        <v>26</v>
      </c>
      <c r="B5" s="18">
        <v>0</v>
      </c>
      <c r="C5" s="19">
        <v>0</v>
      </c>
      <c r="D5" s="19">
        <f>44843+73247</f>
        <v>118090</v>
      </c>
      <c r="E5" s="18">
        <f>1362.98399895+1937.34433431</f>
        <v>3300.3283332599999</v>
      </c>
      <c r="F5" s="28">
        <v>2290.31</v>
      </c>
      <c r="G5" s="18">
        <f>218.08+309.98</f>
        <v>528.06000000000006</v>
      </c>
      <c r="H5" s="23"/>
      <c r="I5" s="18">
        <v>0</v>
      </c>
      <c r="J5" s="19">
        <v>0</v>
      </c>
      <c r="K5" s="19">
        <v>210984</v>
      </c>
      <c r="L5" s="22">
        <v>4639.88</v>
      </c>
      <c r="M5" s="28">
        <v>2320</v>
      </c>
      <c r="N5" s="18">
        <v>1670</v>
      </c>
    </row>
    <row r="6" spans="1:14" x14ac:dyDescent="0.25">
      <c r="A6" s="16" t="s">
        <v>27</v>
      </c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18"/>
    </row>
    <row r="7" spans="1:14" x14ac:dyDescent="0.25">
      <c r="A7" s="16" t="s">
        <v>28</v>
      </c>
      <c r="B7" s="18">
        <f>3.12+6.24</f>
        <v>9.36</v>
      </c>
      <c r="C7" s="19">
        <f>28+113</f>
        <v>141</v>
      </c>
      <c r="D7" s="19">
        <f>8132+7753</f>
        <v>15885</v>
      </c>
      <c r="E7" s="18">
        <f>20.4+17.6</f>
        <v>38</v>
      </c>
      <c r="F7" s="28">
        <v>17.100000000000001</v>
      </c>
      <c r="G7" s="18">
        <f>3.49+(-0.54)</f>
        <v>2.95</v>
      </c>
      <c r="H7" s="23"/>
      <c r="I7" s="18">
        <v>9.36</v>
      </c>
      <c r="J7" s="19">
        <v>141</v>
      </c>
      <c r="K7" s="19">
        <v>15902</v>
      </c>
      <c r="L7" s="22">
        <v>38</v>
      </c>
      <c r="M7" s="28">
        <v>17</v>
      </c>
      <c r="N7" s="18">
        <v>3</v>
      </c>
    </row>
    <row r="8" spans="1:14" x14ac:dyDescent="0.25">
      <c r="A8" s="16" t="s">
        <v>29</v>
      </c>
      <c r="B8" s="18">
        <v>0</v>
      </c>
      <c r="C8" s="19">
        <v>0</v>
      </c>
      <c r="D8" s="19"/>
      <c r="E8" s="20"/>
      <c r="F8" s="30">
        <f>((440000+103200+44000+30000)/14500)</f>
        <v>42.565517241379311</v>
      </c>
      <c r="G8" s="20"/>
      <c r="H8" s="25"/>
      <c r="I8" s="24">
        <v>29.38</v>
      </c>
      <c r="J8" s="19">
        <v>1049</v>
      </c>
      <c r="K8" s="19">
        <v>325733</v>
      </c>
      <c r="L8" s="22">
        <v>600.44000000000005</v>
      </c>
      <c r="M8" s="28">
        <v>240</v>
      </c>
      <c r="N8" s="18">
        <v>144</v>
      </c>
    </row>
    <row r="9" spans="1:14" x14ac:dyDescent="0.25">
      <c r="A9" s="16" t="s">
        <v>39</v>
      </c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</row>
    <row r="10" spans="1:14" x14ac:dyDescent="0.25">
      <c r="A10" s="16" t="s">
        <v>30</v>
      </c>
      <c r="B10" s="18">
        <v>5.2</v>
      </c>
      <c r="C10" s="19">
        <v>20</v>
      </c>
      <c r="D10" s="19">
        <v>6167</v>
      </c>
      <c r="E10" s="18">
        <v>32.561282286000001</v>
      </c>
      <c r="F10" s="28">
        <v>12.243042139536</v>
      </c>
      <c r="G10" s="18">
        <v>4.0153549895398886</v>
      </c>
      <c r="H10" s="23"/>
      <c r="I10" s="18">
        <v>5.2</v>
      </c>
      <c r="J10" s="19">
        <v>20</v>
      </c>
      <c r="K10" s="19">
        <v>6167</v>
      </c>
      <c r="L10" s="22">
        <v>32.29</v>
      </c>
      <c r="M10" s="28">
        <v>13</v>
      </c>
      <c r="N10" s="18">
        <v>4</v>
      </c>
    </row>
    <row r="11" spans="1:14" x14ac:dyDescent="0.25">
      <c r="A11" s="16" t="s">
        <v>31</v>
      </c>
      <c r="B11" s="18">
        <v>157.24683403520001</v>
      </c>
      <c r="C11" s="19">
        <v>8001</v>
      </c>
      <c r="D11" s="19">
        <v>3624771</v>
      </c>
      <c r="E11" s="18">
        <v>2060.7390250511999</v>
      </c>
      <c r="F11" s="28">
        <v>1236.44341503072</v>
      </c>
      <c r="G11" s="18">
        <v>599.45653596360057</v>
      </c>
      <c r="H11" s="23"/>
      <c r="I11" s="18">
        <v>167.13</v>
      </c>
      <c r="J11" s="19">
        <v>10063</v>
      </c>
      <c r="K11" s="19">
        <v>3624771</v>
      </c>
      <c r="L11" s="22">
        <v>2024.36</v>
      </c>
      <c r="M11" s="28">
        <v>1215</v>
      </c>
      <c r="N11" s="18">
        <v>707</v>
      </c>
    </row>
    <row r="12" spans="1:14" x14ac:dyDescent="0.25">
      <c r="A12" s="16" t="s">
        <v>32</v>
      </c>
      <c r="B12" s="18">
        <v>3.9</v>
      </c>
      <c r="C12" s="19">
        <v>1</v>
      </c>
      <c r="D12" s="19">
        <v>0</v>
      </c>
      <c r="E12" s="18">
        <v>38.938041999999996</v>
      </c>
      <c r="F12" s="28">
        <v>17.171676521999995</v>
      </c>
      <c r="G12" s="18">
        <v>8.4636070958399969</v>
      </c>
      <c r="H12" s="23"/>
      <c r="I12" s="18">
        <v>3.9</v>
      </c>
      <c r="J12" s="19">
        <v>1</v>
      </c>
      <c r="K12" s="19">
        <v>1667</v>
      </c>
      <c r="L12" s="22">
        <v>24.3</v>
      </c>
      <c r="M12" s="28">
        <v>10</v>
      </c>
      <c r="N12" s="18">
        <v>3</v>
      </c>
    </row>
    <row r="13" spans="1:14" x14ac:dyDescent="0.25">
      <c r="A13" s="16" t="s">
        <v>8</v>
      </c>
      <c r="B13" s="18">
        <v>25.935000000000002</v>
      </c>
      <c r="C13" s="19">
        <v>260</v>
      </c>
      <c r="D13" s="19">
        <v>317012</v>
      </c>
      <c r="E13" s="18">
        <v>482.44665959999998</v>
      </c>
      <c r="F13" s="28">
        <v>234.46907656559998</v>
      </c>
      <c r="G13" s="18">
        <v>166.32964278379197</v>
      </c>
      <c r="H13" s="23"/>
      <c r="I13" s="18">
        <v>25.75</v>
      </c>
      <c r="J13" s="19">
        <v>260</v>
      </c>
      <c r="K13" s="19">
        <v>237136</v>
      </c>
      <c r="L13" s="22">
        <v>442</v>
      </c>
      <c r="M13" s="28">
        <v>221</v>
      </c>
      <c r="N13" s="18">
        <v>133</v>
      </c>
    </row>
    <row r="14" spans="1:14" x14ac:dyDescent="0.25">
      <c r="A14" s="16" t="s">
        <v>9</v>
      </c>
      <c r="B14" s="18">
        <v>0.39</v>
      </c>
      <c r="C14" s="19">
        <v>3</v>
      </c>
      <c r="D14" s="19">
        <v>17255</v>
      </c>
      <c r="E14" s="18">
        <v>56.895799679999996</v>
      </c>
      <c r="F14" s="28">
        <v>36.982269791999997</v>
      </c>
      <c r="G14" s="26">
        <v>14.715834815039996</v>
      </c>
      <c r="H14" s="27"/>
      <c r="I14" s="18">
        <v>0.39</v>
      </c>
      <c r="J14" s="19">
        <v>3</v>
      </c>
      <c r="K14" s="19">
        <v>17255</v>
      </c>
      <c r="L14" s="22">
        <v>60.19</v>
      </c>
      <c r="M14" s="28">
        <v>30</v>
      </c>
      <c r="N14" s="18">
        <v>21</v>
      </c>
    </row>
    <row r="15" spans="1:14" x14ac:dyDescent="0.25">
      <c r="A15" s="16" t="s">
        <v>36</v>
      </c>
      <c r="B15" s="18">
        <v>0</v>
      </c>
      <c r="C15" s="19">
        <v>0</v>
      </c>
      <c r="D15" s="19">
        <v>24822</v>
      </c>
      <c r="E15" s="31">
        <f>316000/14500</f>
        <v>21.793103448275861</v>
      </c>
      <c r="F15" s="30">
        <f>(1322400/14500)</f>
        <v>91.2</v>
      </c>
      <c r="G15" s="31">
        <f>97328/14500</f>
        <v>6.7122758620689655</v>
      </c>
      <c r="H15" s="23"/>
      <c r="I15" s="18">
        <v>0</v>
      </c>
      <c r="J15" s="19">
        <v>0</v>
      </c>
      <c r="K15" s="19">
        <v>138792</v>
      </c>
      <c r="L15" s="22">
        <v>228.11</v>
      </c>
      <c r="M15" s="28">
        <v>91</v>
      </c>
      <c r="N15" s="18">
        <v>26</v>
      </c>
    </row>
    <row r="16" spans="1:14" x14ac:dyDescent="0.25">
      <c r="A16" s="16" t="s">
        <v>33</v>
      </c>
      <c r="B16" s="18">
        <v>5.2</v>
      </c>
      <c r="C16" s="19">
        <v>33</v>
      </c>
      <c r="D16" s="19">
        <v>13930</v>
      </c>
      <c r="E16" s="18">
        <v>35.577007380000005</v>
      </c>
      <c r="F16" s="28">
        <v>14.230802952000003</v>
      </c>
      <c r="G16" s="18">
        <v>5.1627284016168824</v>
      </c>
      <c r="H16" s="23"/>
      <c r="I16" s="18">
        <v>5.85</v>
      </c>
      <c r="J16" s="19">
        <v>33</v>
      </c>
      <c r="K16" s="19">
        <v>0</v>
      </c>
      <c r="L16" s="22">
        <v>0</v>
      </c>
      <c r="M16" s="28">
        <v>0</v>
      </c>
      <c r="N16" s="18">
        <v>0</v>
      </c>
    </row>
    <row r="17" spans="1:14" x14ac:dyDescent="0.25">
      <c r="A17" s="16" t="s">
        <v>34</v>
      </c>
      <c r="B17" s="18">
        <v>0</v>
      </c>
      <c r="C17" s="19">
        <v>0</v>
      </c>
      <c r="D17" s="19">
        <v>1684</v>
      </c>
      <c r="E17" s="18">
        <v>25.882575006236781</v>
      </c>
      <c r="F17" s="28">
        <v>9.8353785023699771</v>
      </c>
      <c r="G17" s="18">
        <v>1.6308058550397178</v>
      </c>
      <c r="H17" s="27"/>
      <c r="I17" s="18">
        <v>0</v>
      </c>
      <c r="J17" s="19">
        <v>0</v>
      </c>
      <c r="K17" s="19">
        <v>0</v>
      </c>
      <c r="L17" s="22">
        <v>25.74</v>
      </c>
      <c r="M17" s="28">
        <v>10</v>
      </c>
      <c r="N17" s="18">
        <v>7</v>
      </c>
    </row>
    <row r="18" spans="1:14" x14ac:dyDescent="0.25">
      <c r="A18" s="16" t="s">
        <v>35</v>
      </c>
      <c r="B18" s="18"/>
      <c r="C18" s="19"/>
      <c r="D18" s="19"/>
      <c r="E18" s="18"/>
      <c r="F18" s="28"/>
      <c r="G18" s="18"/>
      <c r="H18" s="23"/>
      <c r="I18" s="18"/>
      <c r="J18" s="19"/>
      <c r="K18" s="19"/>
      <c r="L18" s="22"/>
      <c r="M18" s="28"/>
      <c r="N18" s="18"/>
    </row>
    <row r="19" spans="1:14" x14ac:dyDescent="0.25">
      <c r="A19" s="16" t="s">
        <v>38</v>
      </c>
      <c r="B19" s="18">
        <v>0</v>
      </c>
      <c r="C19" s="19">
        <v>0</v>
      </c>
      <c r="D19" s="19"/>
      <c r="E19" s="31">
        <f>258000/14500</f>
        <v>17.793103448275861</v>
      </c>
      <c r="F19" s="30">
        <f>(126400/14500)</f>
        <v>8.7172413793103445</v>
      </c>
      <c r="G19" s="31">
        <f>103200/14500</f>
        <v>7.1172413793103448</v>
      </c>
      <c r="H19" s="23"/>
      <c r="I19" s="18">
        <v>0</v>
      </c>
      <c r="J19" s="19">
        <v>0</v>
      </c>
      <c r="K19" s="19">
        <v>314995</v>
      </c>
      <c r="L19" s="22">
        <v>3853.93</v>
      </c>
      <c r="M19" s="28">
        <v>1927</v>
      </c>
      <c r="N19" s="18">
        <v>1387</v>
      </c>
    </row>
  </sheetData>
  <mergeCells count="2">
    <mergeCell ref="B2:G2"/>
    <mergeCell ref="I2:N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5E4C-4BF6-49DF-98DE-5085AABD1EBB}">
  <dimension ref="A1:N2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8.8554687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140625" style="2" bestFit="1" customWidth="1"/>
  </cols>
  <sheetData>
    <row r="1" spans="1:14" x14ac:dyDescent="0.25">
      <c r="A1" s="12">
        <v>44353</v>
      </c>
      <c r="H1" s="11"/>
    </row>
    <row r="2" spans="1:14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4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4" x14ac:dyDescent="0.25">
      <c r="A4" s="16" t="s">
        <v>25</v>
      </c>
      <c r="B4" s="18">
        <f>158.405</f>
        <v>158.405</v>
      </c>
      <c r="C4" s="19">
        <f>7686+2</f>
        <v>7688</v>
      </c>
      <c r="D4" s="19">
        <f>384406+353859+121144</f>
        <v>859409</v>
      </c>
      <c r="E4" s="18">
        <f>(45000+6578000+522000)/14500</f>
        <v>492.75862068965517</v>
      </c>
      <c r="F4" s="28">
        <f>(19125+2796650+221850)/14500</f>
        <v>209.49137931034483</v>
      </c>
      <c r="G4" s="31">
        <f>(14468+(-197886)+167823)/14500</f>
        <v>-1.0755172413793104</v>
      </c>
      <c r="H4" s="21"/>
      <c r="I4" s="18">
        <v>158.37</v>
      </c>
      <c r="J4" s="19">
        <v>7680</v>
      </c>
      <c r="K4" s="19">
        <v>874749</v>
      </c>
      <c r="L4" s="22">
        <v>495.7</v>
      </c>
      <c r="M4" s="28">
        <v>198</v>
      </c>
      <c r="N4" s="18">
        <v>4.22</v>
      </c>
    </row>
    <row r="5" spans="1:14" x14ac:dyDescent="0.25">
      <c r="A5" s="16" t="s">
        <v>26</v>
      </c>
      <c r="B5" s="18">
        <v>0</v>
      </c>
      <c r="C5" s="19">
        <v>0</v>
      </c>
      <c r="D5" s="19">
        <f>88560+41461+67710</f>
        <v>197731</v>
      </c>
      <c r="E5" s="18">
        <f>1033.4625098+900.428282995+1211.750840295</f>
        <v>3145.6416330900001</v>
      </c>
      <c r="F5" s="28">
        <f>258.37+225.11+302.94</f>
        <v>786.42000000000007</v>
      </c>
      <c r="G5" s="18">
        <f>165.35+144.07+193.88</f>
        <v>503.29999999999995</v>
      </c>
      <c r="H5" s="23"/>
      <c r="I5" s="18">
        <v>0</v>
      </c>
      <c r="J5" s="19">
        <v>0</v>
      </c>
      <c r="K5" s="19">
        <v>0</v>
      </c>
      <c r="L5" s="22">
        <v>0</v>
      </c>
      <c r="M5" s="28">
        <v>0</v>
      </c>
      <c r="N5" s="18">
        <v>0</v>
      </c>
    </row>
    <row r="6" spans="1:14" x14ac:dyDescent="0.25">
      <c r="A6" s="16" t="s">
        <v>27</v>
      </c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18"/>
    </row>
    <row r="7" spans="1:14" x14ac:dyDescent="0.25">
      <c r="A7" s="16" t="s">
        <v>28</v>
      </c>
      <c r="B7" s="18">
        <f>1.95+3.9</f>
        <v>5.85</v>
      </c>
      <c r="C7" s="19">
        <f>25+70</f>
        <v>95</v>
      </c>
      <c r="D7" s="19">
        <f>8626+7945</f>
        <v>16571</v>
      </c>
      <c r="E7" s="18">
        <f>20.4+18.6</f>
        <v>39</v>
      </c>
      <c r="F7" s="28">
        <f>9.18+8.37</f>
        <v>17.549999999999997</v>
      </c>
      <c r="G7" s="18">
        <f>4.66+2.13</f>
        <v>6.79</v>
      </c>
      <c r="H7" s="23"/>
      <c r="I7" s="18">
        <v>5.85</v>
      </c>
      <c r="J7" s="19">
        <v>95</v>
      </c>
      <c r="K7" s="19">
        <v>16591</v>
      </c>
      <c r="L7" s="22">
        <v>39</v>
      </c>
      <c r="M7" s="28">
        <v>18</v>
      </c>
      <c r="N7" s="18">
        <v>6.79</v>
      </c>
    </row>
    <row r="8" spans="1:14" x14ac:dyDescent="0.25">
      <c r="A8" s="16" t="s">
        <v>29</v>
      </c>
      <c r="B8" s="18">
        <v>0</v>
      </c>
      <c r="C8" s="19">
        <v>0</v>
      </c>
      <c r="D8" s="19">
        <f>15228+10119</f>
        <v>25347</v>
      </c>
      <c r="E8" s="31">
        <f>(15000+48000)/14500</f>
        <v>4.3448275862068968</v>
      </c>
      <c r="F8" s="30">
        <f>((6000+19200)/14500)</f>
        <v>1.7379310344827585</v>
      </c>
      <c r="G8" s="31">
        <f>((4620+14784)/14500)</f>
        <v>1.3382068965517242</v>
      </c>
      <c r="H8" s="25"/>
      <c r="I8" s="24">
        <v>0</v>
      </c>
      <c r="J8" s="19">
        <v>283</v>
      </c>
      <c r="K8" s="19">
        <v>326880</v>
      </c>
      <c r="L8" s="22">
        <v>458.92</v>
      </c>
      <c r="M8" s="28">
        <v>184</v>
      </c>
      <c r="N8" s="18">
        <v>132.16999999999999</v>
      </c>
    </row>
    <row r="9" spans="1:14" x14ac:dyDescent="0.25">
      <c r="A9" s="16" t="s">
        <v>39</v>
      </c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</row>
    <row r="10" spans="1:14" x14ac:dyDescent="0.25">
      <c r="A10" s="16" t="s">
        <v>30</v>
      </c>
      <c r="B10" s="18">
        <v>0</v>
      </c>
      <c r="C10" s="19">
        <v>45</v>
      </c>
      <c r="D10" s="19">
        <v>6705</v>
      </c>
      <c r="E10" s="18">
        <v>56.542777956000002</v>
      </c>
      <c r="F10" s="28">
        <v>21.260084511456</v>
      </c>
      <c r="G10" s="18">
        <v>16.442625319325806</v>
      </c>
      <c r="H10" s="23"/>
      <c r="I10" s="18">
        <v>0</v>
      </c>
      <c r="J10" s="19">
        <v>2</v>
      </c>
      <c r="K10" s="19">
        <v>6705</v>
      </c>
      <c r="L10" s="22">
        <v>56.03</v>
      </c>
      <c r="M10" s="28">
        <v>21</v>
      </c>
      <c r="N10" s="18">
        <v>17.27</v>
      </c>
    </row>
    <row r="11" spans="1:14" x14ac:dyDescent="0.25">
      <c r="A11" s="16" t="s">
        <v>31</v>
      </c>
      <c r="B11" s="18">
        <v>167.0311498648</v>
      </c>
      <c r="C11" s="19">
        <v>8004</v>
      </c>
      <c r="D11" s="19">
        <v>3552724</v>
      </c>
      <c r="E11" s="18">
        <v>2114.3856407344001</v>
      </c>
      <c r="F11" s="28">
        <v>1268.63138444064</v>
      </c>
      <c r="G11" s="18">
        <v>609.37125741287173</v>
      </c>
      <c r="H11" s="23"/>
      <c r="I11" s="18">
        <v>167.33</v>
      </c>
      <c r="J11" s="19">
        <v>10120</v>
      </c>
      <c r="K11" s="19">
        <v>3552724</v>
      </c>
      <c r="L11" s="22">
        <v>2101.67</v>
      </c>
      <c r="M11" s="28">
        <v>1261</v>
      </c>
      <c r="N11" s="18">
        <v>740.59</v>
      </c>
    </row>
    <row r="12" spans="1:14" x14ac:dyDescent="0.25">
      <c r="A12" s="16" t="s">
        <v>32</v>
      </c>
      <c r="B12" s="18">
        <v>0</v>
      </c>
      <c r="C12" s="19">
        <v>0</v>
      </c>
      <c r="D12" s="19">
        <v>0</v>
      </c>
      <c r="E12" s="18">
        <v>32.947573999999996</v>
      </c>
      <c r="F12" s="28">
        <v>16.144311259999998</v>
      </c>
      <c r="G12" s="18">
        <v>10.461513696479999</v>
      </c>
      <c r="H12" s="23"/>
      <c r="I12" s="18">
        <v>0</v>
      </c>
      <c r="J12" s="19">
        <v>0</v>
      </c>
      <c r="K12" s="19">
        <v>0</v>
      </c>
      <c r="L12" s="22">
        <v>0</v>
      </c>
      <c r="M12" s="28">
        <v>0</v>
      </c>
      <c r="N12" s="18">
        <v>0</v>
      </c>
    </row>
    <row r="13" spans="1:14" x14ac:dyDescent="0.25">
      <c r="A13" s="16" t="s">
        <v>8</v>
      </c>
      <c r="B13" s="18">
        <v>41.730000000000004</v>
      </c>
      <c r="C13" s="19">
        <v>27202</v>
      </c>
      <c r="D13" s="19">
        <v>323615</v>
      </c>
      <c r="E13" s="18">
        <v>395.25825449700005</v>
      </c>
      <c r="F13" s="28">
        <v>237.15495269820002</v>
      </c>
      <c r="G13" s="18">
        <v>152.73706121252403</v>
      </c>
      <c r="H13" s="23"/>
      <c r="I13" s="18">
        <v>41.74</v>
      </c>
      <c r="J13" s="19">
        <v>428</v>
      </c>
      <c r="K13" s="19">
        <v>323615</v>
      </c>
      <c r="L13" s="22">
        <v>447.84</v>
      </c>
      <c r="M13" s="28">
        <v>179</v>
      </c>
      <c r="N13" s="18">
        <v>143.66</v>
      </c>
    </row>
    <row r="14" spans="1:14" x14ac:dyDescent="0.25">
      <c r="A14" s="16" t="s">
        <v>9</v>
      </c>
      <c r="B14" s="18">
        <v>16.185000000000002</v>
      </c>
      <c r="C14" s="19">
        <v>166</v>
      </c>
      <c r="D14" s="19">
        <v>20607</v>
      </c>
      <c r="E14" s="18">
        <v>69.566639609999996</v>
      </c>
      <c r="F14" s="28">
        <v>24.348323863499996</v>
      </c>
      <c r="G14" s="26">
        <v>2.2849428164549934</v>
      </c>
      <c r="H14" s="27"/>
      <c r="I14" s="18">
        <v>16.190000000000001</v>
      </c>
      <c r="J14" s="19">
        <v>166</v>
      </c>
      <c r="K14" s="19">
        <v>20607</v>
      </c>
      <c r="L14" s="22">
        <v>73.72</v>
      </c>
      <c r="M14" s="28">
        <v>26</v>
      </c>
      <c r="N14" s="18">
        <v>4.97</v>
      </c>
    </row>
    <row r="15" spans="1:14" x14ac:dyDescent="0.25">
      <c r="A15" s="16" t="s">
        <v>36</v>
      </c>
      <c r="B15" s="18">
        <v>0</v>
      </c>
      <c r="C15" s="19">
        <v>0</v>
      </c>
      <c r="D15" s="19">
        <v>97583</v>
      </c>
      <c r="E15" s="31">
        <f>222000/14500</f>
        <v>15.310344827586206</v>
      </c>
      <c r="F15" s="30">
        <f>88800/14500</f>
        <v>6.1241379310344826</v>
      </c>
      <c r="G15" s="31">
        <f>88800/14500</f>
        <v>6.1241379310344826</v>
      </c>
      <c r="H15" s="23"/>
      <c r="I15" s="18">
        <v>0</v>
      </c>
      <c r="J15" s="19">
        <v>0</v>
      </c>
      <c r="K15" s="19">
        <v>138772</v>
      </c>
      <c r="L15" s="22">
        <v>224.66</v>
      </c>
      <c r="M15" s="28">
        <v>90</v>
      </c>
      <c r="N15" s="18">
        <v>64.7</v>
      </c>
    </row>
    <row r="16" spans="1:14" x14ac:dyDescent="0.25">
      <c r="A16" s="16" t="s">
        <v>33</v>
      </c>
      <c r="B16" s="18">
        <v>0</v>
      </c>
      <c r="C16" s="19">
        <v>0</v>
      </c>
      <c r="D16" s="19">
        <v>13573</v>
      </c>
      <c r="E16" s="18">
        <v>22.241910536999999</v>
      </c>
      <c r="F16" s="28">
        <v>8.0070877933200002</v>
      </c>
      <c r="G16" s="18">
        <v>6.4785347335752119</v>
      </c>
      <c r="H16" s="23"/>
      <c r="I16" s="18">
        <v>0</v>
      </c>
      <c r="J16" s="19">
        <v>0</v>
      </c>
      <c r="K16" s="19">
        <v>0</v>
      </c>
      <c r="L16" s="22">
        <v>0</v>
      </c>
      <c r="M16" s="28">
        <v>0</v>
      </c>
      <c r="N16" s="18">
        <v>0</v>
      </c>
    </row>
    <row r="17" spans="1:14" x14ac:dyDescent="0.25">
      <c r="A17" s="16" t="s">
        <v>34</v>
      </c>
      <c r="B17" s="18">
        <v>0</v>
      </c>
      <c r="C17" s="19">
        <v>0</v>
      </c>
      <c r="D17" s="19">
        <v>1670</v>
      </c>
      <c r="E17" s="18">
        <v>38.548662960000001</v>
      </c>
      <c r="F17" s="28">
        <v>14.6484919248</v>
      </c>
      <c r="G17" s="18">
        <v>5.0962475191893333</v>
      </c>
      <c r="H17" s="27"/>
      <c r="I17" s="18">
        <v>0</v>
      </c>
      <c r="J17" s="19">
        <v>0</v>
      </c>
      <c r="K17" s="19">
        <v>0</v>
      </c>
      <c r="L17" s="22">
        <v>0</v>
      </c>
      <c r="M17" s="28">
        <v>0</v>
      </c>
      <c r="N17" s="18">
        <v>0</v>
      </c>
    </row>
    <row r="18" spans="1:14" x14ac:dyDescent="0.25">
      <c r="A18" s="16" t="s">
        <v>35</v>
      </c>
      <c r="B18" s="18"/>
      <c r="C18" s="19"/>
      <c r="D18" s="19"/>
      <c r="E18" s="18"/>
      <c r="F18" s="28"/>
      <c r="G18" s="18"/>
      <c r="H18" s="23"/>
      <c r="I18" s="18"/>
      <c r="J18" s="19"/>
      <c r="K18" s="19"/>
      <c r="L18" s="22"/>
      <c r="M18" s="28"/>
      <c r="N18" s="18"/>
    </row>
    <row r="19" spans="1:14" x14ac:dyDescent="0.25">
      <c r="A19" s="16" t="s">
        <v>38</v>
      </c>
      <c r="B19" s="18">
        <v>0</v>
      </c>
      <c r="C19" s="19">
        <v>0</v>
      </c>
      <c r="D19" s="19">
        <v>24821</v>
      </c>
      <c r="E19" s="31">
        <f>376000/14500</f>
        <v>25.931034482758619</v>
      </c>
      <c r="F19" s="30">
        <f>150400/14500</f>
        <v>10.372413793103448</v>
      </c>
      <c r="G19" s="31">
        <f>115808/14500</f>
        <v>7.9867586206896553</v>
      </c>
      <c r="H19" s="23"/>
      <c r="I19" s="18">
        <v>0</v>
      </c>
      <c r="J19" s="19">
        <v>0</v>
      </c>
      <c r="K19" s="19">
        <v>368833</v>
      </c>
      <c r="L19" s="22">
        <v>3524.24</v>
      </c>
      <c r="M19" s="28">
        <v>1762</v>
      </c>
      <c r="N19" s="18">
        <v>1268.73</v>
      </c>
    </row>
    <row r="20" spans="1:14" x14ac:dyDescent="0.25">
      <c r="A20" s="16" t="s">
        <v>41</v>
      </c>
      <c r="B20" s="18"/>
      <c r="C20" s="19"/>
      <c r="D20" s="19">
        <v>36079</v>
      </c>
      <c r="E20" s="24">
        <f>64750/14500</f>
        <v>4.4655172413793105</v>
      </c>
      <c r="F20" s="29">
        <f>25900/14500</f>
        <v>1.7862068965517242</v>
      </c>
      <c r="G20" s="18">
        <f>25900/14500</f>
        <v>1.7862068965517242</v>
      </c>
      <c r="H20" s="23"/>
      <c r="I20" s="18"/>
      <c r="J20" s="19"/>
      <c r="K20" s="19"/>
      <c r="L20" s="22"/>
      <c r="M20" s="28"/>
      <c r="N20" s="18"/>
    </row>
    <row r="21" spans="1:14" x14ac:dyDescent="0.25">
      <c r="A21" s="16" t="s">
        <v>42</v>
      </c>
      <c r="B21" s="18"/>
      <c r="C21" s="19"/>
      <c r="D21" s="19">
        <v>120761</v>
      </c>
      <c r="E21" s="24">
        <f>962000/14500</f>
        <v>66.34482758620689</v>
      </c>
      <c r="F21" s="29">
        <f>384800/14500</f>
        <v>26.53793103448276</v>
      </c>
      <c r="G21" s="18">
        <f>384800/14500</f>
        <v>26.53793103448276</v>
      </c>
      <c r="H21" s="23"/>
      <c r="I21" s="18"/>
      <c r="J21" s="19"/>
      <c r="K21" s="19"/>
      <c r="L21" s="22"/>
      <c r="M21" s="28"/>
      <c r="N21" s="18"/>
    </row>
    <row r="22" spans="1:14" x14ac:dyDescent="0.25">
      <c r="A22" s="16" t="s">
        <v>43</v>
      </c>
      <c r="B22" s="18">
        <v>7.5400000000000009</v>
      </c>
      <c r="C22" s="19">
        <v>283</v>
      </c>
      <c r="D22" s="19">
        <v>197492</v>
      </c>
      <c r="E22" s="24">
        <f>456950/14500</f>
        <v>31.513793103448275</v>
      </c>
      <c r="F22" s="29">
        <f>182780/14500</f>
        <v>12.60551724137931</v>
      </c>
      <c r="G22" s="18">
        <f>72696/14500</f>
        <v>5.0135172413793105</v>
      </c>
      <c r="H22" s="23"/>
      <c r="I22" s="18"/>
      <c r="J22" s="19"/>
      <c r="K22" s="19"/>
      <c r="L22" s="22"/>
      <c r="M22" s="28"/>
      <c r="N22" s="18"/>
    </row>
    <row r="23" spans="1:14" x14ac:dyDescent="0.25">
      <c r="A23" s="16" t="s">
        <v>44</v>
      </c>
      <c r="B23" s="18"/>
      <c r="C23" s="19"/>
      <c r="D23" s="19">
        <v>87244</v>
      </c>
      <c r="E23" s="24">
        <f>96200/14500</f>
        <v>6.63448275862069</v>
      </c>
      <c r="F23" s="29">
        <f>38480/14500</f>
        <v>2.653793103448276</v>
      </c>
      <c r="G23" s="18">
        <f>38480/14500</f>
        <v>2.653793103448276</v>
      </c>
      <c r="H23" s="23"/>
      <c r="I23" s="18"/>
      <c r="J23" s="19"/>
      <c r="K23" s="19"/>
      <c r="L23" s="22"/>
      <c r="M23" s="28"/>
      <c r="N23" s="18"/>
    </row>
    <row r="24" spans="1:14" x14ac:dyDescent="0.25">
      <c r="A24" s="16" t="s">
        <v>45</v>
      </c>
      <c r="B24" s="18">
        <f>342200/14500</f>
        <v>23.6</v>
      </c>
      <c r="C24" s="19">
        <v>236</v>
      </c>
      <c r="D24" s="19">
        <v>87939</v>
      </c>
      <c r="E24" s="24">
        <f>1814000/14500</f>
        <v>125.10344827586206</v>
      </c>
      <c r="F24" s="29">
        <f>1079330/14500</f>
        <v>74.436551724137928</v>
      </c>
      <c r="G24" s="18">
        <f>564437.2/14500</f>
        <v>38.926703448275859</v>
      </c>
      <c r="H24" s="23"/>
      <c r="I24" s="18"/>
      <c r="J24" s="19"/>
      <c r="K24" s="19"/>
      <c r="L24" s="22"/>
      <c r="M24" s="28"/>
      <c r="N24" s="18"/>
    </row>
    <row r="25" spans="1:14" x14ac:dyDescent="0.25">
      <c r="A25" s="16"/>
      <c r="B25" s="18"/>
      <c r="C25" s="19"/>
      <c r="D25" s="19"/>
      <c r="E25" s="24"/>
      <c r="F25" s="29"/>
      <c r="G25" s="18"/>
      <c r="H25" s="23"/>
      <c r="I25" s="18"/>
      <c r="J25" s="19"/>
      <c r="K25" s="19"/>
      <c r="L25" s="22"/>
      <c r="M25" s="28"/>
      <c r="N25" s="18"/>
    </row>
    <row r="26" spans="1:14" x14ac:dyDescent="0.25">
      <c r="A26" s="16"/>
      <c r="B26" s="18"/>
      <c r="C26" s="19"/>
      <c r="D26" s="19"/>
      <c r="E26" s="24"/>
      <c r="F26" s="29"/>
      <c r="G26" s="18"/>
      <c r="H26" s="23"/>
      <c r="I26" s="18"/>
      <c r="J26" s="19"/>
      <c r="K26" s="19"/>
      <c r="L26" s="22"/>
      <c r="M26" s="28"/>
      <c r="N26" s="18"/>
    </row>
    <row r="27" spans="1:14" x14ac:dyDescent="0.25">
      <c r="A27" s="16"/>
      <c r="B27" s="18"/>
      <c r="C27" s="19"/>
      <c r="D27" s="19"/>
      <c r="E27" s="24"/>
      <c r="F27" s="29"/>
      <c r="G27" s="18"/>
      <c r="H27" s="23"/>
      <c r="I27" s="18"/>
      <c r="J27" s="19"/>
      <c r="K27" s="19"/>
      <c r="L27" s="22"/>
      <c r="M27" s="28"/>
      <c r="N27" s="18"/>
    </row>
    <row r="28" spans="1:14" x14ac:dyDescent="0.25">
      <c r="A28" s="16"/>
      <c r="B28" s="18"/>
      <c r="C28" s="19"/>
      <c r="D28" s="19"/>
      <c r="E28" s="24"/>
      <c r="F28" s="29"/>
      <c r="G28" s="18"/>
      <c r="H28" s="23"/>
      <c r="I28" s="18"/>
      <c r="J28" s="19"/>
      <c r="K28" s="19"/>
      <c r="L28" s="22"/>
      <c r="M28" s="28"/>
      <c r="N28" s="18"/>
    </row>
    <row r="29" spans="1:14" x14ac:dyDescent="0.25">
      <c r="A29" s="16"/>
      <c r="B29" s="18"/>
      <c r="C29" s="19"/>
      <c r="D29" s="19"/>
      <c r="E29" s="24"/>
      <c r="F29" s="29"/>
      <c r="G29" s="18"/>
      <c r="H29" s="23"/>
      <c r="I29" s="18"/>
      <c r="J29" s="19"/>
      <c r="K29" s="19"/>
      <c r="L29" s="22"/>
      <c r="M29" s="28"/>
      <c r="N29" s="18"/>
    </row>
  </sheetData>
  <mergeCells count="2">
    <mergeCell ref="B2:G2"/>
    <mergeCell ref="I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0312-65CC-4553-8E10-19BB85B82BB9}">
  <dimension ref="A1:N19"/>
  <sheetViews>
    <sheetView workbookViewId="0">
      <selection activeCell="A4" sqref="A4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8.8554687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140625" style="2" bestFit="1" customWidth="1"/>
  </cols>
  <sheetData>
    <row r="1" spans="1:14" x14ac:dyDescent="0.25">
      <c r="A1" s="12">
        <v>44353</v>
      </c>
      <c r="H1" s="11"/>
    </row>
    <row r="2" spans="1:14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4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4" x14ac:dyDescent="0.25">
      <c r="A4" s="16" t="s">
        <v>40</v>
      </c>
      <c r="B4" s="18">
        <v>103.48</v>
      </c>
      <c r="C4" s="19">
        <v>2501</v>
      </c>
      <c r="D4" s="19"/>
      <c r="E4" s="18">
        <f>1468000/14500</f>
        <v>101.24137931034483</v>
      </c>
      <c r="F4" s="28">
        <f>623900/14500</f>
        <v>43.027586206896551</v>
      </c>
      <c r="G4" s="31">
        <f>-1038846/14500</f>
        <v>-71.644551724137926</v>
      </c>
      <c r="H4" s="21"/>
      <c r="I4" s="18"/>
      <c r="J4" s="19"/>
      <c r="K4" s="19"/>
      <c r="L4" s="22"/>
      <c r="M4" s="28"/>
      <c r="N4" s="18"/>
    </row>
    <row r="5" spans="1:14" x14ac:dyDescent="0.25">
      <c r="A5" s="16"/>
      <c r="B5" s="18"/>
      <c r="C5" s="19"/>
      <c r="D5" s="19"/>
      <c r="E5" s="18"/>
      <c r="F5" s="28"/>
      <c r="G5" s="18"/>
      <c r="H5" s="23"/>
      <c r="I5" s="18"/>
      <c r="J5" s="19"/>
      <c r="K5" s="19"/>
      <c r="L5" s="22"/>
      <c r="M5" s="28"/>
      <c r="N5" s="18"/>
    </row>
    <row r="6" spans="1:14" x14ac:dyDescent="0.25">
      <c r="A6" s="16"/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18"/>
    </row>
    <row r="7" spans="1:14" x14ac:dyDescent="0.25">
      <c r="A7" s="16"/>
      <c r="B7" s="18"/>
      <c r="C7" s="19"/>
      <c r="D7" s="19"/>
      <c r="E7" s="18"/>
      <c r="F7" s="28"/>
      <c r="G7" s="18"/>
      <c r="H7" s="23"/>
      <c r="I7" s="18"/>
      <c r="J7" s="19"/>
      <c r="K7" s="19"/>
      <c r="L7" s="22"/>
      <c r="M7" s="28"/>
      <c r="N7" s="18"/>
    </row>
    <row r="8" spans="1:14" x14ac:dyDescent="0.25">
      <c r="A8" s="16"/>
      <c r="B8" s="18"/>
      <c r="C8" s="19"/>
      <c r="D8" s="19"/>
      <c r="E8" s="20"/>
      <c r="F8" s="30"/>
      <c r="G8" s="20"/>
      <c r="H8" s="25"/>
      <c r="I8" s="24"/>
      <c r="J8" s="19"/>
      <c r="K8" s="19"/>
      <c r="L8" s="22"/>
      <c r="M8" s="28"/>
      <c r="N8" s="18"/>
    </row>
    <row r="9" spans="1:14" x14ac:dyDescent="0.25">
      <c r="A9" s="16"/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</row>
    <row r="10" spans="1:14" x14ac:dyDescent="0.25">
      <c r="A10" s="16"/>
      <c r="B10" s="18"/>
      <c r="C10" s="19"/>
      <c r="D10" s="19"/>
      <c r="E10" s="18"/>
      <c r="F10" s="28"/>
      <c r="G10" s="18"/>
      <c r="H10" s="23"/>
      <c r="I10" s="18"/>
      <c r="J10" s="19"/>
      <c r="K10" s="19"/>
      <c r="L10" s="22"/>
      <c r="M10" s="28"/>
      <c r="N10" s="18"/>
    </row>
    <row r="11" spans="1:14" x14ac:dyDescent="0.25">
      <c r="A11" s="16"/>
      <c r="B11" s="18"/>
      <c r="C11" s="19"/>
      <c r="D11" s="19"/>
      <c r="E11" s="18"/>
      <c r="F11" s="28"/>
      <c r="G11" s="18"/>
      <c r="H11" s="23"/>
      <c r="I11" s="18"/>
      <c r="J11" s="19"/>
      <c r="K11" s="19"/>
      <c r="L11" s="22"/>
      <c r="M11" s="28"/>
      <c r="N11" s="18"/>
    </row>
    <row r="12" spans="1:14" x14ac:dyDescent="0.25">
      <c r="A12" s="16"/>
      <c r="B12" s="18"/>
      <c r="C12" s="19"/>
      <c r="D12" s="19"/>
      <c r="E12" s="18"/>
      <c r="F12" s="28"/>
      <c r="G12" s="18"/>
      <c r="H12" s="23"/>
      <c r="I12" s="18"/>
      <c r="J12" s="19"/>
      <c r="K12" s="19"/>
      <c r="L12" s="22"/>
      <c r="M12" s="28"/>
      <c r="N12" s="18"/>
    </row>
    <row r="13" spans="1:14" x14ac:dyDescent="0.25">
      <c r="A13" s="16"/>
      <c r="B13" s="18"/>
      <c r="C13" s="19"/>
      <c r="D13" s="19"/>
      <c r="E13" s="18"/>
      <c r="F13" s="28"/>
      <c r="G13" s="18"/>
      <c r="H13" s="23"/>
      <c r="I13" s="18"/>
      <c r="J13" s="19"/>
      <c r="K13" s="19"/>
      <c r="L13" s="22"/>
      <c r="M13" s="28"/>
      <c r="N13" s="18"/>
    </row>
    <row r="14" spans="1:14" x14ac:dyDescent="0.25">
      <c r="A14" s="16"/>
      <c r="B14" s="18"/>
      <c r="C14" s="19"/>
      <c r="D14" s="19"/>
      <c r="E14" s="18"/>
      <c r="F14" s="28"/>
      <c r="G14" s="26"/>
      <c r="H14" s="27"/>
      <c r="I14" s="18"/>
      <c r="J14" s="19"/>
      <c r="K14" s="19"/>
      <c r="L14" s="22"/>
      <c r="M14" s="28"/>
      <c r="N14" s="18"/>
    </row>
    <row r="15" spans="1:14" x14ac:dyDescent="0.25">
      <c r="A15" s="16"/>
      <c r="B15" s="18"/>
      <c r="C15" s="19"/>
      <c r="D15" s="19"/>
      <c r="E15" s="20"/>
      <c r="F15" s="30"/>
      <c r="G15" s="20"/>
      <c r="H15" s="23"/>
      <c r="I15" s="18"/>
      <c r="J15" s="19"/>
      <c r="K15" s="19"/>
      <c r="L15" s="22"/>
      <c r="M15" s="28"/>
      <c r="N15" s="18"/>
    </row>
    <row r="16" spans="1:14" x14ac:dyDescent="0.25">
      <c r="A16" s="16"/>
      <c r="B16" s="18"/>
      <c r="C16" s="19"/>
      <c r="D16" s="19"/>
      <c r="E16" s="18"/>
      <c r="F16" s="28"/>
      <c r="G16" s="18"/>
      <c r="H16" s="23"/>
      <c r="I16" s="18"/>
      <c r="J16" s="19"/>
      <c r="K16" s="19"/>
      <c r="L16" s="22"/>
      <c r="M16" s="28"/>
      <c r="N16" s="18"/>
    </row>
    <row r="17" spans="1:14" x14ac:dyDescent="0.25">
      <c r="A17" s="16"/>
      <c r="B17" s="18"/>
      <c r="C17" s="19"/>
      <c r="D17" s="19"/>
      <c r="E17" s="18"/>
      <c r="F17" s="28"/>
      <c r="G17" s="18"/>
      <c r="H17" s="27"/>
      <c r="I17" s="18"/>
      <c r="J17" s="19"/>
      <c r="K17" s="19"/>
      <c r="L17" s="22"/>
      <c r="M17" s="28"/>
      <c r="N17" s="18"/>
    </row>
    <row r="18" spans="1:14" x14ac:dyDescent="0.25">
      <c r="A18" s="16"/>
      <c r="B18" s="18"/>
      <c r="C18" s="19"/>
      <c r="D18" s="19"/>
      <c r="E18" s="18"/>
      <c r="F18" s="28"/>
      <c r="G18" s="18"/>
      <c r="H18" s="23"/>
      <c r="I18" s="18"/>
      <c r="J18" s="19"/>
      <c r="K18" s="19"/>
      <c r="L18" s="22"/>
      <c r="M18" s="28"/>
      <c r="N18" s="18"/>
    </row>
    <row r="19" spans="1:14" x14ac:dyDescent="0.25">
      <c r="A19" s="16"/>
      <c r="B19" s="18"/>
      <c r="C19" s="19"/>
      <c r="D19" s="19"/>
      <c r="E19" s="20"/>
      <c r="F19" s="30"/>
      <c r="G19" s="20"/>
      <c r="H19" s="23"/>
      <c r="I19" s="18"/>
      <c r="J19" s="19"/>
      <c r="K19" s="19"/>
      <c r="L19" s="22"/>
      <c r="M19" s="28"/>
      <c r="N19" s="18"/>
    </row>
  </sheetData>
  <mergeCells count="2">
    <mergeCell ref="B2:G2"/>
    <mergeCell ref="I2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DA03-1C9C-417C-B46F-182840C8380F}">
  <dimension ref="A1:N57"/>
  <sheetViews>
    <sheetView workbookViewId="0">
      <selection activeCell="E13" sqref="E13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8.8554687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140625" style="2" bestFit="1" customWidth="1"/>
  </cols>
  <sheetData>
    <row r="1" spans="1:14" x14ac:dyDescent="0.25">
      <c r="A1" s="12">
        <v>44368</v>
      </c>
      <c r="H1" s="11"/>
    </row>
    <row r="2" spans="1:14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4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4" x14ac:dyDescent="0.25">
      <c r="A4" s="16" t="s">
        <v>25</v>
      </c>
      <c r="B4" s="18">
        <v>103.93499999999999</v>
      </c>
      <c r="C4" s="19">
        <f>5416+2</f>
        <v>5418</v>
      </c>
      <c r="D4" s="19">
        <f>384397+333358+43409+109067</f>
        <v>870231</v>
      </c>
      <c r="E4" s="18">
        <f>(25000+4887000+1066000+308000)/14500</f>
        <v>433.51724137931035</v>
      </c>
      <c r="F4" s="28">
        <f>(10625+2076975+453050+130900)/14500</f>
        <v>184.2448275862069</v>
      </c>
      <c r="G4" s="31">
        <v>36</v>
      </c>
      <c r="H4" s="21"/>
      <c r="I4" s="18">
        <v>103.97</v>
      </c>
      <c r="J4" s="19">
        <v>5412</v>
      </c>
      <c r="K4" s="19">
        <v>874064</v>
      </c>
      <c r="L4" s="22">
        <v>437.6</v>
      </c>
      <c r="M4" s="28">
        <v>186</v>
      </c>
      <c r="N4" s="18">
        <v>36.72</v>
      </c>
    </row>
    <row r="5" spans="1:14" x14ac:dyDescent="0.25">
      <c r="A5" s="16" t="s">
        <v>26</v>
      </c>
      <c r="B5" s="18">
        <v>1.04</v>
      </c>
      <c r="C5" s="19">
        <f>7+1</f>
        <v>8</v>
      </c>
      <c r="D5" s="19">
        <f>84609+39284+64343</f>
        <v>188236</v>
      </c>
      <c r="E5" s="18">
        <f>819.548608315+580.28+808.96</f>
        <v>2208.7886083150001</v>
      </c>
      <c r="F5" s="28">
        <f>50%*E5</f>
        <v>1104.3943041575001</v>
      </c>
      <c r="G5" s="18">
        <f>131.13+91.8+129.43</f>
        <v>352.36</v>
      </c>
      <c r="H5" s="23"/>
      <c r="I5" s="18">
        <v>1.04</v>
      </c>
      <c r="J5" s="19">
        <v>9</v>
      </c>
      <c r="K5" s="19">
        <v>188236</v>
      </c>
      <c r="L5" s="22">
        <v>2234.6</v>
      </c>
      <c r="M5" s="28">
        <v>1117</v>
      </c>
      <c r="N5" s="18">
        <v>357.54</v>
      </c>
    </row>
    <row r="6" spans="1:14" x14ac:dyDescent="0.25">
      <c r="A6" s="16" t="s">
        <v>27</v>
      </c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18"/>
    </row>
    <row r="7" spans="1:14" x14ac:dyDescent="0.25">
      <c r="A7" s="16" t="s">
        <v>28</v>
      </c>
      <c r="B7" s="18">
        <f>2.73+4.29</f>
        <v>7.02</v>
      </c>
      <c r="C7" s="19">
        <f>37+79</f>
        <v>116</v>
      </c>
      <c r="D7" s="19">
        <f>9100+8145</f>
        <v>17245</v>
      </c>
      <c r="E7" s="18">
        <f>25.5+36.2</f>
        <v>61.7</v>
      </c>
      <c r="F7" s="28">
        <f>11.48+16.29</f>
        <v>27.77</v>
      </c>
      <c r="G7" s="18">
        <f>5.53+7.44</f>
        <v>12.97</v>
      </c>
      <c r="H7" s="23"/>
      <c r="I7" s="18">
        <v>7.02</v>
      </c>
      <c r="J7" s="19">
        <v>116</v>
      </c>
      <c r="K7" s="19">
        <v>17268</v>
      </c>
      <c r="L7" s="22">
        <v>61.7</v>
      </c>
      <c r="M7" s="28">
        <v>28</v>
      </c>
      <c r="N7" s="18">
        <v>12.97</v>
      </c>
    </row>
    <row r="8" spans="1:14" x14ac:dyDescent="0.25">
      <c r="A8" s="16" t="s">
        <v>29</v>
      </c>
      <c r="B8" s="18">
        <v>0</v>
      </c>
      <c r="C8" s="19">
        <v>0</v>
      </c>
      <c r="D8" s="19">
        <f>15217+10107</f>
        <v>25324</v>
      </c>
      <c r="E8" s="31">
        <f>(27000+48000)/14500</f>
        <v>5.1724137931034484</v>
      </c>
      <c r="F8" s="30">
        <f>((10800+19200)/14500)</f>
        <v>2.0689655172413794</v>
      </c>
      <c r="G8" s="31">
        <f>((8316+14784)/14500)</f>
        <v>1.5931034482758621</v>
      </c>
      <c r="H8" s="25"/>
      <c r="I8" s="24">
        <v>0</v>
      </c>
      <c r="J8" s="19">
        <v>0</v>
      </c>
      <c r="K8" s="19">
        <v>328119</v>
      </c>
      <c r="L8" s="22">
        <v>509.84</v>
      </c>
      <c r="M8" s="28">
        <v>204</v>
      </c>
      <c r="N8" s="18">
        <v>157.03</v>
      </c>
    </row>
    <row r="9" spans="1:14" x14ac:dyDescent="0.25">
      <c r="A9" s="16" t="s">
        <v>39</v>
      </c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</row>
    <row r="10" spans="1:14" x14ac:dyDescent="0.25">
      <c r="A10" s="16" t="s">
        <v>30</v>
      </c>
      <c r="B10" s="42">
        <v>9.1</v>
      </c>
      <c r="C10" s="43">
        <v>18</v>
      </c>
      <c r="D10" s="43">
        <v>6540</v>
      </c>
      <c r="E10" s="42">
        <v>33.145766387999998</v>
      </c>
      <c r="F10" s="42">
        <v>12.462808161887999</v>
      </c>
      <c r="G10" s="42">
        <v>0.23178973418398385</v>
      </c>
      <c r="H10" s="42"/>
      <c r="I10" s="42">
        <v>9.1</v>
      </c>
      <c r="J10" s="43">
        <v>18</v>
      </c>
      <c r="K10" s="43">
        <v>6540</v>
      </c>
      <c r="L10" s="44">
        <v>32.840000000000003</v>
      </c>
      <c r="M10" s="42">
        <v>12.35</v>
      </c>
      <c r="N10" s="42">
        <v>0.14000000000000001</v>
      </c>
    </row>
    <row r="11" spans="1:14" x14ac:dyDescent="0.25">
      <c r="A11" s="16" t="s">
        <v>31</v>
      </c>
      <c r="B11" s="49">
        <v>161.62669192799999</v>
      </c>
      <c r="C11" s="19">
        <v>10034</v>
      </c>
      <c r="D11" s="19">
        <v>3667291</v>
      </c>
      <c r="E11" s="18">
        <v>2150.1007432103997</v>
      </c>
      <c r="F11" s="28">
        <v>1290.0604459262397</v>
      </c>
      <c r="G11" s="18">
        <v>627.89030097885882</v>
      </c>
      <c r="H11" s="23"/>
      <c r="I11" s="49">
        <v>111.55</v>
      </c>
      <c r="J11" s="19">
        <v>10034</v>
      </c>
      <c r="K11" s="19">
        <v>3667291</v>
      </c>
      <c r="L11" s="22">
        <v>2137.17</v>
      </c>
      <c r="M11" s="28">
        <v>1282</v>
      </c>
      <c r="N11" s="18">
        <v>661.11</v>
      </c>
    </row>
    <row r="12" spans="1:14" x14ac:dyDescent="0.25">
      <c r="A12" s="16" t="s">
        <v>32</v>
      </c>
      <c r="B12" s="18">
        <v>3.9</v>
      </c>
      <c r="C12" s="19">
        <v>1</v>
      </c>
      <c r="D12" s="19">
        <v>0</v>
      </c>
      <c r="E12" s="18">
        <v>38.938041999999996</v>
      </c>
      <c r="F12" s="28">
        <v>19.079640579999996</v>
      </c>
      <c r="G12" s="18">
        <v>8.4636070958399969</v>
      </c>
      <c r="H12" s="23"/>
      <c r="I12" s="18">
        <v>3.9</v>
      </c>
      <c r="J12" s="19">
        <v>1</v>
      </c>
      <c r="K12" s="19">
        <v>1205</v>
      </c>
      <c r="L12" s="22">
        <v>24.3</v>
      </c>
      <c r="M12" s="28">
        <v>12.39</v>
      </c>
      <c r="N12" s="18">
        <v>3.82</v>
      </c>
    </row>
    <row r="13" spans="1:14" x14ac:dyDescent="0.25">
      <c r="A13" s="16" t="s">
        <v>8</v>
      </c>
      <c r="B13" s="18">
        <v>9.9450000000000003</v>
      </c>
      <c r="C13" s="19">
        <v>101</v>
      </c>
      <c r="D13" s="19">
        <v>328021</v>
      </c>
      <c r="E13" s="18">
        <v>332.77225899780001</v>
      </c>
      <c r="F13" s="28">
        <v>199.66335539868001</v>
      </c>
      <c r="G13" s="18">
        <v>153.77895142691762</v>
      </c>
      <c r="H13" s="23"/>
      <c r="I13" s="18">
        <v>9.9600000000000009</v>
      </c>
      <c r="J13" s="19">
        <v>101</v>
      </c>
      <c r="K13" s="19">
        <v>328021</v>
      </c>
      <c r="L13" s="22">
        <v>332.77</v>
      </c>
      <c r="M13" s="28">
        <v>199.66335539868001</v>
      </c>
      <c r="N13" s="18">
        <v>153.76</v>
      </c>
    </row>
    <row r="14" spans="1:14" x14ac:dyDescent="0.25">
      <c r="A14" s="16" t="s">
        <v>9</v>
      </c>
      <c r="B14" s="18">
        <v>0</v>
      </c>
      <c r="C14" s="19">
        <v>0</v>
      </c>
      <c r="D14" s="19">
        <v>29447</v>
      </c>
      <c r="E14" s="18">
        <v>78.785676390000006</v>
      </c>
      <c r="F14" s="28">
        <v>27.574986736500001</v>
      </c>
      <c r="G14" s="26">
        <v>20.917597081545001</v>
      </c>
      <c r="H14" s="27"/>
      <c r="I14" s="18">
        <v>0</v>
      </c>
      <c r="J14" s="19">
        <v>0</v>
      </c>
      <c r="K14" s="19">
        <v>29447</v>
      </c>
      <c r="L14" s="22">
        <v>78.790000000000006</v>
      </c>
      <c r="M14" s="28">
        <v>28</v>
      </c>
      <c r="N14" s="18">
        <v>20.92</v>
      </c>
    </row>
    <row r="15" spans="1:14" x14ac:dyDescent="0.25">
      <c r="A15" s="16" t="s">
        <v>36</v>
      </c>
      <c r="B15" s="18">
        <v>0</v>
      </c>
      <c r="C15" s="19">
        <v>0</v>
      </c>
      <c r="D15" s="19">
        <v>97582</v>
      </c>
      <c r="E15" s="31">
        <f>194000/14500</f>
        <v>13.379310344827585</v>
      </c>
      <c r="F15" s="30">
        <f>77600/14500</f>
        <v>5.3517241379310345</v>
      </c>
      <c r="G15" s="31">
        <f>77600/14500</f>
        <v>5.3517241379310345</v>
      </c>
      <c r="H15" s="23"/>
      <c r="I15" s="18">
        <v>0</v>
      </c>
      <c r="J15" s="19">
        <v>0</v>
      </c>
      <c r="K15" s="19">
        <v>138767</v>
      </c>
      <c r="L15" s="22">
        <v>168.64</v>
      </c>
      <c r="M15" s="28">
        <v>67</v>
      </c>
      <c r="N15" s="18">
        <v>48.57</v>
      </c>
    </row>
    <row r="16" spans="1:14" x14ac:dyDescent="0.25">
      <c r="A16" s="16" t="s">
        <v>41</v>
      </c>
      <c r="B16" s="18"/>
      <c r="C16" s="19"/>
      <c r="D16" s="19">
        <v>36044</v>
      </c>
      <c r="E16" s="24">
        <v>0</v>
      </c>
      <c r="F16" s="29">
        <v>0</v>
      </c>
      <c r="G16" s="18">
        <v>0</v>
      </c>
      <c r="H16" s="23"/>
      <c r="I16" s="18">
        <v>0</v>
      </c>
      <c r="J16" s="19">
        <v>0</v>
      </c>
      <c r="K16" s="19">
        <v>328119</v>
      </c>
      <c r="L16" s="22">
        <v>509.84</v>
      </c>
      <c r="M16" s="28">
        <v>204</v>
      </c>
      <c r="N16" s="18">
        <v>146.83000000000001</v>
      </c>
    </row>
    <row r="17" spans="1:14" x14ac:dyDescent="0.25">
      <c r="A17" s="16" t="s">
        <v>42</v>
      </c>
      <c r="B17" s="18"/>
      <c r="C17" s="19"/>
      <c r="D17" s="19">
        <v>120756</v>
      </c>
      <c r="E17" s="24">
        <f>762000/14500</f>
        <v>52.551724137931032</v>
      </c>
      <c r="F17" s="29">
        <f>304800/14500</f>
        <v>21.020689655172415</v>
      </c>
      <c r="G17" s="18">
        <f>304800/14500</f>
        <v>21.020689655172415</v>
      </c>
      <c r="H17" s="23"/>
      <c r="I17" s="18"/>
      <c r="J17" s="19"/>
      <c r="K17" s="19">
        <v>212478</v>
      </c>
      <c r="L17" s="22">
        <v>872.85</v>
      </c>
      <c r="M17" s="28">
        <v>349</v>
      </c>
      <c r="N17" s="18">
        <v>251.38</v>
      </c>
    </row>
    <row r="18" spans="1:14" x14ac:dyDescent="0.25">
      <c r="A18" s="16" t="s">
        <v>43</v>
      </c>
      <c r="B18" s="18">
        <v>4.68</v>
      </c>
      <c r="C18" s="19">
        <v>181</v>
      </c>
      <c r="D18" s="19">
        <v>201006</v>
      </c>
      <c r="E18" s="24">
        <f>284900/14500</f>
        <v>19.648275862068967</v>
      </c>
      <c r="F18" s="29">
        <f>113960/14500</f>
        <v>7.8593103448275858</v>
      </c>
      <c r="G18" s="18">
        <f>45632/14500</f>
        <v>3.1470344827586207</v>
      </c>
      <c r="H18" s="23"/>
      <c r="I18" s="18"/>
      <c r="J18" s="19">
        <v>181</v>
      </c>
      <c r="K18" s="19">
        <v>328119</v>
      </c>
      <c r="L18" s="22">
        <v>509.84</v>
      </c>
      <c r="M18" s="28">
        <v>204</v>
      </c>
      <c r="N18" s="18">
        <v>146.83000000000001</v>
      </c>
    </row>
    <row r="19" spans="1:14" x14ac:dyDescent="0.25">
      <c r="A19" s="16" t="s">
        <v>44</v>
      </c>
      <c r="B19" s="18"/>
      <c r="C19" s="19"/>
      <c r="D19" s="19">
        <v>87025</v>
      </c>
      <c r="E19" s="24">
        <f>83250/14500</f>
        <v>5.7413793103448274</v>
      </c>
      <c r="F19" s="29">
        <f>33300/14500</f>
        <v>2.296551724137931</v>
      </c>
      <c r="G19" s="18">
        <f>33300/14500</f>
        <v>2.296551724137931</v>
      </c>
      <c r="H19" s="23"/>
      <c r="I19" s="18"/>
      <c r="J19" s="19"/>
      <c r="K19" s="19">
        <v>199602</v>
      </c>
      <c r="L19" s="22">
        <v>481.37</v>
      </c>
      <c r="M19" s="28">
        <v>193</v>
      </c>
      <c r="N19" s="18">
        <v>138.63</v>
      </c>
    </row>
    <row r="20" spans="1:14" x14ac:dyDescent="0.25">
      <c r="A20" s="16" t="s">
        <v>33</v>
      </c>
      <c r="B20" s="18">
        <v>0</v>
      </c>
      <c r="C20" s="19">
        <v>0</v>
      </c>
      <c r="D20" s="19">
        <v>13198</v>
      </c>
      <c r="E20" s="18">
        <v>20.316203996999999</v>
      </c>
      <c r="F20" s="28">
        <v>7.3138334389199997</v>
      </c>
      <c r="G20" s="18">
        <v>5.9176226354301713</v>
      </c>
      <c r="H20" s="23"/>
      <c r="I20" s="18">
        <v>0</v>
      </c>
      <c r="J20" s="19">
        <v>0</v>
      </c>
      <c r="K20" s="19">
        <v>13198</v>
      </c>
      <c r="L20" s="22">
        <v>20.55</v>
      </c>
      <c r="M20" s="28">
        <v>6.47</v>
      </c>
      <c r="N20" s="18">
        <v>5.24</v>
      </c>
    </row>
    <row r="21" spans="1:14" x14ac:dyDescent="0.25">
      <c r="A21" s="16" t="s">
        <v>34</v>
      </c>
      <c r="B21" s="18">
        <v>0</v>
      </c>
      <c r="C21" s="19">
        <v>0</v>
      </c>
      <c r="D21" s="19">
        <v>1666</v>
      </c>
      <c r="E21" s="18">
        <v>27.914543722943044</v>
      </c>
      <c r="F21" s="28">
        <v>10.607526614718356</v>
      </c>
      <c r="G21" s="18">
        <v>2.1867524959305502</v>
      </c>
      <c r="H21" s="27"/>
      <c r="I21" s="18">
        <v>0</v>
      </c>
      <c r="J21" s="19">
        <v>0</v>
      </c>
      <c r="K21" s="19">
        <v>1666</v>
      </c>
      <c r="L21" s="22">
        <v>27.72</v>
      </c>
      <c r="M21" s="28">
        <v>11</v>
      </c>
      <c r="N21" s="18">
        <v>2.5299999999999998</v>
      </c>
    </row>
    <row r="22" spans="1:14" x14ac:dyDescent="0.25">
      <c r="A22" s="16" t="s">
        <v>35</v>
      </c>
      <c r="B22" s="18">
        <v>131.04000000000002</v>
      </c>
      <c r="C22" s="19">
        <v>2514</v>
      </c>
      <c r="D22" s="19">
        <v>72551</v>
      </c>
      <c r="E22" s="18">
        <f>4542000/14500</f>
        <v>313.24137931034483</v>
      </c>
      <c r="F22" s="28">
        <f>1930350/14500</f>
        <v>133.12758620689655</v>
      </c>
      <c r="G22" s="18">
        <f>(-452931)/14500</f>
        <v>-31.236620689655172</v>
      </c>
      <c r="H22" s="23"/>
      <c r="I22" s="18"/>
      <c r="J22" s="19"/>
      <c r="K22" s="19"/>
      <c r="L22" s="22"/>
      <c r="M22" s="28"/>
      <c r="N22" s="18"/>
    </row>
    <row r="23" spans="1:14" x14ac:dyDescent="0.25">
      <c r="A23" s="16" t="s">
        <v>38</v>
      </c>
      <c r="B23" s="18">
        <v>0</v>
      </c>
      <c r="C23" s="19">
        <v>0</v>
      </c>
      <c r="D23" s="19">
        <v>24821</v>
      </c>
      <c r="E23" s="31">
        <f>326000/14500</f>
        <v>22.482758620689655</v>
      </c>
      <c r="F23" s="30">
        <f>130400/14500</f>
        <v>8.9931034482758623</v>
      </c>
      <c r="G23" s="31">
        <f>100408/14500</f>
        <v>6.924689655172414</v>
      </c>
      <c r="H23" s="23"/>
      <c r="I23" s="18">
        <v>0</v>
      </c>
      <c r="J23" s="19">
        <v>0</v>
      </c>
      <c r="K23" s="19">
        <v>309437</v>
      </c>
      <c r="L23" s="22">
        <v>3399.63</v>
      </c>
      <c r="M23" s="28">
        <v>1700</v>
      </c>
      <c r="N23" s="18">
        <v>2090.77</v>
      </c>
    </row>
    <row r="24" spans="1:14" x14ac:dyDescent="0.25">
      <c r="A24" s="16" t="s">
        <v>45</v>
      </c>
      <c r="B24" s="18">
        <f>176900/14500</f>
        <v>12.2</v>
      </c>
      <c r="C24" s="19">
        <v>126</v>
      </c>
      <c r="D24" s="19">
        <v>89768</v>
      </c>
      <c r="E24" s="24">
        <f>1785000/14500</f>
        <v>123.10344827586206</v>
      </c>
      <c r="F24" s="29">
        <f>1249500/14500</f>
        <v>86.172413793103445</v>
      </c>
      <c r="G24" s="18">
        <f>715243/14500</f>
        <v>49.327103448275864</v>
      </c>
      <c r="H24" s="23"/>
      <c r="I24" s="18"/>
      <c r="J24" s="19"/>
      <c r="K24" s="19">
        <v>133608</v>
      </c>
      <c r="L24" s="22">
        <v>227.84</v>
      </c>
      <c r="M24" s="28">
        <v>114</v>
      </c>
      <c r="N24" s="18">
        <v>82.02</v>
      </c>
    </row>
    <row r="25" spans="1:14" x14ac:dyDescent="0.25">
      <c r="A25" s="16"/>
      <c r="B25" s="18"/>
      <c r="C25" s="19"/>
      <c r="D25" s="19"/>
      <c r="E25" s="24"/>
      <c r="F25" s="29"/>
      <c r="G25" s="18"/>
      <c r="H25" s="23"/>
      <c r="I25" s="18"/>
      <c r="J25" s="19"/>
      <c r="K25" s="19"/>
      <c r="L25" s="22"/>
      <c r="M25" s="28"/>
      <c r="N25" s="18"/>
    </row>
    <row r="26" spans="1:14" x14ac:dyDescent="0.25">
      <c r="A26" s="16"/>
      <c r="B26" s="18"/>
      <c r="C26" s="19"/>
      <c r="D26" s="19"/>
      <c r="E26" s="24"/>
      <c r="F26" s="29"/>
      <c r="G26" s="18"/>
      <c r="H26" s="23"/>
      <c r="I26" s="18"/>
      <c r="J26" s="19"/>
      <c r="K26" s="19"/>
      <c r="L26" s="22"/>
      <c r="M26" s="28"/>
      <c r="N26" s="18"/>
    </row>
    <row r="27" spans="1:14" x14ac:dyDescent="0.25">
      <c r="A27" s="16"/>
      <c r="B27" s="18"/>
      <c r="C27" s="19"/>
      <c r="D27" s="19"/>
      <c r="E27" s="24"/>
      <c r="F27" s="29"/>
      <c r="G27" s="18"/>
      <c r="H27" s="23"/>
      <c r="I27" s="18"/>
      <c r="J27" s="19"/>
      <c r="K27" s="19"/>
      <c r="L27" s="22"/>
      <c r="M27" s="28"/>
      <c r="N27" s="18"/>
    </row>
    <row r="28" spans="1:14" x14ac:dyDescent="0.25">
      <c r="A28" s="16"/>
      <c r="B28" s="18"/>
      <c r="C28" s="19"/>
      <c r="D28" s="19"/>
      <c r="E28" s="24"/>
      <c r="F28" s="29"/>
      <c r="G28" s="18"/>
      <c r="H28" s="23"/>
      <c r="I28" s="18"/>
      <c r="J28" s="19"/>
      <c r="K28" s="19"/>
      <c r="L28" s="22"/>
      <c r="M28" s="28"/>
      <c r="N28" s="18"/>
    </row>
    <row r="29" spans="1:14" x14ac:dyDescent="0.25">
      <c r="A29" s="16"/>
      <c r="B29" s="18"/>
      <c r="C29" s="19"/>
      <c r="D29" s="19"/>
      <c r="E29" s="24"/>
      <c r="F29" s="29"/>
      <c r="G29" s="18"/>
      <c r="H29" s="23"/>
      <c r="I29" s="18"/>
      <c r="J29" s="19"/>
      <c r="K29" s="19"/>
      <c r="L29" s="22"/>
      <c r="M29" s="28"/>
      <c r="N29" s="18"/>
    </row>
    <row r="31" spans="1:14" x14ac:dyDescent="0.25">
      <c r="A31" s="41">
        <v>44368</v>
      </c>
      <c r="B31" s="13" t="s">
        <v>21</v>
      </c>
      <c r="C31" s="14" t="s">
        <v>7</v>
      </c>
      <c r="D31" s="14" t="s">
        <v>22</v>
      </c>
      <c r="E31" s="13" t="s">
        <v>23</v>
      </c>
      <c r="F31" s="15" t="s">
        <v>37</v>
      </c>
      <c r="G31" s="13" t="s">
        <v>24</v>
      </c>
    </row>
    <row r="32" spans="1:14" x14ac:dyDescent="0.25">
      <c r="A32" s="16" t="s">
        <v>25</v>
      </c>
      <c r="B32" s="36">
        <f t="shared" ref="B32:G33" si="0">100%-(B4/I4)</f>
        <v>3.3663556795238136E-4</v>
      </c>
      <c r="C32" s="36">
        <f t="shared" si="0"/>
        <v>-1.1086474501109667E-3</v>
      </c>
      <c r="D32" s="36">
        <f t="shared" si="0"/>
        <v>4.3852624064141255E-3</v>
      </c>
      <c r="E32" s="36">
        <f t="shared" si="0"/>
        <v>9.3298871587972343E-3</v>
      </c>
      <c r="F32" s="36">
        <f t="shared" si="0"/>
        <v>9.4364108268446545E-3</v>
      </c>
      <c r="G32" s="36">
        <f t="shared" si="0"/>
        <v>1.9607843137254832E-2</v>
      </c>
    </row>
    <row r="33" spans="1:7" x14ac:dyDescent="0.25">
      <c r="A33" s="16" t="s">
        <v>26</v>
      </c>
      <c r="B33" s="36">
        <f t="shared" si="0"/>
        <v>0</v>
      </c>
      <c r="C33" s="34">
        <f t="shared" si="0"/>
        <v>0.11111111111111116</v>
      </c>
      <c r="D33" s="36">
        <f t="shared" si="0"/>
        <v>0</v>
      </c>
      <c r="E33" s="36">
        <f t="shared" si="0"/>
        <v>1.1550788367045484E-2</v>
      </c>
      <c r="F33" s="36">
        <f>100%-(F5/M5)</f>
        <v>1.1285314093554044E-2</v>
      </c>
      <c r="G33" s="36">
        <f t="shared" si="0"/>
        <v>1.4487889466912818E-2</v>
      </c>
    </row>
    <row r="34" spans="1:7" x14ac:dyDescent="0.25">
      <c r="A34" s="16" t="s">
        <v>27</v>
      </c>
      <c r="B34" s="33"/>
      <c r="C34" s="33"/>
      <c r="D34" s="33"/>
      <c r="E34" s="33"/>
      <c r="F34" s="33"/>
      <c r="G34" s="33"/>
    </row>
    <row r="35" spans="1:7" x14ac:dyDescent="0.25">
      <c r="A35" s="16" t="s">
        <v>28</v>
      </c>
      <c r="B35" s="36">
        <f t="shared" ref="B35:G36" si="1">100%-(B7/I7)</f>
        <v>0</v>
      </c>
      <c r="C35" s="36">
        <f t="shared" si="1"/>
        <v>0</v>
      </c>
      <c r="D35" s="36">
        <f t="shared" si="1"/>
        <v>1.3319434792680163E-3</v>
      </c>
      <c r="E35" s="36">
        <f t="shared" si="1"/>
        <v>0</v>
      </c>
      <c r="F35" s="36">
        <f t="shared" si="1"/>
        <v>8.2142857142857295E-3</v>
      </c>
      <c r="G35" s="36">
        <f t="shared" si="1"/>
        <v>0</v>
      </c>
    </row>
    <row r="36" spans="1:7" x14ac:dyDescent="0.25">
      <c r="A36" s="16" t="s">
        <v>29</v>
      </c>
      <c r="B36" s="33"/>
      <c r="C36" s="33"/>
      <c r="D36" s="35">
        <f t="shared" si="1"/>
        <v>0.92282068395917338</v>
      </c>
      <c r="E36" s="35">
        <f t="shared" si="1"/>
        <v>0.98985482937175695</v>
      </c>
      <c r="F36" s="35">
        <f t="shared" si="1"/>
        <v>0.98985801217038538</v>
      </c>
      <c r="G36" s="35">
        <f t="shared" si="1"/>
        <v>0.98985478285502226</v>
      </c>
    </row>
    <row r="37" spans="1:7" x14ac:dyDescent="0.25">
      <c r="A37" s="16" t="s">
        <v>39</v>
      </c>
      <c r="B37" s="33"/>
      <c r="C37" s="33"/>
      <c r="D37" s="33"/>
      <c r="E37" s="33"/>
      <c r="F37" s="33"/>
      <c r="G37" s="33"/>
    </row>
    <row r="38" spans="1:7" x14ac:dyDescent="0.25">
      <c r="A38" s="16" t="s">
        <v>30</v>
      </c>
      <c r="B38" s="36">
        <f t="shared" ref="B38:G45" si="2">100%-(B10/I10)</f>
        <v>0</v>
      </c>
      <c r="C38" s="36">
        <f t="shared" si="2"/>
        <v>0</v>
      </c>
      <c r="D38" s="36">
        <f t="shared" si="2"/>
        <v>0</v>
      </c>
      <c r="E38" s="36">
        <f t="shared" si="2"/>
        <v>-9.3107913520096286E-3</v>
      </c>
      <c r="F38" s="46">
        <f t="shared" si="2"/>
        <v>-9.13426412048568E-3</v>
      </c>
      <c r="G38" s="54">
        <f t="shared" si="2"/>
        <v>-0.6556409584570273</v>
      </c>
    </row>
    <row r="39" spans="1:7" x14ac:dyDescent="0.25">
      <c r="A39" s="16" t="s">
        <v>31</v>
      </c>
      <c r="B39" s="34">
        <f t="shared" si="2"/>
        <v>-0.44891700518153277</v>
      </c>
      <c r="C39" s="36">
        <f t="shared" si="2"/>
        <v>0</v>
      </c>
      <c r="D39" s="36">
        <f t="shared" si="2"/>
        <v>0</v>
      </c>
      <c r="E39" s="36">
        <f t="shared" si="2"/>
        <v>-6.0504046053424521E-3</v>
      </c>
      <c r="F39" s="36">
        <f t="shared" si="2"/>
        <v>-6.2873993184398014E-3</v>
      </c>
      <c r="G39" s="34">
        <f t="shared" si="2"/>
        <v>5.024836868469873E-2</v>
      </c>
    </row>
    <row r="40" spans="1:7" x14ac:dyDescent="0.25">
      <c r="A40" s="16" t="s">
        <v>32</v>
      </c>
      <c r="B40" s="36">
        <f t="shared" si="2"/>
        <v>0</v>
      </c>
      <c r="C40" s="36">
        <f t="shared" si="2"/>
        <v>0</v>
      </c>
      <c r="D40" s="34">
        <f t="shared" si="2"/>
        <v>1</v>
      </c>
      <c r="E40" s="34">
        <f t="shared" si="2"/>
        <v>-0.60238855967078164</v>
      </c>
      <c r="F40" s="34">
        <f t="shared" si="2"/>
        <v>-0.53992256497175095</v>
      </c>
      <c r="G40" s="34">
        <f t="shared" si="2"/>
        <v>-1.215603951790575</v>
      </c>
    </row>
    <row r="41" spans="1:7" x14ac:dyDescent="0.25">
      <c r="A41" s="16" t="s">
        <v>8</v>
      </c>
      <c r="B41" s="36">
        <f t="shared" si="2"/>
        <v>1.5060240963855609E-3</v>
      </c>
      <c r="C41" s="36">
        <f t="shared" si="2"/>
        <v>0</v>
      </c>
      <c r="D41" s="36">
        <f t="shared" si="2"/>
        <v>0</v>
      </c>
      <c r="E41" s="36">
        <f t="shared" si="2"/>
        <v>-6.7884659074035625E-6</v>
      </c>
      <c r="F41" s="36">
        <f t="shared" si="2"/>
        <v>0</v>
      </c>
      <c r="G41" s="36">
        <f t="shared" si="2"/>
        <v>-1.2325329681073249E-4</v>
      </c>
    </row>
    <row r="42" spans="1:7" x14ac:dyDescent="0.25">
      <c r="A42" s="16" t="s">
        <v>9</v>
      </c>
      <c r="B42" s="33"/>
      <c r="C42" s="33"/>
      <c r="D42" s="36">
        <f t="shared" si="2"/>
        <v>0</v>
      </c>
      <c r="E42" s="36">
        <f t="shared" si="2"/>
        <v>5.4875111054730752E-5</v>
      </c>
      <c r="F42" s="36">
        <f t="shared" si="2"/>
        <v>1.5179045124999901E-2</v>
      </c>
      <c r="G42" s="36">
        <f t="shared" si="2"/>
        <v>1.148622588432735E-4</v>
      </c>
    </row>
    <row r="43" spans="1:7" x14ac:dyDescent="0.25">
      <c r="A43" s="16" t="s">
        <v>36</v>
      </c>
      <c r="B43" s="33"/>
      <c r="C43" s="33"/>
      <c r="D43" s="37">
        <f t="shared" si="2"/>
        <v>0.29679246506734314</v>
      </c>
      <c r="E43" s="37">
        <f t="shared" si="2"/>
        <v>0.92066348230059547</v>
      </c>
      <c r="F43" s="37">
        <f t="shared" si="2"/>
        <v>0.9201235203293876</v>
      </c>
      <c r="G43" s="37">
        <f t="shared" si="2"/>
        <v>0.88981420346034512</v>
      </c>
    </row>
    <row r="44" spans="1:7" x14ac:dyDescent="0.25">
      <c r="A44" s="16" t="s">
        <v>41</v>
      </c>
      <c r="B44" s="33"/>
      <c r="C44" s="33"/>
      <c r="D44" s="37">
        <f t="shared" si="2"/>
        <v>0.8901496103547798</v>
      </c>
      <c r="E44" s="37">
        <f t="shared" si="2"/>
        <v>1</v>
      </c>
      <c r="F44" s="37">
        <f t="shared" si="2"/>
        <v>1</v>
      </c>
      <c r="G44" s="37">
        <f t="shared" si="2"/>
        <v>1</v>
      </c>
    </row>
    <row r="45" spans="1:7" x14ac:dyDescent="0.25">
      <c r="A45" s="16" t="s">
        <v>42</v>
      </c>
      <c r="B45" s="33"/>
      <c r="C45" s="33"/>
      <c r="D45" s="37">
        <f t="shared" si="2"/>
        <v>0.43167763250783608</v>
      </c>
      <c r="E45" s="37">
        <f t="shared" si="2"/>
        <v>0.93979294937511482</v>
      </c>
      <c r="F45" s="37">
        <f t="shared" si="2"/>
        <v>0.93976879754964926</v>
      </c>
      <c r="G45" s="37">
        <f t="shared" si="2"/>
        <v>0.91637883023640543</v>
      </c>
    </row>
    <row r="46" spans="1:7" x14ac:dyDescent="0.25">
      <c r="A46" s="16" t="s">
        <v>43</v>
      </c>
      <c r="B46" s="33"/>
      <c r="C46" s="37">
        <f t="shared" ref="C46:G49" si="3">100%-(C18/J18)</f>
        <v>0</v>
      </c>
      <c r="D46" s="37">
        <f t="shared" si="3"/>
        <v>0.38739908386896216</v>
      </c>
      <c r="E46" s="37">
        <f t="shared" si="3"/>
        <v>0.96146187850684728</v>
      </c>
      <c r="F46" s="37">
        <f t="shared" si="3"/>
        <v>0.96147396889790404</v>
      </c>
      <c r="G46" s="37">
        <f t="shared" si="3"/>
        <v>0.97856681548213154</v>
      </c>
    </row>
    <row r="47" spans="1:7" x14ac:dyDescent="0.25">
      <c r="A47" s="16" t="s">
        <v>44</v>
      </c>
      <c r="B47" s="33"/>
      <c r="C47" s="33"/>
      <c r="D47" s="37">
        <f t="shared" si="3"/>
        <v>0.56400737467560447</v>
      </c>
      <c r="E47" s="37">
        <f t="shared" si="3"/>
        <v>0.98807283521959233</v>
      </c>
      <c r="F47" s="37">
        <f t="shared" si="3"/>
        <v>0.9881007682687154</v>
      </c>
      <c r="G47" s="37">
        <f t="shared" si="3"/>
        <v>0.98343394846614784</v>
      </c>
    </row>
    <row r="48" spans="1:7" x14ac:dyDescent="0.25">
      <c r="A48" s="16" t="s">
        <v>33</v>
      </c>
      <c r="B48" s="33"/>
      <c r="C48" s="33"/>
      <c r="D48" s="36">
        <f t="shared" si="3"/>
        <v>0</v>
      </c>
      <c r="E48" s="36">
        <f t="shared" si="3"/>
        <v>1.1376934452554832E-2</v>
      </c>
      <c r="F48" s="47">
        <f t="shared" si="3"/>
        <v>-0.13042247896754255</v>
      </c>
      <c r="G48" s="47">
        <f t="shared" si="3"/>
        <v>-0.1293172968378189</v>
      </c>
    </row>
    <row r="49" spans="1:7" x14ac:dyDescent="0.25">
      <c r="A49" s="16" t="s">
        <v>34</v>
      </c>
      <c r="B49" s="33"/>
      <c r="C49" s="33"/>
      <c r="D49" s="36">
        <f t="shared" si="3"/>
        <v>0</v>
      </c>
      <c r="E49" s="36">
        <f t="shared" si="3"/>
        <v>-7.0181718233421897E-3</v>
      </c>
      <c r="F49" s="47">
        <f t="shared" si="3"/>
        <v>3.5679398661967565E-2</v>
      </c>
      <c r="G49" s="47">
        <f t="shared" si="3"/>
        <v>0.13567095022507891</v>
      </c>
    </row>
    <row r="50" spans="1:7" x14ac:dyDescent="0.25">
      <c r="A50" s="16" t="s">
        <v>35</v>
      </c>
      <c r="B50" s="33"/>
      <c r="C50" s="33" t="e">
        <f t="shared" ref="C50:G52" si="4">100%-(C22/J22)</f>
        <v>#DIV/0!</v>
      </c>
      <c r="D50" s="33" t="e">
        <f t="shared" si="4"/>
        <v>#DIV/0!</v>
      </c>
      <c r="E50" s="33" t="e">
        <f t="shared" si="4"/>
        <v>#DIV/0!</v>
      </c>
      <c r="F50" s="33" t="e">
        <f t="shared" si="4"/>
        <v>#DIV/0!</v>
      </c>
      <c r="G50" s="33" t="e">
        <f t="shared" si="4"/>
        <v>#DIV/0!</v>
      </c>
    </row>
    <row r="51" spans="1:7" x14ac:dyDescent="0.25">
      <c r="A51" s="16" t="s">
        <v>38</v>
      </c>
      <c r="B51" s="33"/>
      <c r="C51" s="33"/>
      <c r="D51" s="37">
        <f t="shared" si="4"/>
        <v>0.91978658014393888</v>
      </c>
      <c r="E51" s="37">
        <f t="shared" si="4"/>
        <v>0.99338670425290698</v>
      </c>
      <c r="F51" s="37">
        <f t="shared" si="4"/>
        <v>0.99470993914807304</v>
      </c>
      <c r="G51" s="37">
        <f t="shared" si="4"/>
        <v>0.99668797158215761</v>
      </c>
    </row>
    <row r="52" spans="1:7" x14ac:dyDescent="0.25">
      <c r="A52" s="16" t="s">
        <v>45</v>
      </c>
      <c r="B52" s="33"/>
      <c r="C52" s="33"/>
      <c r="D52" s="34">
        <f t="shared" si="4"/>
        <v>0.32812406442727982</v>
      </c>
      <c r="E52" s="34">
        <f t="shared" si="4"/>
        <v>0.45969343277799302</v>
      </c>
      <c r="F52" s="34">
        <f t="shared" si="4"/>
        <v>0.2441016333938294</v>
      </c>
      <c r="G52" s="34">
        <f t="shared" si="4"/>
        <v>0.39859664169378362</v>
      </c>
    </row>
    <row r="54" spans="1:7" x14ac:dyDescent="0.25">
      <c r="B54" s="48"/>
      <c r="C54" s="3" t="s">
        <v>47</v>
      </c>
    </row>
    <row r="55" spans="1:7" x14ac:dyDescent="0.25">
      <c r="B55" s="55"/>
      <c r="C55" s="3" t="s">
        <v>48</v>
      </c>
    </row>
    <row r="56" spans="1:7" x14ac:dyDescent="0.25">
      <c r="B56" s="39"/>
      <c r="C56" s="3" t="s">
        <v>49</v>
      </c>
    </row>
    <row r="57" spans="1:7" x14ac:dyDescent="0.25">
      <c r="B57" s="38"/>
      <c r="C57" s="3" t="s">
        <v>50</v>
      </c>
    </row>
  </sheetData>
  <mergeCells count="2">
    <mergeCell ref="B2:G2"/>
    <mergeCell ref="I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91-A63A-4801-B0B3-DB41A79FB430}">
  <dimension ref="A1:N57"/>
  <sheetViews>
    <sheetView workbookViewId="0">
      <selection activeCell="E13" sqref="E13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8.8554687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140625" style="2" bestFit="1" customWidth="1"/>
  </cols>
  <sheetData>
    <row r="1" spans="1:14" x14ac:dyDescent="0.25">
      <c r="A1" s="12">
        <v>44369</v>
      </c>
      <c r="H1" s="11"/>
    </row>
    <row r="2" spans="1:14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4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4" x14ac:dyDescent="0.25">
      <c r="A4" s="16" t="s">
        <v>25</v>
      </c>
      <c r="B4" s="18">
        <v>116.80500000000001</v>
      </c>
      <c r="C4" s="19">
        <f>6069+1</f>
        <v>6070</v>
      </c>
      <c r="D4" s="19">
        <f>384397+332148+49325+109056</f>
        <v>874926</v>
      </c>
      <c r="E4" s="18">
        <f>(25000+4569000+1038000+292000)/14500</f>
        <v>408.55172413793105</v>
      </c>
      <c r="F4" s="28">
        <f>(10625+1941825+441150+124100)/14500</f>
        <v>173.63448275862069</v>
      </c>
      <c r="G4" s="31">
        <v>15.07</v>
      </c>
      <c r="H4" s="21"/>
      <c r="I4" s="18">
        <v>116.85</v>
      </c>
      <c r="J4" s="19">
        <v>6058</v>
      </c>
      <c r="K4" s="19">
        <v>878747</v>
      </c>
      <c r="L4" s="22">
        <v>410.76</v>
      </c>
      <c r="M4" s="28">
        <v>175</v>
      </c>
      <c r="N4" s="18">
        <v>15.21</v>
      </c>
    </row>
    <row r="5" spans="1:14" x14ac:dyDescent="0.25">
      <c r="A5" s="16" t="s">
        <v>26</v>
      </c>
      <c r="B5" s="18">
        <v>14.56</v>
      </c>
      <c r="C5" s="19">
        <v>92</v>
      </c>
      <c r="D5" s="19">
        <f>84351+39253+64154</f>
        <v>187758</v>
      </c>
      <c r="E5" s="18">
        <f>797.24250756+566.639149395+799.48916519</f>
        <v>2163.3708221449997</v>
      </c>
      <c r="F5" s="28">
        <f>50%*E5</f>
        <v>1081.6854110724998</v>
      </c>
      <c r="G5" s="18">
        <f>127.56+76.1+127.92</f>
        <v>331.58</v>
      </c>
      <c r="H5" s="23"/>
      <c r="I5" s="18">
        <v>14.56</v>
      </c>
      <c r="J5" s="19">
        <v>93</v>
      </c>
      <c r="K5" s="19">
        <v>187758</v>
      </c>
      <c r="L5" s="22">
        <v>2188.66</v>
      </c>
      <c r="M5" s="28">
        <v>1094</v>
      </c>
      <c r="N5" s="18">
        <v>335.63</v>
      </c>
    </row>
    <row r="6" spans="1:14" x14ac:dyDescent="0.25">
      <c r="A6" s="16" t="s">
        <v>27</v>
      </c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18"/>
    </row>
    <row r="7" spans="1:14" x14ac:dyDescent="0.25">
      <c r="A7" s="16" t="s">
        <v>28</v>
      </c>
      <c r="B7" s="18">
        <f>2.34+4.29</f>
        <v>6.63</v>
      </c>
      <c r="C7" s="19">
        <f>29+77</f>
        <v>106</v>
      </c>
      <c r="D7" s="19">
        <f>9137+8155</f>
        <v>17292</v>
      </c>
      <c r="E7" s="18">
        <f>25.7+30.6</f>
        <v>56.3</v>
      </c>
      <c r="F7" s="28">
        <f>11.57+13.77</f>
        <v>25.34</v>
      </c>
      <c r="G7" s="18">
        <f>5.99+5.62</f>
        <v>11.61</v>
      </c>
      <c r="H7" s="23"/>
      <c r="I7" s="18">
        <v>6.63</v>
      </c>
      <c r="J7" s="19">
        <v>106</v>
      </c>
      <c r="K7" s="19">
        <v>17313</v>
      </c>
      <c r="L7" s="22">
        <v>56.3</v>
      </c>
      <c r="M7" s="28">
        <v>25</v>
      </c>
      <c r="N7" s="18">
        <v>11.61</v>
      </c>
    </row>
    <row r="8" spans="1:14" x14ac:dyDescent="0.25">
      <c r="A8" s="16" t="s">
        <v>29</v>
      </c>
      <c r="B8" s="18">
        <v>0</v>
      </c>
      <c r="C8" s="19">
        <v>0</v>
      </c>
      <c r="D8" s="19">
        <f>15216+10106</f>
        <v>25322</v>
      </c>
      <c r="E8" s="31">
        <f>(30000+42000)/14500</f>
        <v>4.9655172413793105</v>
      </c>
      <c r="F8" s="30">
        <f>((12000+16800)/14500)</f>
        <v>1.9862068965517241</v>
      </c>
      <c r="G8" s="31">
        <f>((9240+12936)/14500)</f>
        <v>1.5293793103448277</v>
      </c>
      <c r="H8" s="25"/>
      <c r="I8" s="24">
        <v>0</v>
      </c>
      <c r="J8" s="19">
        <v>0</v>
      </c>
      <c r="K8" s="19">
        <v>328202</v>
      </c>
      <c r="L8" s="22">
        <v>455.47</v>
      </c>
      <c r="M8" s="28">
        <v>182</v>
      </c>
      <c r="N8" s="18">
        <v>131.18</v>
      </c>
    </row>
    <row r="9" spans="1:14" x14ac:dyDescent="0.25">
      <c r="A9" s="16" t="s">
        <v>39</v>
      </c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</row>
    <row r="10" spans="1:14" x14ac:dyDescent="0.25">
      <c r="A10" s="16" t="s">
        <v>30</v>
      </c>
      <c r="B10" s="18">
        <v>1.3</v>
      </c>
      <c r="C10" s="19">
        <v>2</v>
      </c>
      <c r="D10" s="19">
        <v>6519</v>
      </c>
      <c r="E10" s="18">
        <v>29.803336164000001</v>
      </c>
      <c r="F10" s="28">
        <v>11.206054397664001</v>
      </c>
      <c r="G10" s="18">
        <v>7.2424987147979127</v>
      </c>
      <c r="H10" s="23"/>
      <c r="I10" s="18">
        <v>1.3</v>
      </c>
      <c r="J10" s="19">
        <v>2</v>
      </c>
      <c r="K10" s="19">
        <v>6519</v>
      </c>
      <c r="L10" s="22">
        <v>29.53</v>
      </c>
      <c r="M10" s="28">
        <v>11</v>
      </c>
      <c r="N10" s="18">
        <v>7.16</v>
      </c>
    </row>
    <row r="11" spans="1:14" x14ac:dyDescent="0.25">
      <c r="A11" s="16" t="s">
        <v>31</v>
      </c>
      <c r="B11" s="18">
        <v>160.2643002584</v>
      </c>
      <c r="C11" s="19">
        <v>10009</v>
      </c>
      <c r="D11" s="19">
        <v>3676049</v>
      </c>
      <c r="E11" s="18">
        <v>2150.1007432103997</v>
      </c>
      <c r="F11" s="28">
        <v>2224.4448879311999</v>
      </c>
      <c r="G11" s="18">
        <v>656.55186258993649</v>
      </c>
      <c r="H11" s="23"/>
      <c r="I11" s="18">
        <v>69.819999999999993</v>
      </c>
      <c r="J11" s="19">
        <v>10009</v>
      </c>
      <c r="K11" s="19">
        <v>3676049</v>
      </c>
      <c r="L11" s="22">
        <v>2211.0700000000002</v>
      </c>
      <c r="M11" s="28">
        <v>1327</v>
      </c>
      <c r="N11" s="18">
        <v>730.59</v>
      </c>
    </row>
    <row r="12" spans="1:14" x14ac:dyDescent="0.25">
      <c r="A12" s="16" t="s">
        <v>32</v>
      </c>
      <c r="B12" s="18">
        <v>0</v>
      </c>
      <c r="C12" s="19">
        <v>0</v>
      </c>
      <c r="D12" s="19">
        <v>0</v>
      </c>
      <c r="E12" s="18">
        <v>35.942807999999999</v>
      </c>
      <c r="F12" s="28">
        <v>17.611975919999999</v>
      </c>
      <c r="G12" s="18">
        <v>11.41256039616</v>
      </c>
      <c r="H12" s="23"/>
      <c r="I12" s="18">
        <v>0</v>
      </c>
      <c r="J12" s="19">
        <v>0</v>
      </c>
      <c r="K12" s="19">
        <v>1204</v>
      </c>
      <c r="L12" s="22">
        <v>29.7</v>
      </c>
      <c r="M12" s="28">
        <v>15</v>
      </c>
      <c r="N12" s="18">
        <v>9.43</v>
      </c>
    </row>
    <row r="13" spans="1:14" x14ac:dyDescent="0.25">
      <c r="A13" s="16" t="s">
        <v>8</v>
      </c>
      <c r="B13" s="18">
        <v>14.625</v>
      </c>
      <c r="C13" s="19">
        <v>151</v>
      </c>
      <c r="D13" s="19">
        <v>328122</v>
      </c>
      <c r="E13" s="18">
        <v>378.17760462840005</v>
      </c>
      <c r="F13" s="28">
        <v>226.90656277704002</v>
      </c>
      <c r="G13" s="18">
        <v>171.43838147717281</v>
      </c>
      <c r="H13" s="23"/>
      <c r="I13" s="18">
        <v>14.63</v>
      </c>
      <c r="J13" s="19">
        <v>151</v>
      </c>
      <c r="K13" s="19">
        <v>328122</v>
      </c>
      <c r="L13" s="22">
        <v>378.18</v>
      </c>
      <c r="M13" s="28">
        <v>226.91</v>
      </c>
      <c r="N13" s="18">
        <v>171.43</v>
      </c>
    </row>
    <row r="14" spans="1:14" x14ac:dyDescent="0.25">
      <c r="A14" s="16" t="s">
        <v>9</v>
      </c>
      <c r="B14" s="18">
        <v>0</v>
      </c>
      <c r="C14" s="19">
        <v>0</v>
      </c>
      <c r="D14" s="19">
        <v>29459</v>
      </c>
      <c r="E14" s="18">
        <v>103.36977447000001</v>
      </c>
      <c r="F14" s="28">
        <v>36.179421064499998</v>
      </c>
      <c r="G14" s="26">
        <v>27.444675121784996</v>
      </c>
      <c r="H14" s="27"/>
      <c r="I14" s="18">
        <v>0</v>
      </c>
      <c r="J14" s="19">
        <v>0</v>
      </c>
      <c r="K14" s="19">
        <v>29459</v>
      </c>
      <c r="L14" s="22">
        <v>109.55</v>
      </c>
      <c r="M14" s="28">
        <v>38</v>
      </c>
      <c r="N14" s="18">
        <v>29.08</v>
      </c>
    </row>
    <row r="15" spans="1:14" x14ac:dyDescent="0.25">
      <c r="A15" s="16" t="s">
        <v>36</v>
      </c>
      <c r="B15" s="18">
        <v>0</v>
      </c>
      <c r="C15" s="19">
        <v>0</v>
      </c>
      <c r="D15" s="19">
        <v>0</v>
      </c>
      <c r="E15" s="31">
        <v>0</v>
      </c>
      <c r="F15" s="30">
        <v>0</v>
      </c>
      <c r="G15" s="31">
        <v>0</v>
      </c>
      <c r="H15" s="23"/>
      <c r="I15" s="18">
        <v>0</v>
      </c>
      <c r="J15" s="19">
        <v>0</v>
      </c>
      <c r="K15" s="19">
        <v>138766</v>
      </c>
      <c r="L15" s="22">
        <v>178.99</v>
      </c>
      <c r="M15" s="28">
        <v>72</v>
      </c>
      <c r="N15" s="18">
        <v>51.55</v>
      </c>
    </row>
    <row r="16" spans="1:14" x14ac:dyDescent="0.25">
      <c r="A16" s="16" t="s">
        <v>41</v>
      </c>
      <c r="B16" s="18"/>
      <c r="C16" s="19"/>
      <c r="D16" s="19">
        <v>0</v>
      </c>
      <c r="E16" s="24">
        <v>0</v>
      </c>
      <c r="F16" s="29">
        <v>0</v>
      </c>
      <c r="G16" s="18">
        <v>0</v>
      </c>
      <c r="H16" s="23"/>
      <c r="I16" s="18">
        <v>0</v>
      </c>
      <c r="J16" s="19">
        <v>0</v>
      </c>
      <c r="K16" s="19">
        <v>328202</v>
      </c>
      <c r="L16" s="22">
        <v>455.47</v>
      </c>
      <c r="M16" s="28">
        <v>182</v>
      </c>
      <c r="N16" s="18">
        <v>131.18</v>
      </c>
    </row>
    <row r="17" spans="1:14" x14ac:dyDescent="0.25">
      <c r="A17" s="16" t="s">
        <v>42</v>
      </c>
      <c r="B17" s="18"/>
      <c r="C17" s="19"/>
      <c r="D17" s="19">
        <v>120755</v>
      </c>
      <c r="E17" s="24">
        <f>760000/14500</f>
        <v>52.413793103448278</v>
      </c>
      <c r="F17" s="29">
        <f>304000/14500</f>
        <v>20.96551724137931</v>
      </c>
      <c r="G17" s="18">
        <f>304000/14500</f>
        <v>20.96551724137931</v>
      </c>
      <c r="H17" s="23"/>
      <c r="I17" s="18"/>
      <c r="J17" s="19"/>
      <c r="K17" s="19">
        <v>212477</v>
      </c>
      <c r="L17" s="22">
        <v>871.19</v>
      </c>
      <c r="M17" s="28">
        <v>348</v>
      </c>
      <c r="N17" s="18">
        <v>250.9</v>
      </c>
    </row>
    <row r="18" spans="1:14" x14ac:dyDescent="0.25">
      <c r="A18" s="16" t="s">
        <v>43</v>
      </c>
      <c r="B18" s="18">
        <v>4.9400000000000004</v>
      </c>
      <c r="C18" s="19">
        <v>193</v>
      </c>
      <c r="D18" s="19">
        <v>201131</v>
      </c>
      <c r="E18" s="24">
        <f>473600/14500</f>
        <v>32.662068965517243</v>
      </c>
      <c r="F18" s="29">
        <f>189440/14500</f>
        <v>13.064827586206897</v>
      </c>
      <c r="G18" s="18">
        <f>117316/14500</f>
        <v>8.0907586206896553</v>
      </c>
      <c r="H18" s="23"/>
      <c r="I18" s="18"/>
      <c r="J18" s="19">
        <v>193</v>
      </c>
      <c r="K18" s="19">
        <v>328202</v>
      </c>
      <c r="L18" s="22">
        <v>455.47</v>
      </c>
      <c r="M18" s="28">
        <v>182</v>
      </c>
      <c r="N18" s="18">
        <v>131.18</v>
      </c>
    </row>
    <row r="19" spans="1:14" x14ac:dyDescent="0.25">
      <c r="A19" s="16" t="s">
        <v>44</v>
      </c>
      <c r="B19" s="18"/>
      <c r="C19" s="19"/>
      <c r="D19" s="19">
        <v>87015</v>
      </c>
      <c r="E19" s="24">
        <f>81400/14500</f>
        <v>5.613793103448276</v>
      </c>
      <c r="F19" s="29">
        <f>32560/14500</f>
        <v>2.2455172413793103</v>
      </c>
      <c r="G19" s="18">
        <f>32560/14500</f>
        <v>2.2455172413793103</v>
      </c>
      <c r="H19" s="23"/>
      <c r="I19" s="18"/>
      <c r="J19" s="19"/>
      <c r="K19" s="19">
        <v>199584</v>
      </c>
      <c r="L19" s="22">
        <v>521.32000000000005</v>
      </c>
      <c r="M19" s="28">
        <v>209</v>
      </c>
      <c r="N19" s="18">
        <v>150.13999999999999</v>
      </c>
    </row>
    <row r="20" spans="1:14" x14ac:dyDescent="0.25">
      <c r="A20" s="16" t="s">
        <v>33</v>
      </c>
      <c r="B20" s="18">
        <v>0</v>
      </c>
      <c r="C20" s="19">
        <v>0</v>
      </c>
      <c r="D20" s="19">
        <v>13181</v>
      </c>
      <c r="E20" s="18">
        <v>21.760483901999997</v>
      </c>
      <c r="F20" s="28">
        <v>7.8337742047199983</v>
      </c>
      <c r="G20" s="18">
        <v>6.3383067090389504</v>
      </c>
      <c r="H20" s="23"/>
      <c r="I20" s="18">
        <v>0</v>
      </c>
      <c r="J20" s="19">
        <v>4</v>
      </c>
      <c r="K20" s="19">
        <v>13181</v>
      </c>
      <c r="L20" s="22">
        <v>22.6</v>
      </c>
      <c r="M20" s="28">
        <v>7.91</v>
      </c>
      <c r="N20" s="18">
        <v>5.76</v>
      </c>
    </row>
    <row r="21" spans="1:14" x14ac:dyDescent="0.25">
      <c r="A21" s="16" t="s">
        <v>34</v>
      </c>
      <c r="B21" s="18">
        <v>0</v>
      </c>
      <c r="C21" s="19">
        <v>0</v>
      </c>
      <c r="D21" s="19">
        <v>1665</v>
      </c>
      <c r="E21" s="18">
        <v>7.9755854399999997</v>
      </c>
      <c r="F21" s="28">
        <v>3.0307224671999999</v>
      </c>
      <c r="G21" s="32">
        <v>-3.2685464902826671</v>
      </c>
      <c r="H21" s="27"/>
      <c r="I21" s="18">
        <v>0</v>
      </c>
      <c r="J21" s="19">
        <v>0</v>
      </c>
      <c r="K21" s="19">
        <v>1665</v>
      </c>
      <c r="L21" s="22">
        <v>7.92</v>
      </c>
      <c r="M21" s="28">
        <v>3</v>
      </c>
      <c r="N21" s="32">
        <v>-3.17</v>
      </c>
    </row>
    <row r="22" spans="1:14" x14ac:dyDescent="0.25">
      <c r="A22" s="16" t="s">
        <v>35</v>
      </c>
      <c r="B22" s="18">
        <v>148.19999999999999</v>
      </c>
      <c r="C22" s="19">
        <v>2771</v>
      </c>
      <c r="D22" s="19">
        <v>74704</v>
      </c>
      <c r="E22" s="18">
        <f>4326000/14500</f>
        <v>298.34482758620692</v>
      </c>
      <c r="F22" s="28">
        <f>1838550/14500</f>
        <v>126.79655172413793</v>
      </c>
      <c r="G22" s="32">
        <f>(-772911)/14500</f>
        <v>-53.304206896551726</v>
      </c>
      <c r="H22" s="23"/>
      <c r="I22" s="18"/>
      <c r="J22" s="19"/>
      <c r="K22" s="19"/>
      <c r="L22" s="22"/>
      <c r="M22" s="28"/>
      <c r="N22" s="18"/>
    </row>
    <row r="23" spans="1:14" x14ac:dyDescent="0.25">
      <c r="A23" s="16" t="s">
        <v>38</v>
      </c>
      <c r="B23" s="18">
        <v>0</v>
      </c>
      <c r="C23" s="19">
        <v>0</v>
      </c>
      <c r="D23" s="19">
        <v>24821</v>
      </c>
      <c r="E23" s="31">
        <f>320000/14500</f>
        <v>22.068965517241381</v>
      </c>
      <c r="F23" s="30">
        <f>128000/14500</f>
        <v>8.8275862068965516</v>
      </c>
      <c r="G23" s="31">
        <f>98560/14500</f>
        <v>6.7972413793103446</v>
      </c>
      <c r="H23" s="23"/>
      <c r="I23" s="18">
        <v>0</v>
      </c>
      <c r="J23" s="19">
        <v>0</v>
      </c>
      <c r="K23" s="19">
        <v>383326</v>
      </c>
      <c r="L23" s="22">
        <v>2956.51</v>
      </c>
      <c r="M23" s="28">
        <v>1478</v>
      </c>
      <c r="N23" s="18">
        <v>1064.3399999999999</v>
      </c>
    </row>
    <row r="24" spans="1:14" x14ac:dyDescent="0.25">
      <c r="A24" s="16" t="s">
        <v>45</v>
      </c>
      <c r="B24" s="18">
        <f>223300/14500</f>
        <v>15.4</v>
      </c>
      <c r="C24" s="19">
        <v>148</v>
      </c>
      <c r="D24" s="19">
        <v>89893</v>
      </c>
      <c r="E24" s="24">
        <f>1745000/14500</f>
        <v>120.34482758620689</v>
      </c>
      <c r="F24" s="29">
        <f>1038275/14500</f>
        <v>71.605172413793099</v>
      </c>
      <c r="G24" s="18">
        <f>648851/14500</f>
        <v>44.748344827586209</v>
      </c>
      <c r="H24" s="23"/>
      <c r="I24" s="18"/>
      <c r="J24" s="19"/>
      <c r="K24" s="19">
        <v>138034</v>
      </c>
      <c r="L24" s="22">
        <v>356.32</v>
      </c>
      <c r="M24" s="28">
        <v>178</v>
      </c>
      <c r="N24" s="18">
        <v>128.27000000000001</v>
      </c>
    </row>
    <row r="25" spans="1:14" x14ac:dyDescent="0.25">
      <c r="A25" s="16"/>
      <c r="B25" s="18"/>
      <c r="C25" s="19"/>
      <c r="D25" s="19"/>
      <c r="E25" s="24"/>
      <c r="F25" s="29"/>
      <c r="G25" s="18"/>
      <c r="H25" s="23"/>
      <c r="I25" s="18"/>
      <c r="J25" s="19"/>
      <c r="K25" s="19"/>
      <c r="L25" s="22"/>
      <c r="M25" s="28"/>
      <c r="N25" s="18"/>
    </row>
    <row r="26" spans="1:14" x14ac:dyDescent="0.25">
      <c r="A26" s="16"/>
      <c r="B26" s="18"/>
      <c r="C26" s="19"/>
      <c r="D26" s="19"/>
      <c r="E26" s="24"/>
      <c r="F26" s="29"/>
      <c r="G26" s="18"/>
      <c r="H26" s="23"/>
      <c r="I26" s="18"/>
      <c r="J26" s="19"/>
      <c r="K26" s="19"/>
      <c r="L26" s="22"/>
      <c r="M26" s="28"/>
      <c r="N26" s="18"/>
    </row>
    <row r="27" spans="1:14" x14ac:dyDescent="0.25">
      <c r="A27" s="16"/>
      <c r="B27" s="18"/>
      <c r="C27" s="19"/>
      <c r="D27" s="19"/>
      <c r="E27" s="24"/>
      <c r="F27" s="29"/>
      <c r="G27" s="18"/>
      <c r="H27" s="23"/>
      <c r="I27" s="18"/>
      <c r="J27" s="19"/>
      <c r="K27" s="19"/>
      <c r="L27" s="22"/>
      <c r="M27" s="28"/>
      <c r="N27" s="18"/>
    </row>
    <row r="28" spans="1:14" x14ac:dyDescent="0.25">
      <c r="A28" s="16"/>
      <c r="B28" s="18"/>
      <c r="C28" s="19"/>
      <c r="D28" s="19"/>
      <c r="E28" s="24"/>
      <c r="F28" s="29"/>
      <c r="G28" s="18"/>
      <c r="H28" s="23"/>
      <c r="I28" s="18"/>
      <c r="J28" s="19"/>
      <c r="K28" s="19"/>
      <c r="L28" s="22"/>
      <c r="M28" s="28"/>
      <c r="N28" s="18"/>
    </row>
    <row r="29" spans="1:14" x14ac:dyDescent="0.25">
      <c r="A29" s="16"/>
      <c r="B29" s="18"/>
      <c r="C29" s="19"/>
      <c r="D29" s="19"/>
      <c r="E29" s="24"/>
      <c r="F29" s="29"/>
      <c r="G29" s="18"/>
      <c r="H29" s="23"/>
      <c r="I29" s="18"/>
      <c r="J29" s="19"/>
      <c r="K29" s="19"/>
      <c r="L29" s="22"/>
      <c r="M29" s="28"/>
      <c r="N29" s="18"/>
    </row>
    <row r="31" spans="1:14" x14ac:dyDescent="0.25">
      <c r="A31" s="41">
        <v>44369</v>
      </c>
      <c r="B31" s="13" t="s">
        <v>21</v>
      </c>
      <c r="C31" s="14" t="s">
        <v>7</v>
      </c>
      <c r="D31" s="14" t="s">
        <v>22</v>
      </c>
      <c r="E31" s="13" t="s">
        <v>23</v>
      </c>
      <c r="F31" s="15" t="s">
        <v>37</v>
      </c>
      <c r="G31" s="13" t="s">
        <v>24</v>
      </c>
    </row>
    <row r="32" spans="1:14" x14ac:dyDescent="0.25">
      <c r="A32" s="16" t="s">
        <v>25</v>
      </c>
      <c r="B32" s="36">
        <f t="shared" ref="B32:G33" si="0">100%-(B4/I4)</f>
        <v>3.8510911424893823E-4</v>
      </c>
      <c r="C32" s="36">
        <f t="shared" si="0"/>
        <v>-1.980851766259395E-3</v>
      </c>
      <c r="D32" s="36">
        <f t="shared" si="0"/>
        <v>4.3482367507371444E-3</v>
      </c>
      <c r="E32" s="36">
        <f t="shared" si="0"/>
        <v>5.3760732838371572E-3</v>
      </c>
      <c r="F32" s="36">
        <f t="shared" si="0"/>
        <v>7.8029556650246468E-3</v>
      </c>
      <c r="G32" s="36">
        <f t="shared" si="0"/>
        <v>9.2044707429322914E-3</v>
      </c>
    </row>
    <row r="33" spans="1:7" x14ac:dyDescent="0.25">
      <c r="A33" s="16" t="s">
        <v>26</v>
      </c>
      <c r="B33" s="36">
        <f t="shared" si="0"/>
        <v>0</v>
      </c>
      <c r="C33" s="36">
        <f t="shared" si="0"/>
        <v>1.0752688172043001E-2</v>
      </c>
      <c r="D33" s="36">
        <f t="shared" si="0"/>
        <v>0</v>
      </c>
      <c r="E33" s="36">
        <f t="shared" si="0"/>
        <v>1.1554639759030705E-2</v>
      </c>
      <c r="F33" s="36">
        <f>100%-(F5/M5)</f>
        <v>1.1256479824040322E-2</v>
      </c>
      <c r="G33" s="36">
        <f t="shared" si="0"/>
        <v>1.2066859339153302E-2</v>
      </c>
    </row>
    <row r="34" spans="1:7" x14ac:dyDescent="0.25">
      <c r="A34" s="16" t="s">
        <v>27</v>
      </c>
      <c r="B34" s="33"/>
      <c r="C34" s="33"/>
      <c r="D34" s="33"/>
      <c r="E34" s="33"/>
      <c r="F34" s="33"/>
      <c r="G34" s="33"/>
    </row>
    <row r="35" spans="1:7" x14ac:dyDescent="0.25">
      <c r="A35" s="16" t="s">
        <v>28</v>
      </c>
      <c r="B35" s="36">
        <f t="shared" ref="B35:G36" si="1">100%-(B7/I7)</f>
        <v>0</v>
      </c>
      <c r="C35" s="36">
        <f t="shared" si="1"/>
        <v>0</v>
      </c>
      <c r="D35" s="36">
        <f t="shared" si="1"/>
        <v>1.2129613585166732E-3</v>
      </c>
      <c r="E35" s="36">
        <f t="shared" si="1"/>
        <v>0</v>
      </c>
      <c r="F35" s="36">
        <f t="shared" si="1"/>
        <v>-1.3600000000000056E-2</v>
      </c>
      <c r="G35" s="36">
        <f t="shared" si="1"/>
        <v>0</v>
      </c>
    </row>
    <row r="36" spans="1:7" x14ac:dyDescent="0.25">
      <c r="A36" s="16" t="s">
        <v>29</v>
      </c>
      <c r="B36" s="33"/>
      <c r="C36" s="33"/>
      <c r="D36" s="35">
        <f t="shared" si="1"/>
        <v>0.92284629587875755</v>
      </c>
      <c r="E36" s="35">
        <f t="shared" si="1"/>
        <v>0.98909803666239415</v>
      </c>
      <c r="F36" s="35">
        <f t="shared" si="1"/>
        <v>0.98908677529367184</v>
      </c>
      <c r="G36" s="35">
        <f t="shared" si="1"/>
        <v>0.98834136826997387</v>
      </c>
    </row>
    <row r="37" spans="1:7" x14ac:dyDescent="0.25">
      <c r="A37" s="16" t="s">
        <v>39</v>
      </c>
      <c r="B37" s="33"/>
      <c r="C37" s="33"/>
      <c r="D37" s="33"/>
      <c r="E37" s="33"/>
      <c r="F37" s="33"/>
      <c r="G37" s="33"/>
    </row>
    <row r="38" spans="1:7" x14ac:dyDescent="0.25">
      <c r="A38" s="16" t="s">
        <v>30</v>
      </c>
      <c r="B38" s="36">
        <f t="shared" ref="B38:G45" si="2">100%-(B10/I10)</f>
        <v>0</v>
      </c>
      <c r="C38" s="36">
        <f t="shared" si="2"/>
        <v>0</v>
      </c>
      <c r="D38" s="36">
        <f t="shared" si="2"/>
        <v>0</v>
      </c>
      <c r="E38" s="36">
        <f t="shared" si="2"/>
        <v>-9.2562195733152386E-3</v>
      </c>
      <c r="F38" s="36">
        <f t="shared" si="2"/>
        <v>-1.8732217969454679E-2</v>
      </c>
      <c r="G38" s="36">
        <f t="shared" si="2"/>
        <v>-1.1522166871216877E-2</v>
      </c>
    </row>
    <row r="39" spans="1:7" x14ac:dyDescent="0.25">
      <c r="A39" s="16" t="s">
        <v>31</v>
      </c>
      <c r="B39" s="34">
        <f t="shared" si="2"/>
        <v>-1.2953924413978806</v>
      </c>
      <c r="C39" s="36">
        <f t="shared" si="2"/>
        <v>0</v>
      </c>
      <c r="D39" s="36">
        <f t="shared" si="2"/>
        <v>0</v>
      </c>
      <c r="E39" s="36">
        <f t="shared" si="2"/>
        <v>2.7574548426599121E-2</v>
      </c>
      <c r="F39" s="36">
        <f t="shared" si="2"/>
        <v>-0.6762960722917859</v>
      </c>
      <c r="G39" s="34">
        <f t="shared" si="2"/>
        <v>0.10134020094726659</v>
      </c>
    </row>
    <row r="40" spans="1:7" x14ac:dyDescent="0.25">
      <c r="A40" s="16" t="s">
        <v>32</v>
      </c>
      <c r="B40" s="40"/>
      <c r="C40" s="40"/>
      <c r="D40" s="34">
        <f t="shared" si="2"/>
        <v>1</v>
      </c>
      <c r="E40" s="34">
        <f t="shared" si="2"/>
        <v>-0.21019555555555547</v>
      </c>
      <c r="F40" s="34">
        <f t="shared" si="2"/>
        <v>-0.17413172799999987</v>
      </c>
      <c r="G40" s="34">
        <f t="shared" si="2"/>
        <v>-0.21023970266808067</v>
      </c>
    </row>
    <row r="41" spans="1:7" x14ac:dyDescent="0.25">
      <c r="A41" s="16" t="s">
        <v>8</v>
      </c>
      <c r="B41" s="36">
        <f t="shared" si="2"/>
        <v>3.4176349965830966E-4</v>
      </c>
      <c r="C41" s="36">
        <f t="shared" si="2"/>
        <v>0</v>
      </c>
      <c r="D41" s="36">
        <f t="shared" si="2"/>
        <v>0</v>
      </c>
      <c r="E41" s="36">
        <f t="shared" si="2"/>
        <v>6.3339457400113375E-6</v>
      </c>
      <c r="F41" s="36">
        <f t="shared" si="2"/>
        <v>1.5147957163508252E-5</v>
      </c>
      <c r="G41" s="36">
        <f t="shared" si="2"/>
        <v>-4.8891542745232996E-5</v>
      </c>
    </row>
    <row r="42" spans="1:7" x14ac:dyDescent="0.25">
      <c r="A42" s="16" t="s">
        <v>9</v>
      </c>
      <c r="B42" s="33"/>
      <c r="C42" s="33"/>
      <c r="D42" s="36">
        <f t="shared" si="2"/>
        <v>0</v>
      </c>
      <c r="E42" s="34">
        <f t="shared" si="2"/>
        <v>5.6414655682336723E-2</v>
      </c>
      <c r="F42" s="34">
        <f t="shared" si="2"/>
        <v>4.7909971986842215E-2</v>
      </c>
      <c r="G42" s="34">
        <f t="shared" si="2"/>
        <v>5.6235380956499381E-2</v>
      </c>
    </row>
    <row r="43" spans="1:7" x14ac:dyDescent="0.25">
      <c r="A43" s="16" t="s">
        <v>36</v>
      </c>
      <c r="B43" s="33"/>
      <c r="C43" s="33"/>
      <c r="D43" s="37">
        <f t="shared" si="2"/>
        <v>1</v>
      </c>
      <c r="E43" s="37">
        <f t="shared" si="2"/>
        <v>1</v>
      </c>
      <c r="F43" s="37">
        <f t="shared" si="2"/>
        <v>1</v>
      </c>
      <c r="G43" s="37">
        <f t="shared" si="2"/>
        <v>1</v>
      </c>
    </row>
    <row r="44" spans="1:7" x14ac:dyDescent="0.25">
      <c r="A44" s="16" t="s">
        <v>41</v>
      </c>
      <c r="B44" s="33"/>
      <c r="C44" s="33"/>
      <c r="D44" s="37">
        <f t="shared" si="2"/>
        <v>1</v>
      </c>
      <c r="E44" s="37">
        <f t="shared" si="2"/>
        <v>1</v>
      </c>
      <c r="F44" s="37">
        <f t="shared" si="2"/>
        <v>1</v>
      </c>
      <c r="G44" s="37">
        <f t="shared" si="2"/>
        <v>1</v>
      </c>
    </row>
    <row r="45" spans="1:7" x14ac:dyDescent="0.25">
      <c r="A45" s="16" t="s">
        <v>42</v>
      </c>
      <c r="B45" s="33"/>
      <c r="C45" s="33"/>
      <c r="D45" s="37">
        <f t="shared" si="2"/>
        <v>0.43167966415188463</v>
      </c>
      <c r="E45" s="37">
        <f t="shared" si="2"/>
        <v>0.93983655333113525</v>
      </c>
      <c r="F45" s="37">
        <f t="shared" si="2"/>
        <v>0.93975426080063418</v>
      </c>
      <c r="G45" s="37">
        <f t="shared" si="2"/>
        <v>0.91643875152897847</v>
      </c>
    </row>
    <row r="46" spans="1:7" x14ac:dyDescent="0.25">
      <c r="A46" s="16" t="s">
        <v>43</v>
      </c>
      <c r="B46" s="33"/>
      <c r="C46" s="37">
        <f t="shared" ref="C46:G49" si="3">100%-(C18/J18)</f>
        <v>0</v>
      </c>
      <c r="D46" s="37">
        <f t="shared" si="3"/>
        <v>0.38717314336902275</v>
      </c>
      <c r="E46" s="37">
        <f t="shared" si="3"/>
        <v>0.92828930782374852</v>
      </c>
      <c r="F46" s="37">
        <f t="shared" si="3"/>
        <v>0.92821523304281928</v>
      </c>
      <c r="G46" s="37">
        <f t="shared" si="3"/>
        <v>0.93832323051768829</v>
      </c>
    </row>
    <row r="47" spans="1:7" x14ac:dyDescent="0.25">
      <c r="A47" s="16" t="s">
        <v>44</v>
      </c>
      <c r="B47" s="33"/>
      <c r="C47" s="33"/>
      <c r="D47" s="37">
        <f t="shared" si="3"/>
        <v>0.56401815776815778</v>
      </c>
      <c r="E47" s="37">
        <f t="shared" si="3"/>
        <v>0.98923157925372462</v>
      </c>
      <c r="F47" s="37">
        <f t="shared" si="3"/>
        <v>0.98925589836660621</v>
      </c>
      <c r="G47" s="37">
        <f t="shared" si="3"/>
        <v>0.98504384413627744</v>
      </c>
    </row>
    <row r="48" spans="1:7" x14ac:dyDescent="0.25">
      <c r="A48" s="16" t="s">
        <v>33</v>
      </c>
      <c r="B48" s="33"/>
      <c r="C48" s="33"/>
      <c r="D48" s="36">
        <f t="shared" si="3"/>
        <v>0</v>
      </c>
      <c r="E48" s="36">
        <f t="shared" si="3"/>
        <v>3.7146730000000239E-2</v>
      </c>
      <c r="F48" s="47">
        <f t="shared" si="3"/>
        <v>9.6366365714287694E-3</v>
      </c>
      <c r="G48" s="47">
        <f t="shared" si="3"/>
        <v>-0.10040047031926225</v>
      </c>
    </row>
    <row r="49" spans="1:7" x14ac:dyDescent="0.25">
      <c r="A49" s="16" t="s">
        <v>34</v>
      </c>
      <c r="B49" s="33"/>
      <c r="C49" s="33"/>
      <c r="D49" s="36">
        <f t="shared" si="3"/>
        <v>0</v>
      </c>
      <c r="E49" s="36">
        <f t="shared" si="3"/>
        <v>-7.0183636363636559E-3</v>
      </c>
      <c r="F49" s="36">
        <f t="shared" si="3"/>
        <v>-1.0240822399999905E-2</v>
      </c>
      <c r="G49" s="36">
        <f t="shared" si="3"/>
        <v>-3.108722090935867E-2</v>
      </c>
    </row>
    <row r="50" spans="1:7" x14ac:dyDescent="0.25">
      <c r="A50" s="16" t="s">
        <v>35</v>
      </c>
      <c r="B50" s="33"/>
      <c r="C50" s="33"/>
      <c r="D50" s="33"/>
      <c r="E50" s="33"/>
      <c r="F50" s="33"/>
      <c r="G50" s="33"/>
    </row>
    <row r="51" spans="1:7" x14ac:dyDescent="0.25">
      <c r="A51" s="16" t="s">
        <v>38</v>
      </c>
      <c r="B51" s="33"/>
      <c r="C51" s="33"/>
      <c r="D51" s="37">
        <f t="shared" ref="D51:G52" si="4">100%-(D23/K23)</f>
        <v>0.93524832648972411</v>
      </c>
      <c r="E51" s="37">
        <f t="shared" si="4"/>
        <v>0.99253546731881803</v>
      </c>
      <c r="F51" s="37">
        <f t="shared" si="4"/>
        <v>0.99402734356772904</v>
      </c>
      <c r="G51" s="37">
        <f t="shared" si="4"/>
        <v>0.99361365599403351</v>
      </c>
    </row>
    <row r="52" spans="1:7" x14ac:dyDescent="0.25">
      <c r="A52" s="16" t="s">
        <v>45</v>
      </c>
      <c r="B52" s="33"/>
      <c r="C52" s="33"/>
      <c r="D52" s="34">
        <f t="shared" si="4"/>
        <v>0.34876189924221568</v>
      </c>
      <c r="E52" s="34">
        <f t="shared" si="4"/>
        <v>0.66225632132294876</v>
      </c>
      <c r="F52" s="34">
        <f t="shared" si="4"/>
        <v>0.59772375048430848</v>
      </c>
      <c r="G52" s="34">
        <f t="shared" si="4"/>
        <v>0.65113943379132921</v>
      </c>
    </row>
    <row r="54" spans="1:7" x14ac:dyDescent="0.25">
      <c r="B54" s="48"/>
      <c r="C54" s="3" t="s">
        <v>47</v>
      </c>
    </row>
    <row r="55" spans="1:7" x14ac:dyDescent="0.25">
      <c r="B55" s="55"/>
      <c r="C55" s="3" t="s">
        <v>48</v>
      </c>
    </row>
    <row r="56" spans="1:7" x14ac:dyDescent="0.25">
      <c r="B56" s="39"/>
      <c r="C56" s="3" t="s">
        <v>49</v>
      </c>
    </row>
    <row r="57" spans="1:7" x14ac:dyDescent="0.25">
      <c r="B57" s="38"/>
      <c r="C57" s="3" t="s">
        <v>50</v>
      </c>
    </row>
  </sheetData>
  <mergeCells count="2">
    <mergeCell ref="B2:G2"/>
    <mergeCell ref="I2:N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ED8A-9B79-4050-9865-7075DD14D7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C6A2-CCE6-4B05-A94E-3D9621C5B51E}">
  <dimension ref="A1:O58"/>
  <sheetViews>
    <sheetView topLeftCell="A17" workbookViewId="0">
      <selection activeCell="G48" sqref="G48:G49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8.8554687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140625" style="2" bestFit="1" customWidth="1"/>
  </cols>
  <sheetData>
    <row r="1" spans="1:15" x14ac:dyDescent="0.25">
      <c r="A1" s="12">
        <v>44370</v>
      </c>
      <c r="H1" s="11"/>
    </row>
    <row r="2" spans="1:15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5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5" x14ac:dyDescent="0.25">
      <c r="A4" s="16" t="s">
        <v>25</v>
      </c>
      <c r="B4" s="18">
        <v>110.955</v>
      </c>
      <c r="C4" s="19">
        <f>5748+37+1</f>
        <v>5786</v>
      </c>
      <c r="D4" s="19">
        <f>384397+314212+54847+109053</f>
        <v>862509</v>
      </c>
      <c r="E4" s="18">
        <f>(35000+4323000+1146000+262000)/14500</f>
        <v>397.65517241379308</v>
      </c>
      <c r="F4" s="28">
        <v>170</v>
      </c>
      <c r="G4" s="31">
        <v>17.399999999999999</v>
      </c>
      <c r="H4" s="21"/>
      <c r="I4" s="18">
        <v>110.96</v>
      </c>
      <c r="J4" s="19">
        <v>5754</v>
      </c>
      <c r="K4" s="19">
        <v>866154</v>
      </c>
      <c r="L4" s="22">
        <v>401.24</v>
      </c>
      <c r="M4" s="28">
        <v>171</v>
      </c>
      <c r="N4" s="18">
        <v>18.04</v>
      </c>
      <c r="O4" s="53"/>
    </row>
    <row r="5" spans="1:15" x14ac:dyDescent="0.25">
      <c r="A5" s="16" t="s">
        <v>26</v>
      </c>
      <c r="B5" s="18">
        <v>0</v>
      </c>
      <c r="C5" s="19">
        <v>0</v>
      </c>
      <c r="D5" s="19">
        <f>84124+39127+63970</f>
        <v>187221</v>
      </c>
      <c r="E5" s="18">
        <f>768.99881164+548.18446172+765.307874105</f>
        <v>2082.4911474649998</v>
      </c>
      <c r="F5" s="28">
        <v>1041.25</v>
      </c>
      <c r="G5" s="18">
        <f>123.04+87.71+122.45</f>
        <v>333.2</v>
      </c>
      <c r="H5" s="23"/>
      <c r="I5" s="18">
        <v>0</v>
      </c>
      <c r="J5" s="19">
        <v>0</v>
      </c>
      <c r="K5" s="19">
        <v>187221</v>
      </c>
      <c r="L5" s="22">
        <v>2106.85</v>
      </c>
      <c r="M5" s="28">
        <f>50%*L5</f>
        <v>1053.425</v>
      </c>
      <c r="N5" s="18">
        <v>337.1</v>
      </c>
      <c r="O5" s="53"/>
    </row>
    <row r="6" spans="1:15" x14ac:dyDescent="0.25">
      <c r="A6" s="16" t="s">
        <v>27</v>
      </c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18"/>
      <c r="O6" s="53"/>
    </row>
    <row r="7" spans="1:15" x14ac:dyDescent="0.25">
      <c r="A7" s="16" t="s">
        <v>28</v>
      </c>
      <c r="B7" s="18">
        <f>2.34+3.9</f>
        <v>6.24</v>
      </c>
      <c r="C7" s="19">
        <f>31+72</f>
        <v>103</v>
      </c>
      <c r="D7" s="19">
        <f>9170+8160</f>
        <v>17330</v>
      </c>
      <c r="E7" s="18">
        <f>22.8+25</f>
        <v>47.8</v>
      </c>
      <c r="F7" s="28">
        <f>10.26+11.25</f>
        <v>21.509999999999998</v>
      </c>
      <c r="G7" s="18">
        <f>5.05+4.2</f>
        <v>9.25</v>
      </c>
      <c r="H7" s="23"/>
      <c r="I7" s="18">
        <v>6.24</v>
      </c>
      <c r="J7" s="19">
        <v>103</v>
      </c>
      <c r="K7" s="19">
        <v>17350</v>
      </c>
      <c r="L7" s="22">
        <v>47.8</v>
      </c>
      <c r="M7" s="28">
        <v>22</v>
      </c>
      <c r="N7" s="18">
        <v>9.25</v>
      </c>
      <c r="O7" s="53"/>
    </row>
    <row r="8" spans="1:15" x14ac:dyDescent="0.25">
      <c r="A8" s="16" t="s">
        <v>29</v>
      </c>
      <c r="B8" s="18">
        <v>0</v>
      </c>
      <c r="C8" s="19">
        <v>0</v>
      </c>
      <c r="D8" s="19">
        <f>15215+10104</f>
        <v>25319</v>
      </c>
      <c r="E8" s="31">
        <f>(30000+48000)/14500</f>
        <v>5.3793103448275863</v>
      </c>
      <c r="F8" s="30">
        <f>((12000+19200)/14500)</f>
        <v>2.1517241379310343</v>
      </c>
      <c r="G8" s="31">
        <f>((9240+14784)/14500)</f>
        <v>1.6568275862068966</v>
      </c>
      <c r="H8" s="25"/>
      <c r="I8" s="24">
        <v>0</v>
      </c>
      <c r="J8" s="19">
        <v>0</v>
      </c>
      <c r="K8" s="19">
        <v>328297</v>
      </c>
      <c r="L8" s="22">
        <v>458.09</v>
      </c>
      <c r="M8" s="28">
        <v>183</v>
      </c>
      <c r="N8" s="18">
        <v>141.09</v>
      </c>
      <c r="O8" s="53"/>
    </row>
    <row r="9" spans="1:15" x14ac:dyDescent="0.25">
      <c r="A9" s="16" t="s">
        <v>39</v>
      </c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  <c r="O9" s="53"/>
    </row>
    <row r="10" spans="1:15" x14ac:dyDescent="0.25">
      <c r="A10" s="16" t="s">
        <v>30</v>
      </c>
      <c r="B10" s="18">
        <v>5.2</v>
      </c>
      <c r="C10" s="19">
        <v>8</v>
      </c>
      <c r="D10" s="19">
        <v>6509</v>
      </c>
      <c r="E10" s="18">
        <v>45.122808024000001</v>
      </c>
      <c r="F10" s="28">
        <v>16.966175817024002</v>
      </c>
      <c r="G10" s="18">
        <v>7.8526737861567941</v>
      </c>
      <c r="H10" s="23"/>
      <c r="I10" s="18">
        <v>5.2</v>
      </c>
      <c r="J10" s="19">
        <v>8</v>
      </c>
      <c r="K10" s="19">
        <v>6509</v>
      </c>
      <c r="L10" s="22">
        <v>44.71</v>
      </c>
      <c r="M10" s="28">
        <v>17</v>
      </c>
      <c r="N10" s="18">
        <v>7.73</v>
      </c>
      <c r="O10" s="53"/>
    </row>
    <row r="11" spans="1:15" x14ac:dyDescent="0.25">
      <c r="A11" s="16" t="s">
        <v>31</v>
      </c>
      <c r="B11" s="18">
        <v>159.7207814592</v>
      </c>
      <c r="C11" s="19">
        <v>10018</v>
      </c>
      <c r="D11" s="19">
        <v>3676691</v>
      </c>
      <c r="E11" s="18">
        <v>1988.9830823656</v>
      </c>
      <c r="F11" s="28">
        <v>1193.38984941936</v>
      </c>
      <c r="G11" s="18">
        <v>570.63380638544822</v>
      </c>
      <c r="H11" s="23"/>
      <c r="I11" s="18">
        <v>70.790000000000006</v>
      </c>
      <c r="J11" s="19">
        <v>10018</v>
      </c>
      <c r="K11" s="19">
        <v>3676691</v>
      </c>
      <c r="L11" s="22">
        <v>1977.02</v>
      </c>
      <c r="M11" s="28">
        <v>1186</v>
      </c>
      <c r="N11" s="18">
        <v>644.89</v>
      </c>
      <c r="O11" s="53"/>
    </row>
    <row r="12" spans="1:15" x14ac:dyDescent="0.25">
      <c r="A12" s="16" t="s">
        <v>32</v>
      </c>
      <c r="B12" s="18">
        <v>0</v>
      </c>
      <c r="C12" s="19">
        <v>0</v>
      </c>
      <c r="D12" s="19">
        <v>0</v>
      </c>
      <c r="E12" s="18">
        <v>29.95234</v>
      </c>
      <c r="F12" s="28">
        <v>14.6766466</v>
      </c>
      <c r="G12" s="18">
        <v>9.5104669967999982</v>
      </c>
      <c r="H12" s="23"/>
      <c r="I12" s="18">
        <v>0</v>
      </c>
      <c r="J12" s="19">
        <v>0</v>
      </c>
      <c r="K12" s="19">
        <v>1201</v>
      </c>
      <c r="L12" s="22">
        <v>35.1</v>
      </c>
      <c r="M12" s="28">
        <v>18</v>
      </c>
      <c r="N12" s="18">
        <v>11.14</v>
      </c>
      <c r="O12" s="53"/>
    </row>
    <row r="13" spans="1:15" x14ac:dyDescent="0.25">
      <c r="A13" s="16" t="s">
        <v>8</v>
      </c>
      <c r="B13" s="42">
        <v>19.695</v>
      </c>
      <c r="C13" s="43">
        <v>202</v>
      </c>
      <c r="D13" s="43">
        <v>328280</v>
      </c>
      <c r="E13" s="42">
        <v>424.8704364300001</v>
      </c>
      <c r="F13" s="42">
        <v>254.92226185800004</v>
      </c>
      <c r="G13" s="42">
        <v>189.34125472356004</v>
      </c>
      <c r="H13" s="23"/>
      <c r="I13" s="42">
        <v>19.7</v>
      </c>
      <c r="J13" s="43">
        <v>202</v>
      </c>
      <c r="K13" s="43">
        <v>328280</v>
      </c>
      <c r="L13" s="44">
        <v>428.87</v>
      </c>
      <c r="M13" s="42">
        <v>254.92</v>
      </c>
      <c r="N13" s="42">
        <v>189.34</v>
      </c>
      <c r="O13" s="53"/>
    </row>
    <row r="14" spans="1:15" x14ac:dyDescent="0.25">
      <c r="A14" s="16" t="s">
        <v>9</v>
      </c>
      <c r="B14" s="42">
        <v>0</v>
      </c>
      <c r="C14" s="43">
        <v>0</v>
      </c>
      <c r="D14" s="43">
        <v>29462</v>
      </c>
      <c r="E14" s="42">
        <v>96.693920250000005</v>
      </c>
      <c r="F14" s="42">
        <v>33.842872087499998</v>
      </c>
      <c r="G14" s="45">
        <v>25.672235826374997</v>
      </c>
      <c r="H14" s="45"/>
      <c r="I14" s="42">
        <v>0</v>
      </c>
      <c r="J14" s="43">
        <v>0</v>
      </c>
      <c r="K14" s="43">
        <v>29462</v>
      </c>
      <c r="L14" s="44">
        <v>96.69</v>
      </c>
      <c r="M14" s="42">
        <v>34</v>
      </c>
      <c r="N14" s="42">
        <v>25.67</v>
      </c>
      <c r="O14" s="53"/>
    </row>
    <row r="15" spans="1:15" x14ac:dyDescent="0.25">
      <c r="A15" s="16" t="s">
        <v>36</v>
      </c>
      <c r="B15" s="18">
        <v>0</v>
      </c>
      <c r="C15" s="19">
        <v>0</v>
      </c>
      <c r="D15" s="19">
        <v>138766</v>
      </c>
      <c r="E15" s="31">
        <f>2468000/14500</f>
        <v>170.20689655172413</v>
      </c>
      <c r="F15" s="30">
        <f>987200/14500</f>
        <v>68.08275862068966</v>
      </c>
      <c r="G15" s="31">
        <f>987200/14500</f>
        <v>68.08275862068966</v>
      </c>
      <c r="H15" s="23"/>
      <c r="I15" s="18">
        <v>0</v>
      </c>
      <c r="J15" s="19">
        <v>0</v>
      </c>
      <c r="K15" s="19">
        <v>138766</v>
      </c>
      <c r="L15" s="22">
        <v>170.29</v>
      </c>
      <c r="M15" s="28">
        <v>68</v>
      </c>
      <c r="N15" s="32">
        <v>68.12</v>
      </c>
      <c r="O15" s="53"/>
    </row>
    <row r="16" spans="1:15" x14ac:dyDescent="0.25">
      <c r="A16" s="16" t="s">
        <v>41</v>
      </c>
      <c r="B16" s="18"/>
      <c r="C16" s="19"/>
      <c r="D16" s="56">
        <v>144.101</v>
      </c>
      <c r="E16" s="24">
        <f>3731450/14500</f>
        <v>257.34137931034485</v>
      </c>
      <c r="F16" s="29">
        <f>1492580/14500</f>
        <v>102.93655172413793</v>
      </c>
      <c r="G16" s="18">
        <f>1492580/14500</f>
        <v>102.93655172413793</v>
      </c>
      <c r="H16" s="23"/>
      <c r="I16" s="18">
        <v>0</v>
      </c>
      <c r="J16" s="19">
        <v>0</v>
      </c>
      <c r="K16" s="56">
        <v>144.101</v>
      </c>
      <c r="L16" s="22">
        <v>257.47000000000003</v>
      </c>
      <c r="M16" s="28">
        <v>102.99</v>
      </c>
      <c r="N16" s="32">
        <v>102.99</v>
      </c>
      <c r="O16" s="53"/>
    </row>
    <row r="17" spans="1:15" x14ac:dyDescent="0.25">
      <c r="A17" s="16" t="s">
        <v>42</v>
      </c>
      <c r="B17" s="18"/>
      <c r="C17" s="19"/>
      <c r="D17" s="56">
        <v>212477</v>
      </c>
      <c r="E17" s="24">
        <f>15016000/14500</f>
        <v>1035.5862068965516</v>
      </c>
      <c r="F17" s="29">
        <f>6006400/14500</f>
        <v>414.23448275862069</v>
      </c>
      <c r="G17" s="18">
        <f>6006400/14500</f>
        <v>414.23448275862069</v>
      </c>
      <c r="H17" s="23"/>
      <c r="I17" s="18"/>
      <c r="J17" s="19"/>
      <c r="K17" s="19">
        <v>212477</v>
      </c>
      <c r="L17" s="22">
        <v>1036.0999999999999</v>
      </c>
      <c r="M17" s="28">
        <v>414</v>
      </c>
      <c r="N17" s="32">
        <v>414.44</v>
      </c>
      <c r="O17" s="53"/>
    </row>
    <row r="18" spans="1:15" x14ac:dyDescent="0.25">
      <c r="A18" s="16" t="s">
        <v>43</v>
      </c>
      <c r="B18" s="18">
        <f>75920/14500</f>
        <v>5.2358620689655169</v>
      </c>
      <c r="C18" s="19">
        <v>196</v>
      </c>
      <c r="D18" s="19">
        <v>207004</v>
      </c>
      <c r="E18" s="24">
        <v>483.8</v>
      </c>
      <c r="F18" s="29">
        <v>193.52</v>
      </c>
      <c r="G18" s="18">
        <f>2728700/14500</f>
        <v>188.18620689655174</v>
      </c>
      <c r="H18" s="23"/>
      <c r="I18" s="18"/>
      <c r="J18" s="19">
        <v>196</v>
      </c>
      <c r="K18" s="19">
        <v>207004</v>
      </c>
      <c r="L18" s="22">
        <v>483.8</v>
      </c>
      <c r="M18" s="28">
        <v>193.52</v>
      </c>
      <c r="N18" s="32">
        <v>193.52</v>
      </c>
      <c r="O18" s="53"/>
    </row>
    <row r="19" spans="1:15" x14ac:dyDescent="0.25">
      <c r="A19" s="16" t="s">
        <v>46</v>
      </c>
      <c r="B19" s="18">
        <v>0</v>
      </c>
      <c r="C19" s="19">
        <v>0</v>
      </c>
      <c r="D19" s="19">
        <v>0</v>
      </c>
      <c r="E19" s="24">
        <f>2854000/14500</f>
        <v>196.82758620689654</v>
      </c>
      <c r="F19" s="29">
        <f>1141600/14500</f>
        <v>78.731034482758616</v>
      </c>
      <c r="G19" s="18">
        <f>1141600/14500</f>
        <v>78.731034482758616</v>
      </c>
      <c r="H19" s="23"/>
      <c r="I19" s="18"/>
      <c r="J19" s="19"/>
      <c r="K19" s="19">
        <v>166642</v>
      </c>
      <c r="L19" s="22">
        <v>196.93</v>
      </c>
      <c r="M19" s="28">
        <v>79</v>
      </c>
      <c r="N19" s="32">
        <v>78.77</v>
      </c>
      <c r="O19" s="53"/>
    </row>
    <row r="20" spans="1:15" x14ac:dyDescent="0.25">
      <c r="A20" s="16" t="s">
        <v>44</v>
      </c>
      <c r="B20" s="18">
        <v>0</v>
      </c>
      <c r="C20" s="19">
        <v>0</v>
      </c>
      <c r="D20" s="57">
        <v>199566</v>
      </c>
      <c r="E20" s="24">
        <v>544.16999999999996</v>
      </c>
      <c r="F20" s="29">
        <v>217.67</v>
      </c>
      <c r="G20" s="18">
        <v>217.67</v>
      </c>
      <c r="H20" s="23"/>
      <c r="I20" s="18"/>
      <c r="J20" s="19"/>
      <c r="K20" s="57">
        <v>199566</v>
      </c>
      <c r="L20" s="24">
        <v>544.16999999999996</v>
      </c>
      <c r="M20" s="29">
        <v>217.67</v>
      </c>
      <c r="N20" s="32">
        <v>217.67</v>
      </c>
      <c r="O20" s="53"/>
    </row>
    <row r="21" spans="1:15" x14ac:dyDescent="0.25">
      <c r="A21" s="16" t="s">
        <v>33</v>
      </c>
      <c r="B21" s="18">
        <v>0</v>
      </c>
      <c r="C21" s="19">
        <v>0</v>
      </c>
      <c r="D21" s="19">
        <v>13170</v>
      </c>
      <c r="E21" s="18">
        <v>18.390497456999999</v>
      </c>
      <c r="F21" s="28">
        <v>6.6205790845199992</v>
      </c>
      <c r="G21" s="18">
        <v>5.3567105372851316</v>
      </c>
      <c r="H21" s="23"/>
      <c r="I21" s="18">
        <v>0</v>
      </c>
      <c r="J21" s="19">
        <v>0</v>
      </c>
      <c r="K21" s="19">
        <v>13170</v>
      </c>
      <c r="L21" s="22">
        <v>18.600000000000001</v>
      </c>
      <c r="M21" s="28">
        <v>7</v>
      </c>
      <c r="N21" s="18">
        <v>4.74</v>
      </c>
      <c r="O21" s="53"/>
    </row>
    <row r="22" spans="1:15" x14ac:dyDescent="0.25">
      <c r="A22" s="16" t="s">
        <v>34</v>
      </c>
      <c r="B22" s="18">
        <v>0</v>
      </c>
      <c r="C22" s="19">
        <v>0</v>
      </c>
      <c r="D22" s="19">
        <v>1664</v>
      </c>
      <c r="E22" s="18">
        <v>25.920651018419704</v>
      </c>
      <c r="F22" s="28">
        <v>9.8498473869994871</v>
      </c>
      <c r="G22" s="32">
        <v>1.641223451972964</v>
      </c>
      <c r="H22" s="27"/>
      <c r="I22" s="18">
        <v>0</v>
      </c>
      <c r="J22" s="19">
        <v>0</v>
      </c>
      <c r="K22" s="19">
        <v>1664</v>
      </c>
      <c r="L22" s="22">
        <v>25.74</v>
      </c>
      <c r="M22" s="28">
        <v>10</v>
      </c>
      <c r="N22" s="32">
        <v>1.96</v>
      </c>
      <c r="O22" s="53"/>
    </row>
    <row r="23" spans="1:15" x14ac:dyDescent="0.25">
      <c r="A23" s="16" t="s">
        <v>35</v>
      </c>
      <c r="B23" s="18">
        <v>147.16000000000003</v>
      </c>
      <c r="C23" s="19">
        <v>2733</v>
      </c>
      <c r="D23" s="19">
        <v>76751</v>
      </c>
      <c r="E23" s="18">
        <f>4416000/14500</f>
        <v>304.55172413793105</v>
      </c>
      <c r="F23" s="28">
        <f>1876800/14500</f>
        <v>129.4344827586207</v>
      </c>
      <c r="G23" s="32">
        <f>(-728792)/14500</f>
        <v>-50.261517241379309</v>
      </c>
      <c r="H23" s="23"/>
      <c r="I23" s="18"/>
      <c r="J23" s="19"/>
      <c r="K23" s="19"/>
      <c r="L23" s="22"/>
      <c r="M23" s="28"/>
      <c r="N23" s="18"/>
      <c r="O23" s="53"/>
    </row>
    <row r="24" spans="1:15" x14ac:dyDescent="0.25">
      <c r="A24" s="16" t="s">
        <v>38</v>
      </c>
      <c r="B24" s="18">
        <v>0</v>
      </c>
      <c r="C24" s="19">
        <v>1</v>
      </c>
      <c r="D24" s="19">
        <v>375680</v>
      </c>
      <c r="E24" s="31">
        <v>3015.3</v>
      </c>
      <c r="F24" s="30">
        <v>1507.65</v>
      </c>
      <c r="G24" s="31">
        <f>83160/14500</f>
        <v>5.7351724137931033</v>
      </c>
      <c r="H24" s="23"/>
      <c r="I24" s="18">
        <v>0</v>
      </c>
      <c r="J24" s="19">
        <v>1</v>
      </c>
      <c r="K24" s="19">
        <v>375680</v>
      </c>
      <c r="L24" s="22">
        <v>3015.3</v>
      </c>
      <c r="M24" s="28">
        <v>1507.65</v>
      </c>
      <c r="N24" s="32">
        <v>-1854.41</v>
      </c>
      <c r="O24" s="53"/>
    </row>
    <row r="25" spans="1:15" x14ac:dyDescent="0.25">
      <c r="A25" s="16" t="s">
        <v>45</v>
      </c>
      <c r="B25" s="18">
        <f>437900/14500</f>
        <v>30.2</v>
      </c>
      <c r="C25" s="19">
        <v>295</v>
      </c>
      <c r="D25" s="19">
        <v>90170</v>
      </c>
      <c r="E25" s="24">
        <f>1824000/14500</f>
        <v>125.79310344827586</v>
      </c>
      <c r="F25" s="29">
        <f>1085280/14500</f>
        <v>74.846896551724143</v>
      </c>
      <c r="G25" s="18">
        <f>473735.2/14500</f>
        <v>32.671393103448274</v>
      </c>
      <c r="H25" s="23"/>
      <c r="I25" s="18"/>
      <c r="J25" s="19"/>
      <c r="K25" s="19">
        <v>139382</v>
      </c>
      <c r="L25" s="22">
        <v>306.91000000000003</v>
      </c>
      <c r="M25" s="28">
        <v>153</v>
      </c>
      <c r="N25" s="18">
        <v>110.49</v>
      </c>
      <c r="O25" s="53"/>
    </row>
    <row r="26" spans="1:15" x14ac:dyDescent="0.25">
      <c r="A26" s="16"/>
      <c r="B26" s="18"/>
      <c r="C26" s="19"/>
      <c r="D26" s="19"/>
      <c r="E26" s="24"/>
      <c r="F26" s="29"/>
      <c r="G26" s="18"/>
      <c r="H26" s="23"/>
      <c r="I26" s="18"/>
      <c r="J26" s="19"/>
      <c r="K26" s="19"/>
      <c r="L26" s="22"/>
      <c r="M26" s="28"/>
      <c r="N26" s="18"/>
      <c r="O26" s="53"/>
    </row>
    <row r="27" spans="1:15" x14ac:dyDescent="0.25">
      <c r="A27" s="16"/>
      <c r="B27" s="18"/>
      <c r="C27" s="19"/>
      <c r="D27" s="19"/>
      <c r="E27" s="24"/>
      <c r="F27" s="29"/>
      <c r="G27" s="18"/>
      <c r="H27" s="23"/>
      <c r="I27" s="18"/>
      <c r="J27" s="19"/>
      <c r="K27" s="19"/>
      <c r="L27" s="22"/>
      <c r="M27" s="28"/>
      <c r="N27" s="18"/>
    </row>
    <row r="28" spans="1:15" x14ac:dyDescent="0.25">
      <c r="A28" s="16"/>
      <c r="B28" s="18"/>
      <c r="C28" s="19"/>
      <c r="D28" s="19"/>
      <c r="E28" s="24"/>
      <c r="F28" s="29"/>
      <c r="G28" s="18"/>
      <c r="H28" s="23"/>
      <c r="I28" s="18"/>
      <c r="J28" s="19"/>
      <c r="K28" s="19"/>
      <c r="L28" s="22"/>
      <c r="M28" s="28"/>
      <c r="N28" s="18"/>
    </row>
    <row r="29" spans="1:15" x14ac:dyDescent="0.25">
      <c r="A29" s="16"/>
      <c r="B29" s="18"/>
      <c r="C29" s="19"/>
      <c r="D29" s="19"/>
      <c r="E29" s="24"/>
      <c r="F29" s="29"/>
      <c r="G29" s="18"/>
      <c r="H29" s="23"/>
      <c r="I29" s="18"/>
      <c r="J29" s="19"/>
      <c r="K29" s="19"/>
      <c r="L29" s="22"/>
      <c r="M29" s="28"/>
      <c r="N29" s="18"/>
    </row>
    <row r="30" spans="1:15" x14ac:dyDescent="0.25">
      <c r="A30" s="16"/>
      <c r="B30" s="18"/>
      <c r="C30" s="19"/>
      <c r="D30" s="19"/>
      <c r="E30" s="24"/>
      <c r="F30" s="29"/>
      <c r="G30" s="18"/>
      <c r="H30" s="23"/>
      <c r="I30" s="18"/>
      <c r="J30" s="19"/>
      <c r="K30" s="19"/>
      <c r="L30" s="22"/>
      <c r="M30" s="28"/>
      <c r="N30" s="18"/>
    </row>
    <row r="32" spans="1:15" x14ac:dyDescent="0.25">
      <c r="A32" s="16"/>
      <c r="B32" s="13" t="s">
        <v>21</v>
      </c>
      <c r="C32" s="14" t="s">
        <v>7</v>
      </c>
      <c r="D32" s="14" t="s">
        <v>22</v>
      </c>
      <c r="E32" s="13" t="s">
        <v>23</v>
      </c>
      <c r="F32" s="15" t="s">
        <v>37</v>
      </c>
      <c r="G32" s="13" t="s">
        <v>24</v>
      </c>
    </row>
    <row r="33" spans="1:7" x14ac:dyDescent="0.25">
      <c r="A33" s="16" t="s">
        <v>25</v>
      </c>
      <c r="B33" s="36">
        <f>100%-(B4/I4)</f>
        <v>4.5061283345360081E-5</v>
      </c>
      <c r="C33" s="36">
        <f t="shared" ref="C33:G33" si="0">100%-(C4/J4)</f>
        <v>-5.5613486270420509E-3</v>
      </c>
      <c r="D33" s="36">
        <f t="shared" si="0"/>
        <v>4.2082585775740089E-3</v>
      </c>
      <c r="E33" s="36">
        <f t="shared" si="0"/>
        <v>8.9343724110431122E-3</v>
      </c>
      <c r="F33" s="36">
        <f t="shared" si="0"/>
        <v>5.8479532163743242E-3</v>
      </c>
      <c r="G33" s="36">
        <f t="shared" si="0"/>
        <v>3.5476718403547713E-2</v>
      </c>
    </row>
    <row r="34" spans="1:7" x14ac:dyDescent="0.25">
      <c r="A34" s="16" t="s">
        <v>26</v>
      </c>
      <c r="B34" s="40"/>
      <c r="C34" s="40"/>
      <c r="D34" s="36">
        <f t="shared" ref="D34:D54" si="1">100%-(D5/K5)</f>
        <v>0</v>
      </c>
      <c r="E34" s="36">
        <f t="shared" ref="E34:E54" si="2">100%-(E5/L5)</f>
        <v>1.1561740292379663E-2</v>
      </c>
      <c r="F34" s="36">
        <f t="shared" ref="F34:F54" si="3">100%-(F5/M5)</f>
        <v>1.1557538505351572E-2</v>
      </c>
      <c r="G34" s="36">
        <f t="shared" ref="G34:G54" si="4">100%-(G5/N5)</f>
        <v>1.1569267279739059E-2</v>
      </c>
    </row>
    <row r="35" spans="1:7" x14ac:dyDescent="0.25">
      <c r="A35" s="16" t="s">
        <v>27</v>
      </c>
      <c r="B35" s="40"/>
      <c r="C35" s="40"/>
      <c r="D35" s="40"/>
      <c r="E35" s="40"/>
      <c r="F35" s="40"/>
      <c r="G35" s="40"/>
    </row>
    <row r="36" spans="1:7" x14ac:dyDescent="0.25">
      <c r="A36" s="16" t="s">
        <v>28</v>
      </c>
      <c r="B36" s="36">
        <f t="shared" ref="B36:B54" si="5">100%-(B7/I7)</f>
        <v>0</v>
      </c>
      <c r="C36" s="36">
        <f t="shared" ref="C36:C54" si="6">100%-(C7/J7)</f>
        <v>0</v>
      </c>
      <c r="D36" s="36">
        <f t="shared" si="1"/>
        <v>1.1527377521614035E-3</v>
      </c>
      <c r="E36" s="36">
        <f t="shared" si="2"/>
        <v>0</v>
      </c>
      <c r="F36" s="36">
        <f t="shared" si="3"/>
        <v>2.2272727272727333E-2</v>
      </c>
      <c r="G36" s="36">
        <f t="shared" si="4"/>
        <v>0</v>
      </c>
    </row>
    <row r="37" spans="1:7" x14ac:dyDescent="0.25">
      <c r="A37" s="16" t="s">
        <v>29</v>
      </c>
      <c r="B37" s="40"/>
      <c r="C37" s="40"/>
      <c r="D37" s="37">
        <f t="shared" si="1"/>
        <v>0.92287776007700351</v>
      </c>
      <c r="E37" s="37">
        <f t="shared" si="2"/>
        <v>0.98825708846552518</v>
      </c>
      <c r="F37" s="37">
        <f t="shared" si="3"/>
        <v>0.98824194460146975</v>
      </c>
      <c r="G37" s="37">
        <f t="shared" si="4"/>
        <v>0.98825694531003683</v>
      </c>
    </row>
    <row r="38" spans="1:7" x14ac:dyDescent="0.25">
      <c r="A38" s="16" t="s">
        <v>39</v>
      </c>
      <c r="B38" s="40"/>
      <c r="C38" s="40"/>
      <c r="D38" s="40"/>
      <c r="E38" s="40"/>
      <c r="F38" s="40"/>
      <c r="G38" s="40"/>
    </row>
    <row r="39" spans="1:7" x14ac:dyDescent="0.25">
      <c r="A39" s="16" t="s">
        <v>30</v>
      </c>
      <c r="B39" s="36">
        <f t="shared" si="5"/>
        <v>0</v>
      </c>
      <c r="C39" s="36">
        <f t="shared" si="6"/>
        <v>0</v>
      </c>
      <c r="D39" s="36">
        <f t="shared" si="1"/>
        <v>0</v>
      </c>
      <c r="E39" s="36">
        <f t="shared" si="2"/>
        <v>-9.2330132856184299E-3</v>
      </c>
      <c r="F39" s="36">
        <f t="shared" si="3"/>
        <v>1.9896578221175742E-3</v>
      </c>
      <c r="G39" s="36">
        <f t="shared" si="4"/>
        <v>-1.5869830033220289E-2</v>
      </c>
    </row>
    <row r="40" spans="1:7" x14ac:dyDescent="0.25">
      <c r="A40" s="16" t="s">
        <v>31</v>
      </c>
      <c r="B40" s="34">
        <f t="shared" si="5"/>
        <v>-1.2562619220115834</v>
      </c>
      <c r="C40" s="36">
        <f t="shared" si="6"/>
        <v>0</v>
      </c>
      <c r="D40" s="36">
        <f t="shared" si="1"/>
        <v>0</v>
      </c>
      <c r="E40" s="36">
        <f t="shared" si="2"/>
        <v>-6.0510679535867862E-3</v>
      </c>
      <c r="F40" s="36">
        <f t="shared" si="3"/>
        <v>-6.2309017026644931E-3</v>
      </c>
      <c r="G40" s="34">
        <f t="shared" si="4"/>
        <v>0.11514551879320778</v>
      </c>
    </row>
    <row r="41" spans="1:7" x14ac:dyDescent="0.25">
      <c r="A41" s="16" t="s">
        <v>32</v>
      </c>
      <c r="B41" s="40"/>
      <c r="C41" s="40"/>
      <c r="D41" s="34">
        <f t="shared" si="1"/>
        <v>1</v>
      </c>
      <c r="E41" s="34">
        <f t="shared" si="2"/>
        <v>0.14665698005698014</v>
      </c>
      <c r="F41" s="34">
        <f t="shared" si="3"/>
        <v>0.18463074444444449</v>
      </c>
      <c r="G41" s="34">
        <f t="shared" si="4"/>
        <v>0.14627764840215463</v>
      </c>
    </row>
    <row r="42" spans="1:7" x14ac:dyDescent="0.25">
      <c r="A42" s="16" t="s">
        <v>8</v>
      </c>
      <c r="B42" s="36">
        <f t="shared" si="5"/>
        <v>2.5380710659894667E-4</v>
      </c>
      <c r="C42" s="36">
        <f t="shared" si="6"/>
        <v>0</v>
      </c>
      <c r="D42" s="36">
        <f t="shared" si="1"/>
        <v>0</v>
      </c>
      <c r="E42" s="36">
        <f t="shared" si="2"/>
        <v>9.3258180101194466E-3</v>
      </c>
      <c r="F42" s="36">
        <f t="shared" si="3"/>
        <v>-8.8728150009487194E-6</v>
      </c>
      <c r="G42" s="36">
        <f t="shared" si="4"/>
        <v>-6.6268277174597046E-6</v>
      </c>
    </row>
    <row r="43" spans="1:7" x14ac:dyDescent="0.25">
      <c r="A43" s="16" t="s">
        <v>9</v>
      </c>
      <c r="B43" s="40"/>
      <c r="C43" s="40"/>
      <c r="D43" s="36">
        <f t="shared" si="1"/>
        <v>0</v>
      </c>
      <c r="E43" s="36">
        <f t="shared" si="2"/>
        <v>-4.0544523735697169E-5</v>
      </c>
      <c r="F43" s="36">
        <f t="shared" si="3"/>
        <v>4.6214091911764843E-3</v>
      </c>
      <c r="G43" s="36">
        <f t="shared" si="4"/>
        <v>-8.7098806972996101E-5</v>
      </c>
    </row>
    <row r="44" spans="1:7" x14ac:dyDescent="0.25">
      <c r="A44" s="16" t="s">
        <v>36</v>
      </c>
      <c r="B44" s="40"/>
      <c r="C44" s="40"/>
      <c r="D44" s="36">
        <f t="shared" si="1"/>
        <v>0</v>
      </c>
      <c r="E44" s="36">
        <f t="shared" si="2"/>
        <v>4.8801132348263998E-4</v>
      </c>
      <c r="F44" s="36">
        <f t="shared" si="3"/>
        <v>-1.2170385395537942E-3</v>
      </c>
      <c r="G44" s="36">
        <f t="shared" si="4"/>
        <v>5.4670257355171614E-4</v>
      </c>
    </row>
    <row r="45" spans="1:7" x14ac:dyDescent="0.25">
      <c r="A45" s="16" t="s">
        <v>41</v>
      </c>
      <c r="B45" s="40"/>
      <c r="C45" s="40"/>
      <c r="D45" s="36">
        <f t="shared" si="1"/>
        <v>0</v>
      </c>
      <c r="E45" s="36">
        <f t="shared" si="2"/>
        <v>4.9955602460549642E-4</v>
      </c>
      <c r="F45" s="36">
        <f t="shared" si="3"/>
        <v>5.1896568464959714E-4</v>
      </c>
      <c r="G45" s="36">
        <f t="shared" si="4"/>
        <v>5.1896568464959714E-4</v>
      </c>
    </row>
    <row r="46" spans="1:7" x14ac:dyDescent="0.25">
      <c r="A46" s="16" t="s">
        <v>42</v>
      </c>
      <c r="B46" s="40"/>
      <c r="C46" s="40"/>
      <c r="D46" s="36">
        <f t="shared" si="1"/>
        <v>0</v>
      </c>
      <c r="E46" s="36">
        <f t="shared" si="2"/>
        <v>4.9589142307526757E-4</v>
      </c>
      <c r="F46" s="36">
        <f t="shared" si="3"/>
        <v>-5.6638347492921071E-4</v>
      </c>
      <c r="G46" s="36">
        <f t="shared" si="4"/>
        <v>4.9589142307526757E-4</v>
      </c>
    </row>
    <row r="47" spans="1:7" x14ac:dyDescent="0.25">
      <c r="A47" s="16" t="s">
        <v>43</v>
      </c>
      <c r="B47" s="34" t="e">
        <f t="shared" si="5"/>
        <v>#DIV/0!</v>
      </c>
      <c r="C47" s="36">
        <f t="shared" si="6"/>
        <v>0</v>
      </c>
      <c r="D47" s="36">
        <f t="shared" si="1"/>
        <v>0</v>
      </c>
      <c r="E47" s="36">
        <f t="shared" si="2"/>
        <v>0</v>
      </c>
      <c r="F47" s="36">
        <f t="shared" si="3"/>
        <v>0</v>
      </c>
      <c r="G47" s="36">
        <f t="shared" si="4"/>
        <v>2.7561973457256417E-2</v>
      </c>
    </row>
    <row r="48" spans="1:7" x14ac:dyDescent="0.25">
      <c r="A48" s="16" t="s">
        <v>46</v>
      </c>
      <c r="B48" s="40"/>
      <c r="C48" s="40"/>
      <c r="D48" s="40">
        <f t="shared" si="1"/>
        <v>1</v>
      </c>
      <c r="E48" s="36">
        <f t="shared" si="2"/>
        <v>5.2005176003389053E-4</v>
      </c>
      <c r="F48" s="36">
        <f t="shared" si="3"/>
        <v>3.4046268005238911E-3</v>
      </c>
      <c r="G48" s="36">
        <f t="shared" si="4"/>
        <v>4.9467458729690605E-4</v>
      </c>
    </row>
    <row r="49" spans="1:7" x14ac:dyDescent="0.25">
      <c r="A49" s="16" t="s">
        <v>44</v>
      </c>
      <c r="B49" s="40"/>
      <c r="C49" s="40"/>
      <c r="D49" s="36">
        <f t="shared" si="1"/>
        <v>0</v>
      </c>
      <c r="E49" s="36">
        <f t="shared" si="2"/>
        <v>0</v>
      </c>
      <c r="F49" s="36">
        <f t="shared" si="3"/>
        <v>0</v>
      </c>
      <c r="G49" s="36">
        <f t="shared" si="4"/>
        <v>0</v>
      </c>
    </row>
    <row r="50" spans="1:7" x14ac:dyDescent="0.25">
      <c r="A50" s="16" t="s">
        <v>33</v>
      </c>
      <c r="B50" s="40"/>
      <c r="C50" s="40"/>
      <c r="D50" s="36">
        <f t="shared" si="1"/>
        <v>0</v>
      </c>
      <c r="E50" s="36">
        <f t="shared" si="2"/>
        <v>1.1263577580645334E-2</v>
      </c>
      <c r="F50" s="47">
        <f t="shared" si="3"/>
        <v>5.420298792571443E-2</v>
      </c>
      <c r="G50" s="47">
        <f t="shared" si="4"/>
        <v>-0.13010770828800244</v>
      </c>
    </row>
    <row r="51" spans="1:7" x14ac:dyDescent="0.25">
      <c r="A51" s="16" t="s">
        <v>34</v>
      </c>
      <c r="B51" s="40"/>
      <c r="C51" s="40"/>
      <c r="D51" s="36">
        <f t="shared" si="1"/>
        <v>0</v>
      </c>
      <c r="E51" s="36">
        <f t="shared" si="2"/>
        <v>-7.0182990839047221E-3</v>
      </c>
      <c r="F51" s="36">
        <f t="shared" si="3"/>
        <v>1.5015261300051264E-2</v>
      </c>
      <c r="G51" s="47">
        <f t="shared" si="4"/>
        <v>0.16264109593216114</v>
      </c>
    </row>
    <row r="52" spans="1:7" x14ac:dyDescent="0.25">
      <c r="A52" s="16" t="s">
        <v>35</v>
      </c>
      <c r="B52" s="34" t="e">
        <f t="shared" si="5"/>
        <v>#DIV/0!</v>
      </c>
      <c r="C52" s="34" t="e">
        <f t="shared" si="6"/>
        <v>#DIV/0!</v>
      </c>
      <c r="D52" s="34" t="e">
        <f t="shared" si="1"/>
        <v>#DIV/0!</v>
      </c>
      <c r="E52" s="34" t="e">
        <f t="shared" si="2"/>
        <v>#DIV/0!</v>
      </c>
      <c r="F52" s="34" t="e">
        <f t="shared" si="3"/>
        <v>#DIV/0!</v>
      </c>
      <c r="G52" s="34" t="e">
        <f t="shared" si="4"/>
        <v>#DIV/0!</v>
      </c>
    </row>
    <row r="53" spans="1:7" x14ac:dyDescent="0.25">
      <c r="A53" s="16" t="s">
        <v>38</v>
      </c>
      <c r="B53" s="40"/>
      <c r="C53" s="36">
        <f t="shared" si="6"/>
        <v>0</v>
      </c>
      <c r="D53" s="36">
        <f t="shared" si="1"/>
        <v>0</v>
      </c>
      <c r="E53" s="36">
        <f t="shared" si="2"/>
        <v>0</v>
      </c>
      <c r="F53" s="36">
        <f t="shared" si="3"/>
        <v>0</v>
      </c>
      <c r="G53" s="34">
        <f t="shared" si="4"/>
        <v>1.0030927208189091</v>
      </c>
    </row>
    <row r="54" spans="1:7" x14ac:dyDescent="0.25">
      <c r="A54" s="16" t="s">
        <v>45</v>
      </c>
      <c r="B54" s="40" t="e">
        <f t="shared" si="5"/>
        <v>#DIV/0!</v>
      </c>
      <c r="C54" s="40" t="e">
        <f t="shared" si="6"/>
        <v>#DIV/0!</v>
      </c>
      <c r="D54" s="40">
        <f t="shared" si="1"/>
        <v>0.35307285015281742</v>
      </c>
      <c r="E54" s="40">
        <f t="shared" si="2"/>
        <v>0.59013032013203914</v>
      </c>
      <c r="F54" s="40">
        <f t="shared" si="3"/>
        <v>0.51080459770114939</v>
      </c>
      <c r="G54" s="40">
        <f t="shared" si="4"/>
        <v>0.70430452436013868</v>
      </c>
    </row>
    <row r="55" spans="1:7" x14ac:dyDescent="0.25">
      <c r="B55" s="48"/>
      <c r="C55" s="3" t="s">
        <v>47</v>
      </c>
    </row>
    <row r="56" spans="1:7" x14ac:dyDescent="0.25">
      <c r="B56" s="55"/>
      <c r="C56" s="3" t="s">
        <v>48</v>
      </c>
    </row>
    <row r="57" spans="1:7" x14ac:dyDescent="0.25">
      <c r="B57" s="39"/>
      <c r="C57" s="3" t="s">
        <v>49</v>
      </c>
    </row>
    <row r="58" spans="1:7" x14ac:dyDescent="0.25">
      <c r="B58" s="38"/>
      <c r="C58" s="3" t="s">
        <v>50</v>
      </c>
    </row>
  </sheetData>
  <mergeCells count="2">
    <mergeCell ref="B2:G2"/>
    <mergeCell ref="I2:N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1B40-28A0-40F9-8A63-9D0C85CA8DBB}">
  <dimension ref="A1:R62"/>
  <sheetViews>
    <sheetView topLeftCell="A19" workbookViewId="0">
      <selection activeCell="O14" sqref="O14"/>
    </sheetView>
  </sheetViews>
  <sheetFormatPr defaultRowHeight="15" x14ac:dyDescent="0.25"/>
  <cols>
    <col min="1" max="1" width="20.140625" bestFit="1" customWidth="1"/>
    <col min="2" max="2" width="12.28515625" style="2" customWidth="1"/>
    <col min="3" max="3" width="9.140625" style="3"/>
    <col min="4" max="4" width="12.85546875" style="3" bestFit="1" customWidth="1"/>
    <col min="5" max="5" width="16" style="2" bestFit="1" customWidth="1"/>
    <col min="6" max="6" width="18.28515625" style="2" bestFit="1" customWidth="1"/>
    <col min="7" max="7" width="12.140625" style="2" bestFit="1" customWidth="1"/>
    <col min="8" max="8" width="1.5703125" style="10" customWidth="1"/>
    <col min="9" max="9" width="11.42578125" style="2" customWidth="1"/>
    <col min="10" max="10" width="10.140625" style="3" bestFit="1" customWidth="1"/>
    <col min="11" max="11" width="12.85546875" style="3" bestFit="1" customWidth="1"/>
    <col min="12" max="12" width="16.7109375" style="3" bestFit="1" customWidth="1"/>
    <col min="13" max="13" width="18.28515625" style="2" bestFit="1" customWidth="1"/>
    <col min="14" max="14" width="10.7109375" style="2" bestFit="1" customWidth="1"/>
  </cols>
  <sheetData>
    <row r="1" spans="1:14" x14ac:dyDescent="0.25">
      <c r="A1" s="12">
        <v>44378</v>
      </c>
      <c r="H1" s="2"/>
    </row>
    <row r="2" spans="1:14" x14ac:dyDescent="0.25">
      <c r="A2" s="16"/>
      <c r="B2" s="64" t="s">
        <v>2</v>
      </c>
      <c r="C2" s="64"/>
      <c r="D2" s="64"/>
      <c r="E2" s="64"/>
      <c r="F2" s="64"/>
      <c r="G2" s="64"/>
      <c r="H2" s="17"/>
      <c r="I2" s="65" t="s">
        <v>1</v>
      </c>
      <c r="J2" s="65"/>
      <c r="K2" s="65"/>
      <c r="L2" s="65"/>
      <c r="M2" s="65"/>
      <c r="N2" s="65"/>
    </row>
    <row r="3" spans="1:14" x14ac:dyDescent="0.25">
      <c r="A3" s="16"/>
      <c r="B3" s="13" t="s">
        <v>21</v>
      </c>
      <c r="C3" s="14" t="s">
        <v>7</v>
      </c>
      <c r="D3" s="14" t="s">
        <v>22</v>
      </c>
      <c r="E3" s="13" t="s">
        <v>23</v>
      </c>
      <c r="F3" s="15" t="s">
        <v>37</v>
      </c>
      <c r="G3" s="13" t="s">
        <v>24</v>
      </c>
      <c r="H3" s="13"/>
      <c r="I3" s="13" t="s">
        <v>21</v>
      </c>
      <c r="J3" s="14" t="s">
        <v>7</v>
      </c>
      <c r="K3" s="14" t="s">
        <v>22</v>
      </c>
      <c r="L3" s="13" t="s">
        <v>23</v>
      </c>
      <c r="M3" s="15" t="s">
        <v>37</v>
      </c>
      <c r="N3" s="13" t="s">
        <v>0</v>
      </c>
    </row>
    <row r="4" spans="1:14" x14ac:dyDescent="0.25">
      <c r="A4" s="16" t="s">
        <v>25</v>
      </c>
      <c r="B4" s="18">
        <v>76.05</v>
      </c>
      <c r="C4" s="19">
        <v>4030</v>
      </c>
      <c r="D4" s="19">
        <v>819185</v>
      </c>
      <c r="E4" s="18">
        <f>6260000/14500</f>
        <v>431.72413793103448</v>
      </c>
      <c r="F4" s="28">
        <f>2660500/14500</f>
        <v>183.48275862068965</v>
      </c>
      <c r="G4" s="31">
        <v>63.04</v>
      </c>
      <c r="H4" s="21"/>
      <c r="I4" s="18">
        <v>75.87</v>
      </c>
      <c r="J4" s="19">
        <v>4013</v>
      </c>
      <c r="K4" s="19">
        <v>822254</v>
      </c>
      <c r="L4" s="22">
        <v>435.32</v>
      </c>
      <c r="M4" s="28">
        <v>185.01</v>
      </c>
      <c r="N4" s="32">
        <v>64.09</v>
      </c>
    </row>
    <row r="5" spans="1:14" x14ac:dyDescent="0.25">
      <c r="A5" s="16" t="s">
        <v>26</v>
      </c>
      <c r="B5" s="18">
        <v>1.04</v>
      </c>
      <c r="C5" s="52">
        <v>2</v>
      </c>
      <c r="D5" s="19">
        <v>182645</v>
      </c>
      <c r="E5" s="18">
        <v>1861.34795192</v>
      </c>
      <c r="F5" s="28">
        <v>465.33698798</v>
      </c>
      <c r="G5" s="18">
        <v>296.77567230720001</v>
      </c>
      <c r="H5" s="23"/>
      <c r="I5" s="18">
        <v>61.36</v>
      </c>
      <c r="J5" s="19">
        <v>296</v>
      </c>
      <c r="K5" s="19">
        <v>182645</v>
      </c>
      <c r="L5" s="22">
        <v>1949.94</v>
      </c>
      <c r="M5" s="28">
        <v>487.94</v>
      </c>
      <c r="N5" s="18">
        <v>250.63</v>
      </c>
    </row>
    <row r="6" spans="1:14" x14ac:dyDescent="0.25">
      <c r="A6" s="16" t="s">
        <v>27</v>
      </c>
      <c r="B6" s="18"/>
      <c r="C6" s="19"/>
      <c r="D6" s="19"/>
      <c r="E6" s="24"/>
      <c r="F6" s="29"/>
      <c r="G6" s="18"/>
      <c r="H6" s="23"/>
      <c r="I6" s="18"/>
      <c r="J6" s="19"/>
      <c r="K6" s="19"/>
      <c r="L6" s="22"/>
      <c r="M6" s="28"/>
      <c r="N6" s="32"/>
    </row>
    <row r="7" spans="1:14" x14ac:dyDescent="0.25">
      <c r="A7" s="16" t="s">
        <v>28</v>
      </c>
      <c r="B7" s="18">
        <v>7.02</v>
      </c>
      <c r="C7" s="19">
        <v>110</v>
      </c>
      <c r="D7" s="19">
        <v>17711</v>
      </c>
      <c r="E7" s="18">
        <v>45.900000000000006</v>
      </c>
      <c r="F7" s="28">
        <v>20.655000000000001</v>
      </c>
      <c r="G7" s="18">
        <v>7.8515999999999995</v>
      </c>
      <c r="H7" s="23"/>
      <c r="I7" s="18">
        <v>6.63</v>
      </c>
      <c r="J7" s="19">
        <v>106</v>
      </c>
      <c r="K7" s="19">
        <v>17731</v>
      </c>
      <c r="L7" s="22">
        <v>45.9</v>
      </c>
      <c r="M7" s="28">
        <v>20.66</v>
      </c>
      <c r="N7" s="18">
        <v>8.24</v>
      </c>
    </row>
    <row r="8" spans="1:14" x14ac:dyDescent="0.25">
      <c r="A8" s="16" t="s">
        <v>29</v>
      </c>
      <c r="B8" s="18"/>
      <c r="C8" s="19"/>
      <c r="D8" s="19">
        <v>25310</v>
      </c>
      <c r="E8" s="31">
        <f>81000/14500</f>
        <v>5.5862068965517242</v>
      </c>
      <c r="F8" s="30">
        <f>32400/14500</f>
        <v>2.2344827586206897</v>
      </c>
      <c r="G8" s="31">
        <f>24948/14500</f>
        <v>1.7205517241379311</v>
      </c>
      <c r="H8" s="25"/>
      <c r="I8" s="24"/>
      <c r="J8" s="19"/>
      <c r="K8" s="19"/>
      <c r="L8" s="22"/>
      <c r="M8" s="28"/>
      <c r="N8" s="18"/>
    </row>
    <row r="9" spans="1:14" x14ac:dyDescent="0.25">
      <c r="A9" s="16" t="s">
        <v>39</v>
      </c>
      <c r="B9" s="18"/>
      <c r="C9" s="19"/>
      <c r="D9" s="19"/>
      <c r="E9" s="18"/>
      <c r="F9" s="28"/>
      <c r="G9" s="18"/>
      <c r="H9" s="23"/>
      <c r="I9" s="18"/>
      <c r="J9" s="19"/>
      <c r="K9" s="19"/>
      <c r="L9" s="22"/>
      <c r="M9" s="28"/>
      <c r="N9" s="18"/>
    </row>
    <row r="10" spans="1:14" x14ac:dyDescent="0.25">
      <c r="A10" s="16" t="s">
        <v>30</v>
      </c>
      <c r="B10" s="18">
        <v>2.6</v>
      </c>
      <c r="C10" s="19">
        <v>5</v>
      </c>
      <c r="D10" s="19">
        <v>6493</v>
      </c>
      <c r="E10" s="18">
        <v>45.860988194999997</v>
      </c>
      <c r="F10" s="28">
        <v>17.243731561320001</v>
      </c>
      <c r="G10" s="32">
        <v>10.734915659940999</v>
      </c>
      <c r="H10" s="23"/>
      <c r="I10" s="18">
        <v>2.6</v>
      </c>
      <c r="J10" s="19">
        <v>5</v>
      </c>
      <c r="K10" s="19">
        <v>6493</v>
      </c>
      <c r="L10" s="22">
        <v>45.54</v>
      </c>
      <c r="M10" s="28">
        <v>17.12</v>
      </c>
      <c r="N10" s="32">
        <v>10.64</v>
      </c>
    </row>
    <row r="11" spans="1:14" x14ac:dyDescent="0.25">
      <c r="A11" s="16" t="s">
        <v>31</v>
      </c>
      <c r="B11" s="18">
        <v>131.82</v>
      </c>
      <c r="C11" s="19">
        <v>10149</v>
      </c>
      <c r="D11" s="19">
        <v>3750230</v>
      </c>
      <c r="E11" s="18">
        <v>2181.8586880739999</v>
      </c>
      <c r="F11" s="28">
        <v>1309.1199999999999</v>
      </c>
      <c r="G11" s="18">
        <v>636.58811195077283</v>
      </c>
      <c r="H11" s="23"/>
      <c r="I11" s="18">
        <v>131.83000000000001</v>
      </c>
      <c r="J11" s="19">
        <v>10149</v>
      </c>
      <c r="K11" s="19">
        <v>3750230</v>
      </c>
      <c r="L11" s="22">
        <v>2204.84</v>
      </c>
      <c r="M11" s="28">
        <v>1322.9</v>
      </c>
      <c r="N11" s="18">
        <v>666.32</v>
      </c>
    </row>
    <row r="12" spans="1:14" x14ac:dyDescent="0.25">
      <c r="A12" s="16" t="s">
        <v>32</v>
      </c>
      <c r="B12" s="18"/>
      <c r="C12" s="19"/>
      <c r="D12" s="19"/>
      <c r="E12" s="18">
        <v>113.81889199999999</v>
      </c>
      <c r="F12" s="28">
        <v>50.194131372000001</v>
      </c>
      <c r="G12" s="18">
        <v>36.139774587839995</v>
      </c>
      <c r="H12" s="23"/>
      <c r="I12" s="18"/>
      <c r="J12" s="19"/>
      <c r="K12" s="19"/>
      <c r="L12" s="22"/>
      <c r="M12" s="28"/>
      <c r="N12" s="18"/>
    </row>
    <row r="13" spans="1:14" x14ac:dyDescent="0.25">
      <c r="A13" s="16" t="s">
        <v>8</v>
      </c>
      <c r="B13" s="18">
        <v>9.5549999999999997</v>
      </c>
      <c r="C13" s="50">
        <v>99</v>
      </c>
      <c r="D13" s="50">
        <v>329305</v>
      </c>
      <c r="E13" s="18">
        <v>410.17336431119998</v>
      </c>
      <c r="F13" s="28">
        <v>246.10401858671997</v>
      </c>
      <c r="G13" s="18">
        <v>192.25029524111039</v>
      </c>
      <c r="H13" s="23"/>
      <c r="I13" s="18">
        <v>9.36</v>
      </c>
      <c r="J13" s="50">
        <v>97</v>
      </c>
      <c r="K13" s="50">
        <v>329305</v>
      </c>
      <c r="L13" s="51">
        <v>466.61</v>
      </c>
      <c r="M13" s="28">
        <f>L13*50%</f>
        <v>233.30500000000001</v>
      </c>
      <c r="N13" s="18">
        <v>205.36</v>
      </c>
    </row>
    <row r="14" spans="1:14" x14ac:dyDescent="0.25">
      <c r="A14" s="16" t="s">
        <v>9</v>
      </c>
      <c r="B14" s="18"/>
      <c r="C14" s="50"/>
      <c r="D14" s="50">
        <v>29479</v>
      </c>
      <c r="E14" s="18">
        <v>81.900002240000006</v>
      </c>
      <c r="F14" s="28">
        <v>28.665000784</v>
      </c>
      <c r="G14" s="26">
        <v>21.74445059472</v>
      </c>
      <c r="H14" s="23"/>
      <c r="I14" s="18"/>
      <c r="J14" s="50"/>
      <c r="K14" s="50">
        <v>29479</v>
      </c>
      <c r="L14" s="51">
        <v>82.23</v>
      </c>
      <c r="M14" s="28">
        <v>29</v>
      </c>
      <c r="N14" s="18">
        <v>21.83</v>
      </c>
    </row>
    <row r="15" spans="1:14" x14ac:dyDescent="0.25">
      <c r="A15" s="16" t="s">
        <v>36</v>
      </c>
      <c r="B15" s="18"/>
      <c r="C15" s="19"/>
      <c r="D15" s="19">
        <v>138763</v>
      </c>
      <c r="E15" s="31">
        <f>2798000/14500</f>
        <v>192.9655172413793</v>
      </c>
      <c r="F15" s="30">
        <f>1119200/14500</f>
        <v>77.186206896551724</v>
      </c>
      <c r="G15" s="31">
        <f>1119200/14500</f>
        <v>77.186206896551724</v>
      </c>
      <c r="H15" s="23"/>
      <c r="I15" s="18"/>
      <c r="J15" s="19"/>
      <c r="K15" s="19">
        <v>138763</v>
      </c>
      <c r="L15" s="22">
        <v>193.06</v>
      </c>
      <c r="M15" s="28">
        <v>77.22</v>
      </c>
      <c r="N15" s="32">
        <v>77.22</v>
      </c>
    </row>
    <row r="16" spans="1:14" x14ac:dyDescent="0.25">
      <c r="A16" s="16" t="s">
        <v>41</v>
      </c>
      <c r="B16" s="18">
        <f>273208/14500</f>
        <v>18.841931034482759</v>
      </c>
      <c r="C16" s="19">
        <v>723</v>
      </c>
      <c r="D16" s="19">
        <v>145260</v>
      </c>
      <c r="E16" s="24">
        <f>3718500/14500</f>
        <v>256.44827586206895</v>
      </c>
      <c r="F16" s="29">
        <f>1487400/14500</f>
        <v>102.57931034482759</v>
      </c>
      <c r="G16" s="18">
        <f>1214192/14500</f>
        <v>83.737379310344821</v>
      </c>
      <c r="H16" s="23"/>
      <c r="I16" s="18">
        <v>18.46</v>
      </c>
      <c r="J16" s="19">
        <v>720</v>
      </c>
      <c r="K16" s="19">
        <v>145260</v>
      </c>
      <c r="L16" s="24">
        <v>256.58</v>
      </c>
      <c r="M16" s="29">
        <v>102.63</v>
      </c>
      <c r="N16" s="32">
        <v>84.17</v>
      </c>
    </row>
    <row r="17" spans="1:14" x14ac:dyDescent="0.25">
      <c r="A17" s="16" t="s">
        <v>42</v>
      </c>
      <c r="B17" s="18"/>
      <c r="C17" s="19"/>
      <c r="D17" s="19">
        <v>212475</v>
      </c>
      <c r="E17" s="24">
        <f>15154000/14500</f>
        <v>1045.1034482758621</v>
      </c>
      <c r="F17" s="29">
        <f>6061600/14500</f>
        <v>418.04137931034484</v>
      </c>
      <c r="G17" s="18">
        <f>6061600/14500</f>
        <v>418.04137931034484</v>
      </c>
      <c r="H17" s="23"/>
      <c r="I17" s="18"/>
      <c r="J17" s="19"/>
      <c r="K17" s="19">
        <v>212475</v>
      </c>
      <c r="L17" s="22">
        <v>1045.6300000000001</v>
      </c>
      <c r="M17" s="28">
        <v>418.25</v>
      </c>
      <c r="N17" s="32">
        <v>418.25</v>
      </c>
    </row>
    <row r="18" spans="1:14" x14ac:dyDescent="0.25">
      <c r="A18" s="16" t="s">
        <v>43</v>
      </c>
      <c r="B18" s="18">
        <f>138528/14500</f>
        <v>9.5536551724137926</v>
      </c>
      <c r="C18" s="19">
        <v>365</v>
      </c>
      <c r="D18" s="19">
        <v>217984</v>
      </c>
      <c r="E18" s="24">
        <f>7707200/14500</f>
        <v>531.53103448275863</v>
      </c>
      <c r="F18" s="29">
        <f>3082880/14500</f>
        <v>212.61241379310346</v>
      </c>
      <c r="G18" s="18">
        <f>2944352/14500</f>
        <v>203.05875862068964</v>
      </c>
      <c r="H18" s="23"/>
      <c r="I18" s="18">
        <v>8.32</v>
      </c>
      <c r="J18" s="19">
        <v>320</v>
      </c>
      <c r="K18" s="19">
        <v>217984</v>
      </c>
      <c r="L18" s="22">
        <v>531.79999999999995</v>
      </c>
      <c r="M18" s="28">
        <v>212.72</v>
      </c>
      <c r="N18" s="32">
        <v>204.4</v>
      </c>
    </row>
    <row r="19" spans="1:14" x14ac:dyDescent="0.25">
      <c r="A19" s="16" t="s">
        <v>46</v>
      </c>
      <c r="B19" s="18"/>
      <c r="C19" s="19"/>
      <c r="D19" s="19">
        <v>166637</v>
      </c>
      <c r="E19" s="24">
        <f>3496000/14500</f>
        <v>241.10344827586206</v>
      </c>
      <c r="F19" s="29">
        <f>1398400/14500</f>
        <v>96.441379310344828</v>
      </c>
      <c r="G19" s="18">
        <f>1398400/14500</f>
        <v>96.441379310344828</v>
      </c>
      <c r="H19" s="23"/>
      <c r="I19" s="18"/>
      <c r="J19" s="19"/>
      <c r="K19" s="19">
        <v>166637</v>
      </c>
      <c r="L19" s="22">
        <v>241.22</v>
      </c>
      <c r="M19" s="28">
        <v>96.49</v>
      </c>
      <c r="N19" s="32">
        <v>96.49</v>
      </c>
    </row>
    <row r="20" spans="1:14" x14ac:dyDescent="0.25">
      <c r="A20" s="16" t="s">
        <v>44</v>
      </c>
      <c r="B20" s="18"/>
      <c r="C20" s="19"/>
      <c r="D20" s="19">
        <v>199684</v>
      </c>
      <c r="E20" s="24">
        <f>7449950/14500</f>
        <v>513.78965517241375</v>
      </c>
      <c r="F20" s="29">
        <f>2979980/14500</f>
        <v>205.5158620689655</v>
      </c>
      <c r="G20" s="18">
        <f>2979980/14500</f>
        <v>205.5158620689655</v>
      </c>
      <c r="H20" s="23"/>
      <c r="I20" s="18"/>
      <c r="J20" s="19"/>
      <c r="K20" s="19">
        <v>199684</v>
      </c>
      <c r="L20" s="24">
        <v>514.04999999999995</v>
      </c>
      <c r="M20" s="29">
        <v>205.62</v>
      </c>
      <c r="N20" s="32">
        <v>205.62</v>
      </c>
    </row>
    <row r="21" spans="1:14" x14ac:dyDescent="0.25">
      <c r="A21" s="16" t="s">
        <v>33</v>
      </c>
      <c r="B21" s="18"/>
      <c r="C21" s="19"/>
      <c r="D21" s="19">
        <v>13065</v>
      </c>
      <c r="E21" s="18">
        <v>18.6010788</v>
      </c>
      <c r="F21" s="28">
        <v>6.6963883680000009</v>
      </c>
      <c r="G21" s="18">
        <v>5.4180478285488007</v>
      </c>
      <c r="H21" s="23"/>
      <c r="I21" s="18"/>
      <c r="J21" s="19"/>
      <c r="K21" s="19">
        <v>13065</v>
      </c>
      <c r="L21" s="22">
        <v>19.48</v>
      </c>
      <c r="M21" s="28">
        <v>6.82</v>
      </c>
      <c r="N21" s="18">
        <v>4.96</v>
      </c>
    </row>
    <row r="22" spans="1:14" x14ac:dyDescent="0.25">
      <c r="A22" s="16" t="s">
        <v>34</v>
      </c>
      <c r="B22" s="18"/>
      <c r="C22" s="19"/>
      <c r="D22" s="19">
        <v>1662</v>
      </c>
      <c r="E22" s="18">
        <v>22.22837797409808</v>
      </c>
      <c r="F22" s="28">
        <v>8.4467836301572703</v>
      </c>
      <c r="G22" s="32">
        <v>0.63101754704656798</v>
      </c>
      <c r="H22" s="27"/>
      <c r="I22" s="18"/>
      <c r="J22" s="19"/>
      <c r="K22" s="19">
        <v>1662</v>
      </c>
      <c r="L22" s="22">
        <v>22.11</v>
      </c>
      <c r="M22" s="28">
        <v>8.84</v>
      </c>
      <c r="N22" s="32">
        <v>1.0900000000000001</v>
      </c>
    </row>
    <row r="23" spans="1:14" x14ac:dyDescent="0.25">
      <c r="A23" s="16" t="s">
        <v>35</v>
      </c>
      <c r="B23" s="18">
        <v>227.5</v>
      </c>
      <c r="C23" s="19">
        <v>2344</v>
      </c>
      <c r="D23" s="19">
        <v>95713</v>
      </c>
      <c r="E23" s="18">
        <f>6792000/14500</f>
        <v>468.41379310344826</v>
      </c>
      <c r="F23" s="28">
        <f>2886600/14500</f>
        <v>199.07586206896551</v>
      </c>
      <c r="G23" s="32">
        <f>(-1183372)/14500</f>
        <v>-81.611862068965522</v>
      </c>
      <c r="H23" s="23"/>
      <c r="I23" s="18"/>
      <c r="J23" s="19"/>
      <c r="K23" s="19"/>
      <c r="L23" s="22"/>
      <c r="M23" s="28"/>
      <c r="N23" s="18"/>
    </row>
    <row r="24" spans="1:14" x14ac:dyDescent="0.25">
      <c r="A24" s="16" t="s">
        <v>38</v>
      </c>
      <c r="B24" s="18"/>
      <c r="C24" s="19"/>
      <c r="D24" s="19">
        <v>24820</v>
      </c>
      <c r="E24" s="31">
        <f>314000/14500</f>
        <v>21.655172413793103</v>
      </c>
      <c r="F24" s="30">
        <f>125600/14500</f>
        <v>8.6620689655172409</v>
      </c>
      <c r="G24" s="31">
        <f>96712/14500</f>
        <v>6.669793103448276</v>
      </c>
      <c r="H24" s="23"/>
      <c r="I24" s="18"/>
      <c r="J24" s="19"/>
      <c r="K24" s="19"/>
      <c r="L24" s="22"/>
      <c r="M24" s="28"/>
      <c r="N24" s="32"/>
    </row>
    <row r="25" spans="1:14" x14ac:dyDescent="0.25">
      <c r="A25" s="16" t="s">
        <v>45</v>
      </c>
      <c r="B25" s="18">
        <f>31900/14500</f>
        <v>2.2000000000000002</v>
      </c>
      <c r="C25" s="19">
        <v>25</v>
      </c>
      <c r="D25" s="19">
        <v>92158</v>
      </c>
      <c r="E25" s="24">
        <f>1935000/14500</f>
        <v>133.44827586206895</v>
      </c>
      <c r="F25" s="29">
        <f>1151325/14500</f>
        <v>79.401724137931041</v>
      </c>
      <c r="G25" s="32">
        <f>935213/14500</f>
        <v>64.49744827586207</v>
      </c>
      <c r="H25" s="23"/>
      <c r="I25" s="18"/>
      <c r="J25" s="19"/>
      <c r="K25" s="19"/>
      <c r="L25" s="22"/>
      <c r="M25" s="28"/>
      <c r="N25" s="18"/>
    </row>
    <row r="26" spans="1:14" x14ac:dyDescent="0.25">
      <c r="A26" s="16"/>
      <c r="B26" s="18"/>
      <c r="C26" s="19"/>
      <c r="D26" s="19"/>
      <c r="E26" s="24"/>
      <c r="F26" s="29"/>
      <c r="G26" s="18"/>
      <c r="H26" s="23"/>
      <c r="I26" s="18"/>
      <c r="J26" s="19"/>
      <c r="K26" s="19"/>
      <c r="L26" s="22"/>
      <c r="M26" s="28"/>
      <c r="N26" s="18"/>
    </row>
    <row r="27" spans="1:14" x14ac:dyDescent="0.25">
      <c r="A27" s="16"/>
      <c r="B27" s="18"/>
      <c r="C27" s="19"/>
      <c r="D27" s="19"/>
      <c r="E27" s="24"/>
      <c r="F27" s="29"/>
      <c r="G27" s="18"/>
      <c r="H27" s="23"/>
      <c r="I27" s="18"/>
      <c r="J27" s="19"/>
      <c r="K27" s="19"/>
      <c r="L27" s="22"/>
      <c r="M27" s="28"/>
      <c r="N27" s="18"/>
    </row>
    <row r="28" spans="1:14" x14ac:dyDescent="0.25">
      <c r="A28" s="16"/>
      <c r="B28" s="18"/>
      <c r="C28" s="19"/>
      <c r="D28" s="19"/>
      <c r="E28" s="24"/>
      <c r="F28" s="29"/>
      <c r="G28" s="18"/>
      <c r="H28" s="23"/>
      <c r="I28" s="18"/>
      <c r="J28" s="19"/>
      <c r="K28" s="19"/>
      <c r="L28" s="22"/>
      <c r="M28" s="28"/>
      <c r="N28" s="18"/>
    </row>
    <row r="29" spans="1:14" x14ac:dyDescent="0.25">
      <c r="A29" s="16"/>
      <c r="B29" s="18"/>
      <c r="C29" s="19"/>
      <c r="D29" s="19"/>
      <c r="E29" s="24"/>
      <c r="F29" s="29"/>
      <c r="G29" s="18"/>
      <c r="H29" s="23"/>
      <c r="I29" s="18"/>
      <c r="J29" s="19"/>
      <c r="K29" s="19"/>
      <c r="L29" s="22"/>
      <c r="M29" s="28"/>
      <c r="N29" s="18"/>
    </row>
    <row r="30" spans="1:14" x14ac:dyDescent="0.25">
      <c r="A30" s="16"/>
      <c r="B30" s="18"/>
      <c r="C30" s="19"/>
      <c r="D30" s="19"/>
      <c r="E30" s="24"/>
      <c r="F30" s="29"/>
      <c r="G30" s="18"/>
      <c r="H30" s="23"/>
      <c r="I30" s="18"/>
      <c r="J30" s="19"/>
      <c r="K30" s="19"/>
      <c r="L30" s="22"/>
      <c r="M30" s="28"/>
      <c r="N30" s="18"/>
    </row>
    <row r="32" spans="1:14" x14ac:dyDescent="0.25">
      <c r="A32" s="59">
        <v>44378</v>
      </c>
      <c r="B32" s="13" t="s">
        <v>21</v>
      </c>
      <c r="C32" s="14" t="s">
        <v>7</v>
      </c>
      <c r="D32" s="14" t="s">
        <v>22</v>
      </c>
      <c r="E32" s="13" t="s">
        <v>23</v>
      </c>
      <c r="F32" s="15" t="s">
        <v>37</v>
      </c>
      <c r="G32" s="13" t="s">
        <v>24</v>
      </c>
    </row>
    <row r="33" spans="1:9" x14ac:dyDescent="0.25">
      <c r="A33" s="16" t="s">
        <v>25</v>
      </c>
      <c r="B33" s="36">
        <f>100%-(B4/I4)</f>
        <v>-2.3724792408066353E-3</v>
      </c>
      <c r="C33" s="36">
        <f t="shared" ref="C33:G48" si="0">100%-(C4/J4)</f>
        <v>-4.2362322452031975E-3</v>
      </c>
      <c r="D33" s="36">
        <f t="shared" si="0"/>
        <v>3.7324233144502283E-3</v>
      </c>
      <c r="E33" s="36">
        <f t="shared" si="0"/>
        <v>8.260273061117096E-3</v>
      </c>
      <c r="F33" s="36">
        <f t="shared" si="0"/>
        <v>8.2549125955913016E-3</v>
      </c>
      <c r="G33" s="36">
        <f t="shared" si="0"/>
        <v>1.638321110937746E-2</v>
      </c>
    </row>
    <row r="34" spans="1:9" x14ac:dyDescent="0.25">
      <c r="A34" s="16" t="s">
        <v>26</v>
      </c>
      <c r="B34" s="34">
        <f>100%-(B5/I5)</f>
        <v>0.98305084745762716</v>
      </c>
      <c r="C34" s="34">
        <f>100%-(C5/J5)</f>
        <v>0.9932432432432432</v>
      </c>
      <c r="D34" s="36">
        <f t="shared" si="0"/>
        <v>0</v>
      </c>
      <c r="E34" s="34">
        <f t="shared" si="0"/>
        <v>4.5433217473358156E-2</v>
      </c>
      <c r="F34" s="34">
        <f t="shared" si="0"/>
        <v>4.6323343074968215E-2</v>
      </c>
      <c r="G34" s="34">
        <f t="shared" si="0"/>
        <v>-0.18411871007939995</v>
      </c>
      <c r="I34" s="2" t="s">
        <v>52</v>
      </c>
    </row>
    <row r="35" spans="1:9" x14ac:dyDescent="0.25">
      <c r="A35" s="16" t="s">
        <v>27</v>
      </c>
      <c r="B35" s="40"/>
      <c r="C35" s="40"/>
      <c r="D35" s="40"/>
      <c r="E35" s="40"/>
      <c r="F35" s="40"/>
      <c r="G35" s="40"/>
    </row>
    <row r="36" spans="1:9" x14ac:dyDescent="0.25">
      <c r="A36" s="16" t="s">
        <v>28</v>
      </c>
      <c r="B36" s="34">
        <f t="shared" ref="B36:C47" si="1">100%-(B7/I7)</f>
        <v>-5.8823529411764719E-2</v>
      </c>
      <c r="C36" s="34">
        <f t="shared" si="1"/>
        <v>-3.7735849056603765E-2</v>
      </c>
      <c r="D36" s="36">
        <f t="shared" si="0"/>
        <v>1.1279679657097974E-3</v>
      </c>
      <c r="E36" s="36">
        <f t="shared" si="0"/>
        <v>0</v>
      </c>
      <c r="F36" s="36">
        <f t="shared" si="0"/>
        <v>2.4201355275887959E-4</v>
      </c>
      <c r="G36" s="34">
        <f t="shared" si="0"/>
        <v>4.7135922330097224E-2</v>
      </c>
      <c r="I36" s="2" t="s">
        <v>51</v>
      </c>
    </row>
    <row r="37" spans="1:9" x14ac:dyDescent="0.25">
      <c r="A37" s="16" t="s">
        <v>29</v>
      </c>
      <c r="B37" s="40"/>
      <c r="C37" s="40"/>
      <c r="D37" s="35" t="e">
        <f t="shared" si="0"/>
        <v>#DIV/0!</v>
      </c>
      <c r="E37" s="35" t="e">
        <f t="shared" si="0"/>
        <v>#DIV/0!</v>
      </c>
      <c r="F37" s="35" t="e">
        <f t="shared" si="0"/>
        <v>#DIV/0!</v>
      </c>
      <c r="G37" s="35" t="e">
        <f t="shared" si="0"/>
        <v>#DIV/0!</v>
      </c>
    </row>
    <row r="38" spans="1:9" x14ac:dyDescent="0.25">
      <c r="A38" s="16" t="s">
        <v>39</v>
      </c>
      <c r="B38" s="40"/>
      <c r="C38" s="40"/>
      <c r="D38" s="40"/>
      <c r="E38" s="40"/>
      <c r="F38" s="40"/>
      <c r="G38" s="40"/>
    </row>
    <row r="39" spans="1:9" x14ac:dyDescent="0.25">
      <c r="A39" s="16" t="s">
        <v>30</v>
      </c>
      <c r="B39" s="36">
        <f t="shared" si="1"/>
        <v>0</v>
      </c>
      <c r="C39" s="36">
        <f t="shared" si="1"/>
        <v>0</v>
      </c>
      <c r="D39" s="36">
        <f t="shared" si="0"/>
        <v>0</v>
      </c>
      <c r="E39" s="36">
        <f t="shared" si="0"/>
        <v>-7.0484891304347652E-3</v>
      </c>
      <c r="F39" s="36">
        <f t="shared" si="0"/>
        <v>-7.2273108247662421E-3</v>
      </c>
      <c r="G39" s="36">
        <f t="shared" si="0"/>
        <v>-8.920644731296834E-3</v>
      </c>
    </row>
    <row r="40" spans="1:9" x14ac:dyDescent="0.25">
      <c r="A40" s="16" t="s">
        <v>31</v>
      </c>
      <c r="B40" s="36">
        <f t="shared" si="1"/>
        <v>7.5855268148572463E-5</v>
      </c>
      <c r="C40" s="36">
        <f>100%-(C11/J11)</f>
        <v>0</v>
      </c>
      <c r="D40" s="36">
        <f t="shared" si="0"/>
        <v>0</v>
      </c>
      <c r="E40" s="36">
        <f t="shared" si="0"/>
        <v>1.0423120011429532E-2</v>
      </c>
      <c r="F40" s="36">
        <f t="shared" si="0"/>
        <v>1.0416509184367873E-2</v>
      </c>
      <c r="G40" s="34">
        <f t="shared" si="0"/>
        <v>4.4621035012047061E-2</v>
      </c>
      <c r="I40" s="2" t="s">
        <v>53</v>
      </c>
    </row>
    <row r="41" spans="1:9" x14ac:dyDescent="0.25">
      <c r="A41" s="16" t="s">
        <v>32</v>
      </c>
      <c r="B41" s="40"/>
      <c r="C41" s="40"/>
      <c r="D41" s="34" t="e">
        <f t="shared" si="0"/>
        <v>#DIV/0!</v>
      </c>
      <c r="E41" s="34" t="e">
        <f t="shared" si="0"/>
        <v>#DIV/0!</v>
      </c>
      <c r="F41" s="34" t="e">
        <f t="shared" si="0"/>
        <v>#DIV/0!</v>
      </c>
      <c r="G41" s="34" t="e">
        <f t="shared" si="0"/>
        <v>#DIV/0!</v>
      </c>
    </row>
    <row r="42" spans="1:9" x14ac:dyDescent="0.25">
      <c r="A42" s="16" t="s">
        <v>8</v>
      </c>
      <c r="B42" s="36">
        <f t="shared" si="1"/>
        <v>-2.0833333333333259E-2</v>
      </c>
      <c r="C42" s="36">
        <f t="shared" si="1"/>
        <v>-2.0618556701030855E-2</v>
      </c>
      <c r="D42" s="36">
        <f t="shared" si="0"/>
        <v>0</v>
      </c>
      <c r="E42" s="34">
        <f t="shared" si="0"/>
        <v>0.12095033473093164</v>
      </c>
      <c r="F42" s="34">
        <f t="shared" si="0"/>
        <v>-5.4859598322881897E-2</v>
      </c>
      <c r="G42" s="34">
        <f t="shared" si="0"/>
        <v>6.3837674127822486E-2</v>
      </c>
      <c r="I42" s="2" t="s">
        <v>54</v>
      </c>
    </row>
    <row r="43" spans="1:9" x14ac:dyDescent="0.25">
      <c r="A43" s="16" t="s">
        <v>9</v>
      </c>
      <c r="B43" s="40"/>
      <c r="C43" s="40"/>
      <c r="D43" s="36">
        <f t="shared" si="0"/>
        <v>0</v>
      </c>
      <c r="E43" s="36">
        <f t="shared" si="0"/>
        <v>4.0131066520734393E-3</v>
      </c>
      <c r="F43" s="36">
        <f t="shared" si="0"/>
        <v>1.1551697103448277E-2</v>
      </c>
      <c r="G43" s="36">
        <f t="shared" si="0"/>
        <v>3.9188916756756065E-3</v>
      </c>
    </row>
    <row r="44" spans="1:9" x14ac:dyDescent="0.25">
      <c r="A44" s="16" t="s">
        <v>36</v>
      </c>
      <c r="B44" s="40"/>
      <c r="C44" s="40"/>
      <c r="D44" s="36">
        <f>100%-(D15/K15)</f>
        <v>0</v>
      </c>
      <c r="E44" s="36">
        <f t="shared" ref="E44:F44" si="2">100%-(E15/L15)</f>
        <v>4.8939582834717221E-4</v>
      </c>
      <c r="F44" s="36">
        <f t="shared" si="2"/>
        <v>4.3762112727629976E-4</v>
      </c>
      <c r="G44" s="36">
        <f t="shared" si="0"/>
        <v>4.3762112727629976E-4</v>
      </c>
    </row>
    <row r="45" spans="1:9" x14ac:dyDescent="0.25">
      <c r="A45" s="16" t="s">
        <v>41</v>
      </c>
      <c r="B45" s="36">
        <f>100%-(B16/I16)</f>
        <v>-2.0689655172413834E-2</v>
      </c>
      <c r="C45" s="36">
        <f t="shared" ref="C45" si="3">100%-(C16/J16)</f>
        <v>-4.1666666666666519E-3</v>
      </c>
      <c r="D45" s="36">
        <f t="shared" si="0"/>
        <v>0</v>
      </c>
      <c r="E45" s="36">
        <f t="shared" si="0"/>
        <v>5.1338427753933047E-4</v>
      </c>
      <c r="F45" s="36">
        <f t="shared" si="0"/>
        <v>4.939068028101401E-4</v>
      </c>
      <c r="G45" s="36">
        <f t="shared" si="0"/>
        <v>5.1398442396956012E-3</v>
      </c>
      <c r="I45" s="2" t="s">
        <v>55</v>
      </c>
    </row>
    <row r="46" spans="1:9" x14ac:dyDescent="0.25">
      <c r="A46" s="16" t="s">
        <v>42</v>
      </c>
      <c r="B46" s="40"/>
      <c r="C46" s="40"/>
      <c r="D46" s="36">
        <f t="shared" si="0"/>
        <v>0</v>
      </c>
      <c r="E46" s="36">
        <f t="shared" si="0"/>
        <v>5.0357365811803945E-4</v>
      </c>
      <c r="F46" s="36">
        <f t="shared" si="0"/>
        <v>4.9879423707155368E-4</v>
      </c>
      <c r="G46" s="36">
        <f t="shared" si="0"/>
        <v>4.9879423707155368E-4</v>
      </c>
    </row>
    <row r="47" spans="1:9" x14ac:dyDescent="0.25">
      <c r="A47" s="16" t="s">
        <v>43</v>
      </c>
      <c r="B47" s="34">
        <f>100%-(B18/I18)</f>
        <v>-0.14827586206896548</v>
      </c>
      <c r="C47" s="34">
        <f t="shared" si="1"/>
        <v>-0.140625</v>
      </c>
      <c r="D47" s="36">
        <f t="shared" si="0"/>
        <v>0</v>
      </c>
      <c r="E47" s="36">
        <f t="shared" si="0"/>
        <v>5.0576441752792078E-4</v>
      </c>
      <c r="F47" s="36">
        <f t="shared" si="0"/>
        <v>5.0576441752792078E-4</v>
      </c>
      <c r="G47" s="36">
        <f t="shared" si="0"/>
        <v>6.5618462784263754E-3</v>
      </c>
      <c r="I47" s="2" t="s">
        <v>55</v>
      </c>
    </row>
    <row r="48" spans="1:9" x14ac:dyDescent="0.25">
      <c r="A48" s="16" t="s">
        <v>46</v>
      </c>
      <c r="B48" s="40"/>
      <c r="C48" s="40"/>
      <c r="D48" s="36">
        <f t="shared" si="0"/>
        <v>0</v>
      </c>
      <c r="E48" s="36">
        <f t="shared" si="0"/>
        <v>4.8317603904290962E-4</v>
      </c>
      <c r="F48" s="36">
        <f t="shared" si="0"/>
        <v>5.0389356052615852E-4</v>
      </c>
      <c r="G48" s="36">
        <f t="shared" si="0"/>
        <v>5.0389356052615852E-4</v>
      </c>
    </row>
    <row r="49" spans="1:18" x14ac:dyDescent="0.25">
      <c r="A49" s="16" t="s">
        <v>44</v>
      </c>
      <c r="B49" s="40"/>
      <c r="C49" s="40"/>
      <c r="D49" s="36">
        <f t="shared" ref="D49:G54" si="4">100%-(D20/K20)</f>
        <v>0</v>
      </c>
      <c r="E49" s="36">
        <f t="shared" si="4"/>
        <v>5.0645818030581324E-4</v>
      </c>
      <c r="F49" s="36">
        <f t="shared" si="4"/>
        <v>5.0645818030592427E-4</v>
      </c>
      <c r="G49" s="36">
        <f t="shared" si="4"/>
        <v>5.0645818030592427E-4</v>
      </c>
    </row>
    <row r="50" spans="1:18" x14ac:dyDescent="0.25">
      <c r="A50" s="16" t="s">
        <v>33</v>
      </c>
      <c r="B50" s="40"/>
      <c r="C50" s="40"/>
      <c r="D50" s="36">
        <f t="shared" si="4"/>
        <v>0</v>
      </c>
      <c r="E50" s="34">
        <f>100%-(E21/L21)</f>
        <v>4.5119158110882962E-2</v>
      </c>
      <c r="F50" s="47">
        <f t="shared" si="4"/>
        <v>1.812487272727259E-2</v>
      </c>
      <c r="G50" s="47">
        <f t="shared" si="4"/>
        <v>-9.2348352530000177E-2</v>
      </c>
      <c r="I50" s="2" t="s">
        <v>57</v>
      </c>
    </row>
    <row r="51" spans="1:18" x14ac:dyDescent="0.25">
      <c r="A51" s="16" t="s">
        <v>34</v>
      </c>
      <c r="B51" s="40"/>
      <c r="C51" s="40"/>
      <c r="D51" s="36">
        <f t="shared" si="4"/>
        <v>0</v>
      </c>
      <c r="E51" s="36">
        <f t="shared" si="4"/>
        <v>-5.3540467706052475E-3</v>
      </c>
      <c r="F51" s="47">
        <f t="shared" si="4"/>
        <v>4.4481489801213803E-2</v>
      </c>
      <c r="G51" s="47">
        <f t="shared" si="4"/>
        <v>0.42108481922333219</v>
      </c>
      <c r="I51" s="2" t="s">
        <v>59</v>
      </c>
    </row>
    <row r="52" spans="1:18" x14ac:dyDescent="0.25">
      <c r="A52" s="16" t="s">
        <v>35</v>
      </c>
      <c r="B52" s="34" t="e">
        <f t="shared" ref="B52:C54" si="5">100%-(B23/I23)</f>
        <v>#DIV/0!</v>
      </c>
      <c r="C52" s="34" t="e">
        <f t="shared" si="5"/>
        <v>#DIV/0!</v>
      </c>
      <c r="D52" s="34" t="e">
        <f t="shared" si="4"/>
        <v>#DIV/0!</v>
      </c>
      <c r="E52" s="34" t="e">
        <f t="shared" si="4"/>
        <v>#DIV/0!</v>
      </c>
      <c r="F52" s="34" t="e">
        <f t="shared" si="4"/>
        <v>#DIV/0!</v>
      </c>
      <c r="G52" s="34" t="e">
        <f t="shared" si="4"/>
        <v>#DIV/0!</v>
      </c>
      <c r="I52" s="2" t="s">
        <v>56</v>
      </c>
    </row>
    <row r="53" spans="1:18" x14ac:dyDescent="0.25">
      <c r="A53" s="16" t="s">
        <v>38</v>
      </c>
      <c r="B53" s="40"/>
      <c r="C53" s="35" t="e">
        <f t="shared" si="5"/>
        <v>#DIV/0!</v>
      </c>
      <c r="D53" s="35" t="e">
        <f t="shared" si="4"/>
        <v>#DIV/0!</v>
      </c>
      <c r="E53" s="35" t="e">
        <f t="shared" si="4"/>
        <v>#DIV/0!</v>
      </c>
      <c r="F53" s="35" t="e">
        <f t="shared" si="4"/>
        <v>#DIV/0!</v>
      </c>
      <c r="G53" s="35" t="e">
        <f t="shared" si="4"/>
        <v>#DIV/0!</v>
      </c>
    </row>
    <row r="54" spans="1:18" x14ac:dyDescent="0.25">
      <c r="A54" s="16" t="s">
        <v>45</v>
      </c>
      <c r="B54" s="34" t="e">
        <f t="shared" si="5"/>
        <v>#DIV/0!</v>
      </c>
      <c r="C54" s="34" t="e">
        <f t="shared" si="5"/>
        <v>#DIV/0!</v>
      </c>
      <c r="D54" s="34" t="e">
        <f t="shared" si="4"/>
        <v>#DIV/0!</v>
      </c>
      <c r="E54" s="34" t="e">
        <f t="shared" si="4"/>
        <v>#DIV/0!</v>
      </c>
      <c r="F54" s="34" t="e">
        <f t="shared" si="4"/>
        <v>#DIV/0!</v>
      </c>
      <c r="G54" s="34" t="e">
        <f t="shared" si="4"/>
        <v>#DIV/0!</v>
      </c>
      <c r="I54" s="2" t="s">
        <v>58</v>
      </c>
    </row>
    <row r="55" spans="1:18" x14ac:dyDescent="0.25">
      <c r="B55" s="48"/>
      <c r="C55" s="3" t="s">
        <v>47</v>
      </c>
    </row>
    <row r="56" spans="1:18" x14ac:dyDescent="0.25">
      <c r="B56" s="55"/>
      <c r="C56" s="3" t="s">
        <v>48</v>
      </c>
    </row>
    <row r="57" spans="1:18" x14ac:dyDescent="0.25">
      <c r="B57" s="39"/>
      <c r="C57" s="3" t="s">
        <v>49</v>
      </c>
    </row>
    <row r="58" spans="1:18" x14ac:dyDescent="0.25">
      <c r="B58" s="38"/>
      <c r="C58" s="3" t="s">
        <v>50</v>
      </c>
    </row>
    <row r="61" spans="1:18" ht="15.75" thickBot="1" x14ac:dyDescent="0.3"/>
    <row r="62" spans="1:18" x14ac:dyDescent="0.25">
      <c r="K62" s="60"/>
      <c r="L62" s="61"/>
      <c r="M62" s="61"/>
      <c r="N62" s="61"/>
      <c r="O62" s="61"/>
      <c r="P62" s="61"/>
      <c r="Q62" s="61"/>
      <c r="R62" s="61"/>
    </row>
  </sheetData>
  <mergeCells count="2">
    <mergeCell ref="B2:G2"/>
    <mergeCell ref="I2:N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21052021</vt:lpstr>
      <vt:lpstr>Sheet4</vt:lpstr>
      <vt:lpstr>Sheet3</vt:lpstr>
      <vt:lpstr>210621</vt:lpstr>
      <vt:lpstr>220621</vt:lpstr>
      <vt:lpstr>Sheet2</vt:lpstr>
      <vt:lpstr>230621</vt:lpstr>
      <vt:lpstr>010721</vt:lpstr>
      <vt:lpstr>020721</vt:lpstr>
      <vt:lpstr>030721</vt:lpstr>
      <vt:lpstr>040721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</dc:creator>
  <cp:lastModifiedBy>user</cp:lastModifiedBy>
  <dcterms:created xsi:type="dcterms:W3CDTF">2021-05-24T09:53:27Z</dcterms:created>
  <dcterms:modified xsi:type="dcterms:W3CDTF">2021-07-13T02:19:18Z</dcterms:modified>
</cp:coreProperties>
</file>