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59.xml" ContentType="application/vnd.openxmlformats-officedocument.drawingml.chart+xml"/>
  <Override PartName="/xl/charts/chart370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omments1.xml" ContentType="application/vnd.openxmlformats-officedocument.spreadsheetml.comment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nergy Consumption Stats" sheetId="1" state="visible" r:id="rId2"/>
    <sheet name="Estimated Install Base to 2025" sheetId="2" state="visible" r:id="rId3"/>
    <sheet name="Robotics Conpanies Install Base" sheetId="3" state="visible" r:id="rId4"/>
    <sheet name="IR operational stock 2009-2022" sheetId="4" state="visible" r:id="rId5"/>
    <sheet name="CoBots Stats" sheetId="5" state="visible" r:id="rId6"/>
    <sheet name="Global mobile cobots market vol" sheetId="6" state="visible" r:id="rId7"/>
    <sheet name="Cobots power data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Times 2 to consider the power consumption of the control console</t>
        </r>
      </text>
    </comment>
    <comment ref="I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This value is assumed as specific information was found for this category</t>
        </r>
      </text>
    </comment>
    <comment ref="J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According to World Robotics Industrial Robots 2013</t>
        </r>
      </text>
    </comment>
  </commentList>
</comments>
</file>

<file path=xl/sharedStrings.xml><?xml version="1.0" encoding="utf-8"?>
<sst xmlns="http://schemas.openxmlformats.org/spreadsheetml/2006/main" count="249" uniqueCount="153">
  <si>
    <t xml:space="preserve">REPRESENTATIVE SAMPLE</t>
  </si>
  <si>
    <t xml:space="preserve">Yaskawa</t>
  </si>
  <si>
    <t xml:space="preserve">FANUC</t>
  </si>
  <si>
    <t xml:space="preserve">ABB</t>
  </si>
  <si>
    <t xml:space="preserve">Application</t>
  </si>
  <si>
    <t xml:space="preserve">Average Power Consumption [kW]</t>
  </si>
  <si>
    <t xml:space="preserve">Market %</t>
  </si>
  <si>
    <t xml:space="preserve">Handling Operations/Machine Tending</t>
  </si>
  <si>
    <t xml:space="preserve">Welding and Soldering</t>
  </si>
  <si>
    <t xml:space="preserve">Dispensing</t>
  </si>
  <si>
    <t xml:space="preserve">Processing</t>
  </si>
  <si>
    <t xml:space="preserve">Assembling and Disassembling</t>
  </si>
  <si>
    <t xml:space="preserve">Others</t>
  </si>
  <si>
    <t xml:space="preserve">TOTAL ENERGY CONSUMED BY ROBOTS IN 2013</t>
  </si>
  <si>
    <t xml:space="preserve">Operational Stock [%]</t>
  </si>
  <si>
    <t xml:space="preserve">Operational Stock [units]</t>
  </si>
  <si>
    <t xml:space="preserve">Total Consumption [MW]</t>
  </si>
  <si>
    <t xml:space="preserve">Energy [PJ]
(24/7 operation)</t>
  </si>
  <si>
    <t xml:space="preserve">Total of Units</t>
  </si>
  <si>
    <t xml:space="preserve">Total Consumption [PJ]</t>
  </si>
  <si>
    <t xml:space="preserve">Energy [PJ] (24/7 operation) assuming 12% annual increase in the install base</t>
  </si>
  <si>
    <t xml:space="preserve">2016*</t>
  </si>
  <si>
    <t xml:space="preserve">2017*</t>
  </si>
  <si>
    <t xml:space="preserve">2018**</t>
  </si>
  <si>
    <t xml:space="preserve">2019**</t>
  </si>
  <si>
    <t xml:space="preserve">2020**</t>
  </si>
  <si>
    <t xml:space="preserve">2021**</t>
  </si>
  <si>
    <t xml:space="preserve">2022**</t>
  </si>
  <si>
    <t xml:space="preserve">2023**</t>
  </si>
  <si>
    <t xml:space="preserve">2024**</t>
  </si>
  <si>
    <t xml:space="preserve">2025**</t>
  </si>
  <si>
    <t xml:space="preserve">IR Energy Demand [PJ]</t>
  </si>
  <si>
    <t xml:space="preserve">Year</t>
  </si>
  <si>
    <t xml:space="preserve">Actual</t>
  </si>
  <si>
    <t xml:space="preserve">12%/yr</t>
  </si>
  <si>
    <t xml:space="preserve">25%/yr</t>
  </si>
  <si>
    <t xml:space="preserve">Energy [PJ] (24/7 operation) assuming 25% annual increase in the install base</t>
  </si>
  <si>
    <t xml:space="preserve">Energy [PJ] (24/7 operation) reported data</t>
  </si>
  <si>
    <t xml:space="preserve">Industrial robots: estimated operational stock worldwide through 2025</t>
  </si>
  <si>
    <t xml:space="preserve">Units (x1000)</t>
  </si>
  <si>
    <t xml:space="preserve">Increase</t>
  </si>
  <si>
    <t xml:space="preserve">-</t>
  </si>
  <si>
    <t xml:space="preserve">2023*</t>
  </si>
  <si>
    <t xml:space="preserve">2024*</t>
  </si>
  <si>
    <t xml:space="preserve">2025*</t>
  </si>
  <si>
    <t xml:space="preserve">Units (x1E6)</t>
  </si>
  <si>
    <t xml:space="preserve">Industrial</t>
  </si>
  <si>
    <t xml:space="preserve">Cobots</t>
  </si>
  <si>
    <t xml:space="preserve">+12%/yr</t>
  </si>
  <si>
    <t xml:space="preserve">+25%/yr</t>
  </si>
  <si>
    <t xml:space="preserve">*</t>
  </si>
  <si>
    <t xml:space="preserve">Annual increment</t>
  </si>
  <si>
    <t xml:space="preserve">Source:</t>
  </si>
  <si>
    <t xml:space="preserve">https://www.statista.com/statistics/947017/industrial-robots-global-operational-stock/</t>
  </si>
  <si>
    <t xml:space="preserve">Company</t>
  </si>
  <si>
    <t xml:space="preserve">Installed Units</t>
  </si>
  <si>
    <t xml:space="preserve">Market Share</t>
  </si>
  <si>
    <t xml:space="preserve">Fanuc</t>
  </si>
  <si>
    <t xml:space="preserve">Kawasaki</t>
  </si>
  <si>
    <t xml:space="preserve">Nachi</t>
  </si>
  <si>
    <t xml:space="preserve">Kuka</t>
  </si>
  <si>
    <t xml:space="preserve">Denso</t>
  </si>
  <si>
    <t xml:space="preserve">Epson</t>
  </si>
  <si>
    <t xml:space="preserve">Adept</t>
  </si>
  <si>
    <t xml:space="preserve">Industrial robots global operational stock 2009-2022</t>
  </si>
  <si>
    <t xml:space="preserve">Worldwide operational stock of industrial robots from 2009 to 2022 (in 1,000 units)</t>
  </si>
  <si>
    <t xml:space="preserve">2009</t>
  </si>
  <si>
    <t xml:space="preserve">Source</t>
  </si>
  <si>
    <t xml:space="preserve">https://www.statista.com/statistics/281380/estimated-operational-stock-of-industrial-robots-worldwide/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</si>
  <si>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</si>
  <si>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</si>
  <si>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</si>
  <si>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</si>
  <si>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</si>
  <si>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</si>
  <si>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</si>
  <si>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</si>
  <si>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</si>
  <si>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https://ifr.org/img/worldrobotics/Executive_Summary_WR_Industrial_Robots_2022.pdf</t>
  </si>
  <si>
    <t xml:space="preserve">*2022</t>
  </si>
  <si>
    <t xml:space="preserve">https://www.automation.com/en-us/articles/october-2022/ifr-presents-world-robotics-report-2022</t>
  </si>
  <si>
    <t xml:space="preserve">*2023</t>
  </si>
  <si>
    <t xml:space="preserve">*2024</t>
  </si>
  <si>
    <t xml:space="preserve">*2025</t>
  </si>
  <si>
    <t xml:space="preserve">https://ifr.org/ifr-press-releases/news/wr-report-all-time-high-with-half-a-million-robots-installed</t>
  </si>
  <si>
    <t xml:space="preserve">Collaborative robots installations</t>
  </si>
  <si>
    <t xml:space="preserve">Power cobot</t>
  </si>
  <si>
    <t xml:space="preserve">Installations source 1</t>
  </si>
  <si>
    <t xml:space="preserve">Installations source 2</t>
  </si>
  <si>
    <t xml:space="preserve">Installations estimate</t>
  </si>
  <si>
    <t xml:space="preserve">Percent increase</t>
  </si>
  <si>
    <t xml:space="preserve">Operational stock 1 (x1E3)</t>
  </si>
  <si>
    <t xml:space="preserve">Operational stock 2  (x1E3)</t>
  </si>
  <si>
    <t xml:space="preserve">Operational stock  (x1E3)</t>
  </si>
  <si>
    <t xml:space="preserve">Energy consumption [PJ] assuming 1 KW and 24/7 operation</t>
  </si>
  <si>
    <t xml:space="preserve">Power controller</t>
  </si>
  <si>
    <t xml:space="preserve">↑</t>
  </si>
  <si>
    <t xml:space="preserve">For this column see:</t>
  </si>
  <si>
    <t xml:space="preserve">Source: https://www.statista.com/statistics/1378948/mobile-cobots-market-volume/</t>
  </si>
  <si>
    <t xml:space="preserve">IR yearly installations</t>
  </si>
  <si>
    <t xml:space="preserve">Industrial Robot Share</t>
  </si>
  <si>
    <t xml:space="preserve">Cobot Share</t>
  </si>
  <si>
    <t xml:space="preserve">Cobot yearly installations</t>
  </si>
  <si>
    <t xml:space="preserve">IR install base (x1E3)</t>
  </si>
  <si>
    <t xml:space="preserve">CR install base (x1E3)</t>
  </si>
  <si>
    <t xml:space="preserve">UR stock</t>
  </si>
  <si>
    <t xml:space="preserve">Market share</t>
  </si>
  <si>
    <t xml:space="preserve">Total stock</t>
  </si>
  <si>
    <r>
      <rPr>
        <sz val="11"/>
        <color rgb="FF000000"/>
        <rFont val="Calibri"/>
        <family val="2"/>
        <charset val="1"/>
      </rPr>
      <t xml:space="preserve">Source: </t>
    </r>
    <r>
      <rPr>
        <sz val="11"/>
        <color rgb="FF000000"/>
        <rFont val="Calibri"/>
        <family val="2"/>
      </rPr>
      <t xml:space="preserve">https://www.statista.com/statistics/1199571/collaborative-robots-installations-worldwide/</t>
    </r>
  </si>
  <si>
    <t xml:space="preserve">Global mobile cobots market volume 2021-2030</t>
  </si>
  <si>
    <t xml:space="preserve">Mobile cobots market volume worldwide from 2021 to 2030 (in units)</t>
  </si>
  <si>
    <t xml:space="preserve">2021</t>
  </si>
  <si>
    <t xml:space="preserve">2022*</t>
  </si>
  <si>
    <t xml:space="preserve">2026*</t>
  </si>
  <si>
    <t xml:space="preserve">2027*</t>
  </si>
  <si>
    <t xml:space="preserve">2028*</t>
  </si>
  <si>
    <t xml:space="preserve">2029*</t>
  </si>
  <si>
    <t xml:space="preserve">2030*</t>
  </si>
  <si>
    <t xml:space="preserve">Cobot</t>
  </si>
  <si>
    <t xml:space="preserve">Watts</t>
  </si>
  <si>
    <t xml:space="preserve">Payload</t>
  </si>
  <si>
    <t xml:space="preserve">Watts/Kg</t>
  </si>
  <si>
    <t xml:space="preserve">Franka Emika Panda</t>
  </si>
  <si>
    <t xml:space="preserve">Rethink Robotics Sawyer**</t>
  </si>
  <si>
    <t xml:space="preserve">KUKA LBR IIWA R800/820**</t>
  </si>
  <si>
    <t xml:space="preserve">Universal Robots UR3e</t>
  </si>
  <si>
    <t xml:space="preserve">Universal Robots UR5e</t>
  </si>
  <si>
    <t xml:space="preserve">Universal Robots UR10e</t>
  </si>
  <si>
    <t xml:space="preserve">Universal Robots UR16e</t>
  </si>
  <si>
    <t xml:space="preserve">Yuanda</t>
  </si>
  <si>
    <t xml:space="preserve">N/A</t>
  </si>
  <si>
    <t xml:space="preserve">Kinova Ulra</t>
  </si>
  <si>
    <t xml:space="preserve">Kinova Gen3</t>
  </si>
  <si>
    <t xml:space="preserve">Kinova Jaco</t>
  </si>
  <si>
    <t xml:space="preserve">ABB YuMi</t>
  </si>
  <si>
    <t xml:space="preserve">Bosch Apas Assistant</t>
  </si>
  <si>
    <t xml:space="preserve">Festo Bionic CoBot</t>
  </si>
  <si>
    <t xml:space="preserve">Doosan M0609</t>
  </si>
  <si>
    <t xml:space="preserve">Doosan M01509</t>
  </si>
  <si>
    <t xml:space="preserve">Doosan M01013</t>
  </si>
  <si>
    <t xml:space="preserve">Doosan M0617</t>
  </si>
  <si>
    <t xml:space="preserve">FANUC CR-35iA</t>
  </si>
  <si>
    <t xml:space="preserve">FANUC CR-14iA/L</t>
  </si>
  <si>
    <t xml:space="preserve">FANUC CR-4iA
</t>
  </si>
  <si>
    <t xml:space="preserve">FANUC CR-7iA/L</t>
  </si>
  <si>
    <t xml:space="preserve">FANUC CR-15iA/L</t>
  </si>
  <si>
    <t xml:space="preserve">Denso RC8A*</t>
  </si>
  <si>
    <t xml:space="preserve">TM 5-700</t>
  </si>
  <si>
    <t xml:space="preserve">TM 5-900</t>
  </si>
  <si>
    <t xml:space="preserve">KUKA LBR IIWA R800/820</t>
  </si>
  <si>
    <t xml:space="preserve">Rethink Robotics Sawyer</t>
  </si>
  <si>
    <t xml:space="preserve">FANUC CR-4iA</t>
  </si>
  <si>
    <t xml:space="preserve">Average power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</si>
</sst>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0.0"/>
    <numFmt numFmtId="166" formatCode="0%"/>
    <numFmt numFmtId="167" formatCode="0.00%"/>
    <numFmt numFmtId="168" formatCode="#,##0"/>
    <numFmt numFmtId="169" formatCode="#,##0.0"/>
    <numFmt numFmtId="170" formatCode="_(* #,##0.00_);_(* \(#,##0.00\);_(* \-??_);_(@_)"/>
    <numFmt numFmtId="171" formatCode="_(* #,##0_);_(* \(#,##0\);_(* \-??_);_(@_)"/>
    <numFmt numFmtId="172" formatCode="0"/>
    <numFmt numFmtId="173" formatCode="#,##0.00"/>
    <numFmt numFmtId="174" formatCode="@"/>
    <numFmt numFmtId="175" formatCode="0.00"/>
    <numFmt numFmtId="176" formatCode="0.0%"/>
    <numFmt numFmtId="177" formatCode="0.000000"/>
    <numFmt numFmtId="178" formatCode="General"/>
  </numFmts>
  <fonts count="3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16"/>
      <color rgb="FF595959"/>
      <name val="Calibri"/>
      <family val="2"/>
    </font>
    <font>
      <sz val="14"/>
      <color rgb="FF404040"/>
      <name val="Calibri"/>
      <family val="2"/>
    </font>
    <font>
      <sz val="12"/>
      <color rgb="FF000000"/>
      <name val="Calibri"/>
      <family val="2"/>
    </font>
    <font>
      <sz val="12"/>
      <color rgb="FF595959"/>
      <name val="Calibri"/>
      <family val="2"/>
    </font>
    <font>
      <sz val="18"/>
      <color rgb="FF595959"/>
      <name val="Calibri"/>
      <family val="2"/>
    </font>
    <font>
      <sz val="10"/>
      <color rgb="FF000000"/>
      <name val="Calibri"/>
      <family val="2"/>
    </font>
    <font>
      <sz val="15"/>
      <color rgb="FF595959"/>
      <name val="Calibri"/>
      <family val="2"/>
    </font>
    <font>
      <sz val="14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0"/>
      <name val="Arial"/>
      <family val="2"/>
      <charset val="1"/>
    </font>
    <font>
      <sz val="17"/>
      <color rgb="FF595959"/>
      <name val="Calibri"/>
      <family val="2"/>
    </font>
    <font>
      <sz val="9"/>
      <color rgb="FF404040"/>
      <name val="Calibri"/>
      <family val="2"/>
    </font>
    <font>
      <sz val="20"/>
      <color rgb="FF595959"/>
      <name val="Calibri"/>
      <family val="2"/>
    </font>
    <font>
      <sz val="20"/>
      <color rgb="FF404040"/>
      <name val="Calibri"/>
      <family val="2"/>
    </font>
    <font>
      <b val="true"/>
      <sz val="14"/>
      <color rgb="FF000000"/>
      <name val="AR PL Mingti2L Big5"/>
      <family val="0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0"/>
      <charset val="134"/>
    </font>
    <font>
      <b val="true"/>
      <sz val="10"/>
      <color rgb="FF000000"/>
      <name val="Arial"/>
      <family val="0"/>
      <charset val="134"/>
    </font>
    <font>
      <sz val="9.65"/>
      <color rgb="FF000000"/>
      <name val="Basic Sans"/>
      <family val="2"/>
    </font>
  </fonts>
  <fills count="23">
    <fill>
      <patternFill patternType="none"/>
    </fill>
    <fill>
      <patternFill patternType="gray125"/>
    </fill>
    <fill>
      <patternFill patternType="solid">
        <fgColor rgb="FFF0F0F0"/>
        <bgColor rgb="FFF2F2F2"/>
      </patternFill>
    </fill>
    <fill>
      <patternFill patternType="solid">
        <fgColor rgb="FF00B0F0"/>
        <bgColor rgb="FF008080"/>
      </patternFill>
    </fill>
    <fill>
      <patternFill patternType="solid">
        <fgColor rgb="FFFFFF00"/>
        <bgColor rgb="FFFFD320"/>
      </patternFill>
    </fill>
    <fill>
      <patternFill patternType="solid">
        <fgColor rgb="FFFF0000"/>
        <bgColor rgb="FFC5000B"/>
      </patternFill>
    </fill>
    <fill>
      <patternFill patternType="solid">
        <fgColor rgb="FFA5A5A5"/>
        <bgColor rgb="FFB3B3B3"/>
      </patternFill>
    </fill>
    <fill>
      <patternFill patternType="solid">
        <fgColor rgb="FFDEEBF7"/>
        <bgColor rgb="FFDAE3F3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F0F0F0"/>
      </patternFill>
    </fill>
    <fill>
      <patternFill patternType="solid">
        <fgColor rgb="FFFFF2CC"/>
        <bgColor rgb="FFFBE5D6"/>
      </patternFill>
    </fill>
    <fill>
      <patternFill patternType="solid">
        <fgColor rgb="FFDAE3F3"/>
        <bgColor rgb="FFDEEBF7"/>
      </patternFill>
    </fill>
    <fill>
      <patternFill patternType="solid">
        <fgColor rgb="FFE2F0D9"/>
        <bgColor rgb="FFE7E6E6"/>
      </patternFill>
    </fill>
    <fill>
      <patternFill patternType="solid">
        <fgColor rgb="FFFFC000"/>
        <bgColor rgb="FFFFD320"/>
      </patternFill>
    </fill>
    <fill>
      <patternFill patternType="solid">
        <fgColor rgb="FFED7D31"/>
        <bgColor rgb="FFFF950E"/>
      </patternFill>
    </fill>
    <fill>
      <patternFill patternType="solid">
        <fgColor rgb="FF000000"/>
        <bgColor rgb="FF003300"/>
      </patternFill>
    </fill>
    <fill>
      <patternFill patternType="solid">
        <fgColor rgb="FFFAAFAF"/>
        <bgColor rgb="FFBFBFBF"/>
      </patternFill>
    </fill>
    <fill>
      <patternFill patternType="solid">
        <fgColor rgb="FF92D050"/>
        <bgColor rgb="FFAECF00"/>
      </patternFill>
    </fill>
    <fill>
      <patternFill patternType="solid">
        <fgColor rgb="FFE7E6E6"/>
        <bgColor rgb="FFEDEDED"/>
      </patternFill>
    </fill>
    <fill>
      <patternFill patternType="solid">
        <fgColor rgb="FFAECF00"/>
        <bgColor rgb="FF92D050"/>
      </patternFill>
    </fill>
    <fill>
      <patternFill patternType="solid">
        <fgColor rgb="FFFF950E"/>
        <bgColor rgb="FFED7D31"/>
      </patternFill>
    </fill>
    <fill>
      <patternFill patternType="solid">
        <fgColor rgb="FFFF420E"/>
        <bgColor rgb="FFED7D31"/>
      </patternFill>
    </fill>
    <fill>
      <patternFill patternType="solid">
        <fgColor rgb="FFFFD320"/>
        <bgColor rgb="FFFFC000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hair">
        <color rgb="FFC5000B"/>
      </left>
      <right style="hair">
        <color rgb="FFC5000B"/>
      </right>
      <top style="hair">
        <color rgb="FFC5000B"/>
      </top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>
        <color rgb="FFC5000B"/>
      </left>
      <right style="hair">
        <color rgb="FFC5000B"/>
      </right>
      <top style="hair">
        <color rgb="FFC5000B"/>
      </top>
      <bottom style="hair">
        <color rgb="FFC5000B"/>
      </bottom>
      <diagonal/>
    </border>
    <border diagonalUp="false" diagonalDown="false">
      <left/>
      <right/>
      <top style="hair">
        <color rgb="FFC5000B"/>
      </top>
      <bottom style="hair">
        <color rgb="FFC5000B"/>
      </bottom>
      <diagonal/>
    </border>
    <border diagonalUp="false" diagonalDown="false">
      <left/>
      <right style="hair">
        <color rgb="FFC5000B"/>
      </right>
      <top style="hair">
        <color rgb="FFC5000B"/>
      </top>
      <bottom style="hair">
        <color rgb="FFC5000B"/>
      </bottom>
      <diagonal/>
    </border>
    <border diagonalUp="false" diagonalDown="false">
      <left style="hair"/>
      <right style="hair">
        <color rgb="FFC5000B"/>
      </right>
      <top style="hair"/>
      <bottom/>
      <diagonal/>
    </border>
    <border diagonalUp="false" diagonalDown="false">
      <left style="hair">
        <color rgb="FFC5000B"/>
      </left>
      <right style="hair">
        <color rgb="FFC5000B"/>
      </right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>
        <color rgb="FFC5000B"/>
      </right>
      <top/>
      <bottom/>
      <diagonal/>
    </border>
    <border diagonalUp="false" diagonalDown="false">
      <left style="hair">
        <color rgb="FFC5000B"/>
      </left>
      <right style="hair">
        <color rgb="FFC5000B"/>
      </right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>
        <color rgb="FFC5000B"/>
      </right>
      <top/>
      <bottom style="hair"/>
      <diagonal/>
    </border>
    <border diagonalUp="false" diagonalDown="false">
      <left style="hair">
        <color rgb="FFC5000B"/>
      </left>
      <right style="hair">
        <color rgb="FFC5000B"/>
      </right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7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7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8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8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9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9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1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1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1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0" borderId="1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1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6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6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6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6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8" fillId="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8" fillId="4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8" fillId="4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6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6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0" borderId="2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2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8" fillId="4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8" fillId="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0" fillId="19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9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0" fillId="19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9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9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0" fillId="1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9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5" fillId="3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" fillId="17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" fillId="1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17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19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2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3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2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9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19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6" fillId="21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1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21" borderId="3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1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21" borderId="3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8" fontId="5" fillId="21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21" borderId="3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1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4" fillId="0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  <colors>
    <indexedColors>
      <rgbColor rgb="FF000000"/>
      <rgbColor rgb="FFFFFFFF"/>
      <rgbColor rgb="FFFF0000"/>
      <rgbColor rgb="FF92D050"/>
      <rgbColor rgb="FF0000FF"/>
      <rgbColor rgb="FFFFFF00"/>
      <rgbColor rgb="FFFF00FF"/>
      <rgbColor rgb="FFEDEDED"/>
      <rgbColor rgb="FFC5000B"/>
      <rgbColor rgb="FF008000"/>
      <rgbColor rgb="FF000080"/>
      <rgbColor rgb="FF70AD47"/>
      <rgbColor rgb="FF800080"/>
      <rgbColor rgb="FF008080"/>
      <rgbColor rgb="FFBFBFBF"/>
      <rgbColor rgb="FF878787"/>
      <rgbColor rgb="FFA5A5A5"/>
      <rgbColor rgb="FF993366"/>
      <rgbColor rgb="FFFFF2CC"/>
      <rgbColor rgb="FFDEEBF7"/>
      <rgbColor rgb="FF660066"/>
      <rgbColor rgb="FFFF420E"/>
      <rgbColor rgb="FF255E91"/>
      <rgbColor rgb="FFD9D9D9"/>
      <rgbColor rgb="FF000080"/>
      <rgbColor rgb="FFFF00FF"/>
      <rgbColor rgb="FFFFD320"/>
      <rgbColor rgb="FFF0F0F0"/>
      <rgbColor rgb="FF800080"/>
      <rgbColor rgb="FF800000"/>
      <rgbColor rgb="FF008080"/>
      <rgbColor rgb="FF0000FF"/>
      <rgbColor rgb="FF00B0F0"/>
      <rgbColor rgb="FFDAE3F3"/>
      <rgbColor rgb="FFE2F0D9"/>
      <rgbColor rgb="FFF2F2F2"/>
      <rgbColor rgb="FFB3B3B3"/>
      <rgbColor rgb="FFFAAFAF"/>
      <rgbColor rgb="FFE7E6E6"/>
      <rgbColor rgb="FFFBE5D6"/>
      <rgbColor rgb="FF4472C4"/>
      <rgbColor rgb="FF5B9BD5"/>
      <rgbColor rgb="FFAECF00"/>
      <rgbColor rgb="FFFFC000"/>
      <rgbColor rgb="FFFF950E"/>
      <rgbColor rgb="FFED7D31"/>
      <rgbColor rgb="FF636363"/>
      <rgbColor rgb="FF8B8B8B"/>
      <rgbColor rgb="FF004586"/>
      <rgbColor rgb="FF4F81BD"/>
      <rgbColor rgb="FF003300"/>
      <rgbColor rgb="FF333300"/>
      <rgbColor rgb="FF9E480E"/>
      <rgbColor rgb="FF993366"/>
      <rgbColor rgb="FF59595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600" spc="-1" strike="noStrike">
                <a:solidFill>
                  <a:srgbClr val="595959"/>
                </a:solidFill>
                <a:latin typeface="Calibri"/>
              </a:rPr>
              <a:t>Total average power consumption [kW]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'Energy Consumption Stats'!$H$13</c:f>
              <c:strCache>
                <c:ptCount val="1"/>
                <c:pt idx="0">
                  <c:v>Handling Operations/Machine Tending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'Energy Consumption Stats'!$I$13</c:f>
              <c:numCache>
                <c:formatCode>General</c:formatCode>
                <c:ptCount val="1"/>
                <c:pt idx="0">
                  <c:v>5.39718744324887</c:v>
                </c:pt>
              </c:numCache>
            </c:numRef>
          </c:val>
        </c:ser>
        <c:ser>
          <c:idx val="1"/>
          <c:order val="1"/>
          <c:tx>
            <c:strRef>
              <c:f>'Energy Consumption Stats'!$H$14</c:f>
              <c:strCache>
                <c:ptCount val="1"/>
                <c:pt idx="0">
                  <c:v>Welding and Soldering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'Energy Consumption Stats'!$I$14</c:f>
              <c:numCache>
                <c:formatCode>General</c:formatCode>
                <c:ptCount val="1"/>
                <c:pt idx="0">
                  <c:v>6.43225800222704</c:v>
                </c:pt>
              </c:numCache>
            </c:numRef>
          </c:val>
        </c:ser>
        <c:ser>
          <c:idx val="2"/>
          <c:order val="2"/>
          <c:tx>
            <c:strRef>
              <c:f>'Energy Consumption Stats'!$H$15</c:f>
              <c:strCache>
                <c:ptCount val="1"/>
                <c:pt idx="0">
                  <c:v>Dispensing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'Energy Consumption Stats'!$I$15</c:f>
              <c:numCache>
                <c:formatCode>General</c:formatCode>
                <c:ptCount val="1"/>
                <c:pt idx="0">
                  <c:v>5.99832817337461</c:v>
                </c:pt>
              </c:numCache>
            </c:numRef>
          </c:val>
        </c:ser>
        <c:ser>
          <c:idx val="3"/>
          <c:order val="3"/>
          <c:tx>
            <c:strRef>
              <c:f>'Energy Consumption Stats'!$H$16</c:f>
              <c:strCache>
                <c:ptCount val="1"/>
                <c:pt idx="0">
                  <c:v>Processing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'Energy Consumption Stats'!$I$16</c:f>
              <c:numCache>
                <c:formatCode>General</c:formatCode>
                <c:ptCount val="1"/>
                <c:pt idx="0">
                  <c:v>5.98873163300408</c:v>
                </c:pt>
              </c:numCache>
            </c:numRef>
          </c:val>
        </c:ser>
        <c:ser>
          <c:idx val="4"/>
          <c:order val="4"/>
          <c:tx>
            <c:strRef>
              <c:f>'Energy Consumption Stats'!$H$17</c:f>
              <c:strCache>
                <c:ptCount val="1"/>
                <c:pt idx="0">
                  <c:v>Assembling and Disassembling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'Energy Consumption Stats'!$I$17</c:f>
              <c:numCache>
                <c:formatCode>General</c:formatCode>
                <c:ptCount val="1"/>
                <c:pt idx="0">
                  <c:v>4.99024353230236</c:v>
                </c:pt>
              </c:numCache>
            </c:numRef>
          </c:val>
        </c:ser>
        <c:ser>
          <c:idx val="5"/>
          <c:order val="5"/>
          <c:tx>
            <c:strRef>
              <c:f>'Energy Consumption Stats'!$H$18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'Energy Consumption Stats'!$I$18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gapWidth val="182"/>
        <c:overlap val="0"/>
        <c:axId val="67095023"/>
        <c:axId val="28092836"/>
      </c:barChart>
      <c:catAx>
        <c:axId val="67095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092836"/>
        <c:auto val="1"/>
        <c:lblAlgn val="ctr"/>
        <c:lblOffset val="100"/>
        <c:noMultiLvlLbl val="0"/>
      </c:catAx>
      <c:valAx>
        <c:axId val="28092836"/>
        <c:scaling>
          <c:orientation val="minMax"/>
          <c:max val="6.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09502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800" spc="-1" strike="noStrike">
                <a:solidFill>
                  <a:srgbClr val="595959"/>
                </a:solidFill>
                <a:latin typeface="Calibri"/>
              </a:rPr>
              <a:t>Operational Stock by Applicaiton in 2013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13"/>
          <c:dPt>
            <c:idx val="0"/>
            <c:explosion val="13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explosion val="13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explosion val="13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explosion val="1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explosion val="13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explosion val="13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txPr>
              <a:bodyPr/>
              <a:lstStyle/>
              <a:p>
                <a:pPr>
                  <a:defRPr b="0" sz="15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'Energy Consumption Stats'!$H$13:$H$18</c:f>
              <c:strCache>
                <c:ptCount val="6"/>
                <c:pt idx="0">
                  <c:v>Handling Operations/Machine Tending</c:v>
                </c:pt>
                <c:pt idx="1">
                  <c:v>Welding and Soldering</c:v>
                </c:pt>
                <c:pt idx="2">
                  <c:v>Dispensing</c:v>
                </c:pt>
                <c:pt idx="3">
                  <c:v>Processing</c:v>
                </c:pt>
                <c:pt idx="4">
                  <c:v>Assembling and Disassembling</c:v>
                </c:pt>
                <c:pt idx="5">
                  <c:v>Others</c:v>
                </c:pt>
              </c:strCache>
            </c:strRef>
          </c:cat>
          <c:val>
            <c:numRef>
              <c:f>'Energy Consumption Stats'!$J$13:$J$18</c:f>
              <c:numCache>
                <c:formatCode>General</c:formatCode>
                <c:ptCount val="6"/>
                <c:pt idx="0">
                  <c:v>0.401</c:v>
                </c:pt>
                <c:pt idx="1">
                  <c:v>0.288</c:v>
                </c:pt>
                <c:pt idx="2">
                  <c:v>0.041</c:v>
                </c:pt>
                <c:pt idx="3">
                  <c:v>0.019</c:v>
                </c:pt>
                <c:pt idx="4">
                  <c:v>0.1</c:v>
                </c:pt>
                <c:pt idx="5">
                  <c:v>0.151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l"/>
      <c:overlay val="0"/>
      <c:spPr>
        <a:noFill/>
        <a:ln>
          <a:noFill/>
        </a:ln>
      </c:spPr>
      <c:txPr>
        <a:bodyPr/>
        <a:lstStyle/>
        <a:p>
          <a:pPr>
            <a:defRPr b="0" sz="15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600" spc="-1" strike="noStrike">
                <a:solidFill>
                  <a:srgbClr val="595959"/>
                </a:solidFill>
                <a:latin typeface="Calibri"/>
              </a:rPr>
              <a:t>Energy [PJ] (24/7 operation)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'Estimated Install Base to 2025'!$D$24</c:f>
              <c:strCache>
                <c:ptCount val="1"/>
                <c:pt idx="0">
                  <c:v>+12%/yr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'Estimated Install Base to 2025'!$B$31:$B$41</c:f>
              <c:multiLvlStrCache>
                <c:ptCount val="1"/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  <c:lvl>
                  <c:pt idx="0">
                    <c:v>2019</c:v>
                  </c:pt>
                </c:lvl>
                <c:lvl>
                  <c:pt idx="0">
                    <c:v>2018</c:v>
                  </c:pt>
                </c:lvl>
                <c:lvl>
                  <c:pt idx="0">
                    <c:v>2017</c:v>
                  </c:pt>
                </c:lvl>
                <c:lvl>
                  <c:pt idx="0">
                    <c:v>2016</c:v>
                  </c:pt>
                </c:lvl>
                <c:lvl>
                  <c:pt idx="0">
                    <c:v>2015</c:v>
                  </c:pt>
                </c:lvl>
              </c:multiLvlStrCache>
            </c:multiLvlStrRef>
          </c:cat>
          <c:val>
            <c:numRef>
              <c:f>'Energy Consumption Stats'!$H$31:$R$31</c:f>
              <c:numCache>
                <c:formatCode>General</c:formatCode>
                <c:ptCount val="11"/>
                <c:pt idx="0">
                  <c:v>266.469323546683</c:v>
                </c:pt>
                <c:pt idx="1">
                  <c:v>298.445642372285</c:v>
                </c:pt>
                <c:pt idx="2">
                  <c:v>334.259119456959</c:v>
                </c:pt>
                <c:pt idx="3">
                  <c:v>374.370213791794</c:v>
                </c:pt>
                <c:pt idx="4">
                  <c:v>419.294639446809</c:v>
                </c:pt>
                <c:pt idx="5">
                  <c:v>469.609996180426</c:v>
                </c:pt>
                <c:pt idx="6">
                  <c:v>525.963195722078</c:v>
                </c:pt>
                <c:pt idx="7">
                  <c:v>589.078779208727</c:v>
                </c:pt>
                <c:pt idx="8">
                  <c:v>659.768232713774</c:v>
                </c:pt>
                <c:pt idx="9">
                  <c:v>738.940420639427</c:v>
                </c:pt>
                <c:pt idx="10">
                  <c:v>827.613271116159</c:v>
                </c:pt>
              </c:numCache>
            </c:numRef>
          </c:val>
        </c:ser>
        <c:ser>
          <c:idx val="1"/>
          <c:order val="1"/>
          <c:tx>
            <c:strRef>
              <c:f>'Estimated Install Base to 2025'!$E$24</c:f>
              <c:strCache>
                <c:ptCount val="1"/>
                <c:pt idx="0">
                  <c:v>+25%/yr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'Estimated Install Base to 2025'!$B$31:$B$41</c:f>
              <c:multiLvlStrCache>
                <c:ptCount val="1"/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  <c:lvl>
                  <c:pt idx="0">
                    <c:v>2019</c:v>
                  </c:pt>
                </c:lvl>
                <c:lvl>
                  <c:pt idx="0">
                    <c:v>2018</c:v>
                  </c:pt>
                </c:lvl>
                <c:lvl>
                  <c:pt idx="0">
                    <c:v>2017</c:v>
                  </c:pt>
                </c:lvl>
                <c:lvl>
                  <c:pt idx="0">
                    <c:v>2016</c:v>
                  </c:pt>
                </c:lvl>
                <c:lvl>
                  <c:pt idx="0">
                    <c:v>2015</c:v>
                  </c:pt>
                </c:lvl>
              </c:multiLvlStrCache>
            </c:multiLvlStrRef>
          </c:cat>
          <c:val>
            <c:numRef>
              <c:f>'Energy Consumption Stats'!$H$42:$R$42</c:f>
              <c:numCache>
                <c:formatCode>General</c:formatCode>
                <c:ptCount val="11"/>
                <c:pt idx="0">
                  <c:v>266.469323546683</c:v>
                </c:pt>
                <c:pt idx="1">
                  <c:v>333.086654433353</c:v>
                </c:pt>
                <c:pt idx="2">
                  <c:v>416.358318041692</c:v>
                </c:pt>
                <c:pt idx="3">
                  <c:v>520.447897552115</c:v>
                </c:pt>
                <c:pt idx="4">
                  <c:v>650.559871940143</c:v>
                </c:pt>
                <c:pt idx="5">
                  <c:v>813.199839925179</c:v>
                </c:pt>
                <c:pt idx="6">
                  <c:v>1016.49979990647</c:v>
                </c:pt>
                <c:pt idx="7">
                  <c:v>1270.62474988309</c:v>
                </c:pt>
                <c:pt idx="8">
                  <c:v>1588.28093735387</c:v>
                </c:pt>
                <c:pt idx="9">
                  <c:v>1985.35117169233</c:v>
                </c:pt>
                <c:pt idx="10">
                  <c:v>2481.68896461541</c:v>
                </c:pt>
              </c:numCache>
            </c:numRef>
          </c:val>
        </c:ser>
        <c:gapWidth val="150"/>
        <c:overlap val="0"/>
        <c:axId val="79572474"/>
        <c:axId val="9788789"/>
      </c:barChart>
      <c:catAx>
        <c:axId val="795724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88789"/>
        <c:crosses val="autoZero"/>
        <c:auto val="1"/>
        <c:lblAlgn val="ctr"/>
        <c:lblOffset val="100"/>
        <c:noMultiLvlLbl val="0"/>
      </c:catAx>
      <c:valAx>
        <c:axId val="9788789"/>
        <c:scaling>
          <c:orientation val="minMax"/>
          <c:max val="26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57247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600" spc="-1" strike="noStrike">
                <a:solidFill>
                  <a:srgbClr val="595959"/>
                </a:solidFill>
                <a:latin typeface="Calibri"/>
              </a:rPr>
              <a:t>Units (millions)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'Estimated Install Base to 2025'!$D$24</c:f>
              <c:strCache>
                <c:ptCount val="1"/>
                <c:pt idx="0">
                  <c:v>+12%/yr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'Estimated Install Base to 2025'!$B$31:$B$41</c:f>
              <c:strCach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strCache>
            </c:strRef>
          </c:cat>
          <c:val>
            <c:numRef>
              <c:f>'Estimated Install Base to 2025'!$D$31:$D$41</c:f>
              <c:numCache>
                <c:formatCode>General</c:formatCode>
                <c:ptCount val="11"/>
                <c:pt idx="0">
                  <c:v>1.632</c:v>
                </c:pt>
                <c:pt idx="1">
                  <c:v>1.82784</c:v>
                </c:pt>
                <c:pt idx="2">
                  <c:v>2.0471808</c:v>
                </c:pt>
                <c:pt idx="3">
                  <c:v>2.292842496</c:v>
                </c:pt>
                <c:pt idx="4">
                  <c:v>2.56798359552</c:v>
                </c:pt>
                <c:pt idx="5">
                  <c:v>2.8761416269824</c:v>
                </c:pt>
                <c:pt idx="6">
                  <c:v>3.22127862222029</c:v>
                </c:pt>
                <c:pt idx="7">
                  <c:v>3.60783205688673</c:v>
                </c:pt>
                <c:pt idx="8">
                  <c:v>4.04077190371313</c:v>
                </c:pt>
                <c:pt idx="9">
                  <c:v>4.52566453215871</c:v>
                </c:pt>
                <c:pt idx="10">
                  <c:v>5.06874427601776</c:v>
                </c:pt>
              </c:numCache>
            </c:numRef>
          </c:val>
        </c:ser>
        <c:ser>
          <c:idx val="1"/>
          <c:order val="1"/>
          <c:tx>
            <c:strRef>
              <c:f>'Estimated Install Base to 2025'!$E$24</c:f>
              <c:strCache>
                <c:ptCount val="1"/>
                <c:pt idx="0">
                  <c:v>+25%/yr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'Estimated Install Base to 2025'!$B$31:$B$41</c:f>
              <c:strCach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strCache>
            </c:strRef>
          </c:cat>
          <c:val>
            <c:numRef>
              <c:f>'Estimated Install Base to 2025'!$E$31:$E$41</c:f>
              <c:numCache>
                <c:formatCode>General</c:formatCode>
                <c:ptCount val="11"/>
                <c:pt idx="0">
                  <c:v>1.632</c:v>
                </c:pt>
                <c:pt idx="1">
                  <c:v>2.04</c:v>
                </c:pt>
                <c:pt idx="2">
                  <c:v>2.55</c:v>
                </c:pt>
                <c:pt idx="3">
                  <c:v>3.1875</c:v>
                </c:pt>
                <c:pt idx="4">
                  <c:v>3.984375</c:v>
                </c:pt>
                <c:pt idx="5">
                  <c:v>4.98046875</c:v>
                </c:pt>
                <c:pt idx="6">
                  <c:v>6.2255859375</c:v>
                </c:pt>
                <c:pt idx="7">
                  <c:v>7.781982421875</c:v>
                </c:pt>
                <c:pt idx="8">
                  <c:v>9.72747802734375</c:v>
                </c:pt>
                <c:pt idx="9">
                  <c:v>12.1593475341797</c:v>
                </c:pt>
                <c:pt idx="10">
                  <c:v>15.1991844177246</c:v>
                </c:pt>
              </c:numCache>
            </c:numRef>
          </c:val>
        </c:ser>
        <c:gapWidth val="150"/>
        <c:overlap val="0"/>
        <c:axId val="80752284"/>
        <c:axId val="28906887"/>
      </c:barChart>
      <c:catAx>
        <c:axId val="807522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906887"/>
        <c:crosses val="autoZero"/>
        <c:auto val="1"/>
        <c:lblAlgn val="ctr"/>
        <c:lblOffset val="100"/>
        <c:noMultiLvlLbl val="0"/>
      </c:catAx>
      <c:valAx>
        <c:axId val="28906887"/>
        <c:scaling>
          <c:orientation val="minMax"/>
          <c:max val="16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75228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IR Energy Demand [PJ]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'Energy Consumption Stats'!$C$25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'Energy Consumption Stats'!$B$26:$B$42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xVal>
          <c:yVal>
            <c:numRef>
              <c:f>'Energy Consumption Stats'!$C$26:$C$42</c:f>
              <c:numCache>
                <c:formatCode>General</c:formatCode>
                <c:ptCount val="17"/>
                <c:pt idx="0">
                  <c:v>166.706604988458</c:v>
                </c:pt>
                <c:pt idx="1">
                  <c:v>172.911160316138</c:v>
                </c:pt>
                <c:pt idx="2">
                  <c:v>188.259270863557</c:v>
                </c:pt>
                <c:pt idx="3">
                  <c:v>201.648048149604</c:v>
                </c:pt>
                <c:pt idx="4">
                  <c:v>217.485992012366</c:v>
                </c:pt>
                <c:pt idx="5">
                  <c:v>240.344880061714</c:v>
                </c:pt>
                <c:pt idx="6">
                  <c:v>266.469323546683</c:v>
                </c:pt>
                <c:pt idx="7">
                  <c:v>300.10454453358</c:v>
                </c:pt>
                <c:pt idx="8">
                  <c:v>346.965265034743</c:v>
                </c:pt>
                <c:pt idx="9">
                  <c:v>398.397763145776</c:v>
                </c:pt>
                <c:pt idx="10">
                  <c:v>445.911594734063</c:v>
                </c:pt>
                <c:pt idx="11">
                  <c:v>492.282481919882</c:v>
                </c:pt>
                <c:pt idx="12">
                  <c:v>567.71681248273</c:v>
                </c:pt>
                <c:pt idx="13">
                  <c:v>660.785142397932</c:v>
                </c:pt>
                <c:pt idx="14">
                  <c:v>761.0376942715</c:v>
                </c:pt>
                <c:pt idx="15">
                  <c:v>867.658079244529</c:v>
                </c:pt>
                <c:pt idx="16">
                  <c:v>980.319741773457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'Energy Consumption Stats'!$D$25</c:f>
              <c:strCache>
                <c:ptCount val="1"/>
                <c:pt idx="0">
                  <c:v>12%/yr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'Energy Consumption Stats'!$B$26:$B$42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xVal>
          <c:yVal>
            <c:numRef>
              <c:f>'Energy Consumption Stats'!$D$26:$D$42</c:f>
              <c:numCache>
                <c:formatCode>General</c:formatCode>
                <c:ptCount val="17"/>
                <c:pt idx="6">
                  <c:v>266.469323546683</c:v>
                </c:pt>
                <c:pt idx="7">
                  <c:v>298.445642372285</c:v>
                </c:pt>
                <c:pt idx="8">
                  <c:v>334.259119456959</c:v>
                </c:pt>
                <c:pt idx="9">
                  <c:v>374.370213791794</c:v>
                </c:pt>
                <c:pt idx="10">
                  <c:v>419.294639446809</c:v>
                </c:pt>
                <c:pt idx="11">
                  <c:v>469.609996180426</c:v>
                </c:pt>
                <c:pt idx="12">
                  <c:v>525.963195722077</c:v>
                </c:pt>
                <c:pt idx="13">
                  <c:v>589.078779208727</c:v>
                </c:pt>
                <c:pt idx="14">
                  <c:v>659.768232713774</c:v>
                </c:pt>
                <c:pt idx="15">
                  <c:v>738.940420639427</c:v>
                </c:pt>
                <c:pt idx="16">
                  <c:v>827.613271116158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'Energy Consumption Stats'!$E$25</c:f>
              <c:strCache>
                <c:ptCount val="1"/>
                <c:pt idx="0">
                  <c:v>25%/yr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'Energy Consumption Stats'!$B$26:$B$42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xVal>
          <c:yVal>
            <c:numRef>
              <c:f>'Energy Consumption Stats'!$E$26:$E$42</c:f>
              <c:numCache>
                <c:formatCode>General</c:formatCode>
                <c:ptCount val="17"/>
                <c:pt idx="6">
                  <c:v>266.469323546683</c:v>
                </c:pt>
                <c:pt idx="7">
                  <c:v>333.086654433353</c:v>
                </c:pt>
                <c:pt idx="8">
                  <c:v>416.358318041692</c:v>
                </c:pt>
                <c:pt idx="9">
                  <c:v>520.447897552115</c:v>
                </c:pt>
                <c:pt idx="10">
                  <c:v>650.559871940143</c:v>
                </c:pt>
                <c:pt idx="11">
                  <c:v>813.199839925179</c:v>
                </c:pt>
                <c:pt idx="12">
                  <c:v>1016.49979990647</c:v>
                </c:pt>
                <c:pt idx="13">
                  <c:v>1270.62474988309</c:v>
                </c:pt>
                <c:pt idx="14">
                  <c:v>1588.28093735387</c:v>
                </c:pt>
                <c:pt idx="15">
                  <c:v>1985.35117169233</c:v>
                </c:pt>
                <c:pt idx="16">
                  <c:v>2481.68896461541</c:v>
                </c:pt>
              </c:numCache>
            </c:numRef>
          </c:yVal>
          <c:smooth val="0"/>
        </c:ser>
        <c:axId val="35019604"/>
        <c:axId val="49616519"/>
      </c:scatterChart>
      <c:valAx>
        <c:axId val="350196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616519"/>
        <c:crosses val="autoZero"/>
        <c:crossBetween val="midCat"/>
      </c:valAx>
      <c:valAx>
        <c:axId val="496165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01960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7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700" spc="-1" strike="noStrike">
                <a:solidFill>
                  <a:srgbClr val="595959"/>
                </a:solidFill>
                <a:latin typeface="Calibri"/>
              </a:rPr>
              <a:t>Units (x1000)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'Estimated Install Base to 2025'!$D$2</c:f>
              <c:strCache>
                <c:ptCount val="1"/>
                <c:pt idx="0">
                  <c:v>Units (x1000)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'Estimated Install Base to 2025'!$B$3:$B$17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2023*</c:v>
                </c:pt>
              </c:strCache>
            </c:strRef>
          </c:cat>
          <c:val>
            <c:numRef>
              <c:f>'Estimated Install Base to 2025'!$D$3:$D$17</c:f>
              <c:numCache>
                <c:formatCode>General</c:formatCode>
                <c:ptCount val="15"/>
                <c:pt idx="0">
                  <c:v>1021</c:v>
                </c:pt>
                <c:pt idx="1">
                  <c:v>1059</c:v>
                </c:pt>
                <c:pt idx="2">
                  <c:v>1153</c:v>
                </c:pt>
                <c:pt idx="3">
                  <c:v>1235</c:v>
                </c:pt>
                <c:pt idx="4">
                  <c:v>1332</c:v>
                </c:pt>
                <c:pt idx="5">
                  <c:v>1472</c:v>
                </c:pt>
                <c:pt idx="6">
                  <c:v>1632</c:v>
                </c:pt>
                <c:pt idx="7">
                  <c:v>1838</c:v>
                </c:pt>
                <c:pt idx="8">
                  <c:v>2125</c:v>
                </c:pt>
                <c:pt idx="9">
                  <c:v>2440</c:v>
                </c:pt>
                <c:pt idx="10">
                  <c:v>2731</c:v>
                </c:pt>
                <c:pt idx="11">
                  <c:v>3015</c:v>
                </c:pt>
                <c:pt idx="12">
                  <c:v>3477</c:v>
                </c:pt>
                <c:pt idx="13">
                  <c:v>4047</c:v>
                </c:pt>
                <c:pt idx="14">
                  <c:v>4661</c:v>
                </c:pt>
              </c:numCache>
            </c:numRef>
          </c:val>
        </c:ser>
        <c:gapWidth val="75"/>
        <c:overlap val="0"/>
        <c:axId val="50836202"/>
        <c:axId val="3862757"/>
      </c:barChart>
      <c:catAx>
        <c:axId val="508362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62757"/>
        <c:crosses val="autoZero"/>
        <c:auto val="1"/>
        <c:lblAlgn val="ctr"/>
        <c:lblOffset val="100"/>
        <c:noMultiLvlLbl val="0"/>
      </c:catAx>
      <c:valAx>
        <c:axId val="3862757"/>
        <c:scaling>
          <c:orientation val="minMax"/>
          <c:max val="55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83620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600" spc="-1" strike="noStrike">
                <a:solidFill>
                  <a:srgbClr val="595959"/>
                </a:solidFill>
                <a:latin typeface="Calibri"/>
              </a:rPr>
              <a:t>Units (millions)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'Estimated Install Base to 2025'!$D$24</c:f>
              <c:strCache>
                <c:ptCount val="1"/>
                <c:pt idx="0">
                  <c:v>+12%/yr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'Estimated Install Base to 2025'!$B$31:$B$41</c:f>
              <c:strCach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strCache>
            </c:strRef>
          </c:cat>
          <c:val>
            <c:numRef>
              <c:f>'Estimated Install Base to 2025'!$D$31:$D$41</c:f>
              <c:numCache>
                <c:formatCode>General</c:formatCode>
                <c:ptCount val="11"/>
                <c:pt idx="0">
                  <c:v>1.632</c:v>
                </c:pt>
                <c:pt idx="1">
                  <c:v>1.82784</c:v>
                </c:pt>
                <c:pt idx="2">
                  <c:v>2.0471808</c:v>
                </c:pt>
                <c:pt idx="3">
                  <c:v>2.292842496</c:v>
                </c:pt>
                <c:pt idx="4">
                  <c:v>2.56798359552</c:v>
                </c:pt>
                <c:pt idx="5">
                  <c:v>2.8761416269824</c:v>
                </c:pt>
                <c:pt idx="6">
                  <c:v>3.22127862222029</c:v>
                </c:pt>
                <c:pt idx="7">
                  <c:v>3.60783205688673</c:v>
                </c:pt>
                <c:pt idx="8">
                  <c:v>4.04077190371313</c:v>
                </c:pt>
                <c:pt idx="9">
                  <c:v>4.52566453215871</c:v>
                </c:pt>
                <c:pt idx="10">
                  <c:v>5.06874427601776</c:v>
                </c:pt>
              </c:numCache>
            </c:numRef>
          </c:val>
        </c:ser>
        <c:ser>
          <c:idx val="1"/>
          <c:order val="1"/>
          <c:tx>
            <c:strRef>
              <c:f>'Estimated Install Base to 2025'!$E$24</c:f>
              <c:strCache>
                <c:ptCount val="1"/>
                <c:pt idx="0">
                  <c:v>+25%/yr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'Estimated Install Base to 2025'!$B$31:$B$41</c:f>
              <c:strCach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strCache>
            </c:strRef>
          </c:cat>
          <c:val>
            <c:numRef>
              <c:f>'Estimated Install Base to 2025'!$E$31:$E$41</c:f>
              <c:numCache>
                <c:formatCode>General</c:formatCode>
                <c:ptCount val="11"/>
                <c:pt idx="0">
                  <c:v>1.632</c:v>
                </c:pt>
                <c:pt idx="1">
                  <c:v>2.04</c:v>
                </c:pt>
                <c:pt idx="2">
                  <c:v>2.55</c:v>
                </c:pt>
                <c:pt idx="3">
                  <c:v>3.1875</c:v>
                </c:pt>
                <c:pt idx="4">
                  <c:v>3.984375</c:v>
                </c:pt>
                <c:pt idx="5">
                  <c:v>4.98046875</c:v>
                </c:pt>
                <c:pt idx="6">
                  <c:v>6.2255859375</c:v>
                </c:pt>
                <c:pt idx="7">
                  <c:v>7.781982421875</c:v>
                </c:pt>
                <c:pt idx="8">
                  <c:v>9.72747802734375</c:v>
                </c:pt>
                <c:pt idx="9">
                  <c:v>12.1593475341797</c:v>
                </c:pt>
                <c:pt idx="10">
                  <c:v>15.1991844177246</c:v>
                </c:pt>
              </c:numCache>
            </c:numRef>
          </c:val>
        </c:ser>
        <c:gapWidth val="150"/>
        <c:overlap val="0"/>
        <c:axId val="42876338"/>
        <c:axId val="35085340"/>
      </c:barChart>
      <c:catAx>
        <c:axId val="428763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085340"/>
        <c:crosses val="autoZero"/>
        <c:auto val="1"/>
        <c:lblAlgn val="ctr"/>
        <c:lblOffset val="100"/>
        <c:noMultiLvlLbl val="0"/>
      </c:catAx>
      <c:valAx>
        <c:axId val="35085340"/>
        <c:scaling>
          <c:orientation val="minMax"/>
          <c:max val="16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876338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IR Operational Stock [millions]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'Estimated Install Base to 2025'!$C$24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'Estimated Install Base to 2025'!$B$25:$B$41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xVal>
          <c:yVal>
            <c:numRef>
              <c:f>'Estimated Install Base to 2025'!$C$25:$C$41</c:f>
              <c:numCache>
                <c:formatCode>General</c:formatCode>
                <c:ptCount val="17"/>
                <c:pt idx="0">
                  <c:v>1.021</c:v>
                </c:pt>
                <c:pt idx="1">
                  <c:v>1.059</c:v>
                </c:pt>
                <c:pt idx="2">
                  <c:v>1.153</c:v>
                </c:pt>
                <c:pt idx="3">
                  <c:v>1.235</c:v>
                </c:pt>
                <c:pt idx="4">
                  <c:v>1.332</c:v>
                </c:pt>
                <c:pt idx="5">
                  <c:v>1.472</c:v>
                </c:pt>
                <c:pt idx="6">
                  <c:v>1.632</c:v>
                </c:pt>
                <c:pt idx="7">
                  <c:v>1.838</c:v>
                </c:pt>
                <c:pt idx="8">
                  <c:v>2.125</c:v>
                </c:pt>
                <c:pt idx="9">
                  <c:v>2.44</c:v>
                </c:pt>
                <c:pt idx="10">
                  <c:v>2.731</c:v>
                </c:pt>
                <c:pt idx="11">
                  <c:v>3.015</c:v>
                </c:pt>
                <c:pt idx="12">
                  <c:v>3.477</c:v>
                </c:pt>
                <c:pt idx="13">
                  <c:v>4.047</c:v>
                </c:pt>
                <c:pt idx="14">
                  <c:v>4.661</c:v>
                </c:pt>
                <c:pt idx="15">
                  <c:v>5.314</c:v>
                </c:pt>
                <c:pt idx="16">
                  <c:v>6.004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'Estimated Install Base to 2025'!$D$24</c:f>
              <c:strCache>
                <c:ptCount val="1"/>
                <c:pt idx="0">
                  <c:v>+12%/yr</c:v>
                </c:pt>
              </c:strCache>
            </c:strRef>
          </c:tx>
          <c:spPr>
            <a:solidFill>
              <a:srgbClr val="00b0f0"/>
            </a:solidFill>
            <a:ln w="1908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'Estimated Install Base to 2025'!$B$25:$B$41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xVal>
          <c:yVal>
            <c:numRef>
              <c:f>'Estimated Install Base to 2025'!$D$25:$D$41</c:f>
              <c:numCache>
                <c:formatCode>General</c:formatCode>
                <c:ptCount val="17"/>
                <c:pt idx="6">
                  <c:v>1.632</c:v>
                </c:pt>
                <c:pt idx="7">
                  <c:v>1.82784</c:v>
                </c:pt>
                <c:pt idx="8">
                  <c:v>2.0471808</c:v>
                </c:pt>
                <c:pt idx="9">
                  <c:v>2.292842496</c:v>
                </c:pt>
                <c:pt idx="10">
                  <c:v>2.56798359552</c:v>
                </c:pt>
                <c:pt idx="11">
                  <c:v>2.8761416269824</c:v>
                </c:pt>
                <c:pt idx="12">
                  <c:v>3.22127862222029</c:v>
                </c:pt>
                <c:pt idx="13">
                  <c:v>3.60783205688673</c:v>
                </c:pt>
                <c:pt idx="14">
                  <c:v>4.04077190371313</c:v>
                </c:pt>
                <c:pt idx="15">
                  <c:v>4.52566453215871</c:v>
                </c:pt>
                <c:pt idx="16">
                  <c:v>5.06874427601776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'Estimated Install Base to 2025'!$E$24</c:f>
              <c:strCache>
                <c:ptCount val="1"/>
                <c:pt idx="0">
                  <c:v>+25%/yr</c:v>
                </c:pt>
              </c:strCache>
            </c:strRef>
          </c:tx>
          <c:spPr>
            <a:solidFill>
              <a:srgbClr val="92d050"/>
            </a:solidFill>
            <a:ln w="19080">
              <a:solidFill>
                <a:srgbClr val="92d050"/>
              </a:solidFill>
              <a:round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'Estimated Install Base to 2025'!$B$25:$B$41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xVal>
          <c:yVal>
            <c:numRef>
              <c:f>'Estimated Install Base to 2025'!$E$25:$E$41</c:f>
              <c:numCache>
                <c:formatCode>General</c:formatCode>
                <c:ptCount val="17"/>
                <c:pt idx="6">
                  <c:v>1.632</c:v>
                </c:pt>
                <c:pt idx="7">
                  <c:v>2.04</c:v>
                </c:pt>
                <c:pt idx="8">
                  <c:v>2.55</c:v>
                </c:pt>
                <c:pt idx="9">
                  <c:v>3.1875</c:v>
                </c:pt>
                <c:pt idx="10">
                  <c:v>3.984375</c:v>
                </c:pt>
                <c:pt idx="11">
                  <c:v>4.98046875</c:v>
                </c:pt>
                <c:pt idx="12">
                  <c:v>6.2255859375</c:v>
                </c:pt>
                <c:pt idx="13">
                  <c:v>7.781982421875</c:v>
                </c:pt>
                <c:pt idx="14">
                  <c:v>9.72747802734375</c:v>
                </c:pt>
                <c:pt idx="15">
                  <c:v>12.1593475341797</c:v>
                </c:pt>
                <c:pt idx="16">
                  <c:v>15.1991844177246</c:v>
                </c:pt>
              </c:numCache>
            </c:numRef>
          </c:yVal>
          <c:smooth val="0"/>
        </c:ser>
        <c:axId val="82754709"/>
        <c:axId val="64350236"/>
      </c:scatterChart>
      <c:valAx>
        <c:axId val="827547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350236"/>
        <c:crosses val="autoZero"/>
        <c:crossBetween val="midCat"/>
      </c:valAx>
      <c:valAx>
        <c:axId val="643502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75470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20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2000" spc="-1" strike="noStrike">
                <a:solidFill>
                  <a:srgbClr val="595959"/>
                </a:solidFill>
                <a:latin typeface="Calibri"/>
              </a:rPr>
              <a:t>Robotics Conpanies Install Base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55e9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7"/>
            <c:spPr>
              <a:solidFill>
                <a:srgbClr val="9e480e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8"/>
            <c:spPr>
              <a:solidFill>
                <a:srgbClr val="636363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7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8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20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'Robotics Conpanies Install Base'!$A$2:$A$10</c:f>
              <c:strCache>
                <c:ptCount val="9"/>
                <c:pt idx="0">
                  <c:v>Fanuc</c:v>
                </c:pt>
                <c:pt idx="1">
                  <c:v>Yaskawa</c:v>
                </c:pt>
                <c:pt idx="2">
                  <c:v>ABB</c:v>
                </c:pt>
                <c:pt idx="3">
                  <c:v>Kawasaki</c:v>
                </c:pt>
                <c:pt idx="4">
                  <c:v>Nachi</c:v>
                </c:pt>
                <c:pt idx="5">
                  <c:v>Kuka</c:v>
                </c:pt>
                <c:pt idx="6">
                  <c:v>Denso</c:v>
                </c:pt>
                <c:pt idx="7">
                  <c:v>Epson</c:v>
                </c:pt>
                <c:pt idx="8">
                  <c:v>Adept</c:v>
                </c:pt>
              </c:strCache>
            </c:strRef>
          </c:cat>
          <c:val>
            <c:numRef>
              <c:f>'Robotics Conpanies Install Base'!$C$2:$C$10</c:f>
              <c:numCache>
                <c:formatCode>General</c:formatCode>
                <c:ptCount val="9"/>
                <c:pt idx="0">
                  <c:v>0.287769784172662</c:v>
                </c:pt>
                <c:pt idx="1">
                  <c:v>0.215827338129496</c:v>
                </c:pt>
                <c:pt idx="2">
                  <c:v>0.179856115107914</c:v>
                </c:pt>
                <c:pt idx="3">
                  <c:v>0.079136690647482</c:v>
                </c:pt>
                <c:pt idx="4">
                  <c:v>0.0719424460431655</c:v>
                </c:pt>
                <c:pt idx="5">
                  <c:v>0.0575539568345324</c:v>
                </c:pt>
                <c:pt idx="6">
                  <c:v>0.0575539568345324</c:v>
                </c:pt>
                <c:pt idx="7">
                  <c:v>0.0323741007194245</c:v>
                </c:pt>
                <c:pt idx="8">
                  <c:v>0.0179856115107914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20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600" spc="-1" strike="noStrike">
                <a:solidFill>
                  <a:srgbClr val="595959"/>
                </a:solidFill>
                <a:latin typeface="Calibri"/>
              </a:rPr>
              <a:t>Energy consumption in [PJ] assuming 1 KW and 24/7 operation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'CoBots Stats'!$R$3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'CoBots Stats'!$Q$4:$Q$13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'CoBots Stats'!$R$4:$R$13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strRef>
              <c:f>'CoBots Stats'!$S$3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a5a5a5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a5a5a5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a5a5a5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a5a5a5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a5a5a5"/>
              </a:solidFill>
              <a:ln>
                <a:noFill/>
              </a:ln>
            </c:spPr>
          </c:dPt>
          <c:dLbls>
            <c:numFmt formatCode="0" sourceLinked="1"/>
            <c:dLbl>
              <c:idx val="0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'CoBots Stats'!$Q$4:$Q$13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'CoBots Stats'!$S$4:$S$13</c:f>
              <c:numCache>
                <c:formatCode>General</c:formatCode>
                <c:ptCount val="10"/>
              </c:numCache>
            </c:numRef>
          </c:val>
        </c:ser>
        <c:gapWidth val="0"/>
        <c:overlap val="0"/>
        <c:axId val="88148393"/>
        <c:axId val="47752575"/>
      </c:barChart>
      <c:catAx>
        <c:axId val="881483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752575"/>
        <c:crosses val="autoZero"/>
        <c:auto val="1"/>
        <c:lblAlgn val="ctr"/>
        <c:lblOffset val="100"/>
        <c:noMultiLvlLbl val="0"/>
      </c:catAx>
      <c:valAx>
        <c:axId val="47752575"/>
        <c:scaling>
          <c:orientation val="minMax"/>
          <c:max val="56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14839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'CoBots Stats'!$I$3</c:f>
              <c:strCache>
                <c:ptCount val="1"/>
                <c:pt idx="0">
                  <c:v>Energy consumption [PJ] assuming 1 KW and 24/7 operation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'CoBots Stats'!$A$4:$A$13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xVal>
          <c:yVal>
            <c:numRef>
              <c:f>'CoBots Stats'!$I$4:$I$13</c:f>
              <c:numCache>
                <c:formatCode>General</c:formatCode>
                <c:ptCount val="10"/>
                <c:pt idx="0">
                  <c:v>0</c:v>
                </c:pt>
                <c:pt idx="1">
                  <c:v>0.512937417168714</c:v>
                </c:pt>
                <c:pt idx="2">
                  <c:v>0.576433670072967</c:v>
                </c:pt>
                <c:pt idx="3">
                  <c:v>0.643334991400191</c:v>
                </c:pt>
                <c:pt idx="4">
                  <c:v>0.776819580293347</c:v>
                </c:pt>
                <c:pt idx="5">
                  <c:v>1.11384577428125</c:v>
                </c:pt>
                <c:pt idx="6">
                  <c:v>1.51417544278041</c:v>
                </c:pt>
                <c:pt idx="7">
                  <c:v>2.04947962918216</c:v>
                </c:pt>
                <c:pt idx="8">
                  <c:v>2.77514421982356</c:v>
                </c:pt>
                <c:pt idx="9">
                  <c:v>3.74159813881646</c:v>
                </c:pt>
              </c:numCache>
            </c:numRef>
          </c:yVal>
          <c:smooth val="0"/>
        </c:ser>
        <c:axId val="52351701"/>
        <c:axId val="9808358"/>
      </c:scatterChart>
      <c:valAx>
        <c:axId val="523517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08358"/>
        <c:crosses val="autoZero"/>
        <c:crossBetween val="midCat"/>
      </c:valAx>
      <c:valAx>
        <c:axId val="98083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3517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Watts/Kg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7"/>
                <c:pt idx="0">
                  <c:v>Kinova Gen3</c:v>
                </c:pt>
                <c:pt idx="1">
                  <c:v>KUKA LBR IIWA R800/820</c:v>
                </c:pt>
                <c:pt idx="2">
                  <c:v>Kinova Jaco</c:v>
                </c:pt>
                <c:pt idx="3">
                  <c:v>Kinova Ulra</c:v>
                </c:pt>
                <c:pt idx="4">
                  <c:v>Franka Emika Panda</c:v>
                </c:pt>
                <c:pt idx="5">
                  <c:v>Universal Robots UR16e</c:v>
                </c:pt>
                <c:pt idx="6">
                  <c:v>FANUC CR-35iA</c:v>
                </c:pt>
                <c:pt idx="7">
                  <c:v>TM 5-700</c:v>
                </c:pt>
                <c:pt idx="8">
                  <c:v>Universal Robots UR3e</c:v>
                </c:pt>
                <c:pt idx="9">
                  <c:v>Universal Robots UR10e</c:v>
                </c:pt>
                <c:pt idx="10">
                  <c:v>FANUC CR-14iA/L</c:v>
                </c:pt>
                <c:pt idx="11">
                  <c:v>Universal Robots UR5e</c:v>
                </c:pt>
                <c:pt idx="12">
                  <c:v>Rethink Robotics Sawyer</c:v>
                </c:pt>
                <c:pt idx="13">
                  <c:v>TM 5-900</c:v>
                </c:pt>
                <c:pt idx="14">
                  <c:v>FANUC CR-15iA/L</c:v>
                </c:pt>
                <c:pt idx="15">
                  <c:v>FANUC CR-7iA/L</c:v>
                </c:pt>
                <c:pt idx="16">
                  <c:v>FANUC CR-4iA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7"/>
                <c:pt idx="0">
                  <c:v>9</c:v>
                </c:pt>
                <c:pt idx="1">
                  <c:v>14.28</c:v>
                </c:pt>
                <c:pt idx="2">
                  <c:v>19.2307692307692</c:v>
                </c:pt>
                <c:pt idx="3">
                  <c:v>19.2307692307692</c:v>
                </c:pt>
                <c:pt idx="4">
                  <c:v>20</c:v>
                </c:pt>
                <c:pt idx="5">
                  <c:v>21.875</c:v>
                </c:pt>
                <c:pt idx="6">
                  <c:v>28.5714285714286</c:v>
                </c:pt>
                <c:pt idx="7">
                  <c:v>33.3333333333333</c:v>
                </c:pt>
                <c:pt idx="8">
                  <c:v>33.3333333333333</c:v>
                </c:pt>
                <c:pt idx="9">
                  <c:v>35</c:v>
                </c:pt>
                <c:pt idx="10">
                  <c:v>35.7142857142857</c:v>
                </c:pt>
                <c:pt idx="11">
                  <c:v>40</c:v>
                </c:pt>
                <c:pt idx="12">
                  <c:v>43.75</c:v>
                </c:pt>
                <c:pt idx="13">
                  <c:v>50</c:v>
                </c:pt>
                <c:pt idx="14">
                  <c:v>66.6666666666667</c:v>
                </c:pt>
                <c:pt idx="15">
                  <c:v>71.4285714285714</c:v>
                </c:pt>
                <c:pt idx="16">
                  <c:v>125</c:v>
                </c:pt>
              </c:numCache>
            </c:numRef>
          </c:val>
        </c:ser>
        <c:gapWidth val="100"/>
        <c:overlap val="0"/>
        <c:axId val="20044765"/>
        <c:axId val="60265284"/>
      </c:barChart>
      <c:catAx>
        <c:axId val="2004476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US" sz="964" spc="-1" strike="noStrike">
                <a:solidFill>
                  <a:srgbClr val="000000"/>
                </a:solidFill>
                <a:latin typeface="Basic Sans"/>
                <a:ea typeface="SimSun"/>
              </a:defRPr>
            </a:pPr>
          </a:p>
        </c:txPr>
        <c:crossAx val="60265284"/>
        <c:crosses val="autoZero"/>
        <c:auto val="1"/>
        <c:lblAlgn val="ctr"/>
        <c:lblOffset val="100"/>
        <c:noMultiLvlLbl val="0"/>
      </c:catAx>
      <c:valAx>
        <c:axId val="602652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US" sz="964" spc="-1" strike="noStrike">
                <a:solidFill>
                  <a:srgbClr val="000000"/>
                </a:solidFill>
                <a:latin typeface="Basic Sans"/>
                <a:ea typeface="SimSun"/>
              </a:defRPr>
            </a:pPr>
          </a:p>
        </c:txPr>
        <c:crossAx val="2004476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US" sz="964" spc="-1" strike="noStrike">
              <a:solidFill>
                <a:srgbClr val="000000"/>
              </a:solidFill>
              <a:latin typeface="Basic Sans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59.xml"/><Relationship Id="rId2" Type="http://schemas.openxmlformats.org/officeDocument/2006/relationships/chart" Target="../charts/chart360.xml"/><Relationship Id="rId3" Type="http://schemas.openxmlformats.org/officeDocument/2006/relationships/chart" Target="../charts/chart361.xml"/><Relationship Id="rId4" Type="http://schemas.openxmlformats.org/officeDocument/2006/relationships/chart" Target="../charts/chart362.xml"/><Relationship Id="rId5" Type="http://schemas.openxmlformats.org/officeDocument/2006/relationships/chart" Target="../charts/chart36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64.xml"/><Relationship Id="rId2" Type="http://schemas.openxmlformats.org/officeDocument/2006/relationships/chart" Target="../charts/chart365.xml"/><Relationship Id="rId3" Type="http://schemas.openxmlformats.org/officeDocument/2006/relationships/chart" Target="../charts/chart36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6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68.xml"/><Relationship Id="rId2" Type="http://schemas.openxmlformats.org/officeDocument/2006/relationships/chart" Target="../charts/chart36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7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751320</xdr:colOff>
      <xdr:row>2</xdr:row>
      <xdr:rowOff>424440</xdr:rowOff>
    </xdr:from>
    <xdr:to>
      <xdr:col>26</xdr:col>
      <xdr:colOff>390960</xdr:colOff>
      <xdr:row>19</xdr:row>
      <xdr:rowOff>171360</xdr:rowOff>
    </xdr:to>
    <xdr:graphicFrame>
      <xdr:nvGraphicFramePr>
        <xdr:cNvPr id="0" name="Chart 2"/>
        <xdr:cNvGraphicFramePr/>
      </xdr:nvGraphicFramePr>
      <xdr:xfrm>
        <a:off x="29152080" y="774720"/>
        <a:ext cx="5714640" cy="353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668520</xdr:colOff>
      <xdr:row>2</xdr:row>
      <xdr:rowOff>25560</xdr:rowOff>
    </xdr:from>
    <xdr:to>
      <xdr:col>39</xdr:col>
      <xdr:colOff>150840</xdr:colOff>
      <xdr:row>22</xdr:row>
      <xdr:rowOff>102240</xdr:rowOff>
    </xdr:to>
    <xdr:graphicFrame>
      <xdr:nvGraphicFramePr>
        <xdr:cNvPr id="1" name="Chart 3"/>
        <xdr:cNvGraphicFramePr/>
      </xdr:nvGraphicFramePr>
      <xdr:xfrm>
        <a:off x="35839800" y="375840"/>
        <a:ext cx="7088760" cy="452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266040</xdr:colOff>
      <xdr:row>24</xdr:row>
      <xdr:rowOff>70560</xdr:rowOff>
    </xdr:from>
    <xdr:to>
      <xdr:col>39</xdr:col>
      <xdr:colOff>141840</xdr:colOff>
      <xdr:row>40</xdr:row>
      <xdr:rowOff>89280</xdr:rowOff>
    </xdr:to>
    <xdr:graphicFrame>
      <xdr:nvGraphicFramePr>
        <xdr:cNvPr id="2" name="Chart 5"/>
        <xdr:cNvGraphicFramePr/>
      </xdr:nvGraphicFramePr>
      <xdr:xfrm>
        <a:off x="36132480" y="5215320"/>
        <a:ext cx="6787080" cy="365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545400</xdr:colOff>
      <xdr:row>24</xdr:row>
      <xdr:rowOff>162720</xdr:rowOff>
    </xdr:from>
    <xdr:to>
      <xdr:col>27</xdr:col>
      <xdr:colOff>384480</xdr:colOff>
      <xdr:row>40</xdr:row>
      <xdr:rowOff>81720</xdr:rowOff>
    </xdr:to>
    <xdr:graphicFrame>
      <xdr:nvGraphicFramePr>
        <xdr:cNvPr id="3" name="Chart 6"/>
        <xdr:cNvGraphicFramePr/>
      </xdr:nvGraphicFramePr>
      <xdr:xfrm>
        <a:off x="28946160" y="5307480"/>
        <a:ext cx="6609600" cy="355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501480</xdr:colOff>
      <xdr:row>2</xdr:row>
      <xdr:rowOff>80640</xdr:rowOff>
    </xdr:from>
    <xdr:to>
      <xdr:col>5</xdr:col>
      <xdr:colOff>876960</xdr:colOff>
      <xdr:row>20</xdr:row>
      <xdr:rowOff>157320</xdr:rowOff>
    </xdr:to>
    <xdr:graphicFrame>
      <xdr:nvGraphicFramePr>
        <xdr:cNvPr id="4" name="Chart 4"/>
        <xdr:cNvGraphicFramePr/>
      </xdr:nvGraphicFramePr>
      <xdr:xfrm>
        <a:off x="501480" y="430920"/>
        <a:ext cx="7287840" cy="414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46440</xdr:colOff>
      <xdr:row>0</xdr:row>
      <xdr:rowOff>267480</xdr:rowOff>
    </xdr:from>
    <xdr:to>
      <xdr:col>29</xdr:col>
      <xdr:colOff>244800</xdr:colOff>
      <xdr:row>18</xdr:row>
      <xdr:rowOff>46440</xdr:rowOff>
    </xdr:to>
    <xdr:graphicFrame>
      <xdr:nvGraphicFramePr>
        <xdr:cNvPr id="5" name="Chart 1"/>
        <xdr:cNvGraphicFramePr/>
      </xdr:nvGraphicFramePr>
      <xdr:xfrm>
        <a:off x="15504120" y="267480"/>
        <a:ext cx="6021720" cy="31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241560</xdr:colOff>
      <xdr:row>23</xdr:row>
      <xdr:rowOff>146880</xdr:rowOff>
    </xdr:from>
    <xdr:to>
      <xdr:col>21</xdr:col>
      <xdr:colOff>295200</xdr:colOff>
      <xdr:row>48</xdr:row>
      <xdr:rowOff>47160</xdr:rowOff>
    </xdr:to>
    <xdr:graphicFrame>
      <xdr:nvGraphicFramePr>
        <xdr:cNvPr id="6" name="Chart 3"/>
        <xdr:cNvGraphicFramePr/>
      </xdr:nvGraphicFramePr>
      <xdr:xfrm>
        <a:off x="10522800" y="4467240"/>
        <a:ext cx="5877000" cy="457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585360</xdr:colOff>
      <xdr:row>0</xdr:row>
      <xdr:rowOff>74520</xdr:rowOff>
    </xdr:from>
    <xdr:to>
      <xdr:col>17</xdr:col>
      <xdr:colOff>4320</xdr:colOff>
      <xdr:row>21</xdr:row>
      <xdr:rowOff>122400</xdr:rowOff>
    </xdr:to>
    <xdr:graphicFrame>
      <xdr:nvGraphicFramePr>
        <xdr:cNvPr id="7" name="Chart 2"/>
        <xdr:cNvGraphicFramePr/>
      </xdr:nvGraphicFramePr>
      <xdr:xfrm>
        <a:off x="6522480" y="74520"/>
        <a:ext cx="6998400" cy="396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411480</xdr:colOff>
      <xdr:row>0</xdr:row>
      <xdr:rowOff>99000</xdr:rowOff>
    </xdr:from>
    <xdr:to>
      <xdr:col>14</xdr:col>
      <xdr:colOff>484200</xdr:colOff>
      <xdr:row>29</xdr:row>
      <xdr:rowOff>10440</xdr:rowOff>
    </xdr:to>
    <xdr:graphicFrame>
      <xdr:nvGraphicFramePr>
        <xdr:cNvPr id="8" name="Chart 1"/>
        <xdr:cNvGraphicFramePr/>
      </xdr:nvGraphicFramePr>
      <xdr:xfrm>
        <a:off x="3744360" y="99000"/>
        <a:ext cx="6206760" cy="543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51480</xdr:colOff>
      <xdr:row>31</xdr:row>
      <xdr:rowOff>148680</xdr:rowOff>
    </xdr:from>
    <xdr:to>
      <xdr:col>20</xdr:col>
      <xdr:colOff>140040</xdr:colOff>
      <xdr:row>50</xdr:row>
      <xdr:rowOff>49320</xdr:rowOff>
    </xdr:to>
    <xdr:graphicFrame>
      <xdr:nvGraphicFramePr>
        <xdr:cNvPr id="9" name="Chart 3_1"/>
        <xdr:cNvGraphicFramePr/>
      </xdr:nvGraphicFramePr>
      <xdr:xfrm>
        <a:off x="12713760" y="6650280"/>
        <a:ext cx="49687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402480</xdr:colOff>
      <xdr:row>4</xdr:row>
      <xdr:rowOff>27000</xdr:rowOff>
    </xdr:from>
    <xdr:to>
      <xdr:col>18</xdr:col>
      <xdr:colOff>239400</xdr:colOff>
      <xdr:row>18</xdr:row>
      <xdr:rowOff>106200</xdr:rowOff>
    </xdr:to>
    <xdr:graphicFrame>
      <xdr:nvGraphicFramePr>
        <xdr:cNvPr id="10" name=""/>
        <xdr:cNvGraphicFramePr/>
      </xdr:nvGraphicFramePr>
      <xdr:xfrm>
        <a:off x="9315720" y="1181160"/>
        <a:ext cx="7239240" cy="257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98280</xdr:colOff>
      <xdr:row>6</xdr:row>
      <xdr:rowOff>85680</xdr:rowOff>
    </xdr:from>
    <xdr:to>
      <xdr:col>22</xdr:col>
      <xdr:colOff>353520</xdr:colOff>
      <xdr:row>30</xdr:row>
      <xdr:rowOff>74520</xdr:rowOff>
    </xdr:to>
    <xdr:graphicFrame>
      <xdr:nvGraphicFramePr>
        <xdr:cNvPr id="11" name="Chart2"/>
        <xdr:cNvGraphicFramePr/>
      </xdr:nvGraphicFramePr>
      <xdr:xfrm>
        <a:off x="8058960" y="1137240"/>
        <a:ext cx="10537920" cy="43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0" headerRowCount="1" totalsRowCount="0" totalsRowShown="0">
  <autoFilter ref="A1:C10"/>
  <tableColumns count="3">
    <tableColumn id="1" name="Company"/>
    <tableColumn id="2" name="Installed Units"/>
    <tableColumn id="3" name="Market Shar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statista.com/statistics/1378948/mobile-cobots-market-volume/" TargetMode="External"/><Relationship Id="rId2" Type="http://schemas.openxmlformats.org/officeDocument/2006/relationships/hyperlink" Target="https://www.statista.com/statistics/1199571/collaborative-robots-installations-worldwide/" TargetMode="External"/><Relationship Id="rId3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56"/>
  <sheetViews>
    <sheetView showFormulas="false" showGridLines="tru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C26" activeCellId="0" sqref="C26"/>
    </sheetView>
  </sheetViews>
  <sheetFormatPr defaultColWidth="8.70703125" defaultRowHeight="15" zeroHeight="true" outlineLevelRow="0" outlineLevelCol="0"/>
  <cols>
    <col collapsed="false" customWidth="true" hidden="false" outlineLevel="0" max="2" min="2" style="0" width="12.57"/>
    <col collapsed="false" customWidth="true" hidden="false" outlineLevel="0" max="7" min="3" style="0" width="25.57"/>
    <col collapsed="false" customWidth="true" hidden="false" outlineLevel="0" max="8" min="8" style="0" width="32.57"/>
    <col collapsed="false" customWidth="true" hidden="false" outlineLevel="0" max="9" min="9" style="0" width="25.86"/>
    <col collapsed="false" customWidth="true" hidden="false" outlineLevel="0" max="10" min="10" style="0" width="15.71"/>
    <col collapsed="false" customWidth="true" hidden="false" outlineLevel="0" max="11" min="11" style="0" width="32.57"/>
    <col collapsed="false" customWidth="true" hidden="false" outlineLevel="0" max="12" min="12" style="0" width="20.71"/>
    <col collapsed="false" customWidth="true" hidden="false" outlineLevel="0" max="13" min="13" style="0" width="15.71"/>
    <col collapsed="false" customWidth="true" hidden="false" outlineLevel="0" max="14" min="14" style="0" width="33.29"/>
    <col collapsed="false" customWidth="true" hidden="false" outlineLevel="0" max="15" min="15" style="0" width="29.42"/>
    <col collapsed="false" customWidth="true" hidden="false" outlineLevel="0" max="16" min="16" style="0" width="15.71"/>
    <col collapsed="false" customWidth="true" hidden="false" outlineLevel="0" max="17" min="17" style="0" width="13.14"/>
    <col collapsed="false" customWidth="true" hidden="false" outlineLevel="0" max="18" min="18" style="0" width="18.71"/>
    <col collapsed="false" customWidth="true" hidden="false" outlineLevel="0" max="19" min="19" style="0" width="11.99"/>
    <col collapsed="false" customWidth="true" hidden="false" outlineLevel="0" max="21" min="20" style="0" width="12.42"/>
    <col collapsed="false" customWidth="true" hidden="false" outlineLevel="0" max="30" min="22" style="0" width="9.85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3" t="s">
        <v>1</v>
      </c>
      <c r="I2" s="3"/>
      <c r="J2" s="3"/>
      <c r="K2" s="4" t="s">
        <v>2</v>
      </c>
      <c r="L2" s="4"/>
      <c r="M2" s="4"/>
      <c r="N2" s="5" t="s">
        <v>3</v>
      </c>
      <c r="O2" s="5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customFormat="false" ht="45" hidden="false" customHeight="true" outlineLevel="0" collapsed="false">
      <c r="A3" s="1"/>
      <c r="B3" s="1"/>
      <c r="C3" s="1"/>
      <c r="D3" s="1"/>
      <c r="E3" s="1"/>
      <c r="F3" s="1"/>
      <c r="G3" s="1"/>
      <c r="H3" s="6" t="s">
        <v>4</v>
      </c>
      <c r="I3" s="7" t="s">
        <v>5</v>
      </c>
      <c r="J3" s="8" t="s">
        <v>6</v>
      </c>
      <c r="K3" s="6" t="s">
        <v>4</v>
      </c>
      <c r="L3" s="7" t="s">
        <v>5</v>
      </c>
      <c r="M3" s="8" t="s">
        <v>6</v>
      </c>
      <c r="N3" s="6" t="s">
        <v>4</v>
      </c>
      <c r="O3" s="7" t="s">
        <v>5</v>
      </c>
      <c r="P3" s="8" t="s">
        <v>6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customFormat="false" ht="22.35" hidden="false" customHeight="false" outlineLevel="0" collapsed="false">
      <c r="A4" s="1"/>
      <c r="B4" s="1"/>
      <c r="C4" s="1"/>
      <c r="D4" s="1"/>
      <c r="E4" s="1"/>
      <c r="F4" s="1"/>
      <c r="G4" s="1"/>
      <c r="H4" s="9" t="s">
        <v>7</v>
      </c>
      <c r="I4" s="10" t="n">
        <v>4.06004266991771</v>
      </c>
      <c r="J4" s="11" t="n">
        <f aca="false">300/950</f>
        <v>0.31578947368421</v>
      </c>
      <c r="K4" s="9" t="s">
        <v>7</v>
      </c>
      <c r="L4" s="10" t="n">
        <v>2.2</v>
      </c>
      <c r="M4" s="11" t="n">
        <f aca="false">400/950</f>
        <v>0.421052631578947</v>
      </c>
      <c r="N4" s="9" t="s">
        <v>7</v>
      </c>
      <c r="O4" s="10" t="n">
        <v>1.86260493827161</v>
      </c>
      <c r="P4" s="11" t="n">
        <f aca="false">250/950</f>
        <v>0.263157894736842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customFormat="false" ht="13.8" hidden="false" customHeight="false" outlineLevel="0" collapsed="false">
      <c r="A5" s="1"/>
      <c r="B5" s="1"/>
      <c r="C5" s="1"/>
      <c r="D5" s="1"/>
      <c r="E5" s="1"/>
      <c r="F5" s="1"/>
      <c r="G5" s="1"/>
      <c r="H5" s="12" t="s">
        <v>8</v>
      </c>
      <c r="I5" s="10" t="n">
        <v>5.41176470588235</v>
      </c>
      <c r="J5" s="11"/>
      <c r="K5" s="12" t="s">
        <v>8</v>
      </c>
      <c r="L5" s="10" t="n">
        <v>2.54054054054054</v>
      </c>
      <c r="M5" s="11"/>
      <c r="N5" s="12" t="s">
        <v>8</v>
      </c>
      <c r="O5" s="10" t="n">
        <v>1.66230769230769</v>
      </c>
      <c r="P5" s="1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customFormat="false" ht="13.8" hidden="false" customHeight="false" outlineLevel="0" collapsed="false">
      <c r="A6" s="1"/>
      <c r="B6" s="1"/>
      <c r="C6" s="1"/>
      <c r="D6" s="1"/>
      <c r="E6" s="1"/>
      <c r="F6" s="1"/>
      <c r="G6" s="1"/>
      <c r="H6" s="13" t="s">
        <v>9</v>
      </c>
      <c r="I6" s="10" t="n">
        <v>4.56470588235294</v>
      </c>
      <c r="J6" s="11"/>
      <c r="K6" s="13" t="s">
        <v>9</v>
      </c>
      <c r="L6" s="10" t="n">
        <v>2.43</v>
      </c>
      <c r="M6" s="11"/>
      <c r="N6" s="13" t="s">
        <v>10</v>
      </c>
      <c r="O6" s="10" t="n">
        <v>2.03117647058824</v>
      </c>
      <c r="P6" s="1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customFormat="false" ht="13.8" hidden="false" customHeight="false" outlineLevel="0" collapsed="false">
      <c r="A7" s="1"/>
      <c r="B7" s="1"/>
      <c r="C7" s="1"/>
      <c r="D7" s="1"/>
      <c r="E7" s="1"/>
      <c r="F7" s="1"/>
      <c r="G7" s="1"/>
      <c r="H7" s="14" t="s">
        <v>10</v>
      </c>
      <c r="I7" s="10" t="n">
        <v>5.0812324929972</v>
      </c>
      <c r="J7" s="11"/>
      <c r="K7" s="14" t="s">
        <v>10</v>
      </c>
      <c r="L7" s="10" t="n">
        <v>2.46875</v>
      </c>
      <c r="M7" s="11"/>
      <c r="N7" s="14" t="s">
        <v>9</v>
      </c>
      <c r="O7" s="10" t="n">
        <v>1.33111111111111</v>
      </c>
      <c r="P7" s="1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G8" s="1"/>
      <c r="H8" s="15" t="s">
        <v>11</v>
      </c>
      <c r="I8" s="10" t="n">
        <v>3.71224165341812</v>
      </c>
      <c r="J8" s="11"/>
      <c r="K8" s="15" t="s">
        <v>11</v>
      </c>
      <c r="L8" s="10" t="n">
        <v>2.2203125</v>
      </c>
      <c r="M8" s="11"/>
      <c r="N8" s="15" t="s">
        <v>11</v>
      </c>
      <c r="O8" s="10" t="n">
        <v>1.47427272727273</v>
      </c>
      <c r="P8" s="1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customFormat="false" ht="13.8" hidden="false" customHeight="false" outlineLevel="0" collapsed="false">
      <c r="A9" s="1"/>
      <c r="B9" s="1"/>
      <c r="C9" s="1"/>
      <c r="D9" s="1"/>
      <c r="E9" s="1"/>
      <c r="F9" s="1"/>
      <c r="G9" s="1"/>
      <c r="H9" s="16" t="s">
        <v>12</v>
      </c>
      <c r="I9" s="17" t="n">
        <v>1</v>
      </c>
      <c r="J9" s="11"/>
      <c r="K9" s="16" t="s">
        <v>12</v>
      </c>
      <c r="L9" s="18" t="n">
        <v>1</v>
      </c>
      <c r="M9" s="11"/>
      <c r="N9" s="16" t="s">
        <v>12</v>
      </c>
      <c r="O9" s="17" t="n">
        <v>1</v>
      </c>
      <c r="P9" s="1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customFormat="false" ht="13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customFormat="false" ht="14.45" hidden="false" customHeight="true" outlineLevel="0" collapsed="false">
      <c r="A11" s="1"/>
      <c r="B11" s="1"/>
      <c r="C11" s="1"/>
      <c r="D11" s="1"/>
      <c r="E11" s="1"/>
      <c r="F11" s="1"/>
      <c r="G11" s="1"/>
      <c r="H11" s="19" t="s">
        <v>13</v>
      </c>
      <c r="I11" s="19"/>
      <c r="J11" s="19"/>
      <c r="K11" s="19"/>
      <c r="L11" s="19"/>
      <c r="M11" s="19"/>
      <c r="N11" s="2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customFormat="false" ht="22.35" hidden="false" customHeight="false" outlineLevel="0" collapsed="false">
      <c r="A12" s="1"/>
      <c r="B12" s="1"/>
      <c r="C12" s="1"/>
      <c r="D12" s="1"/>
      <c r="E12" s="1"/>
      <c r="F12" s="1"/>
      <c r="G12" s="1"/>
      <c r="H12" s="21" t="s">
        <v>4</v>
      </c>
      <c r="I12" s="22" t="s">
        <v>5</v>
      </c>
      <c r="J12" s="22" t="s">
        <v>14</v>
      </c>
      <c r="K12" s="22" t="s">
        <v>15</v>
      </c>
      <c r="L12" s="22" t="s">
        <v>16</v>
      </c>
      <c r="M12" s="23" t="s">
        <v>17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customFormat="false" ht="22.35" hidden="false" customHeight="false" outlineLevel="0" collapsed="false">
      <c r="A13" s="1"/>
      <c r="B13" s="1"/>
      <c r="C13" s="1"/>
      <c r="D13" s="1"/>
      <c r="E13" s="1"/>
      <c r="F13" s="1"/>
      <c r="G13" s="1"/>
      <c r="H13" s="9" t="s">
        <v>7</v>
      </c>
      <c r="I13" s="24" t="n">
        <f aca="false">2*(I4*$J$4+L4*$M$4+O4*$P$4)</f>
        <v>5.39718744324888</v>
      </c>
      <c r="J13" s="25" t="n">
        <v>0.401</v>
      </c>
      <c r="K13" s="26" t="n">
        <f aca="false">$K$19*J13</f>
        <v>495390.989</v>
      </c>
      <c r="L13" s="27" t="n">
        <f aca="false">I13*1000*K13/(1*10^6)</f>
        <v>2673.71802532944</v>
      </c>
      <c r="M13" s="28" t="n">
        <f aca="false">L13*1000000*31536000/(1*10^15)</f>
        <v>84.3183716467893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customFormat="false" ht="13.8" hidden="false" customHeight="false" outlineLevel="0" collapsed="false">
      <c r="A14" s="1"/>
      <c r="B14" s="1"/>
      <c r="C14" s="1"/>
      <c r="D14" s="1"/>
      <c r="E14" s="1"/>
      <c r="F14" s="1"/>
      <c r="G14" s="1"/>
      <c r="H14" s="12" t="s">
        <v>8</v>
      </c>
      <c r="I14" s="29" t="n">
        <f aca="false">2*(I5*$J$4+L5*$M$4+O5*$P$4)</f>
        <v>6.43225800222704</v>
      </c>
      <c r="J14" s="30" t="n">
        <v>0.288</v>
      </c>
      <c r="K14" s="29" t="n">
        <f aca="false">$K$19*J14</f>
        <v>355792.032</v>
      </c>
      <c r="L14" s="31" t="n">
        <f aca="false">I14*1000*K14/(1*10^6)</f>
        <v>2288.54614496062</v>
      </c>
      <c r="M14" s="32" t="n">
        <f aca="false">L14*1000000*31536000/(1*10^15)</f>
        <v>72.1715912274781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customFormat="false" ht="13.8" hidden="false" customHeight="false" outlineLevel="0" collapsed="false">
      <c r="A15" s="1"/>
      <c r="B15" s="1"/>
      <c r="C15" s="1"/>
      <c r="D15" s="1"/>
      <c r="E15" s="1"/>
      <c r="F15" s="1"/>
      <c r="G15" s="1"/>
      <c r="H15" s="13" t="s">
        <v>9</v>
      </c>
      <c r="I15" s="33" t="n">
        <f aca="false">2*(I6*$J$4+L6*$M$4+O6*$P$4)</f>
        <v>5.99832817337462</v>
      </c>
      <c r="J15" s="34" t="n">
        <v>0.041</v>
      </c>
      <c r="K15" s="33" t="n">
        <f aca="false">$K$19*J15</f>
        <v>50650.949</v>
      </c>
      <c r="L15" s="35" t="n">
        <f aca="false">I15*1000*K15/(1*10^6)</f>
        <v>303.821014394861</v>
      </c>
      <c r="M15" s="36" t="n">
        <f aca="false">L15*1000000*31536000/(1*10^15)</f>
        <v>9.58129950995633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customFormat="false" ht="13.8" hidden="false" customHeight="false" outlineLevel="0" collapsed="false">
      <c r="A16" s="1"/>
      <c r="B16" s="1"/>
      <c r="C16" s="1"/>
      <c r="D16" s="1"/>
      <c r="E16" s="1"/>
      <c r="F16" s="1"/>
      <c r="G16" s="1"/>
      <c r="H16" s="14" t="s">
        <v>10</v>
      </c>
      <c r="I16" s="37" t="n">
        <f aca="false">2*(I7*$J$4+L7*$M$4+O7*$P$4)</f>
        <v>5.98873163300408</v>
      </c>
      <c r="J16" s="38" t="n">
        <v>0.019</v>
      </c>
      <c r="K16" s="37" t="n">
        <f aca="false">$K$19*J16</f>
        <v>23472.391</v>
      </c>
      <c r="L16" s="39" t="n">
        <f aca="false">I16*1000*K16/(1*10^6)</f>
        <v>140.56985048394</v>
      </c>
      <c r="M16" s="40" t="n">
        <f aca="false">L16*1000000*31536000/(1*10^15)</f>
        <v>4.43301080486154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customFormat="false" ht="13.8" hidden="false" customHeight="false" outlineLevel="0" collapsed="false">
      <c r="A17" s="1"/>
      <c r="B17" s="1"/>
      <c r="C17" s="1"/>
      <c r="D17" s="1"/>
      <c r="E17" s="1"/>
      <c r="F17" s="1"/>
      <c r="G17" s="1"/>
      <c r="H17" s="15" t="s">
        <v>11</v>
      </c>
      <c r="I17" s="41" t="n">
        <f aca="false">2*(I8*$J$4+L8*$M$4+O8*$P$4)</f>
        <v>4.99024353230235</v>
      </c>
      <c r="J17" s="42" t="n">
        <v>0.1</v>
      </c>
      <c r="K17" s="41" t="n">
        <f aca="false">$K$19*J17</f>
        <v>123538.9</v>
      </c>
      <c r="L17" s="43" t="n">
        <f aca="false">I17*1000*K17/(1*10^6)</f>
        <v>616.489196712748</v>
      </c>
      <c r="M17" s="44" t="n">
        <f aca="false">L17*1000000*31536000/(1*10^15)</f>
        <v>19.4416033075332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customFormat="false" ht="13.8" hidden="false" customHeight="false" outlineLevel="0" collapsed="false">
      <c r="A18" s="1"/>
      <c r="B18" s="1"/>
      <c r="C18" s="1"/>
      <c r="D18" s="1"/>
      <c r="E18" s="1"/>
      <c r="F18" s="1"/>
      <c r="G18" s="1"/>
      <c r="H18" s="16" t="s">
        <v>12</v>
      </c>
      <c r="I18" s="45" t="n">
        <f aca="false">2*(I9*$J$4+L9*$M$4+O9*$P$4)</f>
        <v>2</v>
      </c>
      <c r="J18" s="46" t="n">
        <f aca="false">10.7%+4.4%</f>
        <v>0.151</v>
      </c>
      <c r="K18" s="45" t="n">
        <f aca="false">$K$19*J18</f>
        <v>186543.739</v>
      </c>
      <c r="L18" s="47" t="n">
        <f aca="false">I18*1000*K18/(1*10^6)</f>
        <v>373.087478</v>
      </c>
      <c r="M18" s="48" t="n">
        <f aca="false">L18*1000000*31536000/(1*10^15)</f>
        <v>11.765686706208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customFormat="false" ht="19.7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49" t="n">
        <v>1235389</v>
      </c>
      <c r="L19" s="50" t="n">
        <f aca="false">SUM(L13:L18)</f>
        <v>6396.23170988161</v>
      </c>
      <c r="M19" s="51" t="n">
        <f aca="false">SUM(M13:M18)</f>
        <v>201.711563202826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customFormat="false" ht="22.35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52"/>
      <c r="K20" s="53" t="s">
        <v>18</v>
      </c>
      <c r="L20" s="54" t="s">
        <v>16</v>
      </c>
      <c r="M20" s="55" t="s">
        <v>19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customFormat="false" ht="13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customFormat="false" ht="15.75" hidden="false" customHeight="true" outlineLevel="0" collapsed="false">
      <c r="A22" s="1"/>
      <c r="B22" s="1"/>
      <c r="C22" s="1"/>
      <c r="D22" s="1"/>
      <c r="E22" s="1"/>
      <c r="F22" s="1"/>
      <c r="G22" s="56"/>
      <c r="H22" s="57" t="s">
        <v>20</v>
      </c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customFormat="false" ht="13.8" hidden="false" customHeight="false" outlineLevel="0" collapsed="false">
      <c r="A23" s="1"/>
      <c r="B23" s="1"/>
      <c r="C23" s="1"/>
      <c r="D23" s="1"/>
      <c r="E23" s="1"/>
      <c r="F23" s="1"/>
      <c r="G23" s="56"/>
      <c r="H23" s="59" t="n">
        <v>2015</v>
      </c>
      <c r="I23" s="60" t="s">
        <v>21</v>
      </c>
      <c r="J23" s="60" t="s">
        <v>22</v>
      </c>
      <c r="K23" s="60" t="s">
        <v>23</v>
      </c>
      <c r="L23" s="60" t="s">
        <v>24</v>
      </c>
      <c r="M23" s="60" t="s">
        <v>25</v>
      </c>
      <c r="N23" s="60" t="s">
        <v>26</v>
      </c>
      <c r="O23" s="60" t="s">
        <v>27</v>
      </c>
      <c r="P23" s="60" t="s">
        <v>28</v>
      </c>
      <c r="Q23" s="60" t="s">
        <v>29</v>
      </c>
      <c r="R23" s="61" t="s">
        <v>30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customFormat="false" ht="13.8" hidden="false" customHeight="false" outlineLevel="0" collapsed="false">
      <c r="A24" s="1"/>
      <c r="B24" s="62" t="s">
        <v>31</v>
      </c>
      <c r="C24" s="62"/>
      <c r="D24" s="62"/>
      <c r="E24" s="62"/>
      <c r="F24" s="1"/>
      <c r="G24" s="56"/>
      <c r="H24" s="63" t="n">
        <f aca="false">'Estimated Install Base to 2025'!D31*1000000</f>
        <v>1632000</v>
      </c>
      <c r="I24" s="64" t="n">
        <f aca="false">'Estimated Install Base to 2025'!D32*1000000</f>
        <v>1827840</v>
      </c>
      <c r="J24" s="64" t="n">
        <f aca="false">'Estimated Install Base to 2025'!D33*1000000</f>
        <v>2047180.8</v>
      </c>
      <c r="K24" s="64" t="n">
        <f aca="false">'Estimated Install Base to 2025'!D34*1000000</f>
        <v>2292842.496</v>
      </c>
      <c r="L24" s="64" t="n">
        <f aca="false">'Estimated Install Base to 2025'!D35*1000000</f>
        <v>2567983.59552</v>
      </c>
      <c r="M24" s="64" t="n">
        <f aca="false">'Estimated Install Base to 2025'!D36*1000000</f>
        <v>2876141.6269824</v>
      </c>
      <c r="N24" s="64" t="n">
        <f aca="false">'Estimated Install Base to 2025'!D37*1000000</f>
        <v>3221278.62222029</v>
      </c>
      <c r="O24" s="64" t="n">
        <f aca="false">'Estimated Install Base to 2025'!D38*1000000</f>
        <v>3607832.05688673</v>
      </c>
      <c r="P24" s="64" t="n">
        <f aca="false">'Estimated Install Base to 2025'!D39*1000000</f>
        <v>4040771.90371313</v>
      </c>
      <c r="Q24" s="64" t="n">
        <f aca="false">'Estimated Install Base to 2025'!D40*1000000</f>
        <v>4525664.53215871</v>
      </c>
      <c r="R24" s="65" t="n">
        <f aca="false">'Estimated Install Base to 2025'!D41*1000000</f>
        <v>5068744.27601776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customFormat="false" ht="34.3" hidden="false" customHeight="false" outlineLevel="0" collapsed="false">
      <c r="A25" s="1"/>
      <c r="B25" s="66" t="s">
        <v>32</v>
      </c>
      <c r="C25" s="67" t="s">
        <v>33</v>
      </c>
      <c r="D25" s="67" t="s">
        <v>34</v>
      </c>
      <c r="E25" s="68" t="s">
        <v>35</v>
      </c>
      <c r="F25" s="1"/>
      <c r="G25" s="9" t="s">
        <v>7</v>
      </c>
      <c r="H25" s="69" t="n">
        <f aca="false">($I13*1000*($H24*$J13)/(1*10^6))*1000000*31536000/(1*10^15)</f>
        <v>111.388058763321</v>
      </c>
      <c r="I25" s="70" t="n">
        <f aca="false">($I13*1000*(I$24*$J13)/(1*10^6))*1000000*31536000/(1*10^15)</f>
        <v>124.754625814919</v>
      </c>
      <c r="J25" s="70" t="n">
        <f aca="false">($I13*1000*(J$24*$J13)/(1*10^6))*1000000*31536000/(1*10^15)</f>
        <v>139.72518091271</v>
      </c>
      <c r="K25" s="70" t="n">
        <f aca="false">($I13*1000*(K$24*$J13)/(1*10^6))*1000000*31536000/(1*10^15)</f>
        <v>156.492202622235</v>
      </c>
      <c r="L25" s="70" t="n">
        <f aca="false">($I13*1000*(L$24*$J13)/(1*10^6))*1000000*31536000/(1*10^15)</f>
        <v>175.271266936903</v>
      </c>
      <c r="M25" s="70" t="n">
        <f aca="false">($I13*1000*(M$24*$J13)/(1*10^6))*1000000*31536000/(1*10^15)</f>
        <v>196.303818969331</v>
      </c>
      <c r="N25" s="70" t="n">
        <f aca="false">($I13*1000*(N$24*$J13)/(1*10^6))*1000000*31536000/(1*10^15)</f>
        <v>219.860277245651</v>
      </c>
      <c r="O25" s="70" t="n">
        <f aca="false">($I13*1000*(O$24*$J13)/(1*10^6))*1000000*31536000/(1*10^15)</f>
        <v>246.243510515129</v>
      </c>
      <c r="P25" s="70" t="n">
        <f aca="false">($I13*1000*(P$24*$J13)/(1*10^6))*1000000*31536000/(1*10^15)</f>
        <v>275.792731776945</v>
      </c>
      <c r="Q25" s="70" t="n">
        <f aca="false">($I13*1000*(Q$24*$J13)/(1*10^6))*1000000*31536000/(1*10^15)</f>
        <v>308.887859590178</v>
      </c>
      <c r="R25" s="71" t="n">
        <f aca="false">($I13*1000*(R$24*$J13)/(1*10^6))*1000000*31536000/(1*10^15)</f>
        <v>345.954402741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customFormat="false" ht="13.8" hidden="false" customHeight="false" outlineLevel="0" collapsed="false">
      <c r="A26" s="1"/>
      <c r="B26" s="72" t="n">
        <v>2009</v>
      </c>
      <c r="C26" s="73" t="n">
        <f aca="false">SUM($B$47:$B$52)</f>
        <v>166.706604988458</v>
      </c>
      <c r="D26" s="73"/>
      <c r="E26" s="74"/>
      <c r="F26" s="1"/>
      <c r="G26" s="12" t="s">
        <v>8</v>
      </c>
      <c r="H26" s="69" t="n">
        <f aca="false">($I14*1000*(H$24*$J14)/(1*10^6))*1000000*31536000/(1*10^15)</f>
        <v>95.3416590913827</v>
      </c>
      <c r="I26" s="70" t="n">
        <f aca="false">($I14*1000*(I$24*$J14)/(1*10^6))*1000000*31536000/(1*10^15)</f>
        <v>106.782658182349</v>
      </c>
      <c r="J26" s="70" t="n">
        <f aca="false">($I14*1000*(J$24*$J14)/(1*10^6))*1000000*31536000/(1*10^15)</f>
        <v>119.596577164231</v>
      </c>
      <c r="K26" s="70" t="n">
        <f aca="false">($I14*1000*(K$24*$J14)/(1*10^6))*1000000*31536000/(1*10^15)</f>
        <v>133.948166423938</v>
      </c>
      <c r="L26" s="70" t="n">
        <f aca="false">($I14*1000*(L$24*$J14)/(1*10^6))*1000000*31536000/(1*10^15)</f>
        <v>150.021946394811</v>
      </c>
      <c r="M26" s="70" t="n">
        <f aca="false">($I14*1000*(M$24*$J14)/(1*10^6))*1000000*31536000/(1*10^15)</f>
        <v>168.024579962188</v>
      </c>
      <c r="N26" s="70" t="n">
        <f aca="false">($I14*1000*(N$24*$J14)/(1*10^6))*1000000*31536000/(1*10^15)</f>
        <v>188.187529557651</v>
      </c>
      <c r="O26" s="70" t="n">
        <f aca="false">($I14*1000*(O$24*$J14)/(1*10^6))*1000000*31536000/(1*10^15)</f>
        <v>210.770033104569</v>
      </c>
      <c r="P26" s="70" t="n">
        <f aca="false">($I14*1000*(P$24*$J14)/(1*10^6))*1000000*31536000/(1*10^15)</f>
        <v>236.062437077117</v>
      </c>
      <c r="Q26" s="70" t="n">
        <f aca="false">($I14*1000*(Q$24*$J14)/(1*10^6))*1000000*31536000/(1*10^15)</f>
        <v>264.389929526371</v>
      </c>
      <c r="R26" s="71" t="n">
        <f aca="false">($I14*1000*(R$24*$J14)/(1*10^6))*1000000*31536000/(1*10^15)</f>
        <v>296.116721069536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customFormat="false" ht="13.8" hidden="false" customHeight="false" outlineLevel="0" collapsed="false">
      <c r="A27" s="1"/>
      <c r="B27" s="75" t="n">
        <v>2010</v>
      </c>
      <c r="C27" s="76" t="n">
        <f aca="false">SUM($C$47:$C$52)</f>
        <v>172.911160316138</v>
      </c>
      <c r="D27" s="76"/>
      <c r="E27" s="77"/>
      <c r="F27" s="1"/>
      <c r="G27" s="13" t="s">
        <v>9</v>
      </c>
      <c r="H27" s="69" t="n">
        <f aca="false">($I15*1000*(H$24*$J15)/(1*10^6))*1000000*31536000/(1*10^15)</f>
        <v>12.6572932090611</v>
      </c>
      <c r="I27" s="70" t="n">
        <f aca="false">($I15*1000*(I$24*$J15)/(1*10^6))*1000000*31536000/(1*10^15)</f>
        <v>14.1761683941484</v>
      </c>
      <c r="J27" s="70" t="n">
        <f aca="false">($I15*1000*(J$24*$J15)/(1*10^6))*1000000*31536000/(1*10^15)</f>
        <v>15.8773086014462</v>
      </c>
      <c r="K27" s="70" t="n">
        <f aca="false">($I15*1000*(K$24*$J15)/(1*10^6))*1000000*31536000/(1*10^15)</f>
        <v>17.7825856336197</v>
      </c>
      <c r="L27" s="70" t="n">
        <f aca="false">($I15*1000*(L$24*$J15)/(1*10^6))*1000000*31536000/(1*10^15)</f>
        <v>19.9164959096541</v>
      </c>
      <c r="M27" s="70" t="n">
        <f aca="false">($I15*1000*(M$24*$J15)/(1*10^6))*1000000*31536000/(1*10^15)</f>
        <v>22.3064754188126</v>
      </c>
      <c r="N27" s="70" t="n">
        <f aca="false">($I15*1000*(N$24*$J15)/(1*10^6))*1000000*31536000/(1*10^15)</f>
        <v>24.9832524690701</v>
      </c>
      <c r="O27" s="70" t="n">
        <f aca="false">($I15*1000*(O$24*$J15)/(1*10^6))*1000000*31536000/(1*10^15)</f>
        <v>27.9812427653585</v>
      </c>
      <c r="P27" s="70" t="n">
        <f aca="false">($I15*1000*(P$24*$J15)/(1*10^6))*1000000*31536000/(1*10^15)</f>
        <v>31.3389918972016</v>
      </c>
      <c r="Q27" s="70" t="n">
        <f aca="false">($I15*1000*(Q$24*$J15)/(1*10^6))*1000000*31536000/(1*10^15)</f>
        <v>35.0996709248658</v>
      </c>
      <c r="R27" s="71" t="n">
        <f aca="false">($I15*1000*(R$24*$J15)/(1*10^6))*1000000*31536000/(1*10^15)</f>
        <v>39.3116314358497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customFormat="false" ht="13.8" hidden="false" customHeight="false" outlineLevel="0" collapsed="false">
      <c r="A28" s="1"/>
      <c r="B28" s="75" t="n">
        <v>2011</v>
      </c>
      <c r="C28" s="76" t="n">
        <f aca="false">SUM($D$47:$D$52)</f>
        <v>188.259270863557</v>
      </c>
      <c r="D28" s="76"/>
      <c r="E28" s="77"/>
      <c r="F28" s="1"/>
      <c r="G28" s="14" t="s">
        <v>10</v>
      </c>
      <c r="H28" s="69" t="n">
        <f aca="false">($I16*1000*(H$24*$J16)/(1*10^6))*1000000*31536000/(1*10^15)</f>
        <v>5.85619074925714</v>
      </c>
      <c r="I28" s="70" t="n">
        <f aca="false">($I16*1000*(I$24*$J16)/(1*10^6))*1000000*31536000/(1*10^15)</f>
        <v>6.558933639168</v>
      </c>
      <c r="J28" s="70" t="n">
        <f aca="false">($I16*1000*(J$24*$J16)/(1*10^6))*1000000*31536000/(1*10^15)</f>
        <v>7.34600567586816</v>
      </c>
      <c r="K28" s="70" t="n">
        <f aca="false">($I16*1000*(K$24*$J16)/(1*10^6))*1000000*31536000/(1*10^15)</f>
        <v>8.22752635697234</v>
      </c>
      <c r="L28" s="70" t="n">
        <f aca="false">($I16*1000*(L$24*$J16)/(1*10^6))*1000000*31536000/(1*10^15)</f>
        <v>9.21482951980903</v>
      </c>
      <c r="M28" s="70" t="n">
        <f aca="false">($I16*1000*(M$24*$J16)/(1*10^6))*1000000*31536000/(1*10^15)</f>
        <v>10.3206090621861</v>
      </c>
      <c r="N28" s="70" t="n">
        <f aca="false">($I16*1000*(N$24*$J16)/(1*10^6))*1000000*31536000/(1*10^15)</f>
        <v>11.5590821496484</v>
      </c>
      <c r="O28" s="70" t="n">
        <f aca="false">($I16*1000*(O$24*$J16)/(1*10^6))*1000000*31536000/(1*10^15)</f>
        <v>12.9461720076063</v>
      </c>
      <c r="P28" s="70" t="n">
        <f aca="false">($I16*1000*(P$24*$J16)/(1*10^6))*1000000*31536000/(1*10^15)</f>
        <v>14.499712648519</v>
      </c>
      <c r="Q28" s="70" t="n">
        <f aca="false">($I16*1000*(Q$24*$J16)/(1*10^6))*1000000*31536000/(1*10^15)</f>
        <v>16.2396781663413</v>
      </c>
      <c r="R28" s="71" t="n">
        <f aca="false">($I16*1000*(R$24*$J16)/(1*10^6))*1000000*31536000/(1*10^15)</f>
        <v>18.1884395463023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customFormat="false" ht="22.35" hidden="false" customHeight="false" outlineLevel="0" collapsed="false">
      <c r="A29" s="1"/>
      <c r="B29" s="75" t="n">
        <v>2012</v>
      </c>
      <c r="C29" s="76" t="n">
        <f aca="false">SUM($E$47:$E$52)</f>
        <v>201.648048149604</v>
      </c>
      <c r="D29" s="76"/>
      <c r="E29" s="77"/>
      <c r="F29" s="1"/>
      <c r="G29" s="15" t="s">
        <v>11</v>
      </c>
      <c r="H29" s="69" t="n">
        <f aca="false">($I17*1000*(H$24*$J17)/(1*10^6))*1000000*31536000/(1*10^15)</f>
        <v>25.6831626296609</v>
      </c>
      <c r="I29" s="70" t="n">
        <f aca="false">($I17*1000*(I$24*$J17)/(1*10^6))*1000000*31536000/(1*10^15)</f>
        <v>28.7651421452202</v>
      </c>
      <c r="J29" s="70" t="n">
        <f aca="false">($I17*1000*(J$24*$J17)/(1*10^6))*1000000*31536000/(1*10^15)</f>
        <v>32.2169592026467</v>
      </c>
      <c r="K29" s="70" t="n">
        <f aca="false">($I17*1000*(K$24*$J17)/(1*10^6))*1000000*31536000/(1*10^15)</f>
        <v>36.0829943069643</v>
      </c>
      <c r="L29" s="70" t="n">
        <f aca="false">($I17*1000*(L$24*$J17)/(1*10^6))*1000000*31536000/(1*10^15)</f>
        <v>40.4129536238</v>
      </c>
      <c r="M29" s="70" t="n">
        <f aca="false">($I17*1000*(M$24*$J17)/(1*10^6))*1000000*31536000/(1*10^15)</f>
        <v>45.262508058656</v>
      </c>
      <c r="N29" s="70" t="n">
        <f aca="false">($I17*1000*(N$24*$J17)/(1*10^6))*1000000*31536000/(1*10^15)</f>
        <v>50.6940090256948</v>
      </c>
      <c r="O29" s="70" t="n">
        <f aca="false">($I17*1000*(O$24*$J17)/(1*10^6))*1000000*31536000/(1*10^15)</f>
        <v>56.7772901087781</v>
      </c>
      <c r="P29" s="70" t="n">
        <f aca="false">($I17*1000*(P$24*$J17)/(1*10^6))*1000000*31536000/(1*10^15)</f>
        <v>63.5905649218315</v>
      </c>
      <c r="Q29" s="70" t="n">
        <f aca="false">($I17*1000*(Q$24*$J17)/(1*10^6))*1000000*31536000/(1*10^15)</f>
        <v>71.2214327124513</v>
      </c>
      <c r="R29" s="71" t="n">
        <f aca="false">($I17*1000*(R$24*$J17)/(1*10^6))*1000000*31536000/(1*10^15)</f>
        <v>79.7680046379454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customFormat="false" ht="13.8" hidden="false" customHeight="false" outlineLevel="0" collapsed="false">
      <c r="A30" s="1"/>
      <c r="B30" s="75" t="n">
        <v>2013</v>
      </c>
      <c r="C30" s="76" t="n">
        <f aca="false">SUM($F$47:$F$52)</f>
        <v>217.485992012366</v>
      </c>
      <c r="D30" s="76"/>
      <c r="E30" s="77"/>
      <c r="F30" s="1"/>
      <c r="G30" s="16" t="s">
        <v>12</v>
      </c>
      <c r="H30" s="69" t="n">
        <f aca="false">($I18*1000*(H$24*$J18)/(1*10^6))*1000000*31536000/(1*10^15)</f>
        <v>15.542959104</v>
      </c>
      <c r="I30" s="70" t="n">
        <f aca="false">($I18*1000*(I$24*$J18)/(1*10^6))*1000000*31536000/(1*10^15)</f>
        <v>17.40811419648</v>
      </c>
      <c r="J30" s="70" t="n">
        <f aca="false">($I18*1000*(J$24*$J18)/(1*10^6))*1000000*31536000/(1*10^15)</f>
        <v>19.4970879000576</v>
      </c>
      <c r="K30" s="70" t="n">
        <f aca="false">($I18*1000*(K$24*$J18)/(1*10^6))*1000000*31536000/(1*10^15)</f>
        <v>21.8367384480645</v>
      </c>
      <c r="L30" s="70" t="n">
        <f aca="false">($I18*1000*(L$24*$J18)/(1*10^6))*1000000*31536000/(1*10^15)</f>
        <v>24.4571470618323</v>
      </c>
      <c r="M30" s="70" t="n">
        <f aca="false">($I18*1000*(M$24*$J18)/(1*10^6))*1000000*31536000/(1*10^15)</f>
        <v>27.3920047092521</v>
      </c>
      <c r="N30" s="70" t="n">
        <f aca="false">($I18*1000*(N$24*$J18)/(1*10^6))*1000000*31536000/(1*10^15)</f>
        <v>30.6790452743624</v>
      </c>
      <c r="O30" s="70" t="n">
        <f aca="false">($I18*1000*(O$24*$J18)/(1*10^6))*1000000*31536000/(1*10^15)</f>
        <v>34.3605307072859</v>
      </c>
      <c r="P30" s="70" t="n">
        <f aca="false">($I18*1000*(P$24*$J18)/(1*10^6))*1000000*31536000/(1*10^15)</f>
        <v>38.4837943921602</v>
      </c>
      <c r="Q30" s="70" t="n">
        <f aca="false">($I18*1000*(Q$24*$J18)/(1*10^6))*1000000*31536000/(1*10^15)</f>
        <v>43.1018497192194</v>
      </c>
      <c r="R30" s="71" t="n">
        <f aca="false">($I18*1000*(R$24*$J18)/(1*10^6))*1000000*31536000/(1*10^15)</f>
        <v>48.2740716855258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customFormat="false" ht="19.7" hidden="false" customHeight="false" outlineLevel="0" collapsed="false">
      <c r="A31" s="1"/>
      <c r="B31" s="75" t="n">
        <v>2014</v>
      </c>
      <c r="C31" s="76" t="n">
        <f aca="false">SUM($G$47:$G$52)</f>
        <v>240.344880061714</v>
      </c>
      <c r="D31" s="76"/>
      <c r="E31" s="77"/>
      <c r="F31" s="1"/>
      <c r="G31" s="1"/>
      <c r="H31" s="78" t="n">
        <f aca="false">SUM(H25:H30)</f>
        <v>266.469323546683</v>
      </c>
      <c r="I31" s="79" t="n">
        <f aca="false">SUM(I25:I30)</f>
        <v>298.445642372285</v>
      </c>
      <c r="J31" s="79" t="n">
        <f aca="false">SUM(J25:J30)</f>
        <v>334.259119456959</v>
      </c>
      <c r="K31" s="79" t="n">
        <f aca="false">SUM(K25:K30)</f>
        <v>374.370213791794</v>
      </c>
      <c r="L31" s="79" t="n">
        <f aca="false">SUM(L25:L30)</f>
        <v>419.294639446809</v>
      </c>
      <c r="M31" s="79" t="n">
        <f aca="false">SUM(M25:M30)</f>
        <v>469.609996180426</v>
      </c>
      <c r="N31" s="79" t="n">
        <f aca="false">SUM(N25:N30)</f>
        <v>525.963195722078</v>
      </c>
      <c r="O31" s="79" t="n">
        <f aca="false">SUM(O25:O30)</f>
        <v>589.078779208727</v>
      </c>
      <c r="P31" s="79" t="n">
        <f aca="false">SUM(P25:P30)</f>
        <v>659.768232713774</v>
      </c>
      <c r="Q31" s="79" t="n">
        <f aca="false">SUM(Q25:Q30)</f>
        <v>738.940420639427</v>
      </c>
      <c r="R31" s="80" t="n">
        <f aca="false">SUM(R25:R30)</f>
        <v>827.613271116159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customFormat="false" ht="13.8" hidden="false" customHeight="false" outlineLevel="0" collapsed="false">
      <c r="A32" s="1"/>
      <c r="B32" s="75" t="n">
        <v>2015</v>
      </c>
      <c r="C32" s="76" t="n">
        <f aca="false">SUM($H$47:$H$52)</f>
        <v>266.469323546683</v>
      </c>
      <c r="D32" s="76" t="n">
        <f aca="false">C32</f>
        <v>266.469323546683</v>
      </c>
      <c r="E32" s="77" t="n">
        <f aca="false">C32</f>
        <v>266.469323546683</v>
      </c>
      <c r="F32" s="1"/>
      <c r="G32" s="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customFormat="false" ht="15.75" hidden="false" customHeight="true" outlineLevel="0" collapsed="false">
      <c r="A33" s="1"/>
      <c r="B33" s="75" t="n">
        <v>2016</v>
      </c>
      <c r="C33" s="76" t="n">
        <f aca="false">SUM($I$47:$I$52)</f>
        <v>300.10454453358</v>
      </c>
      <c r="D33" s="76" t="n">
        <f aca="false">D32*1.12</f>
        <v>298.445642372285</v>
      </c>
      <c r="E33" s="77" t="n">
        <f aca="false">E32*1.25</f>
        <v>333.086654433353</v>
      </c>
      <c r="F33" s="1"/>
      <c r="G33" s="1"/>
      <c r="H33" s="82" t="s">
        <v>36</v>
      </c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customFormat="false" ht="13.8" hidden="false" customHeight="false" outlineLevel="0" collapsed="false">
      <c r="A34" s="1"/>
      <c r="B34" s="75" t="n">
        <v>2017</v>
      </c>
      <c r="C34" s="76" t="n">
        <f aca="false">SUM($J$47:$J$52)</f>
        <v>346.965265034743</v>
      </c>
      <c r="D34" s="76" t="n">
        <f aca="false">D33*1.12</f>
        <v>334.259119456959</v>
      </c>
      <c r="E34" s="77" t="n">
        <f aca="false">E33*1.25</f>
        <v>416.358318041692</v>
      </c>
      <c r="F34" s="1"/>
      <c r="G34" s="1"/>
      <c r="H34" s="59" t="n">
        <v>2015</v>
      </c>
      <c r="I34" s="60" t="s">
        <v>21</v>
      </c>
      <c r="J34" s="60" t="s">
        <v>22</v>
      </c>
      <c r="K34" s="60" t="s">
        <v>23</v>
      </c>
      <c r="L34" s="60" t="s">
        <v>24</v>
      </c>
      <c r="M34" s="60" t="s">
        <v>25</v>
      </c>
      <c r="N34" s="60" t="s">
        <v>26</v>
      </c>
      <c r="O34" s="60" t="s">
        <v>27</v>
      </c>
      <c r="P34" s="60" t="s">
        <v>28</v>
      </c>
      <c r="Q34" s="60" t="s">
        <v>29</v>
      </c>
      <c r="R34" s="61" t="s">
        <v>30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customFormat="false" ht="13.8" hidden="false" customHeight="false" outlineLevel="0" collapsed="false">
      <c r="A35" s="1"/>
      <c r="B35" s="75" t="n">
        <v>2018</v>
      </c>
      <c r="C35" s="76" t="n">
        <f aca="false">SUM($K$47:$K$52)</f>
        <v>398.397763145776</v>
      </c>
      <c r="D35" s="76" t="n">
        <f aca="false">D34*1.12</f>
        <v>374.370213791794</v>
      </c>
      <c r="E35" s="77" t="n">
        <f aca="false">E34*1.25</f>
        <v>520.447897552115</v>
      </c>
      <c r="F35" s="1"/>
      <c r="G35" s="1"/>
      <c r="H35" s="63" t="n">
        <f aca="false">'Estimated Install Base to 2025'!E31*1000000</f>
        <v>1632000</v>
      </c>
      <c r="I35" s="83" t="n">
        <f aca="false">'Estimated Install Base to 2025'!E32*1000000</f>
        <v>2040000</v>
      </c>
      <c r="J35" s="64" t="n">
        <f aca="false">'Estimated Install Base to 2025'!E33*1000000</f>
        <v>2550000</v>
      </c>
      <c r="K35" s="64" t="n">
        <f aca="false">'Estimated Install Base to 2025'!E34*1000000</f>
        <v>3187500</v>
      </c>
      <c r="L35" s="64" t="n">
        <f aca="false">'Estimated Install Base to 2025'!E35*1000000</f>
        <v>3984375</v>
      </c>
      <c r="M35" s="64" t="n">
        <f aca="false">'Estimated Install Base to 2025'!E36*1000000</f>
        <v>4980468.75</v>
      </c>
      <c r="N35" s="64" t="n">
        <f aca="false">'Estimated Install Base to 2025'!E37*1000000</f>
        <v>6225585.9375</v>
      </c>
      <c r="O35" s="64" t="n">
        <f aca="false">'Estimated Install Base to 2025'!E38*1000000</f>
        <v>7781982.421875</v>
      </c>
      <c r="P35" s="64" t="n">
        <f aca="false">'Estimated Install Base to 2025'!E39*1000000</f>
        <v>9727478.02734375</v>
      </c>
      <c r="Q35" s="64" t="n">
        <f aca="false">'Estimated Install Base to 2025'!E40*1000000</f>
        <v>12159347.5341797</v>
      </c>
      <c r="R35" s="65" t="n">
        <f aca="false">'Estimated Install Base to 2025'!E41*1000000</f>
        <v>15199184.4177246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customFormat="false" ht="33.55" hidden="false" customHeight="false" outlineLevel="0" collapsed="false">
      <c r="A36" s="1"/>
      <c r="B36" s="75" t="n">
        <v>2019</v>
      </c>
      <c r="C36" s="76" t="n">
        <f aca="false">SUM($L$47:$L$52)</f>
        <v>445.911594734063</v>
      </c>
      <c r="D36" s="76" t="n">
        <f aca="false">D35*1.12</f>
        <v>419.294639446809</v>
      </c>
      <c r="E36" s="77" t="n">
        <f aca="false">E35*1.25</f>
        <v>650.559871940143</v>
      </c>
      <c r="F36" s="1"/>
      <c r="G36" s="9" t="s">
        <v>7</v>
      </c>
      <c r="H36" s="69" t="n">
        <f aca="false">($I13*1000*($H$35*$J13)/(1*10^6))*1000000*31536000/(1*10^15)</f>
        <v>111.388058763321</v>
      </c>
      <c r="I36" s="70" t="n">
        <f aca="false">($I13*1000*($I$35*$J13)/(1*10^6))*1000000*31536000/(1*10^15)</f>
        <v>139.235073454151</v>
      </c>
      <c r="J36" s="70" t="n">
        <f aca="false">($I13*1000*($J$35*$J13)/(1*10^6))*1000000*31536000/(1*10^15)</f>
        <v>174.043841817689</v>
      </c>
      <c r="K36" s="70" t="n">
        <f aca="false">($I13*1000*($K$35*$J13)/(1*10^6))*1000000*31536000/(1*10^15)</f>
        <v>217.554802272111</v>
      </c>
      <c r="L36" s="70" t="n">
        <f aca="false">($I13*1000*($L$35*$J13)/(1*10^6))*1000000*31536000/(1*10^15)</f>
        <v>271.943502840139</v>
      </c>
      <c r="M36" s="70" t="n">
        <f aca="false">($I13*1000*($M$35*$J13)/(1*10^6))*1000000*31536000/(1*10^15)</f>
        <v>339.929378550173</v>
      </c>
      <c r="N36" s="70" t="n">
        <f aca="false">($I13*1000*($N$35*$J13)/(1*10^6))*1000000*31536000/(1*10^15)</f>
        <v>424.911723187717</v>
      </c>
      <c r="O36" s="70" t="n">
        <f aca="false">($I13*1000*($O$35*$J13)/(1*10^6))*1000000*31536000/(1*10^15)</f>
        <v>531.139653984646</v>
      </c>
      <c r="P36" s="70" t="n">
        <f aca="false">($I13*1000*($P$35*$J13)/(1*10^6))*1000000*31536000/(1*10^15)</f>
        <v>663.924567480807</v>
      </c>
      <c r="Q36" s="70" t="n">
        <f aca="false">($I13*1000*($Q$35*$J13)/(1*10^6))*1000000*31536000/(1*10^15)</f>
        <v>829.905709351009</v>
      </c>
      <c r="R36" s="71" t="n">
        <f aca="false">($I13*1000*($R$35*$J13)/(1*10^6))*1000000*31536000/(1*10^15)</f>
        <v>1037.38213668876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customFormat="false" ht="13.8" hidden="false" customHeight="false" outlineLevel="0" collapsed="false">
      <c r="A37" s="1"/>
      <c r="B37" s="75" t="n">
        <v>2020</v>
      </c>
      <c r="C37" s="76" t="n">
        <f aca="false">SUM($M$47:$M$52)</f>
        <v>492.282481919882</v>
      </c>
      <c r="D37" s="76" t="n">
        <f aca="false">D36*1.12</f>
        <v>469.609996180426</v>
      </c>
      <c r="E37" s="77" t="n">
        <f aca="false">E36*1.25</f>
        <v>813.199839925179</v>
      </c>
      <c r="F37" s="1"/>
      <c r="G37" s="12" t="s">
        <v>8</v>
      </c>
      <c r="H37" s="69" t="n">
        <f aca="false">($I14*1000*($H$35*$J14)/(1*10^6))*1000000*31536000/(1*10^15)</f>
        <v>95.3416590913827</v>
      </c>
      <c r="I37" s="70" t="n">
        <f aca="false">($I14*1000*($I$35*$J14)/(1*10^6))*1000000*31536000/(1*10^15)</f>
        <v>119.177073864228</v>
      </c>
      <c r="J37" s="70" t="n">
        <f aca="false">($I14*1000*($J$35*$J14)/(1*10^6))*1000000*31536000/(1*10^15)</f>
        <v>148.971342330286</v>
      </c>
      <c r="K37" s="70" t="n">
        <f aca="false">($I14*1000*($K$35*$J14)/(1*10^6))*1000000*31536000/(1*10^15)</f>
        <v>186.214177912857</v>
      </c>
      <c r="L37" s="70" t="n">
        <f aca="false">($I14*1000*($L$35*$J14)/(1*10^6))*1000000*31536000/(1*10^15)</f>
        <v>232.767722391071</v>
      </c>
      <c r="M37" s="70" t="n">
        <f aca="false">($I14*1000*($M$35*$J14)/(1*10^6))*1000000*31536000/(1*10^15)</f>
        <v>290.959652988839</v>
      </c>
      <c r="N37" s="70" t="n">
        <f aca="false">($I14*1000*($N$35*$J14)/(1*10^6))*1000000*31536000/(1*10^15)</f>
        <v>363.699566236049</v>
      </c>
      <c r="O37" s="70" t="n">
        <f aca="false">($I14*1000*($O$35*$J14)/(1*10^6))*1000000*31536000/(1*10^15)</f>
        <v>454.624457795061</v>
      </c>
      <c r="P37" s="70" t="n">
        <f aca="false">($I14*1000*($P$35*$J14)/(1*10^6))*1000000*31536000/(1*10^15)</f>
        <v>568.280572243826</v>
      </c>
      <c r="Q37" s="70" t="n">
        <f aca="false">($I14*1000*($Q$35*$J14)/(1*10^6))*1000000*31536000/(1*10^15)</f>
        <v>710.350715304783</v>
      </c>
      <c r="R37" s="71" t="n">
        <f aca="false">($I14*1000*($R$35*$J14)/(1*10^6))*1000000*31536000/(1*10^15)</f>
        <v>887.938394130978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customFormat="false" ht="13.8" hidden="false" customHeight="false" outlineLevel="0" collapsed="false">
      <c r="A38" s="1"/>
      <c r="B38" s="75" t="n">
        <v>2021</v>
      </c>
      <c r="C38" s="76" t="n">
        <f aca="false">SUM($N$47:$N$52)</f>
        <v>567.71681248273</v>
      </c>
      <c r="D38" s="76" t="n">
        <f aca="false">D37*1.12</f>
        <v>525.963195722077</v>
      </c>
      <c r="E38" s="77" t="n">
        <f aca="false">E37*1.25</f>
        <v>1016.49979990647</v>
      </c>
      <c r="F38" s="1"/>
      <c r="G38" s="13" t="s">
        <v>9</v>
      </c>
      <c r="H38" s="69" t="n">
        <f aca="false">($I15*1000*($H$35*$J15)/(1*10^6))*1000000*31536000/(1*10^15)</f>
        <v>12.6572932090611</v>
      </c>
      <c r="I38" s="70" t="n">
        <f aca="false">($I15*1000*($I$35*$J15)/(1*10^6))*1000000*31536000/(1*10^15)</f>
        <v>15.8216165113263</v>
      </c>
      <c r="J38" s="70" t="n">
        <f aca="false">($I15*1000*($J$35*$J15)/(1*10^6))*1000000*31536000/(1*10^15)</f>
        <v>19.7770206391579</v>
      </c>
      <c r="K38" s="70" t="n">
        <f aca="false">($I15*1000*($K$35*$J15)/(1*10^6))*1000000*31536000/(1*10^15)</f>
        <v>24.7212757989474</v>
      </c>
      <c r="L38" s="70" t="n">
        <f aca="false">($I15*1000*($L$35*$J15)/(1*10^6))*1000000*31536000/(1*10^15)</f>
        <v>30.9015947486842</v>
      </c>
      <c r="M38" s="70" t="n">
        <f aca="false">($I15*1000*($M$35*$J15)/(1*10^6))*1000000*31536000/(1*10^15)</f>
        <v>38.6269934358553</v>
      </c>
      <c r="N38" s="70" t="n">
        <f aca="false">($I15*1000*($N$35*$J15)/(1*10^6))*1000000*31536000/(1*10^15)</f>
        <v>48.2837417948191</v>
      </c>
      <c r="O38" s="70" t="n">
        <f aca="false">($I15*1000*($O$35*$J15)/(1*10^6))*1000000*31536000/(1*10^15)</f>
        <v>60.3546772435239</v>
      </c>
      <c r="P38" s="70" t="n">
        <f aca="false">($I15*1000*($P$35*$J15)/(1*10^6))*1000000*31536000/(1*10^15)</f>
        <v>75.4433465544048</v>
      </c>
      <c r="Q38" s="70" t="n">
        <f aca="false">($I15*1000*($Q$35*$J15)/(1*10^6))*1000000*31536000/(1*10^15)</f>
        <v>94.3041831930061</v>
      </c>
      <c r="R38" s="71" t="n">
        <f aca="false">($I15*1000*($R$35*$J15)/(1*10^6))*1000000*31536000/(1*10^15)</f>
        <v>117.880228991258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customFormat="false" ht="13.8" hidden="false" customHeight="false" outlineLevel="0" collapsed="false">
      <c r="A39" s="1"/>
      <c r="B39" s="75" t="n">
        <v>2022</v>
      </c>
      <c r="C39" s="76" t="n">
        <f aca="false">SUM($O$47:$O$52)</f>
        <v>660.785142397932</v>
      </c>
      <c r="D39" s="76" t="n">
        <f aca="false">D38*1.12</f>
        <v>589.078779208727</v>
      </c>
      <c r="E39" s="77" t="n">
        <f aca="false">E38*1.25</f>
        <v>1270.62474988309</v>
      </c>
      <c r="F39" s="1"/>
      <c r="G39" s="14" t="s">
        <v>10</v>
      </c>
      <c r="H39" s="69" t="n">
        <f aca="false">($I16*1000*($H$35*$J16)/(1*10^6))*1000000*31536000/(1*10^15)</f>
        <v>5.85619074925714</v>
      </c>
      <c r="I39" s="70" t="n">
        <f aca="false">($I16*1000*($I$35*$J16)/(1*10^6))*1000000*31536000/(1*10^15)</f>
        <v>7.32023843657143</v>
      </c>
      <c r="J39" s="70" t="n">
        <f aca="false">($I16*1000*($J$35*$J16)/(1*10^6))*1000000*31536000/(1*10^15)</f>
        <v>9.15029804571429</v>
      </c>
      <c r="K39" s="70" t="n">
        <f aca="false">($I16*1000*($K$35*$J16)/(1*10^6))*1000000*31536000/(1*10^15)</f>
        <v>11.4378725571429</v>
      </c>
      <c r="L39" s="70" t="n">
        <f aca="false">($I16*1000*($L$35*$J16)/(1*10^6))*1000000*31536000/(1*10^15)</f>
        <v>14.2973406964286</v>
      </c>
      <c r="M39" s="70" t="n">
        <f aca="false">($I16*1000*($M$35*$J16)/(1*10^6))*1000000*31536000/(1*10^15)</f>
        <v>17.8716758705357</v>
      </c>
      <c r="N39" s="70" t="n">
        <f aca="false">($I16*1000*($N$35*$J16)/(1*10^6))*1000000*31536000/(1*10^15)</f>
        <v>22.3395948381696</v>
      </c>
      <c r="O39" s="70" t="n">
        <f aca="false">($I16*1000*($O$35*$J16)/(1*10^6))*1000000*31536000/(1*10^15)</f>
        <v>27.9244935477121</v>
      </c>
      <c r="P39" s="70" t="n">
        <f aca="false">($I16*1000*($P$35*$J16)/(1*10^6))*1000000*31536000/(1*10^15)</f>
        <v>34.9056169346401</v>
      </c>
      <c r="Q39" s="70" t="n">
        <f aca="false">($I16*1000*($Q$35*$J16)/(1*10^6))*1000000*31536000/(1*10^15)</f>
        <v>43.6320211683001</v>
      </c>
      <c r="R39" s="71" t="n">
        <f aca="false">($I16*1000*($R$35*$J16)/(1*10^6))*1000000*31536000/(1*10^15)</f>
        <v>54.5400264603751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customFormat="false" ht="22.35" hidden="false" customHeight="false" outlineLevel="0" collapsed="false">
      <c r="A40" s="1"/>
      <c r="B40" s="75" t="n">
        <v>2023</v>
      </c>
      <c r="C40" s="76" t="n">
        <f aca="false">P53</f>
        <v>761.0376942715</v>
      </c>
      <c r="D40" s="76" t="n">
        <f aca="false">D39*1.12</f>
        <v>659.768232713774</v>
      </c>
      <c r="E40" s="77" t="n">
        <f aca="false">E39*1.25</f>
        <v>1588.28093735387</v>
      </c>
      <c r="F40" s="1"/>
      <c r="G40" s="15" t="s">
        <v>11</v>
      </c>
      <c r="H40" s="69" t="n">
        <f aca="false">($I17*1000*($H$35*$J17)/(1*10^6))*1000000*31536000/(1*10^15)</f>
        <v>25.6831626296609</v>
      </c>
      <c r="I40" s="70" t="n">
        <f aca="false">($I17*1000*($I$35*$J17)/(1*10^6))*1000000*31536000/(1*10^15)</f>
        <v>32.1039532870762</v>
      </c>
      <c r="J40" s="70" t="n">
        <f aca="false">($I17*1000*($J$35*$J17)/(1*10^6))*1000000*31536000/(1*10^15)</f>
        <v>40.1299416088452</v>
      </c>
      <c r="K40" s="70" t="n">
        <f aca="false">($I17*1000*($K$35*$J17)/(1*10^6))*1000000*31536000/(1*10^15)</f>
        <v>50.1624270110565</v>
      </c>
      <c r="L40" s="70" t="n">
        <f aca="false">($I17*1000*($L$35*$J17)/(1*10^6))*1000000*31536000/(1*10^15)</f>
        <v>62.7030337638206</v>
      </c>
      <c r="M40" s="70" t="n">
        <f aca="false">($I17*1000*($M$35*$J17)/(1*10^6))*1000000*31536000/(1*10^15)</f>
        <v>78.3787922047758</v>
      </c>
      <c r="N40" s="70" t="n">
        <f aca="false">($I17*1000*($N$35*$J17)/(1*10^6))*1000000*31536000/(1*10^15)</f>
        <v>97.9734902559697</v>
      </c>
      <c r="O40" s="70" t="n">
        <f aca="false">($I17*1000*($O$35*$J17)/(1*10^6))*1000000*31536000/(1*10^15)</f>
        <v>122.466862819962</v>
      </c>
      <c r="P40" s="70" t="n">
        <f aca="false">($I17*1000*($P$35*$J17)/(1*10^6))*1000000*31536000/(1*10^15)</f>
        <v>153.083578524953</v>
      </c>
      <c r="Q40" s="70" t="n">
        <f aca="false">($I17*1000*($Q$35*$J17)/(1*10^6))*1000000*31536000/(1*10^15)</f>
        <v>191.354473156191</v>
      </c>
      <c r="R40" s="71" t="n">
        <f aca="false">($I17*1000*($R$35*$J17)/(1*10^6))*1000000*31536000/(1*10^15)</f>
        <v>239.193091445239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customFormat="false" ht="13.8" hidden="false" customHeight="false" outlineLevel="0" collapsed="false">
      <c r="A41" s="1"/>
      <c r="B41" s="75" t="n">
        <v>2024</v>
      </c>
      <c r="C41" s="76" t="n">
        <f aca="false">Q53</f>
        <v>867.658079244529</v>
      </c>
      <c r="D41" s="76" t="n">
        <f aca="false">D40*1.12</f>
        <v>738.940420639427</v>
      </c>
      <c r="E41" s="77" t="n">
        <f aca="false">E40*1.25</f>
        <v>1985.35117169233</v>
      </c>
      <c r="F41" s="1"/>
      <c r="G41" s="16" t="s">
        <v>12</v>
      </c>
      <c r="H41" s="69" t="n">
        <f aca="false">($I18*1000*($H$35*$J18)/(1*10^6))*1000000*31536000/(1*10^15)</f>
        <v>15.542959104</v>
      </c>
      <c r="I41" s="70" t="n">
        <f aca="false">($I18*1000*($I$35*$J18)/(1*10^6))*1000000*31536000/(1*10^15)</f>
        <v>19.42869888</v>
      </c>
      <c r="J41" s="70" t="n">
        <f aca="false">($I18*1000*($J$35*$J18)/(1*10^6))*1000000*31536000/(1*10^15)</f>
        <v>24.2858736</v>
      </c>
      <c r="K41" s="70" t="n">
        <f aca="false">($I18*1000*($K$35*$J18)/(1*10^6))*1000000*31536000/(1*10^15)</f>
        <v>30.357342</v>
      </c>
      <c r="L41" s="70" t="n">
        <f aca="false">($I18*1000*($L$35*$J18)/(1*10^6))*1000000*31536000/(1*10^15)</f>
        <v>37.9466775</v>
      </c>
      <c r="M41" s="70" t="n">
        <f aca="false">($I18*1000*($M$35*$J18)/(1*10^6))*1000000*31536000/(1*10^15)</f>
        <v>47.433346875</v>
      </c>
      <c r="N41" s="70" t="n">
        <f aca="false">($I18*1000*($N$35*$J18)/(1*10^6))*1000000*31536000/(1*10^15)</f>
        <v>59.29168359375</v>
      </c>
      <c r="O41" s="70" t="n">
        <f aca="false">($I18*1000*($O$35*$J18)/(1*10^6))*1000000*31536000/(1*10^15)</f>
        <v>74.1146044921875</v>
      </c>
      <c r="P41" s="70" t="n">
        <f aca="false">($I18*1000*($P$35*$J18)/(1*10^6))*1000000*31536000/(1*10^15)</f>
        <v>92.6432556152344</v>
      </c>
      <c r="Q41" s="70" t="n">
        <f aca="false">($I18*1000*($Q$35*$J18)/(1*10^6))*1000000*31536000/(1*10^15)</f>
        <v>115.804069519043</v>
      </c>
      <c r="R41" s="71" t="n">
        <f aca="false">($I18*1000*($R$35*$J18)/(1*10^6))*1000000*31536000/(1*10^15)</f>
        <v>144.755086898804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customFormat="false" ht="19.7" hidden="false" customHeight="false" outlineLevel="0" collapsed="false">
      <c r="A42" s="1"/>
      <c r="B42" s="84" t="n">
        <v>2025</v>
      </c>
      <c r="C42" s="85" t="n">
        <f aca="false">R53</f>
        <v>980.319741773457</v>
      </c>
      <c r="D42" s="85" t="n">
        <f aca="false">D41*1.12</f>
        <v>827.613271116158</v>
      </c>
      <c r="E42" s="86" t="n">
        <f aca="false">E41*1.25</f>
        <v>2481.68896461541</v>
      </c>
      <c r="F42" s="1"/>
      <c r="G42" s="1"/>
      <c r="H42" s="78" t="n">
        <f aca="false">SUM(H36:H41)</f>
        <v>266.469323546683</v>
      </c>
      <c r="I42" s="79" t="n">
        <f aca="false">SUM(I36:I41)</f>
        <v>333.086654433353</v>
      </c>
      <c r="J42" s="79" t="n">
        <f aca="false">SUM(J36:J41)</f>
        <v>416.358318041692</v>
      </c>
      <c r="K42" s="79" t="n">
        <f aca="false">SUM(K36:K41)</f>
        <v>520.447897552115</v>
      </c>
      <c r="L42" s="79" t="n">
        <f aca="false">SUM(L36:L41)</f>
        <v>650.559871940143</v>
      </c>
      <c r="M42" s="79" t="n">
        <f aca="false">SUM(M36:M41)</f>
        <v>813.199839925179</v>
      </c>
      <c r="N42" s="79" t="n">
        <f aca="false">SUM(N36:N41)</f>
        <v>1016.49979990647</v>
      </c>
      <c r="O42" s="79" t="n">
        <f aca="false">SUM(O36:O41)</f>
        <v>1270.62474988309</v>
      </c>
      <c r="P42" s="79" t="n">
        <f aca="false">SUM(P36:P41)</f>
        <v>1588.28093735387</v>
      </c>
      <c r="Q42" s="79" t="n">
        <f aca="false">SUM(Q36:Q41)</f>
        <v>1985.35117169233</v>
      </c>
      <c r="R42" s="80" t="n">
        <f aca="false">SUM(R36:R41)</f>
        <v>2481.68896461541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customFormat="false" ht="13.8" hidden="false" customHeight="false" outlineLevel="0" collapsed="false">
      <c r="A43" s="1"/>
      <c r="B43" s="87"/>
      <c r="C43" s="87"/>
      <c r="D43" s="87"/>
      <c r="E43" s="87"/>
      <c r="F43" s="87"/>
      <c r="G43" s="1"/>
      <c r="H43" s="1"/>
      <c r="I43" s="1"/>
      <c r="J43" s="88"/>
      <c r="K43" s="1"/>
      <c r="L43" s="1"/>
      <c r="M43" s="1"/>
      <c r="N43" s="1"/>
      <c r="O43" s="1"/>
      <c r="P43" s="1"/>
      <c r="Q43" s="1"/>
      <c r="R43" s="89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customFormat="false" ht="15.75" hidden="false" customHeight="true" outlineLevel="0" collapsed="false">
      <c r="A44" s="1"/>
      <c r="B44" s="90" t="s">
        <v>37</v>
      </c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customFormat="false" ht="13.8" hidden="false" customHeight="false" outlineLevel="0" collapsed="false">
      <c r="A45" s="1"/>
      <c r="B45" s="59" t="n">
        <v>2009</v>
      </c>
      <c r="C45" s="60" t="n">
        <v>2010</v>
      </c>
      <c r="D45" s="60" t="n">
        <v>2011</v>
      </c>
      <c r="E45" s="60" t="n">
        <v>2012</v>
      </c>
      <c r="F45" s="60" t="n">
        <v>2013</v>
      </c>
      <c r="G45" s="60" t="n">
        <v>2014</v>
      </c>
      <c r="H45" s="60" t="n">
        <v>2015</v>
      </c>
      <c r="I45" s="60" t="n">
        <v>2016</v>
      </c>
      <c r="J45" s="60" t="n">
        <v>2017</v>
      </c>
      <c r="K45" s="60" t="n">
        <v>2018</v>
      </c>
      <c r="L45" s="60" t="n">
        <v>2019</v>
      </c>
      <c r="M45" s="60" t="n">
        <v>2020</v>
      </c>
      <c r="N45" s="60" t="n">
        <v>2021</v>
      </c>
      <c r="O45" s="61" t="n">
        <v>2022</v>
      </c>
      <c r="P45" s="91" t="s">
        <v>28</v>
      </c>
      <c r="Q45" s="92" t="s">
        <v>29</v>
      </c>
      <c r="R45" s="93" t="s">
        <v>30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customFormat="false" ht="13.8" hidden="false" customHeight="false" outlineLevel="0" collapsed="false">
      <c r="A46" s="1"/>
      <c r="B46" s="63" t="n">
        <f aca="false">'Estimated Install Base to 2025'!C25*1000000</f>
        <v>1021000</v>
      </c>
      <c r="C46" s="64" t="n">
        <f aca="false">'Estimated Install Base to 2025'!C26*1000000</f>
        <v>1059000</v>
      </c>
      <c r="D46" s="64" t="n">
        <f aca="false">'Estimated Install Base to 2025'!C27*1000000</f>
        <v>1153000</v>
      </c>
      <c r="E46" s="64" t="n">
        <f aca="false">'Estimated Install Base to 2025'!C28*1000000</f>
        <v>1235000</v>
      </c>
      <c r="F46" s="64" t="n">
        <f aca="false">'Estimated Install Base to 2025'!C29*1000000</f>
        <v>1332000</v>
      </c>
      <c r="G46" s="64" t="n">
        <f aca="false">'Estimated Install Base to 2025'!C30*1000000</f>
        <v>1472000</v>
      </c>
      <c r="H46" s="64" t="n">
        <f aca="false">'Estimated Install Base to 2025'!C31*1000000</f>
        <v>1632000</v>
      </c>
      <c r="I46" s="64" t="n">
        <f aca="false">'Estimated Install Base to 2025'!C32*1000000</f>
        <v>1838000</v>
      </c>
      <c r="J46" s="64" t="n">
        <f aca="false">'Estimated Install Base to 2025'!C33*1000000</f>
        <v>2125000</v>
      </c>
      <c r="K46" s="64" t="n">
        <f aca="false">'Estimated Install Base to 2025'!C34*1000000</f>
        <v>2440000</v>
      </c>
      <c r="L46" s="64" t="n">
        <f aca="false">'Estimated Install Base to 2025'!C35*1000000</f>
        <v>2731000</v>
      </c>
      <c r="M46" s="64" t="n">
        <f aca="false">'Estimated Install Base to 2025'!C36*1000000</f>
        <v>3015000</v>
      </c>
      <c r="N46" s="64" t="n">
        <f aca="false">'Estimated Install Base to 2025'!C37*1000000</f>
        <v>3477000</v>
      </c>
      <c r="O46" s="65" t="n">
        <f aca="false">'Estimated Install Base to 2025'!C38*1000000</f>
        <v>4047000</v>
      </c>
      <c r="P46" s="94" t="n">
        <f aca="false">'Estimated Install Base to 2025'!C39*1000000</f>
        <v>4661000</v>
      </c>
      <c r="Q46" s="64" t="n">
        <f aca="false">'Estimated Install Base to 2025'!C40*1000000</f>
        <v>5314000</v>
      </c>
      <c r="R46" s="95" t="n">
        <f aca="false">'Estimated Install Base to 2025'!C41*1000000</f>
        <v>6004000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customFormat="false" ht="13.8" hidden="false" customHeight="false" outlineLevel="0" collapsed="false">
      <c r="A47" s="1"/>
      <c r="B47" s="69" t="n">
        <f aca="false">($I13*1000)*($B$46*$J13)*(31536000)/(1*10^15)</f>
        <v>69.6857892140628</v>
      </c>
      <c r="C47" s="70" t="n">
        <f aca="false">($I13*1000)*($C$46*$J13)*(31536000)/(1*10^15)</f>
        <v>72.2793837195813</v>
      </c>
      <c r="D47" s="70" t="n">
        <f aca="false">($I13*1000)*($D$46*$J13)*(31536000)/(1*10^15)</f>
        <v>78.6951174963902</v>
      </c>
      <c r="E47" s="70" t="n">
        <f aca="false">($I13*1000)*($E$46*$J13)*(31536000)/(1*10^15)</f>
        <v>84.2918214293512</v>
      </c>
      <c r="F47" s="70" t="n">
        <f aca="false">($I13*1000)*($F$46*$J13)*(31536000)/(1*10^15)</f>
        <v>90.9123126671221</v>
      </c>
      <c r="G47" s="70" t="n">
        <f aca="false">($I13*1000)*($G$46*$J13)*(31536000)/(1*10^15)</f>
        <v>100.467660845348</v>
      </c>
      <c r="H47" s="70" t="n">
        <f aca="false">($I13*1000)*($H$46*$J13)*(31536000)/(1*10^15)</f>
        <v>111.388058763321</v>
      </c>
      <c r="I47" s="70" t="n">
        <f aca="false">($I13*1000)*($I$46*$J13)*(31536000)/(1*10^15)</f>
        <v>125.448071082711</v>
      </c>
      <c r="J47" s="70" t="n">
        <f aca="false">($I13*1000)*($J$46*$J13)*(31536000)/(1*10^15)</f>
        <v>145.036534848074</v>
      </c>
      <c r="K47" s="70" t="n">
        <f aca="false">($I13*1000)*($K$46*$J13)*(31536000)/(1*10^15)</f>
        <v>166.536068249083</v>
      </c>
      <c r="L47" s="70" t="n">
        <f aca="false">($I13*1000)*($L$46*$J13)*(31536000)/(1*10^15)</f>
        <v>186.397541962395</v>
      </c>
      <c r="M47" s="70" t="n">
        <f aca="false">($I13*1000)*($M$46*$J13)*(31536000)/(1*10^15)</f>
        <v>205.781248266797</v>
      </c>
      <c r="N47" s="70" t="n">
        <f aca="false">($I13*1000)*($N$46*$J13)*(31536000)/(1*10^15)</f>
        <v>237.313897254943</v>
      </c>
      <c r="O47" s="71" t="n">
        <f aca="false">($I13*1000)*($O$46*$J13)*(31536000)/(1*10^15)</f>
        <v>276.21781483772</v>
      </c>
      <c r="P47" s="96" t="n">
        <f aca="false">($I13*1000)*($P$46*$J13)*(31536000)/(1*10^15)</f>
        <v>318.12484184794</v>
      </c>
      <c r="Q47" s="97" t="n">
        <f aca="false">($I13*1000)*($Q$46*$J13)*(31536000)/(1*10^15)</f>
        <v>362.693715850666</v>
      </c>
      <c r="R47" s="98" t="n">
        <f aca="false">($I13*1000)*($R$46*$J13)*(31536000)/(1*10^15)</f>
        <v>409.787931871923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customFormat="false" ht="13.8" hidden="false" customHeight="false" outlineLevel="0" collapsed="false">
      <c r="A48" s="1"/>
      <c r="B48" s="69" t="n">
        <f aca="false">($I14*1000)*($B$46*$J14)*(31536000)/(1*10^15)</f>
        <v>59.6469570663614</v>
      </c>
      <c r="C48" s="70" t="n">
        <f aca="false">($I14*1000)*($C$46*$J14)*(31536000)/(1*10^15)</f>
        <v>61.8669221677539</v>
      </c>
      <c r="D48" s="70" t="n">
        <f aca="false">($I14*1000)*($D$46*$J14)*(31536000)/(1*10^15)</f>
        <v>67.3584147869879</v>
      </c>
      <c r="E48" s="70" t="n">
        <f aca="false">($I14*1000)*($E$46*$J14)*(31536000)/(1*10^15)</f>
        <v>72.1488657952559</v>
      </c>
      <c r="F48" s="70" t="n">
        <f aca="false">($I14*1000)*($F$46*$J14)*(31536000)/(1*10^15)</f>
        <v>77.8156188172315</v>
      </c>
      <c r="G48" s="70" t="n">
        <f aca="false">($I14*1000)*($G$46*$J14)*(31536000)/(1*10^15)</f>
        <v>85.9944376118354</v>
      </c>
      <c r="H48" s="70" t="n">
        <f aca="false">($I14*1000)*($H$46*$J14)*(31536000)/(1*10^15)</f>
        <v>95.3416590913827</v>
      </c>
      <c r="I48" s="70" t="n">
        <f aca="false">($I14*1000)*($I$46*$J14)*(31536000)/(1*10^15)</f>
        <v>107.3762067463</v>
      </c>
      <c r="J48" s="70" t="n">
        <f aca="false">($I14*1000)*($J$46*$J14)*(31536000)/(1*10^15)</f>
        <v>124.142785275238</v>
      </c>
      <c r="K48" s="70" t="n">
        <f aca="false">($I14*1000)*($K$46*$J14)*(31536000)/(1*10^15)</f>
        <v>142.545127563097</v>
      </c>
      <c r="L48" s="70" t="n">
        <f aca="false">($I14*1000)*($L$46*$J14)*(31536000)/(1*10^15)</f>
        <v>159.545386629023</v>
      </c>
      <c r="M48" s="70" t="n">
        <f aca="false">($I14*1000)*($M$46*$J14)*(31536000)/(1*10^15)</f>
        <v>176.13670475522</v>
      </c>
      <c r="N48" s="70" t="n">
        <f aca="false">($I14*1000)*($N$46*$J14)*(31536000)/(1*10^15)</f>
        <v>203.126806777413</v>
      </c>
      <c r="O48" s="71" t="n">
        <f aca="false">($I14*1000)*($O$46*$J14)*(31536000)/(1*10^15)</f>
        <v>236.4262832983</v>
      </c>
      <c r="P48" s="96" t="n">
        <f aca="false">($I14*1000)*($P$46*$J14)*(31536000)/(1*10^15)</f>
        <v>272.296245726063</v>
      </c>
      <c r="Q48" s="97" t="n">
        <f aca="false">($I14*1000)*($Q$46*$J14)*(31536000)/(1*10^15)</f>
        <v>310.444593389466</v>
      </c>
      <c r="R48" s="98" t="n">
        <f aca="false">($I14*1000)*($R$46*$J14)*(31536000)/(1*10^15)</f>
        <v>350.754486020013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customFormat="false" ht="13.8" hidden="false" customHeight="false" outlineLevel="0" collapsed="false">
      <c r="A49" s="1"/>
      <c r="B49" s="69" t="n">
        <f aca="false">($I15*1000)*($B$46*$J15)*(31536000)/(1*10^15)</f>
        <v>7.91856395003146</v>
      </c>
      <c r="C49" s="70" t="n">
        <f aca="false">($I15*1000)*($C$46*$J15)*(31536000)/(1*10^15)</f>
        <v>8.21328033602675</v>
      </c>
      <c r="D49" s="70" t="n">
        <f aca="false">($I15*1000)*($D$46*$J15)*(31536000)/(1*10^15)</f>
        <v>8.94231560664669</v>
      </c>
      <c r="E49" s="70" t="n">
        <f aca="false">($I15*1000)*($E$46*$J15)*(31536000)/(1*10^15)</f>
        <v>9.57828254484706</v>
      </c>
      <c r="F49" s="70" t="n">
        <f aca="false">($I15*1000)*($F$46*$J15)*(31536000)/(1*10^15)</f>
        <v>10.3305848985719</v>
      </c>
      <c r="G49" s="70" t="n">
        <f aca="false">($I15*1000)*($G$46*$J15)*(31536000)/(1*10^15)</f>
        <v>11.4163821101335</v>
      </c>
      <c r="H49" s="70" t="n">
        <f aca="false">($I15*1000)*($H$46*$J15)*(31536000)/(1*10^15)</f>
        <v>12.6572932090611</v>
      </c>
      <c r="I49" s="70" t="n">
        <f aca="false">($I15*1000)*($I$46*$J15)*(31536000)/(1*10^15)</f>
        <v>14.2549662489303</v>
      </c>
      <c r="J49" s="70" t="n">
        <f aca="false">($I15*1000)*($J$46*$J15)*(31536000)/(1*10^15)</f>
        <v>16.4808505326316</v>
      </c>
      <c r="K49" s="70" t="n">
        <f aca="false">($I15*1000)*($K$46*$J15)*(31536000)/(1*10^15)</f>
        <v>18.9238942586452</v>
      </c>
      <c r="L49" s="70" t="n">
        <f aca="false">($I15*1000)*($L$46*$J15)*(31536000)/(1*10^15)</f>
        <v>21.1808013198197</v>
      </c>
      <c r="M49" s="70" t="n">
        <f aca="false">($I15*1000)*($M$46*$J15)*(31536000)/(1*10^15)</f>
        <v>23.3834185204161</v>
      </c>
      <c r="N49" s="70" t="n">
        <f aca="false">($I15*1000)*($N$46*$J15)*(31536000)/(1*10^15)</f>
        <v>26.9665493185694</v>
      </c>
      <c r="O49" s="71" t="n">
        <f aca="false">($I15*1000)*($O$46*$J15)*(31536000)/(1*10^15)</f>
        <v>31.3872951084988</v>
      </c>
      <c r="P49" s="96" t="n">
        <f aca="false">($I15*1000)*($P$46*$J15)*(31536000)/(1*10^15)</f>
        <v>36.1492914506333</v>
      </c>
      <c r="Q49" s="97" t="n">
        <f aca="false">($I15*1000)*($Q$46*$J15)*(31536000)/(1*10^15)</f>
        <v>41.2137598731314</v>
      </c>
      <c r="R49" s="98" t="n">
        <f aca="false">($I15*1000)*($R$46*$J15)*(31536000)/(1*10^15)</f>
        <v>46.5651889872565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customFormat="false" ht="13.8" hidden="false" customHeight="false" outlineLevel="0" collapsed="false">
      <c r="A50" s="1"/>
      <c r="B50" s="69" t="n">
        <f aca="false">($I16*1000)*($B$46*$J16)*(31536000)/(1*10^15)</f>
        <v>3.6637075704605</v>
      </c>
      <c r="C50" s="70" t="n">
        <f aca="false">($I16*1000)*($C$46*$J16)*(31536000)/(1*10^15)</f>
        <v>3.80006495310252</v>
      </c>
      <c r="D50" s="70" t="n">
        <f aca="false">($I16*1000)*($D$46*$J16)*(31536000)/(1*10^15)</f>
        <v>4.13737005753277</v>
      </c>
      <c r="E50" s="70" t="n">
        <f aca="false">($I16*1000)*($E$46*$J16)*(31536000)/(1*10^15)</f>
        <v>4.43161493586555</v>
      </c>
      <c r="F50" s="70" t="n">
        <f aca="false">($I16*1000)*($F$46*$J16)*(31536000)/(1*10^15)</f>
        <v>4.77968509682017</v>
      </c>
      <c r="G50" s="70" t="n">
        <f aca="false">($I16*1000)*($G$46*$J16)*(31536000)/(1*10^15)</f>
        <v>5.28205440129076</v>
      </c>
      <c r="H50" s="70" t="n">
        <f aca="false">($I16*1000)*($H$46*$J16)*(31536000)/(1*10^15)</f>
        <v>5.85619074925714</v>
      </c>
      <c r="I50" s="70" t="n">
        <f aca="false">($I16*1000)*($I$46*$J16)*(31536000)/(1*10^15)</f>
        <v>6.59539129726387</v>
      </c>
      <c r="J50" s="70" t="n">
        <f aca="false">($I16*1000)*($J$46*$J16)*(31536000)/(1*10^15)</f>
        <v>7.62524837142857</v>
      </c>
      <c r="K50" s="70" t="n">
        <f aca="false">($I16*1000)*($K$46*$J16)*(31536000)/(1*10^15)</f>
        <v>8.7555793064874</v>
      </c>
      <c r="L50" s="70" t="n">
        <f aca="false">($I16*1000)*($L$46*$J16)*(31536000)/(1*10^15)</f>
        <v>9.79978978935126</v>
      </c>
      <c r="M50" s="70" t="n">
        <f aca="false">($I16*1000)*($M$46*$J16)*(31536000)/(1*10^15)</f>
        <v>10.8188818069916</v>
      </c>
      <c r="N50" s="70" t="n">
        <f aca="false">($I16*1000)*($N$46*$J16)*(31536000)/(1*10^15)</f>
        <v>12.4767005117445</v>
      </c>
      <c r="O50" s="71" t="n">
        <f aca="false">($I16*1000)*($O$46*$J16)*(31536000)/(1*10^15)</f>
        <v>14.5220612513748</v>
      </c>
      <c r="P50" s="96" t="n">
        <f aca="false">($I16*1000)*($P$46*$J16)*(31536000)/(1*10^15)</f>
        <v>16.7253094866958</v>
      </c>
      <c r="Q50" s="97" t="n">
        <f aca="false">($I16*1000)*($Q$46*$J16)*(31536000)/(1*10^15)</f>
        <v>19.0685034568336</v>
      </c>
      <c r="R50" s="98" t="n">
        <f aca="false">($I16*1000)*($R$46*$J16)*(31536000)/(1*10^15)</f>
        <v>21.5444664574387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customFormat="false" ht="13.8" hidden="false" customHeight="false" outlineLevel="0" collapsed="false">
      <c r="A51" s="1"/>
      <c r="B51" s="69" t="n">
        <f aca="false">($I17*1000)*($B$46*$J17)*(31536000)/(1*10^15)</f>
        <v>16.0677138755415</v>
      </c>
      <c r="C51" s="70" t="n">
        <f aca="false">($I17*1000)*($C$46*$J17)*(31536000)/(1*10^15)</f>
        <v>16.6657286916734</v>
      </c>
      <c r="D51" s="70" t="n">
        <f aca="false">($I17*1000)*($D$46*$J17)*(31536000)/(1*10^15)</f>
        <v>18.1450284999994</v>
      </c>
      <c r="E51" s="70" t="n">
        <f aca="false">($I17*1000)*($E$46*$J17)*(31536000)/(1*10^15)</f>
        <v>19.4354815242839</v>
      </c>
      <c r="F51" s="70" t="n">
        <f aca="false">($I17*1000)*($F$46*$J17)*(31536000)/(1*10^15)</f>
        <v>20.9619930286203</v>
      </c>
      <c r="G51" s="70" t="n">
        <f aca="false">($I17*1000)*($G$46*$J17)*(31536000)/(1*10^15)</f>
        <v>23.1652055091059</v>
      </c>
      <c r="H51" s="70" t="n">
        <f aca="false">($I17*1000)*($H$46*$J17)*(31536000)/(1*10^15)</f>
        <v>25.6831626296609</v>
      </c>
      <c r="I51" s="70" t="n">
        <f aca="false">($I17*1000)*($I$46*$J17)*(31536000)/(1*10^15)</f>
        <v>28.9250324223755</v>
      </c>
      <c r="J51" s="70" t="n">
        <f aca="false">($I17*1000)*($J$46*$J17)*(31536000)/(1*10^15)</f>
        <v>33.441618007371</v>
      </c>
      <c r="K51" s="70" t="n">
        <f aca="false">($I17*1000)*($K$46*$J17)*(31536000)/(1*10^15)</f>
        <v>38.3988460884636</v>
      </c>
      <c r="L51" s="70" t="n">
        <f aca="false">($I17*1000)*($L$46*$J17)*(31536000)/(1*10^15)</f>
        <v>42.978380601473</v>
      </c>
      <c r="M51" s="70" t="n">
        <f aca="false">($I17*1000)*($M$46*$J17)*(31536000)/(1*10^15)</f>
        <v>47.4477544904581</v>
      </c>
      <c r="N51" s="70" t="n">
        <f aca="false">($I17*1000)*($N$46*$J17)*(31536000)/(1*10^15)</f>
        <v>54.7183556760607</v>
      </c>
      <c r="O51" s="71" t="n">
        <f aca="false">($I17*1000)*($O$46*$J17)*(31536000)/(1*10^15)</f>
        <v>63.6885779180379</v>
      </c>
      <c r="P51" s="96" t="n">
        <f aca="false">($I17*1000)*($P$46*$J17)*(31536000)/(1*10^15)</f>
        <v>73.3512383681676</v>
      </c>
      <c r="Q51" s="97" t="n">
        <f aca="false">($I17*1000)*($Q$46*$J17)*(31536000)/(1*10^15)</f>
        <v>83.6276508664327</v>
      </c>
      <c r="R51" s="98" t="n">
        <f aca="false">($I17*1000)*($R$46*$J17)*(31536000)/(1*10^15)</f>
        <v>94.4863409488261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customFormat="false" ht="13.8" hidden="false" customHeight="false" outlineLevel="0" collapsed="false">
      <c r="A52" s="1"/>
      <c r="B52" s="69" t="n">
        <f aca="false">($I18*1000)*($B$46*$J18)*(31536000)/(1*10^15)</f>
        <v>9.723873312</v>
      </c>
      <c r="C52" s="70" t="n">
        <f aca="false">($I18*1000)*($C$46*$J18)*(31536000)/(1*10^15)</f>
        <v>10.085780448</v>
      </c>
      <c r="D52" s="70" t="n">
        <f aca="false">($I18*1000)*($D$46*$J18)*(31536000)/(1*10^15)</f>
        <v>10.981024416</v>
      </c>
      <c r="E52" s="70" t="n">
        <f aca="false">($I18*1000)*($E$46*$J18)*(31536000)/(1*10^15)</f>
        <v>11.76198192</v>
      </c>
      <c r="F52" s="70" t="n">
        <f aca="false">($I18*1000)*($F$46*$J18)*(31536000)/(1*10^15)</f>
        <v>12.685797504</v>
      </c>
      <c r="G52" s="70" t="n">
        <f aca="false">($I18*1000)*($G$46*$J18)*(31536000)/(1*10^15)</f>
        <v>14.019139584</v>
      </c>
      <c r="H52" s="70" t="n">
        <f aca="false">($I18*1000)*($H$46*$J18)*(31536000)/(1*10^15)</f>
        <v>15.542959104</v>
      </c>
      <c r="I52" s="70" t="n">
        <f aca="false">($I18*1000)*($I$46*$J18)*(31536000)/(1*10^15)</f>
        <v>17.504876736</v>
      </c>
      <c r="J52" s="70" t="n">
        <f aca="false">($I18*1000)*($J$46*$J18)*(31536000)/(1*10^15)</f>
        <v>20.238228</v>
      </c>
      <c r="K52" s="70" t="n">
        <f aca="false">($I18*1000)*($K$46*$J18)*(31536000)/(1*10^15)</f>
        <v>23.23824768</v>
      </c>
      <c r="L52" s="70" t="n">
        <f aca="false">($I18*1000)*($L$46*$J18)*(31536000)/(1*10^15)</f>
        <v>26.009694432</v>
      </c>
      <c r="M52" s="70" t="n">
        <f aca="false">($I18*1000)*($M$46*$J18)*(31536000)/(1*10^15)</f>
        <v>28.71447408</v>
      </c>
      <c r="N52" s="70" t="n">
        <f aca="false">($I18*1000)*($N$46*$J18)*(31536000)/(1*10^15)</f>
        <v>33.114502944</v>
      </c>
      <c r="O52" s="71" t="n">
        <f aca="false">($I18*1000)*($O$46*$J18)*(31536000)/(1*10^15)</f>
        <v>38.543109984</v>
      </c>
      <c r="P52" s="96" t="n">
        <f aca="false">($I18*1000)*($P$46*$J18)*(31536000)/(1*10^15)</f>
        <v>44.390767392</v>
      </c>
      <c r="Q52" s="97" t="n">
        <f aca="false">($I18*1000)*($Q$46*$J18)*(31536000)/(1*10^15)</f>
        <v>50.609855808</v>
      </c>
      <c r="R52" s="98" t="n">
        <f aca="false">($I18*1000)*($R$46*$J18)*(31536000)/(1*10^15)</f>
        <v>57.181327488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customFormat="false" ht="19.7" hidden="false" customHeight="false" outlineLevel="0" collapsed="false">
      <c r="A53" s="1"/>
      <c r="B53" s="78" t="n">
        <f aca="false">SUM($B$47:$B$52)</f>
        <v>166.706604988458</v>
      </c>
      <c r="C53" s="79" t="n">
        <f aca="false">SUM($C$47:$C$52)</f>
        <v>172.911160316138</v>
      </c>
      <c r="D53" s="79" t="n">
        <f aca="false">SUM($D$47:$D$52)</f>
        <v>188.259270863557</v>
      </c>
      <c r="E53" s="79" t="n">
        <f aca="false">SUM($E$47:$E$52)</f>
        <v>201.648048149604</v>
      </c>
      <c r="F53" s="79" t="n">
        <f aca="false">SUM($F$47:$F$52)</f>
        <v>217.485992012366</v>
      </c>
      <c r="G53" s="79" t="n">
        <f aca="false">SUM($G$47:$G$52)</f>
        <v>240.344880061714</v>
      </c>
      <c r="H53" s="79" t="n">
        <f aca="false">SUM($H$47:$H$52)</f>
        <v>266.469323546683</v>
      </c>
      <c r="I53" s="79" t="n">
        <f aca="false">SUM($I$47:$I$52)</f>
        <v>300.10454453358</v>
      </c>
      <c r="J53" s="79" t="n">
        <f aca="false">SUM($J$47:$J$52)</f>
        <v>346.965265034743</v>
      </c>
      <c r="K53" s="79" t="n">
        <f aca="false">SUM($K$47:$K$52)</f>
        <v>398.397763145776</v>
      </c>
      <c r="L53" s="79" t="n">
        <f aca="false">SUM($L$47:$L$52)</f>
        <v>445.911594734063</v>
      </c>
      <c r="M53" s="79" t="n">
        <f aca="false">SUM($M$47:$M$52)</f>
        <v>492.282481919882</v>
      </c>
      <c r="N53" s="79" t="n">
        <f aca="false">SUM($N$47:$N$52)</f>
        <v>567.71681248273</v>
      </c>
      <c r="O53" s="80" t="n">
        <f aca="false">SUM($O$47:$O$52)</f>
        <v>660.785142397932</v>
      </c>
      <c r="P53" s="99" t="n">
        <f aca="false">SUM($P$47:$P$52)</f>
        <v>761.0376942715</v>
      </c>
      <c r="Q53" s="100" t="n">
        <f aca="false">SUM($Q$47:$Q$52)</f>
        <v>867.658079244529</v>
      </c>
      <c r="R53" s="101" t="n">
        <f aca="false">SUM($R$47:$R$52)</f>
        <v>980.319741773457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customFormat="false" ht="13.8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customFormat="false" ht="13.8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customFormat="false" ht="13.8" hidden="true" customHeight="false" outlineLevel="0" collapsed="false"/>
  </sheetData>
  <mergeCells count="12">
    <mergeCell ref="H1:P1"/>
    <mergeCell ref="H2:J2"/>
    <mergeCell ref="K2:M2"/>
    <mergeCell ref="N2:P2"/>
    <mergeCell ref="J4:J9"/>
    <mergeCell ref="M4:M9"/>
    <mergeCell ref="P4:P9"/>
    <mergeCell ref="H11:M11"/>
    <mergeCell ref="H22:R22"/>
    <mergeCell ref="B24:E24"/>
    <mergeCell ref="H33:R33"/>
    <mergeCell ref="B44:R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5" activeCellId="0" sqref="C25"/>
    </sheetView>
  </sheetViews>
  <sheetFormatPr defaultColWidth="9.18359375" defaultRowHeight="1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7"/>
    <col collapsed="false" customWidth="true" hidden="false" outlineLevel="0" max="7" min="3" style="0" width="15.71"/>
  </cols>
  <sheetData>
    <row r="1" customFormat="false" ht="27.6" hidden="false" customHeight="true" outlineLevel="0" collapsed="false">
      <c r="B1" s="102" t="s">
        <v>38</v>
      </c>
      <c r="C1" s="102"/>
      <c r="D1" s="102"/>
      <c r="E1" s="102"/>
    </row>
    <row r="2" customFormat="false" ht="15.75" hidden="false" customHeight="false" outlineLevel="0" collapsed="false">
      <c r="B2" s="103" t="s">
        <v>32</v>
      </c>
      <c r="C2" s="103"/>
      <c r="D2" s="104" t="s">
        <v>39</v>
      </c>
      <c r="E2" s="105" t="s">
        <v>40</v>
      </c>
    </row>
    <row r="3" customFormat="false" ht="13.8" hidden="false" customHeight="false" outlineLevel="0" collapsed="false">
      <c r="A3" s="106" t="s">
        <v>33</v>
      </c>
      <c r="B3" s="107" t="n">
        <v>2009</v>
      </c>
      <c r="C3" s="108"/>
      <c r="D3" s="109" t="n">
        <f aca="false">'IR operational stock 2009-2022'!B4</f>
        <v>1021</v>
      </c>
      <c r="E3" s="110" t="s">
        <v>41</v>
      </c>
    </row>
    <row r="4" customFormat="false" ht="13.8" hidden="false" customHeight="false" outlineLevel="0" collapsed="false">
      <c r="A4" s="106"/>
      <c r="B4" s="111" t="n">
        <v>2010</v>
      </c>
      <c r="C4" s="112"/>
      <c r="D4" s="113" t="n">
        <f aca="false">'IR operational stock 2009-2022'!B5</f>
        <v>1059</v>
      </c>
      <c r="E4" s="114" t="n">
        <f aca="false">D4/D3-1</f>
        <v>0.0372184133202742</v>
      </c>
      <c r="F4" s="115" t="n">
        <f aca="false">AVERAGE(E4:E12)</f>
        <v>0.10222802848803</v>
      </c>
    </row>
    <row r="5" customFormat="false" ht="13.8" hidden="false" customHeight="false" outlineLevel="0" collapsed="false">
      <c r="A5" s="106"/>
      <c r="B5" s="111" t="n">
        <v>2011</v>
      </c>
      <c r="C5" s="116"/>
      <c r="D5" s="113" t="n">
        <f aca="false">'IR operational stock 2009-2022'!B6</f>
        <v>1153</v>
      </c>
      <c r="E5" s="114" t="n">
        <f aca="false">D5/D4-1</f>
        <v>0.08876298394712</v>
      </c>
    </row>
    <row r="6" customFormat="false" ht="13.8" hidden="false" customHeight="false" outlineLevel="0" collapsed="false">
      <c r="A6" s="106"/>
      <c r="B6" s="111" t="n">
        <v>2012</v>
      </c>
      <c r="C6" s="112"/>
      <c r="D6" s="113" t="n">
        <f aca="false">'IR operational stock 2009-2022'!B7</f>
        <v>1235</v>
      </c>
      <c r="E6" s="114" t="n">
        <f aca="false">D6/D5-1</f>
        <v>0.0711188204683435</v>
      </c>
    </row>
    <row r="7" customFormat="false" ht="13.8" hidden="false" customHeight="false" outlineLevel="0" collapsed="false">
      <c r="A7" s="106"/>
      <c r="B7" s="111" t="n">
        <v>2013</v>
      </c>
      <c r="C7" s="116"/>
      <c r="D7" s="113" t="n">
        <f aca="false">'IR operational stock 2009-2022'!B8</f>
        <v>1332</v>
      </c>
      <c r="E7" s="114" t="n">
        <f aca="false">D7/D6-1</f>
        <v>0.0785425101214574</v>
      </c>
    </row>
    <row r="8" customFormat="false" ht="13.8" hidden="false" customHeight="false" outlineLevel="0" collapsed="false">
      <c r="A8" s="106"/>
      <c r="B8" s="111" t="n">
        <v>2014</v>
      </c>
      <c r="C8" s="116"/>
      <c r="D8" s="113" t="n">
        <f aca="false">'IR operational stock 2009-2022'!B9</f>
        <v>1472</v>
      </c>
      <c r="E8" s="114" t="n">
        <f aca="false">D8/D7-1</f>
        <v>0.105105105105105</v>
      </c>
    </row>
    <row r="9" customFormat="false" ht="13.8" hidden="false" customHeight="false" outlineLevel="0" collapsed="false">
      <c r="A9" s="106"/>
      <c r="B9" s="111" t="n">
        <v>2015</v>
      </c>
      <c r="C9" s="116"/>
      <c r="D9" s="113" t="n">
        <f aca="false">'IR operational stock 2009-2022'!B10</f>
        <v>1632</v>
      </c>
      <c r="E9" s="114" t="n">
        <f aca="false">D9/D8-1</f>
        <v>0.108695652173913</v>
      </c>
    </row>
    <row r="10" customFormat="false" ht="13.8" hidden="false" customHeight="false" outlineLevel="0" collapsed="false">
      <c r="A10" s="106"/>
      <c r="B10" s="111" t="n">
        <v>2016</v>
      </c>
      <c r="C10" s="116"/>
      <c r="D10" s="113" t="n">
        <f aca="false">'IR operational stock 2009-2022'!B11</f>
        <v>1838</v>
      </c>
      <c r="E10" s="114" t="n">
        <f aca="false">D10/D9-1</f>
        <v>0.126225490196078</v>
      </c>
      <c r="F10" s="117"/>
    </row>
    <row r="11" customFormat="false" ht="13.8" hidden="false" customHeight="false" outlineLevel="0" collapsed="false">
      <c r="A11" s="106"/>
      <c r="B11" s="111" t="n">
        <v>2017</v>
      </c>
      <c r="C11" s="118"/>
      <c r="D11" s="113" t="n">
        <f aca="false">'IR operational stock 2009-2022'!B12</f>
        <v>2125</v>
      </c>
      <c r="E11" s="114" t="n">
        <f aca="false">D11/D10-1</f>
        <v>0.156147986942329</v>
      </c>
    </row>
    <row r="12" customFormat="false" ht="13.8" hidden="false" customHeight="false" outlineLevel="0" collapsed="false">
      <c r="A12" s="106"/>
      <c r="B12" s="111" t="n">
        <v>2018</v>
      </c>
      <c r="C12" s="116"/>
      <c r="D12" s="113" t="n">
        <f aca="false">'IR operational stock 2009-2022'!B13</f>
        <v>2440</v>
      </c>
      <c r="E12" s="114" t="n">
        <f aca="false">D12/D11-1</f>
        <v>0.148235294117647</v>
      </c>
    </row>
    <row r="13" customFormat="false" ht="13.8" hidden="false" customHeight="false" outlineLevel="0" collapsed="false">
      <c r="A13" s="106"/>
      <c r="B13" s="111" t="n">
        <v>2019</v>
      </c>
      <c r="C13" s="118"/>
      <c r="D13" s="113" t="n">
        <f aca="false">'IR operational stock 2009-2022'!B14</f>
        <v>2731</v>
      </c>
      <c r="E13" s="114" t="n">
        <f aca="false">D13/D12-1</f>
        <v>0.119262295081967</v>
      </c>
    </row>
    <row r="14" customFormat="false" ht="13.8" hidden="false" customHeight="false" outlineLevel="0" collapsed="false">
      <c r="A14" s="106"/>
      <c r="B14" s="111" t="n">
        <v>2020</v>
      </c>
      <c r="C14" s="116"/>
      <c r="D14" s="113" t="n">
        <f aca="false">'IR operational stock 2009-2022'!B15</f>
        <v>3015</v>
      </c>
      <c r="E14" s="114" t="n">
        <f aca="false">D14/D13-1</f>
        <v>0.103991212010253</v>
      </c>
    </row>
    <row r="15" customFormat="false" ht="13.8" hidden="false" customHeight="false" outlineLevel="0" collapsed="false">
      <c r="A15" s="106"/>
      <c r="B15" s="111" t="n">
        <v>2021</v>
      </c>
      <c r="C15" s="118"/>
      <c r="D15" s="113" t="n">
        <f aca="false">'IR operational stock 2009-2022'!B16</f>
        <v>3477</v>
      </c>
      <c r="E15" s="114" t="n">
        <f aca="false">D15/D14-1</f>
        <v>0.153233830845771</v>
      </c>
    </row>
    <row r="16" customFormat="false" ht="13.8" hidden="false" customHeight="false" outlineLevel="0" collapsed="false">
      <c r="A16" s="106"/>
      <c r="B16" s="111" t="n">
        <v>2022</v>
      </c>
      <c r="C16" s="116"/>
      <c r="D16" s="113" t="n">
        <f aca="false">'IR operational stock 2009-2022'!B17</f>
        <v>4047</v>
      </c>
      <c r="E16" s="114" t="n">
        <f aca="false">D16/D15-1</f>
        <v>0.163934426229508</v>
      </c>
    </row>
    <row r="17" customFormat="false" ht="13.8" hidden="false" customHeight="false" outlineLevel="0" collapsed="false">
      <c r="B17" s="119" t="s">
        <v>42</v>
      </c>
      <c r="C17" s="120"/>
      <c r="D17" s="121" t="n">
        <f aca="false">'IR operational stock 2009-2022'!B18</f>
        <v>4661</v>
      </c>
      <c r="E17" s="122" t="n">
        <f aca="false">D17/D16-1</f>
        <v>0.151717321472696</v>
      </c>
    </row>
    <row r="18" customFormat="false" ht="13.8" hidden="false" customHeight="false" outlineLevel="0" collapsed="false">
      <c r="B18" s="123" t="s">
        <v>43</v>
      </c>
      <c r="C18" s="124"/>
      <c r="D18" s="121" t="n">
        <f aca="false">'IR operational stock 2009-2022'!B19</f>
        <v>5314</v>
      </c>
      <c r="E18" s="122" t="n">
        <f aca="false">D18/D17-1</f>
        <v>0.140098691267968</v>
      </c>
    </row>
    <row r="19" customFormat="false" ht="13.8" hidden="false" customHeight="false" outlineLevel="0" collapsed="false">
      <c r="B19" s="125" t="s">
        <v>44</v>
      </c>
      <c r="C19" s="126"/>
      <c r="D19" s="121" t="n">
        <f aca="false">'IR operational stock 2009-2022'!B20</f>
        <v>6004</v>
      </c>
      <c r="E19" s="122" t="n">
        <f aca="false">D19/D18-1</f>
        <v>0.129845690628528</v>
      </c>
    </row>
    <row r="21" customFormat="false" ht="15.75" hidden="false" customHeight="false" outlineLevel="0" collapsed="false">
      <c r="D21" s="127"/>
      <c r="E21" s="127"/>
      <c r="F21" s="128"/>
      <c r="G21" s="128"/>
    </row>
    <row r="22" customFormat="false" ht="15.75" hidden="false" customHeight="false" outlineLevel="0" collapsed="false">
      <c r="C22" s="129" t="s">
        <v>45</v>
      </c>
      <c r="D22" s="129"/>
      <c r="E22" s="129"/>
      <c r="F22" s="129"/>
      <c r="G22" s="129"/>
    </row>
    <row r="23" customFormat="false" ht="15.75" hidden="false" customHeight="false" outlineLevel="0" collapsed="false">
      <c r="C23" s="130" t="s">
        <v>46</v>
      </c>
      <c r="D23" s="130"/>
      <c r="E23" s="130"/>
      <c r="F23" s="131" t="s">
        <v>47</v>
      </c>
      <c r="G23" s="131"/>
    </row>
    <row r="24" customFormat="false" ht="15.75" hidden="false" customHeight="false" outlineLevel="0" collapsed="false">
      <c r="A24" s="132"/>
      <c r="B24" s="2" t="s">
        <v>32</v>
      </c>
      <c r="C24" s="133" t="s">
        <v>33</v>
      </c>
      <c r="D24" s="134" t="s">
        <v>48</v>
      </c>
      <c r="E24" s="135" t="s">
        <v>49</v>
      </c>
      <c r="F24" s="136" t="s">
        <v>48</v>
      </c>
      <c r="G24" s="135" t="s">
        <v>49</v>
      </c>
    </row>
    <row r="25" customFormat="false" ht="15" hidden="false" customHeight="false" outlineLevel="0" collapsed="false">
      <c r="A25" s="132"/>
      <c r="B25" s="137" t="n">
        <v>2009</v>
      </c>
      <c r="C25" s="138" t="n">
        <f aca="false">'IR operational stock 2009-2022'!B4/1000</f>
        <v>1.021</v>
      </c>
      <c r="D25" s="139"/>
      <c r="E25" s="140"/>
      <c r="F25" s="141"/>
      <c r="G25" s="142"/>
    </row>
    <row r="26" customFormat="false" ht="15" hidden="false" customHeight="false" outlineLevel="0" collapsed="false">
      <c r="A26" s="132"/>
      <c r="B26" s="143" t="n">
        <v>2010</v>
      </c>
      <c r="C26" s="144" t="n">
        <f aca="false">'IR operational stock 2009-2022'!B5/1000</f>
        <v>1.059</v>
      </c>
      <c r="D26" s="145"/>
      <c r="E26" s="146"/>
      <c r="F26" s="147"/>
      <c r="G26" s="148"/>
    </row>
    <row r="27" customFormat="false" ht="15" hidden="false" customHeight="false" outlineLevel="0" collapsed="false">
      <c r="A27" s="132"/>
      <c r="B27" s="143" t="n">
        <v>2011</v>
      </c>
      <c r="C27" s="144" t="n">
        <f aca="false">'IR operational stock 2009-2022'!B6/1000</f>
        <v>1.153</v>
      </c>
      <c r="D27" s="145"/>
      <c r="E27" s="146"/>
      <c r="F27" s="147"/>
      <c r="G27" s="148"/>
    </row>
    <row r="28" customFormat="false" ht="15" hidden="false" customHeight="false" outlineLevel="0" collapsed="false">
      <c r="A28" s="132"/>
      <c r="B28" s="143" t="n">
        <v>2012</v>
      </c>
      <c r="C28" s="144" t="n">
        <f aca="false">'IR operational stock 2009-2022'!B7/1000</f>
        <v>1.235</v>
      </c>
      <c r="D28" s="145"/>
      <c r="E28" s="146"/>
      <c r="F28" s="147"/>
      <c r="G28" s="148"/>
    </row>
    <row r="29" customFormat="false" ht="15" hidden="false" customHeight="false" outlineLevel="0" collapsed="false">
      <c r="A29" s="132"/>
      <c r="B29" s="143" t="n">
        <v>2013</v>
      </c>
      <c r="C29" s="144" t="n">
        <f aca="false">'IR operational stock 2009-2022'!B8/1000</f>
        <v>1.332</v>
      </c>
      <c r="D29" s="145"/>
      <c r="E29" s="146"/>
      <c r="F29" s="147"/>
      <c r="G29" s="148"/>
    </row>
    <row r="30" customFormat="false" ht="15" hidden="false" customHeight="false" outlineLevel="0" collapsed="false">
      <c r="A30" s="132"/>
      <c r="B30" s="143" t="n">
        <v>2014</v>
      </c>
      <c r="C30" s="144" t="n">
        <f aca="false">'IR operational stock 2009-2022'!B9/1000</f>
        <v>1.472</v>
      </c>
      <c r="D30" s="145"/>
      <c r="E30" s="146"/>
      <c r="F30" s="147"/>
      <c r="G30" s="148"/>
    </row>
    <row r="31" customFormat="false" ht="15" hidden="false" customHeight="false" outlineLevel="0" collapsed="false">
      <c r="A31" s="132"/>
      <c r="B31" s="137" t="n">
        <v>2015</v>
      </c>
      <c r="C31" s="144" t="n">
        <f aca="false">'IR operational stock 2009-2022'!B10/1000</f>
        <v>1.632</v>
      </c>
      <c r="D31" s="149" t="n">
        <f aca="false">C31</f>
        <v>1.632</v>
      </c>
      <c r="E31" s="150" t="n">
        <f aca="false">C31</f>
        <v>1.632</v>
      </c>
      <c r="F31" s="151"/>
      <c r="G31" s="152"/>
    </row>
    <row r="32" customFormat="false" ht="15" hidden="false" customHeight="false" outlineLevel="0" collapsed="false">
      <c r="A32" s="132"/>
      <c r="B32" s="143" t="n">
        <v>2016</v>
      </c>
      <c r="C32" s="144" t="n">
        <f aca="false">'IR operational stock 2009-2022'!B11/1000</f>
        <v>1.838</v>
      </c>
      <c r="D32" s="153" t="n">
        <f aca="false">D31*(1+$D$42)</f>
        <v>1.82784</v>
      </c>
      <c r="E32" s="150" t="n">
        <f aca="false">E31*(1+$E$42)</f>
        <v>2.04</v>
      </c>
      <c r="F32" s="151"/>
      <c r="G32" s="152"/>
    </row>
    <row r="33" customFormat="false" ht="15" hidden="false" customHeight="false" outlineLevel="0" collapsed="false">
      <c r="A33" s="132"/>
      <c r="B33" s="143" t="n">
        <v>2017</v>
      </c>
      <c r="C33" s="144" t="n">
        <f aca="false">'IR operational stock 2009-2022'!B12/1000</f>
        <v>2.125</v>
      </c>
      <c r="D33" s="153" t="n">
        <f aca="false">D32*(1+$D$42)</f>
        <v>2.0471808</v>
      </c>
      <c r="E33" s="150" t="n">
        <f aca="false">E32*(1+$E$42)</f>
        <v>2.55</v>
      </c>
      <c r="F33" s="151" t="n">
        <f aca="false">D33*K33/J33</f>
        <v>0.130671114893617</v>
      </c>
      <c r="G33" s="152"/>
      <c r="J33" s="0" t="n">
        <v>94</v>
      </c>
      <c r="K33" s="0" t="n">
        <v>6</v>
      </c>
    </row>
    <row r="34" customFormat="false" ht="15" hidden="false" customHeight="false" outlineLevel="0" collapsed="false">
      <c r="A34" s="132"/>
      <c r="B34" s="143" t="n">
        <v>2018</v>
      </c>
      <c r="C34" s="144" t="n">
        <f aca="false">'IR operational stock 2009-2022'!B13/1000</f>
        <v>2.44</v>
      </c>
      <c r="D34" s="153" t="n">
        <f aca="false">D33*(1+$D$42)</f>
        <v>2.292842496</v>
      </c>
      <c r="E34" s="150" t="n">
        <f aca="false">E33*(1+$E$42)</f>
        <v>3.1875</v>
      </c>
      <c r="F34" s="151" t="n">
        <f aca="false">D34*K34/J34</f>
        <v>0.283385027595506</v>
      </c>
      <c r="G34" s="152"/>
      <c r="J34" s="0" t="n">
        <v>89</v>
      </c>
      <c r="K34" s="0" t="n">
        <v>11</v>
      </c>
    </row>
    <row r="35" customFormat="false" ht="13.8" hidden="false" customHeight="false" outlineLevel="0" collapsed="false">
      <c r="A35" s="132"/>
      <c r="B35" s="143" t="n">
        <v>2019</v>
      </c>
      <c r="C35" s="144" t="n">
        <f aca="false">'IR operational stock 2009-2022'!B14/1000</f>
        <v>2.731</v>
      </c>
      <c r="D35" s="153" t="n">
        <f aca="false">D34*(1+$D$42)</f>
        <v>2.56798359552</v>
      </c>
      <c r="E35" s="150" t="n">
        <f aca="false">E34*(1+$E$42)</f>
        <v>3.984375</v>
      </c>
      <c r="F35" s="151" t="n">
        <f aca="false">D35*K35/J35</f>
        <v>0.48913973248</v>
      </c>
      <c r="G35" s="152"/>
      <c r="J35" s="0" t="n">
        <v>84</v>
      </c>
      <c r="K35" s="0" t="n">
        <v>16</v>
      </c>
    </row>
    <row r="36" customFormat="false" ht="13.8" hidden="false" customHeight="false" outlineLevel="0" collapsed="false">
      <c r="A36" s="132"/>
      <c r="B36" s="143" t="n">
        <v>2020</v>
      </c>
      <c r="C36" s="144" t="n">
        <f aca="false">'IR operational stock 2009-2022'!B15/1000</f>
        <v>3.015</v>
      </c>
      <c r="D36" s="153" t="n">
        <f aca="false">D35*(1+$D$42)</f>
        <v>2.8761416269824</v>
      </c>
      <c r="E36" s="150" t="n">
        <f aca="false">E35*(1+$E$42)</f>
        <v>4.98046875</v>
      </c>
      <c r="F36" s="151" t="n">
        <f aca="false">D36*K36/J36</f>
        <v>0.76454397679279</v>
      </c>
      <c r="G36" s="152"/>
      <c r="J36" s="0" t="n">
        <v>79</v>
      </c>
      <c r="K36" s="0" t="n">
        <v>21</v>
      </c>
    </row>
    <row r="37" customFormat="false" ht="13.8" hidden="false" customHeight="false" outlineLevel="0" collapsed="false">
      <c r="A37" s="132"/>
      <c r="B37" s="137" t="n">
        <v>2021</v>
      </c>
      <c r="C37" s="144" t="n">
        <f aca="false">'IR operational stock 2009-2022'!B16/1000</f>
        <v>3.477</v>
      </c>
      <c r="D37" s="153" t="n">
        <f aca="false">D36*(1+$D$42)</f>
        <v>3.22127862222029</v>
      </c>
      <c r="E37" s="150" t="n">
        <f aca="false">E36*(1+$E$42)</f>
        <v>6.2255859375</v>
      </c>
      <c r="F37" s="151" t="n">
        <f aca="false">D37*K37/J37</f>
        <v>1.01724588070114</v>
      </c>
      <c r="G37" s="152"/>
      <c r="J37" s="0" t="n">
        <v>76</v>
      </c>
      <c r="K37" s="0" t="n">
        <v>24</v>
      </c>
    </row>
    <row r="38" customFormat="false" ht="13.8" hidden="false" customHeight="false" outlineLevel="0" collapsed="false">
      <c r="A38" s="132" t="s">
        <v>50</v>
      </c>
      <c r="B38" s="143" t="n">
        <v>2022</v>
      </c>
      <c r="C38" s="144" t="n">
        <f aca="false">'IR operational stock 2009-2022'!B17/1000</f>
        <v>4.047</v>
      </c>
      <c r="D38" s="153" t="n">
        <f aca="false">D37*(1+$D$42)</f>
        <v>3.60783205688673</v>
      </c>
      <c r="E38" s="150" t="n">
        <f aca="false">E37*(1+$E$42)</f>
        <v>7.781982421875</v>
      </c>
      <c r="F38" s="151"/>
      <c r="G38" s="152"/>
    </row>
    <row r="39" customFormat="false" ht="13.8" hidden="false" customHeight="false" outlineLevel="0" collapsed="false">
      <c r="A39" s="132" t="s">
        <v>50</v>
      </c>
      <c r="B39" s="143" t="n">
        <v>2023</v>
      </c>
      <c r="C39" s="144" t="n">
        <f aca="false">'IR operational stock 2009-2022'!B18/1000</f>
        <v>4.661</v>
      </c>
      <c r="D39" s="153" t="n">
        <f aca="false">D38*(1+$D$42)</f>
        <v>4.04077190371313</v>
      </c>
      <c r="E39" s="150" t="n">
        <f aca="false">E38*(1+$E$42)</f>
        <v>9.72747802734375</v>
      </c>
      <c r="F39" s="151"/>
      <c r="G39" s="152"/>
    </row>
    <row r="40" customFormat="false" ht="13.8" hidden="false" customHeight="false" outlineLevel="0" collapsed="false">
      <c r="A40" s="132" t="s">
        <v>50</v>
      </c>
      <c r="B40" s="143" t="n">
        <v>2024</v>
      </c>
      <c r="C40" s="144" t="n">
        <f aca="false">'IR operational stock 2009-2022'!B19/1000</f>
        <v>5.314</v>
      </c>
      <c r="D40" s="153" t="n">
        <f aca="false">D39*(1+$D$42)</f>
        <v>4.52566453215871</v>
      </c>
      <c r="E40" s="150" t="n">
        <f aca="false">E39*(1+$E$42)</f>
        <v>12.1593475341797</v>
      </c>
      <c r="F40" s="151"/>
      <c r="G40" s="152"/>
    </row>
    <row r="41" customFormat="false" ht="13.8" hidden="false" customHeight="false" outlineLevel="0" collapsed="false">
      <c r="A41" s="132" t="s">
        <v>50</v>
      </c>
      <c r="B41" s="143" t="n">
        <v>2025</v>
      </c>
      <c r="C41" s="144" t="n">
        <f aca="false">'IR operational stock 2009-2022'!B20/1000</f>
        <v>6.004</v>
      </c>
      <c r="D41" s="153" t="n">
        <f aca="false">D40*(1+$D$42)</f>
        <v>5.06874427601776</v>
      </c>
      <c r="E41" s="150" t="n">
        <f aca="false">E40*(1+$E$42)</f>
        <v>15.1991844177246</v>
      </c>
      <c r="F41" s="151"/>
      <c r="G41" s="152"/>
    </row>
    <row r="42" customFormat="false" ht="15.75" hidden="false" customHeight="false" outlineLevel="0" collapsed="false">
      <c r="A42" s="132"/>
      <c r="B42" s="154" t="s">
        <v>51</v>
      </c>
      <c r="C42" s="155"/>
      <c r="D42" s="156" t="n">
        <v>0.12</v>
      </c>
      <c r="E42" s="157" t="n">
        <v>0.25</v>
      </c>
      <c r="F42" s="158"/>
      <c r="G42" s="159"/>
    </row>
    <row r="44" customFormat="false" ht="15" hidden="false" customHeight="false" outlineLevel="0" collapsed="false">
      <c r="B44" s="160" t="s">
        <v>52</v>
      </c>
      <c r="C44" s="161" t="s">
        <v>53</v>
      </c>
      <c r="D44" s="161"/>
      <c r="E44" s="161"/>
      <c r="F44" s="161"/>
      <c r="G44" s="161"/>
      <c r="H44" s="161"/>
    </row>
    <row r="48" customFormat="false" ht="15" hidden="false" customHeight="false" outlineLevel="0" collapsed="false">
      <c r="F48" s="162" t="n">
        <f aca="false">F33/(F33+D33)</f>
        <v>0.06</v>
      </c>
    </row>
  </sheetData>
  <mergeCells count="7">
    <mergeCell ref="B1:E1"/>
    <mergeCell ref="B2:C2"/>
    <mergeCell ref="A3:A16"/>
    <mergeCell ref="C22:G22"/>
    <mergeCell ref="C23:E23"/>
    <mergeCell ref="F23:G23"/>
    <mergeCell ref="C44:H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" activeCellId="0" sqref="F2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14.43"/>
    <col collapsed="false" customWidth="true" hidden="false" outlineLevel="0" max="3" min="3" style="0" width="13.7"/>
  </cols>
  <sheetData>
    <row r="1" customFormat="false" ht="15" hidden="false" customHeight="false" outlineLevel="0" collapsed="false">
      <c r="A1" s="163" t="s">
        <v>54</v>
      </c>
      <c r="B1" s="163" t="s">
        <v>55</v>
      </c>
      <c r="C1" s="163" t="s">
        <v>56</v>
      </c>
    </row>
    <row r="2" customFormat="false" ht="15" hidden="false" customHeight="false" outlineLevel="0" collapsed="false">
      <c r="A2" s="0" t="s">
        <v>57</v>
      </c>
      <c r="B2" s="0" t="n">
        <v>400</v>
      </c>
      <c r="C2" s="164" t="n">
        <f aca="false">B2/SUM($B$2:$B$10)</f>
        <v>0.287769784172662</v>
      </c>
    </row>
    <row r="3" customFormat="false" ht="15" hidden="false" customHeight="false" outlineLevel="0" collapsed="false">
      <c r="A3" s="0" t="s">
        <v>1</v>
      </c>
      <c r="B3" s="0" t="n">
        <v>300</v>
      </c>
      <c r="C3" s="164" t="n">
        <f aca="false">B3/SUM($B$2:$B$10)</f>
        <v>0.215827338129496</v>
      </c>
    </row>
    <row r="4" customFormat="false" ht="15" hidden="false" customHeight="false" outlineLevel="0" collapsed="false">
      <c r="A4" s="0" t="s">
        <v>3</v>
      </c>
      <c r="B4" s="0" t="n">
        <v>250</v>
      </c>
      <c r="C4" s="164" t="n">
        <f aca="false">B4/SUM($B$2:$B$10)</f>
        <v>0.179856115107914</v>
      </c>
    </row>
    <row r="5" customFormat="false" ht="15" hidden="false" customHeight="false" outlineLevel="0" collapsed="false">
      <c r="A5" s="0" t="s">
        <v>58</v>
      </c>
      <c r="B5" s="0" t="n">
        <v>110</v>
      </c>
      <c r="C5" s="164" t="n">
        <f aca="false">B5/SUM($B$2:$B$10)</f>
        <v>0.079136690647482</v>
      </c>
    </row>
    <row r="6" customFormat="false" ht="15" hidden="false" customHeight="false" outlineLevel="0" collapsed="false">
      <c r="A6" s="0" t="s">
        <v>59</v>
      </c>
      <c r="B6" s="0" t="n">
        <v>100</v>
      </c>
      <c r="C6" s="164" t="n">
        <f aca="false">B6/SUM($B$2:$B$10)</f>
        <v>0.0719424460431655</v>
      </c>
    </row>
    <row r="7" customFormat="false" ht="15" hidden="false" customHeight="false" outlineLevel="0" collapsed="false">
      <c r="A7" s="0" t="s">
        <v>60</v>
      </c>
      <c r="B7" s="0" t="n">
        <v>80</v>
      </c>
      <c r="C7" s="164" t="n">
        <f aca="false">B7/SUM($B$2:$B$10)</f>
        <v>0.0575539568345324</v>
      </c>
    </row>
    <row r="8" customFormat="false" ht="15" hidden="false" customHeight="false" outlineLevel="0" collapsed="false">
      <c r="A8" s="0" t="s">
        <v>61</v>
      </c>
      <c r="B8" s="0" t="n">
        <v>80</v>
      </c>
      <c r="C8" s="164" t="n">
        <f aca="false">B8/SUM($B$2:$B$10)</f>
        <v>0.0575539568345324</v>
      </c>
    </row>
    <row r="9" customFormat="false" ht="15" hidden="false" customHeight="false" outlineLevel="0" collapsed="false">
      <c r="A9" s="0" t="s">
        <v>62</v>
      </c>
      <c r="B9" s="0" t="n">
        <v>45</v>
      </c>
      <c r="C9" s="164" t="n">
        <f aca="false">B9/SUM($B$2:$B$10)</f>
        <v>0.0323741007194245</v>
      </c>
    </row>
    <row r="10" customFormat="false" ht="15" hidden="false" customHeight="false" outlineLevel="0" collapsed="false">
      <c r="A10" s="0" t="s">
        <v>63</v>
      </c>
      <c r="B10" s="0" t="n">
        <v>25</v>
      </c>
      <c r="C10" s="164" t="n">
        <f aca="false">B10/SUM($B$2:$B$10)</f>
        <v>0.0179856115107914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39.86"/>
    <col collapsed="false" customWidth="true" hidden="false" outlineLevel="0" max="4" min="3" style="0" width="7.11"/>
    <col collapsed="false" customWidth="true" hidden="false" outlineLevel="0" max="5" min="5" style="0" width="90.24"/>
    <col collapsed="false" customWidth="true" hidden="false" outlineLevel="0" max="1024" min="1019" style="0" width="11.52"/>
  </cols>
  <sheetData>
    <row r="1" customFormat="false" ht="25.5" hidden="false" customHeight="true" outlineLevel="0" collapsed="false">
      <c r="A1" s="165" t="s">
        <v>64</v>
      </c>
      <c r="B1" s="165"/>
      <c r="C1" s="165"/>
    </row>
    <row r="2" customFormat="false" ht="43.5" hidden="false" customHeight="true" outlineLevel="0" collapsed="false">
      <c r="A2" s="166" t="s">
        <v>65</v>
      </c>
      <c r="B2" s="166"/>
      <c r="C2" s="166"/>
    </row>
    <row r="4" customFormat="false" ht="13.8" hidden="false" customHeight="false" outlineLevel="0" collapsed="false">
      <c r="A4" s="167" t="s">
        <v>66</v>
      </c>
      <c r="B4" s="168" t="n">
        <v>1021</v>
      </c>
      <c r="C4" s="168" t="n">
        <v>60</v>
      </c>
      <c r="D4" s="169" t="s">
        <v>67</v>
      </c>
      <c r="E4" s="170" t="s">
        <v>68</v>
      </c>
    </row>
    <row r="5" customFormat="false" ht="13.8" hidden="false" customHeight="false" outlineLevel="0" collapsed="false">
      <c r="A5" s="167" t="s">
        <v>69</v>
      </c>
      <c r="B5" s="168" t="n">
        <v>1059</v>
      </c>
      <c r="C5" s="168" t="n">
        <v>121</v>
      </c>
      <c r="D5" s="169"/>
      <c r="E5" s="169"/>
    </row>
    <row r="6" customFormat="false" ht="13.8" hidden="false" customHeight="false" outlineLevel="0" collapsed="false">
      <c r="A6" s="167" t="s">
        <v>70</v>
      </c>
      <c r="B6" s="168" t="n">
        <v>1153</v>
      </c>
      <c r="C6" s="168" t="n">
        <v>166</v>
      </c>
      <c r="D6" s="169"/>
      <c r="E6" s="169"/>
    </row>
    <row r="7" customFormat="false" ht="13.8" hidden="false" customHeight="false" outlineLevel="0" collapsed="false">
      <c r="A7" s="167" t="s">
        <v>71</v>
      </c>
      <c r="B7" s="168" t="n">
        <v>1235</v>
      </c>
      <c r="C7" s="168" t="n">
        <v>159</v>
      </c>
      <c r="D7" s="169"/>
      <c r="E7" s="169"/>
    </row>
    <row r="8" customFormat="false" ht="13.8" hidden="false" customHeight="false" outlineLevel="0" collapsed="false">
      <c r="A8" s="167" t="s">
        <v>72</v>
      </c>
      <c r="B8" s="168" t="n">
        <v>1332</v>
      </c>
      <c r="C8" s="168" t="n">
        <v>178</v>
      </c>
      <c r="D8" s="169"/>
      <c r="E8" s="169"/>
    </row>
    <row r="9" customFormat="false" ht="13.8" hidden="false" customHeight="false" outlineLevel="0" collapsed="false">
      <c r="A9" s="167" t="s">
        <v>73</v>
      </c>
      <c r="B9" s="168" t="n">
        <v>1472</v>
      </c>
      <c r="C9" s="168" t="n">
        <v>221</v>
      </c>
      <c r="D9" s="169"/>
      <c r="E9" s="169"/>
    </row>
    <row r="10" customFormat="false" ht="13.8" hidden="false" customHeight="false" outlineLevel="0" collapsed="false">
      <c r="A10" s="167" t="s">
        <v>74</v>
      </c>
      <c r="B10" s="168" t="n">
        <v>1632</v>
      </c>
      <c r="C10" s="168" t="n">
        <v>254</v>
      </c>
      <c r="D10" s="169"/>
      <c r="E10" s="169"/>
    </row>
    <row r="11" customFormat="false" ht="13.8" hidden="false" customHeight="false" outlineLevel="0" collapsed="false">
      <c r="A11" s="167" t="s">
        <v>75</v>
      </c>
      <c r="B11" s="168" t="n">
        <v>1838</v>
      </c>
      <c r="C11" s="168" t="n">
        <v>304</v>
      </c>
      <c r="D11" s="169"/>
      <c r="E11" s="169"/>
    </row>
    <row r="12" customFormat="false" ht="13.8" hidden="false" customHeight="false" outlineLevel="0" collapsed="false">
      <c r="A12" s="167" t="s">
        <v>76</v>
      </c>
      <c r="B12" s="168" t="n">
        <v>2125</v>
      </c>
      <c r="C12" s="168" t="n">
        <v>400</v>
      </c>
      <c r="D12" s="169"/>
      <c r="E12" s="169"/>
    </row>
    <row r="13" customFormat="false" ht="13.8" hidden="false" customHeight="false" outlineLevel="0" collapsed="false">
      <c r="A13" s="167" t="s">
        <v>77</v>
      </c>
      <c r="B13" s="168" t="n">
        <v>2440</v>
      </c>
      <c r="C13" s="168" t="n">
        <v>423</v>
      </c>
      <c r="D13" s="169"/>
      <c r="E13" s="169"/>
    </row>
    <row r="14" customFormat="false" ht="13.8" hidden="false" customHeight="false" outlineLevel="0" collapsed="false">
      <c r="A14" s="167" t="n">
        <v>2019</v>
      </c>
      <c r="B14" s="168" t="n">
        <v>2731</v>
      </c>
      <c r="C14" s="168" t="n">
        <v>391</v>
      </c>
      <c r="D14" s="169"/>
      <c r="E14" s="169"/>
    </row>
    <row r="15" customFormat="false" ht="13.8" hidden="false" customHeight="false" outlineLevel="0" collapsed="false">
      <c r="A15" s="167" t="n">
        <v>2020</v>
      </c>
      <c r="B15" s="168" t="n">
        <v>3015</v>
      </c>
      <c r="C15" s="168" t="n">
        <v>394</v>
      </c>
      <c r="D15" s="169"/>
      <c r="E15" s="169"/>
    </row>
    <row r="16" customFormat="false" ht="13.8" hidden="false" customHeight="false" outlineLevel="0" collapsed="false">
      <c r="A16" s="167" t="n">
        <v>2021</v>
      </c>
      <c r="B16" s="168" t="n">
        <v>3477</v>
      </c>
      <c r="C16" s="168" t="n">
        <v>517</v>
      </c>
      <c r="D16" s="160" t="s">
        <v>67</v>
      </c>
      <c r="E16" s="171" t="s">
        <v>78</v>
      </c>
    </row>
    <row r="17" customFormat="false" ht="13.8" hidden="false" customHeight="false" outlineLevel="0" collapsed="false">
      <c r="A17" s="172" t="s">
        <v>79</v>
      </c>
      <c r="B17" s="173" t="n">
        <f aca="false">B16+C17</f>
        <v>4047</v>
      </c>
      <c r="C17" s="173" t="n">
        <v>570</v>
      </c>
      <c r="D17" s="160" t="s">
        <v>67</v>
      </c>
      <c r="E17" s="171" t="s">
        <v>80</v>
      </c>
    </row>
    <row r="18" customFormat="false" ht="13.8" hidden="false" customHeight="false" outlineLevel="0" collapsed="false">
      <c r="A18" s="174" t="s">
        <v>81</v>
      </c>
      <c r="B18" s="173" t="n">
        <f aca="false">B17+C18</f>
        <v>4661</v>
      </c>
      <c r="C18" s="175" t="n">
        <v>614</v>
      </c>
    </row>
    <row r="19" customFormat="false" ht="13.8" hidden="false" customHeight="false" outlineLevel="0" collapsed="false">
      <c r="A19" s="174" t="s">
        <v>82</v>
      </c>
      <c r="B19" s="173" t="n">
        <f aca="false">B18+C19</f>
        <v>5314</v>
      </c>
      <c r="C19" s="175" t="n">
        <v>653</v>
      </c>
    </row>
    <row r="20" customFormat="false" ht="13.8" hidden="false" customHeight="false" outlineLevel="0" collapsed="false">
      <c r="A20" s="174" t="s">
        <v>83</v>
      </c>
      <c r="B20" s="173" t="n">
        <f aca="false">B19+C20</f>
        <v>6004</v>
      </c>
      <c r="C20" s="175" t="n">
        <v>690</v>
      </c>
    </row>
    <row r="22" customFormat="false" ht="13.8" hidden="false" customHeight="false" outlineLevel="0" collapsed="false">
      <c r="D22" s="0" t="s">
        <v>67</v>
      </c>
      <c r="E22" s="0" t="s">
        <v>84</v>
      </c>
    </row>
  </sheetData>
  <mergeCells count="4">
    <mergeCell ref="A1:B1"/>
    <mergeCell ref="A2:B2"/>
    <mergeCell ref="D4:D15"/>
    <mergeCell ref="E4:E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7" activeCellId="0" sqref="H7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15.29"/>
    <col collapsed="false" customWidth="true" hidden="false" outlineLevel="0" max="2" min="2" style="0" width="12.13"/>
    <col collapsed="false" customWidth="true" hidden="false" outlineLevel="0" max="3" min="3" style="0" width="12.57"/>
    <col collapsed="false" customWidth="true" hidden="false" outlineLevel="0" max="4" min="4" style="0" width="12.13"/>
    <col collapsed="false" customWidth="true" hidden="false" outlineLevel="0" max="5" min="5" style="0" width="10.99"/>
    <col collapsed="false" customWidth="true" hidden="false" outlineLevel="0" max="6" min="6" style="0" width="12.04"/>
    <col collapsed="false" customWidth="true" hidden="false" outlineLevel="0" max="8" min="7" style="0" width="11.69"/>
    <col collapsed="false" customWidth="true" hidden="false" outlineLevel="0" max="9" min="9" style="0" width="27.78"/>
    <col collapsed="false" customWidth="true" hidden="false" outlineLevel="0" max="10" min="10" style="0" width="27.05"/>
    <col collapsed="false" customWidth="true" hidden="false" outlineLevel="0" max="14" min="14" style="0" width="17"/>
  </cols>
  <sheetData>
    <row r="1" customFormat="false" ht="10.15" hidden="false" customHeight="true" outlineLevel="0" collapsed="false"/>
    <row r="2" customFormat="false" ht="31.9" hidden="false" customHeight="true" outlineLevel="0" collapsed="false">
      <c r="A2" s="176" t="s">
        <v>85</v>
      </c>
      <c r="B2" s="176"/>
      <c r="C2" s="176"/>
      <c r="D2" s="176"/>
      <c r="E2" s="176"/>
      <c r="F2" s="176"/>
      <c r="G2" s="176"/>
      <c r="H2" s="176"/>
      <c r="I2" s="176"/>
      <c r="J2" s="0" t="s">
        <v>86</v>
      </c>
      <c r="K2" s="0" t="n">
        <f aca="false">K3+'Cobots power data'!C50</f>
        <v>97.5908327946563</v>
      </c>
    </row>
    <row r="3" customFormat="false" ht="35.05" hidden="false" customHeight="false" outlineLevel="0" collapsed="false">
      <c r="A3" s="177" t="s">
        <v>32</v>
      </c>
      <c r="B3" s="178" t="s">
        <v>87</v>
      </c>
      <c r="C3" s="178" t="s">
        <v>88</v>
      </c>
      <c r="D3" s="178" t="s">
        <v>89</v>
      </c>
      <c r="E3" s="178" t="s">
        <v>90</v>
      </c>
      <c r="F3" s="178" t="s">
        <v>91</v>
      </c>
      <c r="G3" s="178" t="s">
        <v>92</v>
      </c>
      <c r="H3" s="179" t="s">
        <v>93</v>
      </c>
      <c r="I3" s="180" t="s">
        <v>94</v>
      </c>
      <c r="J3" s="163" t="s">
        <v>95</v>
      </c>
      <c r="K3" s="163" t="n">
        <v>58.39</v>
      </c>
      <c r="M3" s="181"/>
      <c r="N3" s="181"/>
    </row>
    <row r="4" customFormat="false" ht="13.8" hidden="false" customHeight="false" outlineLevel="0" collapsed="false">
      <c r="A4" s="182" t="n">
        <v>2016</v>
      </c>
      <c r="B4" s="183" t="n">
        <v>9</v>
      </c>
      <c r="C4" s="184"/>
      <c r="D4" s="185" t="n">
        <f aca="false">AVERAGE(B4:C4)</f>
        <v>9</v>
      </c>
      <c r="E4" s="186"/>
      <c r="F4" s="187"/>
      <c r="G4" s="187"/>
      <c r="H4" s="188"/>
      <c r="I4" s="189" t="n">
        <f aca="false">($K$2*(H4)*31536000)</f>
        <v>0</v>
      </c>
      <c r="J4" s="190"/>
      <c r="K4" s="190"/>
      <c r="M4" s="190"/>
      <c r="N4" s="190"/>
      <c r="AC4" s="191" t="n">
        <v>2015</v>
      </c>
      <c r="AD4" s="190" t="n">
        <v>10.649</v>
      </c>
      <c r="AE4" s="190" t="n">
        <v>10.649</v>
      </c>
    </row>
    <row r="5" customFormat="false" ht="13.8" hidden="false" customHeight="false" outlineLevel="0" collapsed="false">
      <c r="A5" s="192" t="n">
        <v>2017</v>
      </c>
      <c r="B5" s="193" t="n">
        <v>11</v>
      </c>
      <c r="C5" s="184"/>
      <c r="D5" s="185" t="n">
        <f aca="false">AVERAGE(B5:C5)</f>
        <v>11</v>
      </c>
      <c r="E5" s="186"/>
      <c r="F5" s="194" t="n">
        <f aca="false">N22/1000</f>
        <v>166.666666666667</v>
      </c>
      <c r="G5" s="187"/>
      <c r="H5" s="195" t="n">
        <f aca="false">AVERAGE(F5:G5)</f>
        <v>166.666666666667</v>
      </c>
      <c r="I5" s="189" t="n">
        <f aca="false">($K$2*(H5*1000)*31536000)*1E-015</f>
        <v>0.512937417168714</v>
      </c>
      <c r="J5" s="190"/>
      <c r="K5" s="190"/>
      <c r="M5" s="190"/>
      <c r="N5" s="190"/>
      <c r="AC5" s="191" t="n">
        <v>2016</v>
      </c>
      <c r="AD5" s="190" t="n">
        <v>21.719</v>
      </c>
      <c r="AE5" s="190" t="n">
        <v>21.719</v>
      </c>
    </row>
    <row r="6" customFormat="false" ht="13.8" hidden="false" customHeight="false" outlineLevel="0" collapsed="false">
      <c r="A6" s="192" t="n">
        <v>2018</v>
      </c>
      <c r="B6" s="193" t="n">
        <v>19</v>
      </c>
      <c r="C6" s="187" t="n">
        <f aca="false">E21/1000</f>
        <v>22.2631578947368</v>
      </c>
      <c r="D6" s="185" t="n">
        <f aca="false">AVERAGE(B6:C6)</f>
        <v>20.6315789473684</v>
      </c>
      <c r="E6" s="186"/>
      <c r="F6" s="187" t="n">
        <f aca="false">F5+D6</f>
        <v>187.298245614035</v>
      </c>
      <c r="G6" s="187" t="n">
        <f aca="false">G21</f>
        <v>128.421052631579</v>
      </c>
      <c r="H6" s="195" t="n">
        <f aca="false">F6</f>
        <v>187.298245614035</v>
      </c>
      <c r="I6" s="189" t="n">
        <f aca="false">($K$2*(H6*1000)*31536000)*1E-015</f>
        <v>0.576433670072967</v>
      </c>
      <c r="J6" s="190"/>
      <c r="K6" s="190"/>
      <c r="M6" s="190"/>
      <c r="N6" s="190"/>
      <c r="AC6" s="191" t="n">
        <v>2017</v>
      </c>
      <c r="AD6" s="190" t="n">
        <v>34.07</v>
      </c>
      <c r="AE6" s="190" t="n">
        <v>34.07</v>
      </c>
    </row>
    <row r="7" customFormat="false" ht="13.8" hidden="false" customHeight="false" outlineLevel="0" collapsed="false">
      <c r="A7" s="192" t="n">
        <v>2019</v>
      </c>
      <c r="B7" s="193" t="n">
        <v>21</v>
      </c>
      <c r="C7" s="187" t="n">
        <f aca="false">E22/1000</f>
        <v>29.4301075268817</v>
      </c>
      <c r="D7" s="185" t="n">
        <f aca="false">AVERAGE(B7:C7)</f>
        <v>25.2150537634409</v>
      </c>
      <c r="E7" s="186"/>
      <c r="F7" s="187" t="n">
        <f aca="false">F6+D7</f>
        <v>212.513299377476</v>
      </c>
      <c r="G7" s="187" t="n">
        <f aca="false">G22</f>
        <v>205.559139784946</v>
      </c>
      <c r="H7" s="195" t="n">
        <f aca="false">AVERAGE(F7:G7)</f>
        <v>209.036219581211</v>
      </c>
      <c r="I7" s="189" t="n">
        <f aca="false">($K$2*(H7*1000)*31536000)*1E-015</f>
        <v>0.643334991400191</v>
      </c>
      <c r="J7" s="190"/>
      <c r="K7" s="190"/>
      <c r="M7" s="190"/>
      <c r="N7" s="190"/>
      <c r="AC7" s="191" t="n">
        <v>2018</v>
      </c>
      <c r="AD7" s="190" t="n">
        <v>53.733</v>
      </c>
      <c r="AE7" s="190" t="n">
        <v>53.733</v>
      </c>
    </row>
    <row r="8" customFormat="false" ht="13.8" hidden="false" customHeight="false" outlineLevel="0" collapsed="false">
      <c r="A8" s="192" t="n">
        <v>2020</v>
      </c>
      <c r="B8" s="193" t="n">
        <v>26</v>
      </c>
      <c r="C8" s="187" t="n">
        <f aca="false">E23/1000</f>
        <v>34.2608695652174</v>
      </c>
      <c r="D8" s="185" t="n">
        <f aca="false">AVERAGE(B8:C8)</f>
        <v>30.1304347826087</v>
      </c>
      <c r="E8" s="186"/>
      <c r="F8" s="187" t="n">
        <f aca="false">F7+D8</f>
        <v>242.643734160085</v>
      </c>
      <c r="G8" s="187" t="n">
        <f aca="false">G23</f>
        <v>262.173913043478</v>
      </c>
      <c r="H8" s="195" t="n">
        <f aca="false">AVERAGE(F8:G8)</f>
        <v>252.408823601781</v>
      </c>
      <c r="I8" s="189" t="n">
        <f aca="false">($K$2*(H8*1000)*31536000)*1E-015</f>
        <v>0.776819580293347</v>
      </c>
      <c r="J8" s="190"/>
      <c r="K8" s="190"/>
      <c r="M8" s="190"/>
      <c r="N8" s="190"/>
      <c r="AC8" s="191" t="n">
        <v>2019</v>
      </c>
      <c r="AD8" s="190" t="n">
        <v>85.222</v>
      </c>
      <c r="AE8" s="190" t="n">
        <v>85.222</v>
      </c>
    </row>
    <row r="9" customFormat="false" ht="13.8" hidden="false" customHeight="false" outlineLevel="0" collapsed="false">
      <c r="A9" s="192" t="n">
        <v>2021</v>
      </c>
      <c r="B9" s="193" t="n">
        <v>39</v>
      </c>
      <c r="C9" s="187" t="n">
        <f aca="false">E24/1000</f>
        <v>63.8988764044944</v>
      </c>
      <c r="D9" s="185" t="n">
        <f aca="false">AVERAGE(B9:C9)</f>
        <v>51.4494382022472</v>
      </c>
      <c r="E9" s="187" t="n">
        <f aca="false">100*(C10/C9-1)</f>
        <v>33.292506199863</v>
      </c>
      <c r="F9" s="187" t="n">
        <f aca="false">F8+D9</f>
        <v>294.093172362332</v>
      </c>
      <c r="G9" s="187" t="n">
        <f aca="false">G24</f>
        <v>429.741573033708</v>
      </c>
      <c r="H9" s="195" t="n">
        <f aca="false">AVERAGE(F9:G9)</f>
        <v>361.91737269802</v>
      </c>
      <c r="I9" s="189" t="n">
        <f aca="false">($K$2*(H9*1000)*31536000)*1E-015</f>
        <v>1.11384577428125</v>
      </c>
      <c r="J9" s="190"/>
      <c r="K9" s="190"/>
      <c r="M9" s="190"/>
      <c r="N9" s="190"/>
      <c r="AC9" s="191" t="n">
        <v>2020</v>
      </c>
      <c r="AD9" s="190" t="n">
        <v>135.952</v>
      </c>
      <c r="AE9" s="190" t="n">
        <v>135.952</v>
      </c>
    </row>
    <row r="10" customFormat="false" ht="13.8" hidden="false" customHeight="false" outlineLevel="0" collapsed="false">
      <c r="A10" s="196" t="n">
        <v>2022</v>
      </c>
      <c r="B10" s="184"/>
      <c r="C10" s="187" t="n">
        <f aca="false">E25/1000</f>
        <v>85.1724137931035</v>
      </c>
      <c r="D10" s="185" t="n">
        <f aca="false">AVERAGE(B10:C10)</f>
        <v>85.1724137931035</v>
      </c>
      <c r="E10" s="187" t="n">
        <f aca="false">'Global mobile cobots market vol'!D7</f>
        <v>38.5684083358502</v>
      </c>
      <c r="F10" s="187" t="n">
        <f aca="false">F9+D10</f>
        <v>379.265586155435</v>
      </c>
      <c r="G10" s="187" t="n">
        <f aca="false">G25</f>
        <v>604.724137931035</v>
      </c>
      <c r="H10" s="195" t="n">
        <f aca="false">AVERAGE(F10:G10)</f>
        <v>491.994862043235</v>
      </c>
      <c r="I10" s="189" t="n">
        <f aca="false">($K$2*(H10*1000)*31536000)*1E-015</f>
        <v>1.51417544278041</v>
      </c>
      <c r="J10" s="190"/>
      <c r="K10" s="190"/>
      <c r="M10" s="190"/>
      <c r="N10" s="190"/>
      <c r="AC10" s="191" t="n">
        <v>2021</v>
      </c>
      <c r="AD10" s="190" t="n">
        <v>217.5232</v>
      </c>
      <c r="AE10" s="190" t="n">
        <v>271.904</v>
      </c>
    </row>
    <row r="11" customFormat="false" ht="13.8" hidden="false" customHeight="false" outlineLevel="0" collapsed="false">
      <c r="A11" s="197" t="n">
        <v>2023</v>
      </c>
      <c r="B11" s="190"/>
      <c r="C11" s="183" t="n">
        <f aca="false">C10*(100+E11)/100</f>
        <v>117.604019481105</v>
      </c>
      <c r="D11" s="185" t="n">
        <f aca="false">AVERAGE(B11:C11)</f>
        <v>117.604019481105</v>
      </c>
      <c r="E11" s="187" t="n">
        <f aca="false">'Global mobile cobots market vol'!D8</f>
        <v>38.077593722755</v>
      </c>
      <c r="F11" s="187" t="n">
        <f aca="false">F10+D11</f>
        <v>496.86960563654</v>
      </c>
      <c r="G11" s="187" t="n">
        <f aca="false">G10*(E11+100)/100</f>
        <v>834.988538315847</v>
      </c>
      <c r="H11" s="195" t="n">
        <f aca="false">AVERAGE(F11:G11)</f>
        <v>665.929071976193</v>
      </c>
      <c r="I11" s="189" t="n">
        <f aca="false">($K$2*(H11*1000)*31536000)*1E-015</f>
        <v>2.04947962918216</v>
      </c>
      <c r="J11" s="190"/>
      <c r="K11" s="190"/>
      <c r="M11" s="190"/>
      <c r="N11" s="190"/>
      <c r="AC11" s="191" t="n">
        <v>2022</v>
      </c>
      <c r="AD11" s="190" t="n">
        <v>348.03712</v>
      </c>
      <c r="AE11" s="190" t="n">
        <v>543.808</v>
      </c>
    </row>
    <row r="12" customFormat="false" ht="13.8" hidden="false" customHeight="false" outlineLevel="0" collapsed="false">
      <c r="A12" s="197" t="n">
        <v>2024</v>
      </c>
      <c r="B12" s="190"/>
      <c r="C12" s="183" t="n">
        <f aca="false">C11*(100+E12)/100</f>
        <v>161.304076601629</v>
      </c>
      <c r="D12" s="185" t="n">
        <f aca="false">AVERAGE(B12:C12)</f>
        <v>161.304076601629</v>
      </c>
      <c r="E12" s="187" t="n">
        <f aca="false">'Global mobile cobots market vol'!D9</f>
        <v>37.1586424625099</v>
      </c>
      <c r="F12" s="187" t="n">
        <f aca="false">F11+D12</f>
        <v>658.17368223817</v>
      </c>
      <c r="G12" s="187" t="n">
        <f aca="false">G11*(E12+100)/100</f>
        <v>1145.25894387157</v>
      </c>
      <c r="H12" s="195" t="n">
        <f aca="false">AVERAGE(F12:G12)</f>
        <v>901.71631305487</v>
      </c>
      <c r="I12" s="189" t="n">
        <f aca="false">($K$2*(H12*1000)*31536000)*1E-015</f>
        <v>2.77514421982356</v>
      </c>
      <c r="J12" s="190"/>
      <c r="K12" s="190"/>
      <c r="M12" s="190"/>
      <c r="N12" s="190"/>
      <c r="AC12" s="191" t="n">
        <v>2023</v>
      </c>
      <c r="AD12" s="190" t="n">
        <v>556.859392</v>
      </c>
      <c r="AE12" s="190" t="n">
        <v>1087.616</v>
      </c>
    </row>
    <row r="13" customFormat="false" ht="13.8" hidden="false" customHeight="false" outlineLevel="0" collapsed="false">
      <c r="A13" s="198" t="n">
        <v>2025</v>
      </c>
      <c r="B13" s="199"/>
      <c r="C13" s="200" t="n">
        <f aca="false">C12*(100+E13)/100</f>
        <v>218.927261521811</v>
      </c>
      <c r="D13" s="200" t="n">
        <f aca="false">AVERAGE(B13:C13)</f>
        <v>218.927261521811</v>
      </c>
      <c r="E13" s="187" t="n">
        <f aca="false">'Global mobile cobots market vol'!D10</f>
        <v>35.7233283461848</v>
      </c>
      <c r="F13" s="201" t="n">
        <f aca="false">F12+D13</f>
        <v>877.100943759981</v>
      </c>
      <c r="G13" s="201" t="n">
        <f aca="false">G12*(E13+100)/100</f>
        <v>1554.38355680486</v>
      </c>
      <c r="H13" s="202" t="n">
        <f aca="false">AVERAGE(F13:G13)</f>
        <v>1215.74225028242</v>
      </c>
      <c r="I13" s="189" t="n">
        <f aca="false">($K$2*(H13*1000)*31536000)*1E-015</f>
        <v>3.74159813881646</v>
      </c>
      <c r="J13" s="203"/>
      <c r="K13" s="190"/>
      <c r="M13" s="190"/>
      <c r="N13" s="190"/>
      <c r="AC13" s="191" t="n">
        <v>2024</v>
      </c>
      <c r="AD13" s="190" t="n">
        <v>890.9750272</v>
      </c>
      <c r="AE13" s="190" t="n">
        <v>2175.232</v>
      </c>
    </row>
    <row r="14" customFormat="false" ht="17.35" hidden="false" customHeight="false" outlineLevel="0" collapsed="false">
      <c r="B14" s="115"/>
      <c r="C14" s="115"/>
      <c r="D14" s="115"/>
      <c r="E14" s="204" t="s">
        <v>96</v>
      </c>
      <c r="F14" s="190"/>
      <c r="G14" s="190"/>
      <c r="H14" s="190"/>
      <c r="I14" s="115"/>
      <c r="AC14" s="191" t="n">
        <v>2025</v>
      </c>
      <c r="AD14" s="190" t="n">
        <v>1425.56004352</v>
      </c>
      <c r="AE14" s="190" t="n">
        <v>4350.464</v>
      </c>
    </row>
    <row r="15" customFormat="false" ht="13.8" hidden="false" customHeight="false" outlineLevel="0" collapsed="false">
      <c r="E15" s="184" t="s">
        <v>97</v>
      </c>
      <c r="F15" s="190"/>
      <c r="G15" s="190"/>
      <c r="H15" s="190"/>
    </row>
    <row r="16" customFormat="false" ht="13.8" hidden="false" customHeight="false" outlineLevel="0" collapsed="false">
      <c r="E16" s="0" t="s">
        <v>98</v>
      </c>
      <c r="F16" s="190"/>
      <c r="G16" s="190"/>
      <c r="H16" s="190"/>
    </row>
    <row r="17" customFormat="false" ht="13.8" hidden="false" customHeight="false" outlineLevel="0" collapsed="false">
      <c r="E17" s="184"/>
      <c r="F17" s="190"/>
      <c r="G17" s="190"/>
      <c r="H17" s="190"/>
    </row>
    <row r="18" customFormat="false" ht="13.8" hidden="false" customHeight="false" outlineLevel="0" collapsed="false">
      <c r="E18" s="184"/>
      <c r="F18" s="190"/>
      <c r="G18" s="190"/>
      <c r="H18" s="190"/>
    </row>
    <row r="19" customFormat="false" ht="13.8" hidden="false" customHeight="false" outlineLevel="0" collapsed="false">
      <c r="L19" s="205"/>
      <c r="M19" s="205"/>
      <c r="N19" s="205"/>
      <c r="O19" s="205"/>
      <c r="P19" s="205"/>
      <c r="Q19" s="205"/>
    </row>
    <row r="20" customFormat="false" ht="35.05" hidden="false" customHeight="false" outlineLevel="0" collapsed="false">
      <c r="B20" s="206" t="s">
        <v>99</v>
      </c>
      <c r="C20" s="207" t="s">
        <v>100</v>
      </c>
      <c r="D20" s="207" t="s">
        <v>101</v>
      </c>
      <c r="E20" s="206" t="s">
        <v>102</v>
      </c>
      <c r="F20" s="208" t="s">
        <v>103</v>
      </c>
      <c r="G20" s="208" t="s">
        <v>104</v>
      </c>
      <c r="H20" s="208"/>
    </row>
    <row r="21" customFormat="false" ht="23.85" hidden="false" customHeight="false" outlineLevel="0" collapsed="false">
      <c r="A21" s="0" t="n">
        <v>2018</v>
      </c>
      <c r="B21" s="209" t="n">
        <f aca="false">'IR operational stock 2009-2022'!C13*1000</f>
        <v>423000</v>
      </c>
      <c r="C21" s="210" t="n">
        <v>95</v>
      </c>
      <c r="D21" s="210" t="n">
        <v>5</v>
      </c>
      <c r="E21" s="211" t="n">
        <f aca="false">B21*D21/C21</f>
        <v>22263.1578947368</v>
      </c>
      <c r="F21" s="212" t="n">
        <f aca="false">'IR operational stock 2009-2022'!B13</f>
        <v>2440</v>
      </c>
      <c r="G21" s="212" t="n">
        <f aca="false">D21*F21/C21</f>
        <v>128.421052631579</v>
      </c>
      <c r="H21" s="212"/>
      <c r="J21" s="0" t="n">
        <f aca="false">MAX(MIN(F5:G5),AVERAGE(F5:G5))</f>
        <v>166.666666666667</v>
      </c>
      <c r="M21" s="213" t="s">
        <v>105</v>
      </c>
      <c r="N21" s="214" t="n">
        <v>75000</v>
      </c>
      <c r="O21" s="215" t="n">
        <v>45</v>
      </c>
      <c r="P21" s="216" t="s">
        <v>106</v>
      </c>
    </row>
    <row r="22" customFormat="false" ht="23.85" hidden="false" customHeight="false" outlineLevel="0" collapsed="false">
      <c r="A22" s="0" t="n">
        <v>2019</v>
      </c>
      <c r="B22" s="209" t="n">
        <f aca="false">'IR operational stock 2009-2022'!C14*1000</f>
        <v>391000</v>
      </c>
      <c r="C22" s="210" t="n">
        <v>93</v>
      </c>
      <c r="D22" s="210" t="n">
        <v>7</v>
      </c>
      <c r="E22" s="211" t="n">
        <f aca="false">B22*D22/C22</f>
        <v>29430.1075268817</v>
      </c>
      <c r="F22" s="212" t="n">
        <f aca="false">'IR operational stock 2009-2022'!B14</f>
        <v>2731</v>
      </c>
      <c r="G22" s="212" t="n">
        <f aca="false">D22*F22/C22</f>
        <v>205.559139784946</v>
      </c>
      <c r="H22" s="212"/>
      <c r="J22" s="0" t="n">
        <f aca="false">MAX(MIN(F6:G6),AVERAGE(F6:G6))</f>
        <v>157.859649122807</v>
      </c>
      <c r="M22" s="217" t="s">
        <v>107</v>
      </c>
      <c r="N22" s="218" t="n">
        <f aca="false">N21*O22/O21</f>
        <v>166666.666666667</v>
      </c>
      <c r="O22" s="219" t="n">
        <v>100</v>
      </c>
      <c r="P22" s="220"/>
    </row>
    <row r="23" customFormat="false" ht="13.8" hidden="false" customHeight="false" outlineLevel="0" collapsed="false">
      <c r="A23" s="0" t="n">
        <v>2020</v>
      </c>
      <c r="B23" s="209" t="n">
        <f aca="false">'IR operational stock 2009-2022'!C15*1000</f>
        <v>394000</v>
      </c>
      <c r="C23" s="210" t="n">
        <v>92</v>
      </c>
      <c r="D23" s="210" t="n">
        <v>8</v>
      </c>
      <c r="E23" s="211" t="n">
        <f aca="false">B23*D23/C23</f>
        <v>34260.8695652174</v>
      </c>
      <c r="F23" s="212" t="n">
        <f aca="false">'IR operational stock 2009-2022'!B15</f>
        <v>3015</v>
      </c>
      <c r="G23" s="212" t="n">
        <f aca="false">D23*F23/C23</f>
        <v>262.173913043478</v>
      </c>
      <c r="H23" s="212"/>
      <c r="J23" s="0" t="n">
        <f aca="false">MAX(MIN(F7:G7),AVERAGE(F7:G7))</f>
        <v>209.036219581211</v>
      </c>
      <c r="O23" s="221"/>
    </row>
    <row r="24" customFormat="false" ht="13.8" hidden="false" customHeight="false" outlineLevel="0" collapsed="false">
      <c r="A24" s="0" t="n">
        <v>2021</v>
      </c>
      <c r="B24" s="209" t="n">
        <f aca="false">'IR operational stock 2009-2022'!C16*1000</f>
        <v>517000</v>
      </c>
      <c r="C24" s="210" t="n">
        <v>89</v>
      </c>
      <c r="D24" s="210" t="n">
        <v>11</v>
      </c>
      <c r="E24" s="211" t="n">
        <f aca="false">B24*D24/C24</f>
        <v>63898.8764044944</v>
      </c>
      <c r="F24" s="212" t="n">
        <f aca="false">'IR operational stock 2009-2022'!B16</f>
        <v>3477</v>
      </c>
      <c r="G24" s="212" t="n">
        <f aca="false">D24*F24/C24</f>
        <v>429.741573033708</v>
      </c>
      <c r="H24" s="212"/>
      <c r="J24" s="0" t="n">
        <f aca="false">MAX(MIN(F8:G8),AVERAGE(F8:G8))</f>
        <v>252.408823601781</v>
      </c>
    </row>
    <row r="25" customFormat="false" ht="13.8" hidden="false" customHeight="false" outlineLevel="0" collapsed="false">
      <c r="A25" s="0" t="n">
        <v>2022</v>
      </c>
      <c r="B25" s="209" t="n">
        <f aca="false">'IR operational stock 2009-2022'!C17*1000</f>
        <v>570000</v>
      </c>
      <c r="C25" s="210" t="n">
        <v>87</v>
      </c>
      <c r="D25" s="210" t="n">
        <v>13</v>
      </c>
      <c r="E25" s="211" t="n">
        <f aca="false">B25*D25/C25</f>
        <v>85172.4137931035</v>
      </c>
      <c r="F25" s="212" t="n">
        <f aca="false">'IR operational stock 2009-2022'!B17</f>
        <v>4047</v>
      </c>
      <c r="G25" s="212" t="n">
        <f aca="false">D25*F25/C25</f>
        <v>604.724137931035</v>
      </c>
      <c r="H25" s="212"/>
      <c r="J25" s="0" t="n">
        <f aca="false">MAX(MIN(F9:G9),AVERAGE(F9:G9))</f>
        <v>361.91737269802</v>
      </c>
    </row>
    <row r="26" customFormat="false" ht="17.35" hidden="false" customHeight="false" outlineLevel="0" collapsed="false">
      <c r="C26" s="222" t="s">
        <v>96</v>
      </c>
      <c r="D26" s="222"/>
      <c r="J26" s="0" t="n">
        <f aca="false">MAX(MIN(F10:G10),AVERAGE(F10:G10))</f>
        <v>491.994862043235</v>
      </c>
    </row>
    <row r="27" customFormat="false" ht="13.8" hidden="false" customHeight="false" outlineLevel="0" collapsed="false">
      <c r="C27" s="0" t="s">
        <v>108</v>
      </c>
      <c r="J27" s="0" t="n">
        <f aca="false">MAX(MIN(F11:G11),AVERAGE(F11:G11))</f>
        <v>665.929071976193</v>
      </c>
    </row>
    <row r="28" customFormat="false" ht="13.8" hidden="false" customHeight="false" outlineLevel="0" collapsed="false">
      <c r="J28" s="0" t="n">
        <f aca="false">MAX(MIN(F12:G12),AVERAGE(F12:G12))</f>
        <v>901.71631305487</v>
      </c>
    </row>
    <row r="29" customFormat="false" ht="13.8" hidden="false" customHeight="false" outlineLevel="0" collapsed="false">
      <c r="J29" s="0" t="n">
        <f aca="false">MAX(MIN(F13:G13),AVERAGE(F13:G13))</f>
        <v>1215.74225028242</v>
      </c>
    </row>
    <row r="30" customFormat="false" ht="13.8" hidden="false" customHeight="false" outlineLevel="0" collapsed="false">
      <c r="J30" s="0" t="e">
        <f aca="false">MAX(MIN(F14:G14),AVERAGE(F14:G14))</f>
        <v>#DIV/0!</v>
      </c>
    </row>
    <row r="31" customFormat="false" ht="13.8" hidden="false" customHeight="false" outlineLevel="0" collapsed="false">
      <c r="J31" s="0" t="e">
        <f aca="false">MAX(MIN(F15:G15),AVERAGE(F15:G15))</f>
        <v>#DIV/0!</v>
      </c>
    </row>
    <row r="32" customFormat="false" ht="13.8" hidden="false" customHeight="false" outlineLevel="0" collapsed="false">
      <c r="J32" s="0" t="e">
        <f aca="false">MAX(MIN(F16:G16),AVERAGE(F16:G16))</f>
        <v>#DIV/0!</v>
      </c>
    </row>
  </sheetData>
  <mergeCells count="4">
    <mergeCell ref="A2:I2"/>
    <mergeCell ref="L19:M19"/>
    <mergeCell ref="N19:O19"/>
    <mergeCell ref="C26:D26"/>
  </mergeCells>
  <hyperlinks>
    <hyperlink ref="E16" r:id="rId1" display="https://www.statista.com/statistics/1378948/mobile-cobots-market-volume/"/>
    <hyperlink ref="C27" r:id="rId2" display="https://www.statista.com/statistics/1199571/collaborative-robots-installations-worldwid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D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7" activeCellId="0" sqref="D7"/>
    </sheetView>
  </sheetViews>
  <sheetFormatPr defaultColWidth="9.15625" defaultRowHeight="13.8" zeroHeight="false" outlineLevelRow="0" outlineLevelCol="0"/>
  <cols>
    <col collapsed="false" customWidth="true" hidden="false" outlineLevel="0" max="2" min="2" style="0" width="100.71"/>
    <col collapsed="false" customWidth="true" hidden="false" outlineLevel="0" max="3" min="3" style="0" width="6.86"/>
  </cols>
  <sheetData>
    <row r="3" customFormat="false" ht="13.8" hidden="false" customHeight="false" outlineLevel="0" collapsed="false">
      <c r="B3" s="223" t="s">
        <v>109</v>
      </c>
    </row>
    <row r="4" customFormat="false" ht="13.8" hidden="false" customHeight="false" outlineLevel="0" collapsed="false">
      <c r="B4" s="224" t="s">
        <v>110</v>
      </c>
    </row>
    <row r="5" customFormat="false" ht="13.8" hidden="false" customHeight="false" outlineLevel="0" collapsed="false">
      <c r="D5" s="0" t="s">
        <v>90</v>
      </c>
    </row>
    <row r="6" customFormat="false" ht="13.8" hidden="false" customHeight="false" outlineLevel="0" collapsed="false">
      <c r="B6" s="225" t="s">
        <v>111</v>
      </c>
      <c r="C6" s="226" t="n">
        <v>3311</v>
      </c>
    </row>
    <row r="7" customFormat="false" ht="13.8" hidden="false" customHeight="false" outlineLevel="0" collapsed="false">
      <c r="B7" s="225" t="s">
        <v>112</v>
      </c>
      <c r="C7" s="226" t="n">
        <v>4588</v>
      </c>
      <c r="D7" s="0" t="n">
        <f aca="false">100*(C7/C6-1)</f>
        <v>38.5684083358502</v>
      </c>
    </row>
    <row r="8" customFormat="false" ht="13.8" hidden="false" customHeight="false" outlineLevel="0" collapsed="false">
      <c r="B8" s="225" t="s">
        <v>42</v>
      </c>
      <c r="C8" s="226" t="n">
        <v>6335</v>
      </c>
      <c r="D8" s="0" t="n">
        <f aca="false">100*(C8/C7-1)</f>
        <v>38.077593722755</v>
      </c>
    </row>
    <row r="9" customFormat="false" ht="13.8" hidden="false" customHeight="false" outlineLevel="0" collapsed="false">
      <c r="B9" s="225" t="s">
        <v>43</v>
      </c>
      <c r="C9" s="226" t="n">
        <v>8689</v>
      </c>
      <c r="D9" s="0" t="n">
        <f aca="false">100*(C9/C8-1)</f>
        <v>37.1586424625099</v>
      </c>
    </row>
    <row r="10" customFormat="false" ht="13.8" hidden="false" customHeight="false" outlineLevel="0" collapsed="false">
      <c r="B10" s="225" t="s">
        <v>44</v>
      </c>
      <c r="C10" s="226" t="n">
        <v>11793</v>
      </c>
      <c r="D10" s="0" t="n">
        <f aca="false">100*(C10/C9-1)</f>
        <v>35.7233283461848</v>
      </c>
    </row>
    <row r="11" customFormat="false" ht="13.8" hidden="false" customHeight="false" outlineLevel="0" collapsed="false">
      <c r="B11" s="225" t="s">
        <v>113</v>
      </c>
      <c r="C11" s="226" t="n">
        <v>15778</v>
      </c>
      <c r="D11" s="0" t="n">
        <f aca="false">100*(C11/C10-1)</f>
        <v>33.7912320868312</v>
      </c>
    </row>
    <row r="12" customFormat="false" ht="13.8" hidden="false" customHeight="false" outlineLevel="0" collapsed="false">
      <c r="B12" s="225" t="s">
        <v>114</v>
      </c>
      <c r="C12" s="226" t="n">
        <v>20758</v>
      </c>
      <c r="D12" s="0" t="n">
        <f aca="false">100*(C12/C11-1)</f>
        <v>31.5629357332995</v>
      </c>
    </row>
    <row r="13" customFormat="false" ht="13.8" hidden="false" customHeight="false" outlineLevel="0" collapsed="false">
      <c r="B13" s="225" t="s">
        <v>115</v>
      </c>
      <c r="C13" s="226" t="n">
        <v>26828</v>
      </c>
      <c r="D13" s="0" t="n">
        <f aca="false">100*(C13/C12-1)</f>
        <v>29.2417381250602</v>
      </c>
    </row>
    <row r="14" customFormat="false" ht="13.8" hidden="false" customHeight="false" outlineLevel="0" collapsed="false">
      <c r="B14" s="225" t="s">
        <v>116</v>
      </c>
      <c r="C14" s="226" t="n">
        <v>34023</v>
      </c>
      <c r="D14" s="0" t="n">
        <f aca="false">100*(C14/C13-1)</f>
        <v>26.8189950797674</v>
      </c>
    </row>
    <row r="15" customFormat="false" ht="13.8" hidden="false" customHeight="false" outlineLevel="0" collapsed="false">
      <c r="B15" s="225" t="s">
        <v>117</v>
      </c>
      <c r="C15" s="226" t="n">
        <v>42184</v>
      </c>
      <c r="D15" s="0" t="n">
        <f aca="false">100*(C15/C14-1)</f>
        <v>23.9867148693531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40" activeCellId="0" sqref="M4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0.02"/>
    <col collapsed="false" customWidth="true" hidden="false" outlineLevel="0" max="2" min="2" style="0" width="23.71"/>
    <col collapsed="false" customWidth="true" hidden="false" outlineLevel="0" max="4" min="3" style="0" width="10.02"/>
    <col collapsed="false" customWidth="true" hidden="false" outlineLevel="0" max="5" min="5" style="0" width="19"/>
    <col collapsed="false" customWidth="true" hidden="false" outlineLevel="0" max="13" min="6" style="0" width="10.02"/>
    <col collapsed="false" customWidth="true" hidden="false" outlineLevel="0" max="14" min="14" style="0" width="18.71"/>
    <col collapsed="false" customWidth="true" hidden="false" outlineLevel="0" max="17" min="15" style="0" width="10.02"/>
    <col collapsed="false" customWidth="true" hidden="false" outlineLevel="0" max="18" min="18" style="0" width="14.28"/>
    <col collapsed="false" customWidth="true" hidden="false" outlineLevel="0" max="19" min="19" style="0" width="12.57"/>
    <col collapsed="false" customWidth="true" hidden="false" outlineLevel="0" max="64" min="20" style="0" width="10.02"/>
  </cols>
  <sheetData>
    <row r="2" customFormat="false" ht="13.8" hidden="false" customHeight="false" outlineLevel="0" collapsed="false">
      <c r="B2" s="0" t="s">
        <v>118</v>
      </c>
      <c r="C2" s="0" t="s">
        <v>119</v>
      </c>
      <c r="D2" s="0" t="s">
        <v>120</v>
      </c>
      <c r="E2" s="0" t="s">
        <v>121</v>
      </c>
    </row>
    <row r="3" customFormat="false" ht="13.8" hidden="false" customHeight="false" outlineLevel="0" collapsed="false">
      <c r="B3" s="0" t="s">
        <v>122</v>
      </c>
      <c r="C3" s="0" t="n">
        <v>60</v>
      </c>
      <c r="D3" s="0" t="n">
        <v>3</v>
      </c>
      <c r="E3" s="0" t="n">
        <f aca="false">C3/D3</f>
        <v>20</v>
      </c>
    </row>
    <row r="4" customFormat="false" ht="13.8" hidden="false" customHeight="false" outlineLevel="0" collapsed="false">
      <c r="B4" s="0" t="s">
        <v>123</v>
      </c>
      <c r="C4" s="0" t="n">
        <f aca="false">700/4</f>
        <v>175</v>
      </c>
      <c r="D4" s="0" t="n">
        <v>4</v>
      </c>
      <c r="E4" s="0" t="n">
        <f aca="false">C4/D4</f>
        <v>43.75</v>
      </c>
    </row>
    <row r="5" customFormat="false" ht="13.8" hidden="false" customHeight="false" outlineLevel="0" collapsed="false">
      <c r="B5" s="0" t="s">
        <v>124</v>
      </c>
      <c r="C5" s="0" t="n">
        <v>100</v>
      </c>
      <c r="D5" s="0" t="n">
        <v>7</v>
      </c>
      <c r="E5" s="0" t="n">
        <f aca="false">C5/D5</f>
        <v>14.2857142857143</v>
      </c>
    </row>
    <row r="6" customFormat="false" ht="13.8" hidden="false" customHeight="false" outlineLevel="0" collapsed="false">
      <c r="B6" s="0" t="s">
        <v>125</v>
      </c>
      <c r="C6" s="0" t="n">
        <v>100</v>
      </c>
      <c r="D6" s="0" t="n">
        <v>3</v>
      </c>
      <c r="E6" s="0" t="n">
        <f aca="false">C6/D6</f>
        <v>33.3333333333333</v>
      </c>
    </row>
    <row r="7" customFormat="false" ht="13.8" hidden="false" customHeight="false" outlineLevel="0" collapsed="false">
      <c r="B7" s="0" t="s">
        <v>126</v>
      </c>
      <c r="C7" s="0" t="n">
        <v>200</v>
      </c>
      <c r="D7" s="0" t="n">
        <v>5</v>
      </c>
      <c r="E7" s="0" t="n">
        <f aca="false">C7/D7</f>
        <v>40</v>
      </c>
    </row>
    <row r="8" customFormat="false" ht="13.8" hidden="false" customHeight="false" outlineLevel="0" collapsed="false">
      <c r="B8" s="0" t="s">
        <v>127</v>
      </c>
      <c r="C8" s="0" t="n">
        <v>350</v>
      </c>
      <c r="D8" s="0" t="n">
        <v>10</v>
      </c>
      <c r="E8" s="0" t="n">
        <f aca="false">C8/D8</f>
        <v>35</v>
      </c>
    </row>
    <row r="9" customFormat="false" ht="13.8" hidden="false" customHeight="false" outlineLevel="0" collapsed="false">
      <c r="B9" s="0" t="s">
        <v>128</v>
      </c>
      <c r="C9" s="0" t="n">
        <v>350</v>
      </c>
      <c r="D9" s="0" t="n">
        <v>16</v>
      </c>
      <c r="E9" s="0" t="n">
        <f aca="false">C9/D9</f>
        <v>21.875</v>
      </c>
    </row>
    <row r="10" customFormat="false" ht="13.8" hidden="false" customHeight="false" outlineLevel="0" collapsed="false">
      <c r="B10" s="0" t="s">
        <v>129</v>
      </c>
      <c r="C10" s="0" t="s">
        <v>130</v>
      </c>
      <c r="D10" s="0" t="n">
        <v>7</v>
      </c>
      <c r="E10" s="0" t="e">
        <f aca="false">C10/D10</f>
        <v>#VALUE!</v>
      </c>
    </row>
    <row r="11" customFormat="false" ht="13.8" hidden="false" customHeight="false" outlineLevel="0" collapsed="false">
      <c r="B11" s="0" t="s">
        <v>131</v>
      </c>
      <c r="C11" s="0" t="n">
        <v>25</v>
      </c>
      <c r="D11" s="0" t="n">
        <v>1.3</v>
      </c>
      <c r="E11" s="0" t="n">
        <f aca="false">C11/D11</f>
        <v>19.2307692307692</v>
      </c>
    </row>
    <row r="12" customFormat="false" ht="13.8" hidden="false" customHeight="false" outlineLevel="0" collapsed="false">
      <c r="B12" s="0" t="s">
        <v>132</v>
      </c>
      <c r="C12" s="0" t="n">
        <v>36</v>
      </c>
      <c r="D12" s="0" t="n">
        <v>4</v>
      </c>
      <c r="E12" s="0" t="n">
        <f aca="false">C12/D12</f>
        <v>9</v>
      </c>
    </row>
    <row r="13" customFormat="false" ht="13.8" hidden="false" customHeight="false" outlineLevel="0" collapsed="false">
      <c r="B13" s="0" t="s">
        <v>133</v>
      </c>
      <c r="C13" s="0" t="n">
        <v>25</v>
      </c>
      <c r="D13" s="0" t="n">
        <v>1.3</v>
      </c>
      <c r="E13" s="0" t="n">
        <f aca="false">C13/D13</f>
        <v>19.2307692307692</v>
      </c>
    </row>
    <row r="14" customFormat="false" ht="13.8" hidden="false" customHeight="false" outlineLevel="0" collapsed="false">
      <c r="B14" s="0" t="s">
        <v>134</v>
      </c>
      <c r="C14" s="0" t="s">
        <v>130</v>
      </c>
      <c r="D14" s="0" t="n">
        <v>0.5</v>
      </c>
      <c r="E14" s="0" t="e">
        <f aca="false">C14/D14</f>
        <v>#VALUE!</v>
      </c>
    </row>
    <row r="15" customFormat="false" ht="13.8" hidden="false" customHeight="false" outlineLevel="0" collapsed="false">
      <c r="B15" s="0" t="s">
        <v>135</v>
      </c>
      <c r="C15" s="0" t="s">
        <v>130</v>
      </c>
      <c r="D15" s="0" t="n">
        <v>2</v>
      </c>
      <c r="E15" s="0" t="e">
        <f aca="false">C15/D15</f>
        <v>#VALUE!</v>
      </c>
    </row>
    <row r="16" customFormat="false" ht="13.8" hidden="false" customHeight="false" outlineLevel="0" collapsed="false">
      <c r="B16" s="0" t="s">
        <v>136</v>
      </c>
      <c r="C16" s="0" t="s">
        <v>130</v>
      </c>
      <c r="D16" s="0" t="n">
        <v>1.5</v>
      </c>
      <c r="E16" s="0" t="e">
        <f aca="false">C16/D16</f>
        <v>#VALUE!</v>
      </c>
    </row>
    <row r="17" customFormat="false" ht="13.8" hidden="false" customHeight="false" outlineLevel="0" collapsed="false">
      <c r="B17" s="0" t="s">
        <v>137</v>
      </c>
      <c r="C17" s="0" t="s">
        <v>130</v>
      </c>
      <c r="D17" s="0" t="n">
        <v>6</v>
      </c>
      <c r="E17" s="0" t="e">
        <f aca="false">C17/D17</f>
        <v>#VALUE!</v>
      </c>
    </row>
    <row r="18" customFormat="false" ht="13.8" hidden="false" customHeight="false" outlineLevel="0" collapsed="false">
      <c r="B18" s="0" t="s">
        <v>138</v>
      </c>
      <c r="C18" s="0" t="s">
        <v>130</v>
      </c>
      <c r="D18" s="0" t="n">
        <v>15</v>
      </c>
      <c r="E18" s="0" t="e">
        <f aca="false">C18/D18</f>
        <v>#VALUE!</v>
      </c>
    </row>
    <row r="19" customFormat="false" ht="13.8" hidden="false" customHeight="false" outlineLevel="0" collapsed="false">
      <c r="B19" s="0" t="s">
        <v>139</v>
      </c>
      <c r="C19" s="0" t="s">
        <v>130</v>
      </c>
      <c r="D19" s="0" t="n">
        <v>10</v>
      </c>
      <c r="E19" s="0" t="e">
        <f aca="false">C19/D19</f>
        <v>#VALUE!</v>
      </c>
    </row>
    <row r="20" customFormat="false" ht="13.8" hidden="false" customHeight="false" outlineLevel="0" collapsed="false">
      <c r="B20" s="0" t="s">
        <v>140</v>
      </c>
      <c r="C20" s="0" t="s">
        <v>130</v>
      </c>
      <c r="D20" s="0" t="n">
        <v>6</v>
      </c>
      <c r="E20" s="0" t="e">
        <f aca="false">C20/D20</f>
        <v>#VALUE!</v>
      </c>
    </row>
    <row r="21" customFormat="false" ht="13.8" hidden="false" customHeight="false" outlineLevel="0" collapsed="false">
      <c r="B21" s="0" t="s">
        <v>141</v>
      </c>
      <c r="C21" s="0" t="n">
        <v>1000</v>
      </c>
      <c r="D21" s="0" t="n">
        <v>35</v>
      </c>
      <c r="E21" s="0" t="n">
        <f aca="false">C21/D21</f>
        <v>28.5714285714286</v>
      </c>
    </row>
    <row r="22" customFormat="false" ht="13.8" hidden="false" customHeight="false" outlineLevel="0" collapsed="false">
      <c r="B22" s="0" t="s">
        <v>142</v>
      </c>
      <c r="C22" s="0" t="n">
        <v>500</v>
      </c>
      <c r="D22" s="0" t="n">
        <v>14</v>
      </c>
      <c r="E22" s="0" t="n">
        <f aca="false">C22/D22</f>
        <v>35.7142857142857</v>
      </c>
    </row>
    <row r="23" customFormat="false" ht="23.6" hidden="false" customHeight="false" outlineLevel="0" collapsed="false">
      <c r="B23" s="227" t="s">
        <v>143</v>
      </c>
      <c r="C23" s="0" t="n">
        <v>500</v>
      </c>
      <c r="D23" s="0" t="n">
        <v>4</v>
      </c>
      <c r="E23" s="0" t="n">
        <f aca="false">C23/D23</f>
        <v>125</v>
      </c>
    </row>
    <row r="24" customFormat="false" ht="13.8" hidden="false" customHeight="false" outlineLevel="0" collapsed="false">
      <c r="B24" s="0" t="s">
        <v>144</v>
      </c>
      <c r="C24" s="0" t="n">
        <v>500</v>
      </c>
      <c r="D24" s="0" t="n">
        <v>7</v>
      </c>
      <c r="E24" s="0" t="n">
        <f aca="false">C24/D24</f>
        <v>71.4285714285714</v>
      </c>
    </row>
    <row r="25" customFormat="false" ht="13.8" hidden="false" customHeight="false" outlineLevel="0" collapsed="false">
      <c r="B25" s="0" t="s">
        <v>145</v>
      </c>
      <c r="C25" s="0" t="n">
        <v>1000</v>
      </c>
      <c r="D25" s="0" t="n">
        <v>15</v>
      </c>
      <c r="E25" s="0" t="n">
        <f aca="false">C25/D25</f>
        <v>66.6666666666667</v>
      </c>
    </row>
    <row r="26" customFormat="false" ht="13.8" hidden="false" customHeight="false" outlineLevel="0" collapsed="false">
      <c r="B26" s="0" t="s">
        <v>146</v>
      </c>
      <c r="C26" s="0" t="s">
        <v>130</v>
      </c>
      <c r="D26" s="0" t="n">
        <v>7</v>
      </c>
      <c r="E26" s="0" t="e">
        <f aca="false">C26/D26</f>
        <v>#VALUE!</v>
      </c>
    </row>
    <row r="27" customFormat="false" ht="13.8" hidden="false" customHeight="false" outlineLevel="0" collapsed="false">
      <c r="B27" s="0" t="s">
        <v>147</v>
      </c>
      <c r="C27" s="0" t="n">
        <v>200</v>
      </c>
      <c r="D27" s="0" t="n">
        <v>6</v>
      </c>
      <c r="E27" s="0" t="n">
        <f aca="false">C27/D27</f>
        <v>33.3333333333333</v>
      </c>
    </row>
    <row r="28" customFormat="false" ht="13.8" hidden="false" customHeight="false" outlineLevel="0" collapsed="false">
      <c r="B28" s="0" t="s">
        <v>148</v>
      </c>
      <c r="C28" s="0" t="n">
        <v>200</v>
      </c>
      <c r="D28" s="0" t="n">
        <v>4</v>
      </c>
      <c r="E28" s="0" t="n">
        <f aca="false">C28/D28</f>
        <v>50</v>
      </c>
    </row>
    <row r="32" customFormat="false" ht="13.8" hidden="false" customHeight="false" outlineLevel="0" collapsed="false">
      <c r="B32" s="228" t="s">
        <v>118</v>
      </c>
      <c r="C32" s="228" t="s">
        <v>121</v>
      </c>
    </row>
    <row r="33" customFormat="false" ht="13.8" hidden="false" customHeight="false" outlineLevel="0" collapsed="false">
      <c r="B33" s="0" t="s">
        <v>132</v>
      </c>
      <c r="C33" s="117" t="n">
        <v>9</v>
      </c>
    </row>
    <row r="34" customFormat="false" ht="13.8" hidden="false" customHeight="false" outlineLevel="0" collapsed="false">
      <c r="B34" s="0" t="s">
        <v>149</v>
      </c>
      <c r="C34" s="117" t="n">
        <v>14.28</v>
      </c>
    </row>
    <row r="35" customFormat="false" ht="13.8" hidden="false" customHeight="false" outlineLevel="0" collapsed="false">
      <c r="B35" s="0" t="s">
        <v>133</v>
      </c>
      <c r="C35" s="117" t="n">
        <v>19.2307692307692</v>
      </c>
    </row>
    <row r="36" customFormat="false" ht="13.8" hidden="false" customHeight="false" outlineLevel="0" collapsed="false">
      <c r="B36" s="0" t="s">
        <v>131</v>
      </c>
      <c r="C36" s="117" t="n">
        <v>19.2307692307692</v>
      </c>
    </row>
    <row r="37" customFormat="false" ht="13.8" hidden="false" customHeight="false" outlineLevel="0" collapsed="false">
      <c r="B37" s="0" t="s">
        <v>122</v>
      </c>
      <c r="C37" s="117" t="n">
        <v>20</v>
      </c>
    </row>
    <row r="38" customFormat="false" ht="13.8" hidden="false" customHeight="false" outlineLevel="0" collapsed="false">
      <c r="B38" s="0" t="s">
        <v>128</v>
      </c>
      <c r="C38" s="117" t="n">
        <v>21.875</v>
      </c>
    </row>
    <row r="39" customFormat="false" ht="13.8" hidden="false" customHeight="false" outlineLevel="0" collapsed="false">
      <c r="B39" s="0" t="s">
        <v>141</v>
      </c>
      <c r="C39" s="117" t="n">
        <v>28.5714285714286</v>
      </c>
    </row>
    <row r="40" customFormat="false" ht="13.8" hidden="false" customHeight="false" outlineLevel="0" collapsed="false">
      <c r="B40" s="0" t="s">
        <v>147</v>
      </c>
      <c r="C40" s="117" t="n">
        <v>33.3333333333333</v>
      </c>
    </row>
    <row r="41" customFormat="false" ht="13.8" hidden="false" customHeight="false" outlineLevel="0" collapsed="false">
      <c r="B41" s="0" t="s">
        <v>125</v>
      </c>
      <c r="C41" s="117" t="n">
        <v>33.3333333333333</v>
      </c>
    </row>
    <row r="42" customFormat="false" ht="13.8" hidden="false" customHeight="false" outlineLevel="0" collapsed="false">
      <c r="B42" s="0" t="s">
        <v>127</v>
      </c>
      <c r="C42" s="117" t="n">
        <v>35</v>
      </c>
    </row>
    <row r="43" customFormat="false" ht="13.8" hidden="false" customHeight="false" outlineLevel="0" collapsed="false">
      <c r="B43" s="0" t="s">
        <v>142</v>
      </c>
      <c r="C43" s="117" t="n">
        <v>35.7142857142857</v>
      </c>
    </row>
    <row r="44" customFormat="false" ht="13.8" hidden="false" customHeight="false" outlineLevel="0" collapsed="false">
      <c r="B44" s="0" t="s">
        <v>126</v>
      </c>
      <c r="C44" s="117" t="n">
        <v>40</v>
      </c>
    </row>
    <row r="45" customFormat="false" ht="13.8" hidden="false" customHeight="false" outlineLevel="0" collapsed="false">
      <c r="B45" s="0" t="s">
        <v>150</v>
      </c>
      <c r="C45" s="117" t="n">
        <v>43.75</v>
      </c>
    </row>
    <row r="46" customFormat="false" ht="13.8" hidden="false" customHeight="false" outlineLevel="0" collapsed="false">
      <c r="B46" s="0" t="s">
        <v>148</v>
      </c>
      <c r="C46" s="117" t="n">
        <v>50</v>
      </c>
    </row>
    <row r="47" customFormat="false" ht="13.8" hidden="false" customHeight="false" outlineLevel="0" collapsed="false">
      <c r="B47" s="0" t="s">
        <v>145</v>
      </c>
      <c r="C47" s="117" t="n">
        <v>66.6666666666667</v>
      </c>
    </row>
    <row r="48" customFormat="false" ht="13.8" hidden="false" customHeight="false" outlineLevel="0" collapsed="false">
      <c r="B48" s="0" t="s">
        <v>144</v>
      </c>
      <c r="C48" s="117" t="n">
        <v>71.4285714285714</v>
      </c>
    </row>
    <row r="49" customFormat="false" ht="13.8" hidden="false" customHeight="false" outlineLevel="0" collapsed="false">
      <c r="B49" s="227" t="s">
        <v>151</v>
      </c>
      <c r="C49" s="117" t="n">
        <v>125</v>
      </c>
    </row>
    <row r="50" customFormat="false" ht="13.8" hidden="false" customHeight="false" outlineLevel="0" collapsed="false">
      <c r="B50" s="0" t="s">
        <v>152</v>
      </c>
      <c r="C50" s="0" t="n">
        <f aca="false">AVERAGE(C33:C49)</f>
        <v>39.2008327946563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2016-02-02T08:17:11Z</dcterms:created>
  <dc:creator>Fernando Diaz Ledezma</dc:creator>
  <dc:description/>
  <dc:language>en-US</dc:language>
  <cp:lastModifiedBy/>
  <dcterms:modified xsi:type="dcterms:W3CDTF">2023-08-13T00:47:29Z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