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omments1.xml" ContentType="application/vnd.openxmlformats-officedocument.spreadsheetml.comment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 Consumption Stats" sheetId="1" state="visible" r:id="rId2"/>
    <sheet name="Estimated Install Base to 2025" sheetId="2" state="visible" r:id="rId3"/>
    <sheet name="Co-bots" sheetId="3" state="visible" r:id="rId4"/>
    <sheet name="Robotics Conpanies Install Base" sheetId="4" state="visible" r:id="rId5"/>
    <sheet name="IR operational stock 2009-202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Times 2 to consider the power consumption of the control console</t>
        </r>
      </text>
    </comment>
    <comment ref="I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This value is assumed as specific information was found for this category</t>
        </r>
      </text>
    </comment>
    <comment ref="J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According to World Robotics Industrial Robots 2013</t>
        </r>
      </text>
    </comment>
  </commentList>
</comments>
</file>

<file path=xl/sharedStrings.xml><?xml version="1.0" encoding="utf-8"?>
<sst xmlns="http://schemas.openxmlformats.org/spreadsheetml/2006/main" count="207" uniqueCount="111">
  <si>
    <t xml:space="preserve">REPRESENTATIVE SAMPLE</t>
  </si>
  <si>
    <t xml:space="preserve">Yaskawa</t>
  </si>
  <si>
    <t xml:space="preserve">FANUC</t>
  </si>
  <si>
    <t xml:space="preserve">ABB</t>
  </si>
  <si>
    <t xml:space="preserve">Application</t>
  </si>
  <si>
    <t xml:space="preserve">Average Power Consumption [kW]</t>
  </si>
  <si>
    <t xml:space="preserve">Market %</t>
  </si>
  <si>
    <t xml:space="preserve">Handling Operations/Machine Tending</t>
  </si>
  <si>
    <t xml:space="preserve">Welding and Soldering</t>
  </si>
  <si>
    <t xml:space="preserve">Dispensing</t>
  </si>
  <si>
    <t xml:space="preserve">Processing</t>
  </si>
  <si>
    <t xml:space="preserve">Assembling and Disassembling</t>
  </si>
  <si>
    <t xml:space="preserve">Others</t>
  </si>
  <si>
    <t xml:space="preserve">TOTAL ENERGY CONSUMED BY ROBOTS IN 2013</t>
  </si>
  <si>
    <t xml:space="preserve">Operational Stock [%]</t>
  </si>
  <si>
    <t xml:space="preserve">Operational Stock [units]</t>
  </si>
  <si>
    <t xml:space="preserve">Total Consumption [MW]</t>
  </si>
  <si>
    <t xml:space="preserve">Energy [PJ]
(24/7 operation)</t>
  </si>
  <si>
    <t xml:space="preserve">Total of Units</t>
  </si>
  <si>
    <t xml:space="preserve">Total Consumption [PJ]</t>
  </si>
  <si>
    <t xml:space="preserve">Energy [PJ] (24/7 operation) assuming 12% annual increase in the install base</t>
  </si>
  <si>
    <t xml:space="preserve">2016*</t>
  </si>
  <si>
    <t xml:space="preserve">2017*</t>
  </si>
  <si>
    <t xml:space="preserve">2018**</t>
  </si>
  <si>
    <t xml:space="preserve">2019**</t>
  </si>
  <si>
    <t xml:space="preserve">2020**</t>
  </si>
  <si>
    <t xml:space="preserve">2021**</t>
  </si>
  <si>
    <t xml:space="preserve">2022**</t>
  </si>
  <si>
    <t xml:space="preserve">2023**</t>
  </si>
  <si>
    <t xml:space="preserve">2024**</t>
  </si>
  <si>
    <t xml:space="preserve">2025**</t>
  </si>
  <si>
    <t xml:space="preserve">IR Energy Demand [PJ]</t>
  </si>
  <si>
    <t xml:space="preserve">Year</t>
  </si>
  <si>
    <t xml:space="preserve">Actual</t>
  </si>
  <si>
    <t xml:space="preserve">12%/yr</t>
  </si>
  <si>
    <t xml:space="preserve">25%/yr</t>
  </si>
  <si>
    <t xml:space="preserve">Energy [PJ] (24/7 operation) assuming 25% annual increase in the install base</t>
  </si>
  <si>
    <t xml:space="preserve">Energy [PJ] (24/7 operation) reported data</t>
  </si>
  <si>
    <t xml:space="preserve">Industrial robots: estimated operational stock worldwide through 2025</t>
  </si>
  <si>
    <t xml:space="preserve">Units (x1000)</t>
  </si>
  <si>
    <t xml:space="preserve">Increase</t>
  </si>
  <si>
    <t xml:space="preserve">-</t>
  </si>
  <si>
    <t xml:space="preserve">2019*</t>
  </si>
  <si>
    <t xml:space="preserve">2020*</t>
  </si>
  <si>
    <t xml:space="preserve">2021*</t>
  </si>
  <si>
    <t xml:space="preserve">2022*</t>
  </si>
  <si>
    <t xml:space="preserve">2023*</t>
  </si>
  <si>
    <t xml:space="preserve">Units (x1E6)</t>
  </si>
  <si>
    <t xml:space="preserve">Industrial</t>
  </si>
  <si>
    <t xml:space="preserve">Cobots</t>
  </si>
  <si>
    <t xml:space="preserve">+12%/yr</t>
  </si>
  <si>
    <t xml:space="preserve">+25%/yr</t>
  </si>
  <si>
    <t xml:space="preserve">*</t>
  </si>
  <si>
    <t xml:space="preserve">Annual increment</t>
  </si>
  <si>
    <t xml:space="preserve">Source:</t>
  </si>
  <si>
    <t xml:space="preserve">https://www.statista.com/statistics/947017/industrial-robots-global-operational-stock/</t>
  </si>
  <si>
    <t xml:space="preserve">Collaborative robots forecast unit sales</t>
  </si>
  <si>
    <t xml:space="preserve">Energy consumption [PJ] assuming 1 KW and 24/7 operation</t>
  </si>
  <si>
    <t xml:space="preserve">+60%/yr</t>
  </si>
  <si>
    <t xml:space="preserve">+100%/yr</t>
  </si>
  <si>
    <t xml:space="preserve">Cumulative</t>
  </si>
  <si>
    <t xml:space="preserve">2018*</t>
  </si>
  <si>
    <t xml:space="preserve">2024*</t>
  </si>
  <si>
    <t xml:space="preserve">2025*</t>
  </si>
  <si>
    <t xml:space="preserve">Annual Increment</t>
  </si>
  <si>
    <t xml:space="preserve">Rethink</t>
  </si>
  <si>
    <t xml:space="preserve">Universal Robots</t>
  </si>
  <si>
    <t xml:space="preserve">MRK-SYSTEME</t>
  </si>
  <si>
    <t xml:space="preserve">F&amp;P Personal Robotics</t>
  </si>
  <si>
    <t xml:space="preserve">Smokie Robotics</t>
  </si>
  <si>
    <t xml:space="preserve">KUKA</t>
  </si>
  <si>
    <t xml:space="preserve">Model</t>
  </si>
  <si>
    <t xml:space="preserve">Power [W]</t>
  </si>
  <si>
    <t xml:space="preserve">Power</t>
  </si>
  <si>
    <t xml:space="preserve">Sawyer</t>
  </si>
  <si>
    <t xml:space="preserve">Standard power outlet (120V, 6 amps)</t>
  </si>
  <si>
    <t xml:space="preserve">UR3</t>
  </si>
  <si>
    <t xml:space="preserve">24 V 2A in control box and 12 V/24 V 600 mA in tool</t>
  </si>
  <si>
    <t xml:space="preserve">KR 5 SI</t>
  </si>
  <si>
    <t xml:space="preserve">7.3KVA</t>
  </si>
  <si>
    <t xml:space="preserve">P-Arm 2R</t>
  </si>
  <si>
    <t xml:space="preserve">350W using a typical program</t>
  </si>
  <si>
    <t xml:space="preserve">OUR-1</t>
  </si>
  <si>
    <t xml:space="preserve">200 W (controller)</t>
  </si>
  <si>
    <t xml:space="preserve">LBR IIWA 7 R800</t>
  </si>
  <si>
    <t xml:space="preserve">?</t>
  </si>
  <si>
    <t xml:space="preserve">Baxter</t>
  </si>
  <si>
    <t xml:space="preserve">UR5</t>
  </si>
  <si>
    <t xml:space="preserve">UR10</t>
  </si>
  <si>
    <t xml:space="preserve">Company</t>
  </si>
  <si>
    <t xml:space="preserve">Installed Units</t>
  </si>
  <si>
    <t xml:space="preserve">Market Share</t>
  </si>
  <si>
    <t xml:space="preserve">Fanuc</t>
  </si>
  <si>
    <t xml:space="preserve">Kawasaki</t>
  </si>
  <si>
    <t xml:space="preserve">Nachi</t>
  </si>
  <si>
    <t xml:space="preserve">Kuka</t>
  </si>
  <si>
    <t xml:space="preserve">Denso</t>
  </si>
  <si>
    <t xml:space="preserve">Epson</t>
  </si>
  <si>
    <t xml:space="preserve">Adept</t>
  </si>
  <si>
    <t xml:space="preserve">Industrial robots global operational stock 2009-2022</t>
  </si>
  <si>
    <t xml:space="preserve">Worldwide operational stock of industrial robots from 2009 to 2022 (in 1,000 units)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</si>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</sst>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"/>
    <numFmt numFmtId="166" formatCode="0%"/>
    <numFmt numFmtId="167" formatCode="0.00%"/>
    <numFmt numFmtId="168" formatCode="#,##0"/>
    <numFmt numFmtId="169" formatCode="#,##0.0"/>
    <numFmt numFmtId="170" formatCode="_(* #,##0.00_);_(* \(#,##0.00\);_(* \-??_);_(@_)"/>
    <numFmt numFmtId="171" formatCode="_(* #,##0_);_(* \(#,##0\);_(* \-??_);_(@_)"/>
    <numFmt numFmtId="172" formatCode="0"/>
    <numFmt numFmtId="173" formatCode="0.0%"/>
    <numFmt numFmtId="174" formatCode="#,##0.00"/>
    <numFmt numFmtId="175" formatCode="@"/>
    <numFmt numFmtId="176" formatCode="0.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16"/>
      <color rgb="FF595959"/>
      <name val="Calibri"/>
      <family val="2"/>
    </font>
    <font>
      <sz val="14"/>
      <color rgb="FF404040"/>
      <name val="Calibri"/>
      <family val="2"/>
    </font>
    <font>
      <sz val="12"/>
      <color rgb="FF000000"/>
      <name val="Calibri"/>
      <family val="2"/>
    </font>
    <font>
      <sz val="12"/>
      <color rgb="FF595959"/>
      <name val="Calibri"/>
      <family val="2"/>
    </font>
    <font>
      <sz val="18"/>
      <color rgb="FF595959"/>
      <name val="Calibri"/>
      <family val="2"/>
    </font>
    <font>
      <sz val="10"/>
      <color rgb="FF000000"/>
      <name val="Calibri"/>
      <family val="2"/>
    </font>
    <font>
      <sz val="15"/>
      <color rgb="FF595959"/>
      <name val="Calibri"/>
      <family val="2"/>
    </font>
    <font>
      <sz val="14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0"/>
      <name val="Arial"/>
      <family val="2"/>
      <charset val="1"/>
    </font>
    <font>
      <sz val="17"/>
      <color rgb="FF595959"/>
      <name val="Calibri"/>
      <family val="2"/>
    </font>
    <font>
      <sz val="9"/>
      <color rgb="FF404040"/>
      <name val="Calibri"/>
      <family val="2"/>
    </font>
    <font>
      <sz val="10"/>
      <name val="Times New Roman"/>
      <family val="1"/>
      <charset val="1"/>
    </font>
    <font>
      <sz val="20"/>
      <color rgb="FF595959"/>
      <name val="Calibri"/>
      <family val="2"/>
    </font>
    <font>
      <sz val="20"/>
      <color rgb="FF40404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0F0F0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A5A5A5"/>
        <bgColor rgb="FFBFBFBF"/>
      </patternFill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0F0F0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92D050"/>
        <bgColor rgb="FF70AD47"/>
      </patternFill>
    </fill>
    <fill>
      <patternFill patternType="solid">
        <fgColor rgb="FFE7E6E6"/>
        <bgColor rgb="FFEDEDED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1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1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17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7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1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2CC"/>
      <rgbColor rgb="FFDEEBF7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2F2F2"/>
      <rgbColor rgb="FFE7E6E6"/>
      <rgbColor rgb="FFEDEDED"/>
      <rgbColor rgb="FFF0F0F0"/>
      <rgbColor rgb="FFFBE5D6"/>
      <rgbColor rgb="FF4472C4"/>
      <rgbColor rgb="FF33CCCC"/>
      <rgbColor rgb="FF92D05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59595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Total average power consumption [kW]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'Energy Consumption Stats'!$H$13</c:f>
              <c:strCache>
                <c:ptCount val="1"/>
                <c:pt idx="0">
                  <c:v>Handling Operations/Machine Tending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Stats'!$I$13</c:f>
              <c:numCache>
                <c:formatCode>General</c:formatCode>
                <c:ptCount val="1"/>
                <c:pt idx="0">
                  <c:v>5.39718744324887</c:v>
                </c:pt>
              </c:numCache>
            </c:numRef>
          </c:val>
        </c:ser>
        <c:ser>
          <c:idx val="1"/>
          <c:order val="1"/>
          <c:tx>
            <c:strRef>
              <c:f>'Energy Consumption Stats'!$H$14</c:f>
              <c:strCache>
                <c:ptCount val="1"/>
                <c:pt idx="0">
                  <c:v>Welding and Soldering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Stats'!$I$14</c:f>
              <c:numCache>
                <c:formatCode>General</c:formatCode>
                <c:ptCount val="1"/>
                <c:pt idx="0">
                  <c:v>6.43225800222704</c:v>
                </c:pt>
              </c:numCache>
            </c:numRef>
          </c:val>
        </c:ser>
        <c:ser>
          <c:idx val="2"/>
          <c:order val="2"/>
          <c:tx>
            <c:strRef>
              <c:f>'Energy Consumption Stats'!$H$15</c:f>
              <c:strCache>
                <c:ptCount val="1"/>
                <c:pt idx="0">
                  <c:v>Dispensing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Stats'!$I$15</c:f>
              <c:numCache>
                <c:formatCode>General</c:formatCode>
                <c:ptCount val="1"/>
                <c:pt idx="0">
                  <c:v>5.99832817337461</c:v>
                </c:pt>
              </c:numCache>
            </c:numRef>
          </c:val>
        </c:ser>
        <c:ser>
          <c:idx val="3"/>
          <c:order val="3"/>
          <c:tx>
            <c:strRef>
              <c:f>'Energy Consumption Stats'!$H$16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Stats'!$I$16</c:f>
              <c:numCache>
                <c:formatCode>General</c:formatCode>
                <c:ptCount val="1"/>
                <c:pt idx="0">
                  <c:v>5.98873163300408</c:v>
                </c:pt>
              </c:numCache>
            </c:numRef>
          </c:val>
        </c:ser>
        <c:ser>
          <c:idx val="4"/>
          <c:order val="4"/>
          <c:tx>
            <c:strRef>
              <c:f>'Energy Consumption Stats'!$H$17</c:f>
              <c:strCache>
                <c:ptCount val="1"/>
                <c:pt idx="0">
                  <c:v>Assembling and Disassembling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Stats'!$I$17</c:f>
              <c:numCache>
                <c:formatCode>General</c:formatCode>
                <c:ptCount val="1"/>
                <c:pt idx="0">
                  <c:v>4.99024353230236</c:v>
                </c:pt>
              </c:numCache>
            </c:numRef>
          </c:val>
        </c:ser>
        <c:ser>
          <c:idx val="5"/>
          <c:order val="5"/>
          <c:tx>
            <c:strRef>
              <c:f>'Energy Consumption Stats'!$H$18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'Energy Consumption Stats'!$I$18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82"/>
        <c:overlap val="0"/>
        <c:axId val="50491451"/>
        <c:axId val="85561531"/>
      </c:barChart>
      <c:catAx>
        <c:axId val="504914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561531"/>
        <c:auto val="1"/>
        <c:lblAlgn val="ctr"/>
        <c:lblOffset val="100"/>
        <c:noMultiLvlLbl val="0"/>
      </c:catAx>
      <c:valAx>
        <c:axId val="85561531"/>
        <c:scaling>
          <c:orientation val="minMax"/>
          <c:max val="6.5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49145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Operational Stock by Applicaiton in 2013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13"/>
          <c:dPt>
            <c:idx val="0"/>
            <c:explosion val="13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explosion val="1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explosion val="13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explosion val="1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explosion val="13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explosion val="13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txPr>
              <a:bodyPr/>
              <a:lstStyle/>
              <a:p>
                <a:pPr>
                  <a:defRPr b="0" sz="15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'Energy Consumption Stats'!$H$13:$H$18</c:f>
              <c:strCache>
                <c:ptCount val="6"/>
                <c:pt idx="0">
                  <c:v>Handling Operations/Machine Tending</c:v>
                </c:pt>
                <c:pt idx="1">
                  <c:v>Welding and Soldering</c:v>
                </c:pt>
                <c:pt idx="2">
                  <c:v>Dispensing</c:v>
                </c:pt>
                <c:pt idx="3">
                  <c:v>Processing</c:v>
                </c:pt>
                <c:pt idx="4">
                  <c:v>Assembling and Disassembling</c:v>
                </c:pt>
                <c:pt idx="5">
                  <c:v>Others</c:v>
                </c:pt>
              </c:strCache>
            </c:strRef>
          </c:cat>
          <c:val>
            <c:numRef>
              <c:f>'Energy Consumption Stats'!$J$13:$J$18</c:f>
              <c:numCache>
                <c:formatCode>General</c:formatCode>
                <c:ptCount val="6"/>
                <c:pt idx="0">
                  <c:v>0.401</c:v>
                </c:pt>
                <c:pt idx="1">
                  <c:v>0.288</c:v>
                </c:pt>
                <c:pt idx="2">
                  <c:v>0.041</c:v>
                </c:pt>
                <c:pt idx="3">
                  <c:v>0.019</c:v>
                </c:pt>
                <c:pt idx="4">
                  <c:v>0.1</c:v>
                </c:pt>
                <c:pt idx="5">
                  <c:v>0.151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l"/>
      <c:overlay val="0"/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Energy [PJ] (24/7 operation)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'Estimated Install Base to 2025'!$D$24</c:f>
              <c:strCache>
                <c:ptCount val="1"/>
                <c:pt idx="0">
                  <c:v>+12%/yr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'Estimated Install Base to 2025'!$B$31:$B$41</c:f>
              <c:multiLvlStrCache>
                <c:ptCount val="1"/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  <c:lvl>
                  <c:pt idx="0">
                    <c:v>2019</c:v>
                  </c:pt>
                </c:lvl>
                <c:lvl>
                  <c:pt idx="0">
                    <c:v>2018</c:v>
                  </c:pt>
                </c:lvl>
                <c:lvl>
                  <c:pt idx="0">
                    <c:v>2017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2015</c:v>
                  </c:pt>
                </c:lvl>
              </c:multiLvlStrCache>
            </c:multiLvlStrRef>
          </c:cat>
          <c:val>
            <c:numRef>
              <c:f>'Energy Consumption Stats'!$H$31:$R$31</c:f>
              <c:numCache>
                <c:formatCode>General</c:formatCode>
                <c:ptCount val="11"/>
                <c:pt idx="0">
                  <c:v>266.469323546683</c:v>
                </c:pt>
                <c:pt idx="1">
                  <c:v>298.445642372285</c:v>
                </c:pt>
                <c:pt idx="2">
                  <c:v>334.259119456959</c:v>
                </c:pt>
                <c:pt idx="3">
                  <c:v>374.370213791794</c:v>
                </c:pt>
                <c:pt idx="4">
                  <c:v>419.294639446809</c:v>
                </c:pt>
                <c:pt idx="5">
                  <c:v>469.609996180426</c:v>
                </c:pt>
                <c:pt idx="6">
                  <c:v>525.963195722078</c:v>
                </c:pt>
                <c:pt idx="7">
                  <c:v>589.078779208727</c:v>
                </c:pt>
                <c:pt idx="8">
                  <c:v>659.768232713774</c:v>
                </c:pt>
                <c:pt idx="9">
                  <c:v>738.940420639427</c:v>
                </c:pt>
                <c:pt idx="10">
                  <c:v>827.613271116159</c:v>
                </c:pt>
              </c:numCache>
            </c:numRef>
          </c:val>
        </c:ser>
        <c:ser>
          <c:idx val="1"/>
          <c:order val="1"/>
          <c:tx>
            <c:strRef>
              <c:f>'Estimated Install Base to 2025'!$E$24</c:f>
              <c:strCache>
                <c:ptCount val="1"/>
                <c:pt idx="0">
                  <c:v>+25%/yr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'Estimated Install Base to 2025'!$B$31:$B$41</c:f>
              <c:multiLvlStrCache>
                <c:ptCount val="1"/>
                <c:lvl>
                  <c:pt idx="0">
                    <c:v>2025</c:v>
                  </c:pt>
                </c:lvl>
                <c:lvl>
                  <c:pt idx="0">
                    <c:v>2024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2022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2020</c:v>
                  </c:pt>
                </c:lvl>
                <c:lvl>
                  <c:pt idx="0">
                    <c:v>2019</c:v>
                  </c:pt>
                </c:lvl>
                <c:lvl>
                  <c:pt idx="0">
                    <c:v>2018</c:v>
                  </c:pt>
                </c:lvl>
                <c:lvl>
                  <c:pt idx="0">
                    <c:v>2017</c:v>
                  </c:pt>
                </c:lvl>
                <c:lvl>
                  <c:pt idx="0">
                    <c:v>2016</c:v>
                  </c:pt>
                </c:lvl>
                <c:lvl>
                  <c:pt idx="0">
                    <c:v>2015</c:v>
                  </c:pt>
                </c:lvl>
              </c:multiLvlStrCache>
            </c:multiLvlStrRef>
          </c:cat>
          <c:val>
            <c:numRef>
              <c:f>'Energy Consumption Stats'!$H$42:$R$42</c:f>
              <c:numCache>
                <c:formatCode>General</c:formatCode>
                <c:ptCount val="11"/>
                <c:pt idx="0">
                  <c:v>266.469323546683</c:v>
                </c:pt>
                <c:pt idx="1">
                  <c:v>333.086654433353</c:v>
                </c:pt>
                <c:pt idx="2">
                  <c:v>416.358318041692</c:v>
                </c:pt>
                <c:pt idx="3">
                  <c:v>520.447897552115</c:v>
                </c:pt>
                <c:pt idx="4">
                  <c:v>650.559871940143</c:v>
                </c:pt>
                <c:pt idx="5">
                  <c:v>813.199839925179</c:v>
                </c:pt>
                <c:pt idx="6">
                  <c:v>1016.49979990647</c:v>
                </c:pt>
                <c:pt idx="7">
                  <c:v>1270.62474988309</c:v>
                </c:pt>
                <c:pt idx="8">
                  <c:v>1588.28093735387</c:v>
                </c:pt>
                <c:pt idx="9">
                  <c:v>1985.35117169233</c:v>
                </c:pt>
                <c:pt idx="10">
                  <c:v>2481.68896461541</c:v>
                </c:pt>
              </c:numCache>
            </c:numRef>
          </c:val>
        </c:ser>
        <c:gapWidth val="150"/>
        <c:overlap val="0"/>
        <c:axId val="80762755"/>
        <c:axId val="60471915"/>
      </c:barChart>
      <c:catAx>
        <c:axId val="807627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71915"/>
        <c:crosses val="autoZero"/>
        <c:auto val="1"/>
        <c:lblAlgn val="ctr"/>
        <c:lblOffset val="100"/>
        <c:noMultiLvlLbl val="0"/>
      </c:catAx>
      <c:valAx>
        <c:axId val="60471915"/>
        <c:scaling>
          <c:orientation val="minMax"/>
          <c:max val="26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6275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Units (millions)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'Estimated Install Base to 2025'!$D$24</c:f>
              <c:strCache>
                <c:ptCount val="1"/>
                <c:pt idx="0">
                  <c:v>+12%/yr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2025'!$B$31:$B$41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'Estimated Install Base to 2025'!$D$31:$D$41</c:f>
              <c:numCache>
                <c:formatCode>General</c:formatCode>
                <c:ptCount val="11"/>
                <c:pt idx="0">
                  <c:v>1.632</c:v>
                </c:pt>
                <c:pt idx="1">
                  <c:v>1.82784</c:v>
                </c:pt>
                <c:pt idx="2">
                  <c:v>2.0471808</c:v>
                </c:pt>
                <c:pt idx="3">
                  <c:v>2.292842496</c:v>
                </c:pt>
                <c:pt idx="4">
                  <c:v>2.56798359552</c:v>
                </c:pt>
                <c:pt idx="5">
                  <c:v>2.8761416269824</c:v>
                </c:pt>
                <c:pt idx="6">
                  <c:v>3.22127862222029</c:v>
                </c:pt>
                <c:pt idx="7">
                  <c:v>3.60783205688673</c:v>
                </c:pt>
                <c:pt idx="8">
                  <c:v>4.04077190371313</c:v>
                </c:pt>
                <c:pt idx="9">
                  <c:v>4.52566453215871</c:v>
                </c:pt>
                <c:pt idx="10">
                  <c:v>5.06874427601776</c:v>
                </c:pt>
              </c:numCache>
            </c:numRef>
          </c:val>
        </c:ser>
        <c:ser>
          <c:idx val="1"/>
          <c:order val="1"/>
          <c:tx>
            <c:strRef>
              <c:f>'Estimated Install Base to 2025'!$E$24</c:f>
              <c:strCache>
                <c:ptCount val="1"/>
                <c:pt idx="0">
                  <c:v>+25%/yr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2025'!$B$31:$B$41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'Estimated Install Base to 2025'!$E$31:$E$41</c:f>
              <c:numCache>
                <c:formatCode>General</c:formatCode>
                <c:ptCount val="11"/>
                <c:pt idx="0">
                  <c:v>1.632</c:v>
                </c:pt>
                <c:pt idx="1">
                  <c:v>2.04</c:v>
                </c:pt>
                <c:pt idx="2">
                  <c:v>2.55</c:v>
                </c:pt>
                <c:pt idx="3">
                  <c:v>3.1875</c:v>
                </c:pt>
                <c:pt idx="4">
                  <c:v>3.984375</c:v>
                </c:pt>
                <c:pt idx="5">
                  <c:v>4.98046875</c:v>
                </c:pt>
                <c:pt idx="6">
                  <c:v>6.2255859375</c:v>
                </c:pt>
                <c:pt idx="7">
                  <c:v>7.781982421875</c:v>
                </c:pt>
                <c:pt idx="8">
                  <c:v>9.72747802734375</c:v>
                </c:pt>
                <c:pt idx="9">
                  <c:v>12.1593475341797</c:v>
                </c:pt>
                <c:pt idx="10">
                  <c:v>15.1991844177246</c:v>
                </c:pt>
              </c:numCache>
            </c:numRef>
          </c:val>
        </c:ser>
        <c:gapWidth val="150"/>
        <c:overlap val="0"/>
        <c:axId val="59224958"/>
        <c:axId val="82006143"/>
      </c:barChart>
      <c:catAx>
        <c:axId val="592249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006143"/>
        <c:crosses val="autoZero"/>
        <c:auto val="1"/>
        <c:lblAlgn val="ctr"/>
        <c:lblOffset val="100"/>
        <c:noMultiLvlLbl val="0"/>
      </c:catAx>
      <c:valAx>
        <c:axId val="82006143"/>
        <c:scaling>
          <c:orientation val="minMax"/>
          <c:max val="16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2495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IR Energy Demand [PJ]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'Energy Consumption Stats'!$C$25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'Energy Consumption Stats'!$B$26:$B$42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'Energy Consumption Stats'!$C$26:$C$42</c:f>
              <c:numCache>
                <c:formatCode>General</c:formatCode>
                <c:ptCount val="17"/>
                <c:pt idx="0">
                  <c:v>166.706604988458</c:v>
                </c:pt>
                <c:pt idx="1">
                  <c:v>172.911160316138</c:v>
                </c:pt>
                <c:pt idx="2">
                  <c:v>188.259270863557</c:v>
                </c:pt>
                <c:pt idx="3">
                  <c:v>201.648048149604</c:v>
                </c:pt>
                <c:pt idx="4">
                  <c:v>217.485992012366</c:v>
                </c:pt>
                <c:pt idx="5">
                  <c:v>240.344880061714</c:v>
                </c:pt>
                <c:pt idx="6">
                  <c:v>266.469323546683</c:v>
                </c:pt>
                <c:pt idx="7">
                  <c:v>300.10454453358</c:v>
                </c:pt>
                <c:pt idx="8">
                  <c:v>346.965265034743</c:v>
                </c:pt>
                <c:pt idx="9">
                  <c:v>398.397763145775</c:v>
                </c:pt>
                <c:pt idx="10">
                  <c:v>448.524039082559</c:v>
                </c:pt>
                <c:pt idx="11">
                  <c:v>514.651536653887</c:v>
                </c:pt>
                <c:pt idx="12">
                  <c:v>580.289200909871</c:v>
                </c:pt>
                <c:pt idx="13">
                  <c:v>648.376031742571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'Energy Consumption Stats'!$D$25</c:f>
              <c:strCache>
                <c:ptCount val="1"/>
                <c:pt idx="0">
                  <c:v>12%/yr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'Energy Consumption Stats'!$B$26:$B$42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'Energy Consumption Stats'!$D$26:$D$42</c:f>
              <c:numCache>
                <c:formatCode>General</c:formatCode>
                <c:ptCount val="17"/>
                <c:pt idx="6">
                  <c:v>266.469323546683</c:v>
                </c:pt>
                <c:pt idx="7">
                  <c:v>298.445642372285</c:v>
                </c:pt>
                <c:pt idx="8">
                  <c:v>334.259119456959</c:v>
                </c:pt>
                <c:pt idx="9">
                  <c:v>374.370213791794</c:v>
                </c:pt>
                <c:pt idx="10">
                  <c:v>419.294639446809</c:v>
                </c:pt>
                <c:pt idx="11">
                  <c:v>469.609996180426</c:v>
                </c:pt>
                <c:pt idx="12">
                  <c:v>525.963195722077</c:v>
                </c:pt>
                <c:pt idx="13">
                  <c:v>589.078779208727</c:v>
                </c:pt>
                <c:pt idx="14">
                  <c:v>659.768232713774</c:v>
                </c:pt>
                <c:pt idx="15">
                  <c:v>738.940420639427</c:v>
                </c:pt>
                <c:pt idx="16">
                  <c:v>827.613271116159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'Energy Consumption Stats'!$E$25</c:f>
              <c:strCache>
                <c:ptCount val="1"/>
                <c:pt idx="0">
                  <c:v>25%/yr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'Energy Consumption Stats'!$B$26:$B$42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'Energy Consumption Stats'!$E$26:$E$42</c:f>
              <c:numCache>
                <c:formatCode>General</c:formatCode>
                <c:ptCount val="17"/>
                <c:pt idx="6">
                  <c:v>266.469323546683</c:v>
                </c:pt>
                <c:pt idx="7">
                  <c:v>333.086654433353</c:v>
                </c:pt>
                <c:pt idx="8">
                  <c:v>416.358318041692</c:v>
                </c:pt>
                <c:pt idx="9">
                  <c:v>520.447897552114</c:v>
                </c:pt>
                <c:pt idx="10">
                  <c:v>650.559871940143</c:v>
                </c:pt>
                <c:pt idx="11">
                  <c:v>813.199839925179</c:v>
                </c:pt>
                <c:pt idx="12">
                  <c:v>1016.49979990647</c:v>
                </c:pt>
                <c:pt idx="13">
                  <c:v>1270.62474988309</c:v>
                </c:pt>
                <c:pt idx="14">
                  <c:v>1588.28093735387</c:v>
                </c:pt>
                <c:pt idx="15">
                  <c:v>1985.35117169233</c:v>
                </c:pt>
                <c:pt idx="16">
                  <c:v>2481.68896461541</c:v>
                </c:pt>
              </c:numCache>
            </c:numRef>
          </c:yVal>
          <c:smooth val="0"/>
        </c:ser>
        <c:axId val="49062661"/>
        <c:axId val="52279973"/>
      </c:scatterChart>
      <c:valAx>
        <c:axId val="490626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79973"/>
        <c:crosses val="autoZero"/>
        <c:crossBetween val="midCat"/>
      </c:valAx>
      <c:valAx>
        <c:axId val="52279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626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7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700" spc="-1" strike="noStrike">
                <a:solidFill>
                  <a:srgbClr val="595959"/>
                </a:solidFill>
                <a:latin typeface="Calibri"/>
              </a:rPr>
              <a:t>Units (x1000)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'Estimated Install Base to 2025'!$D$2</c:f>
              <c:strCache>
                <c:ptCount val="1"/>
                <c:pt idx="0">
                  <c:v>Units (x1000)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2025'!$B$3:$B$17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2019*</c:v>
                </c:pt>
                <c:pt idx="11">
                  <c:v>2020*</c:v>
                </c:pt>
                <c:pt idx="12">
                  <c:v>2021*</c:v>
                </c:pt>
                <c:pt idx="13">
                  <c:v>2022*</c:v>
                </c:pt>
                <c:pt idx="14">
                  <c:v>2023*</c:v>
                </c:pt>
              </c:strCache>
            </c:strRef>
          </c:cat>
          <c:val>
            <c:numRef>
              <c:f>'Estimated Install Base to 2025'!$D$3:$D$17</c:f>
              <c:numCache>
                <c:formatCode>General</c:formatCode>
                <c:ptCount val="15"/>
                <c:pt idx="0">
                  <c:v>1021</c:v>
                </c:pt>
                <c:pt idx="1">
                  <c:v>1059</c:v>
                </c:pt>
                <c:pt idx="2">
                  <c:v>1153</c:v>
                </c:pt>
                <c:pt idx="3">
                  <c:v>1235</c:v>
                </c:pt>
                <c:pt idx="4">
                  <c:v>1332</c:v>
                </c:pt>
                <c:pt idx="5">
                  <c:v>1472</c:v>
                </c:pt>
                <c:pt idx="6">
                  <c:v>1632</c:v>
                </c:pt>
                <c:pt idx="7">
                  <c:v>1838</c:v>
                </c:pt>
                <c:pt idx="8">
                  <c:v>2125</c:v>
                </c:pt>
                <c:pt idx="9">
                  <c:v>2440</c:v>
                </c:pt>
                <c:pt idx="10">
                  <c:v>2747</c:v>
                </c:pt>
                <c:pt idx="11">
                  <c:v>3152</c:v>
                </c:pt>
                <c:pt idx="12">
                  <c:v>3554</c:v>
                </c:pt>
                <c:pt idx="13">
                  <c:v>3971</c:v>
                </c:pt>
                <c:pt idx="14">
                  <c:v>4447.52</c:v>
                </c:pt>
              </c:numCache>
            </c:numRef>
          </c:val>
        </c:ser>
        <c:gapWidth val="75"/>
        <c:overlap val="0"/>
        <c:axId val="65793310"/>
        <c:axId val="6354522"/>
      </c:barChart>
      <c:catAx>
        <c:axId val="65793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4522"/>
        <c:crosses val="autoZero"/>
        <c:auto val="1"/>
        <c:lblAlgn val="ctr"/>
        <c:lblOffset val="100"/>
        <c:noMultiLvlLbl val="0"/>
      </c:catAx>
      <c:valAx>
        <c:axId val="6354522"/>
        <c:scaling>
          <c:orientation val="minMax"/>
          <c:max val="55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9331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Units (millions)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'Estimated Install Base to 2025'!$D$24</c:f>
              <c:strCache>
                <c:ptCount val="1"/>
                <c:pt idx="0">
                  <c:v>+12%/yr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2025'!$B$31:$B$41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'Estimated Install Base to 2025'!$D$31:$D$41</c:f>
              <c:numCache>
                <c:formatCode>General</c:formatCode>
                <c:ptCount val="11"/>
                <c:pt idx="0">
                  <c:v>1.632</c:v>
                </c:pt>
                <c:pt idx="1">
                  <c:v>1.82784</c:v>
                </c:pt>
                <c:pt idx="2">
                  <c:v>2.0471808</c:v>
                </c:pt>
                <c:pt idx="3">
                  <c:v>2.292842496</c:v>
                </c:pt>
                <c:pt idx="4">
                  <c:v>2.56798359552</c:v>
                </c:pt>
                <c:pt idx="5">
                  <c:v>2.8761416269824</c:v>
                </c:pt>
                <c:pt idx="6">
                  <c:v>3.22127862222029</c:v>
                </c:pt>
                <c:pt idx="7">
                  <c:v>3.60783205688673</c:v>
                </c:pt>
                <c:pt idx="8">
                  <c:v>4.04077190371313</c:v>
                </c:pt>
                <c:pt idx="9">
                  <c:v>4.52566453215871</c:v>
                </c:pt>
                <c:pt idx="10">
                  <c:v>5.06874427601776</c:v>
                </c:pt>
              </c:numCache>
            </c:numRef>
          </c:val>
        </c:ser>
        <c:ser>
          <c:idx val="1"/>
          <c:order val="1"/>
          <c:tx>
            <c:strRef>
              <c:f>'Estimated Install Base to 2025'!$E$24</c:f>
              <c:strCache>
                <c:ptCount val="1"/>
                <c:pt idx="0">
                  <c:v>+25%/yr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'Estimated Install Base to 2025'!$B$31:$B$41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strCache>
            </c:strRef>
          </c:cat>
          <c:val>
            <c:numRef>
              <c:f>'Estimated Install Base to 2025'!$E$31:$E$41</c:f>
              <c:numCache>
                <c:formatCode>General</c:formatCode>
                <c:ptCount val="11"/>
                <c:pt idx="0">
                  <c:v>1.632</c:v>
                </c:pt>
                <c:pt idx="1">
                  <c:v>2.04</c:v>
                </c:pt>
                <c:pt idx="2">
                  <c:v>2.55</c:v>
                </c:pt>
                <c:pt idx="3">
                  <c:v>3.1875</c:v>
                </c:pt>
                <c:pt idx="4">
                  <c:v>3.984375</c:v>
                </c:pt>
                <c:pt idx="5">
                  <c:v>4.98046875</c:v>
                </c:pt>
                <c:pt idx="6">
                  <c:v>6.2255859375</c:v>
                </c:pt>
                <c:pt idx="7">
                  <c:v>7.781982421875</c:v>
                </c:pt>
                <c:pt idx="8">
                  <c:v>9.72747802734375</c:v>
                </c:pt>
                <c:pt idx="9">
                  <c:v>12.1593475341797</c:v>
                </c:pt>
                <c:pt idx="10">
                  <c:v>15.1991844177246</c:v>
                </c:pt>
              </c:numCache>
            </c:numRef>
          </c:val>
        </c:ser>
        <c:gapWidth val="150"/>
        <c:overlap val="0"/>
        <c:axId val="69181549"/>
        <c:axId val="48995662"/>
      </c:barChart>
      <c:catAx>
        <c:axId val="691815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95662"/>
        <c:crosses val="autoZero"/>
        <c:auto val="1"/>
        <c:lblAlgn val="ctr"/>
        <c:lblOffset val="100"/>
        <c:noMultiLvlLbl val="0"/>
      </c:catAx>
      <c:valAx>
        <c:axId val="48995662"/>
        <c:scaling>
          <c:orientation val="minMax"/>
          <c:max val="16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8154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IR Operational Stock [millions]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'Estimated Install Base to 2025'!$C$24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'Estimated Install Base to 2025'!$B$25:$B$41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'Estimated Install Base to 2025'!$C$25:$C$41</c:f>
              <c:numCache>
                <c:formatCode>General</c:formatCode>
                <c:ptCount val="17"/>
                <c:pt idx="0">
                  <c:v>1.021</c:v>
                </c:pt>
                <c:pt idx="1">
                  <c:v>1.059</c:v>
                </c:pt>
                <c:pt idx="2">
                  <c:v>1.153</c:v>
                </c:pt>
                <c:pt idx="3">
                  <c:v>1.235</c:v>
                </c:pt>
                <c:pt idx="4">
                  <c:v>1.332</c:v>
                </c:pt>
                <c:pt idx="5">
                  <c:v>1.472</c:v>
                </c:pt>
                <c:pt idx="6">
                  <c:v>1.632</c:v>
                </c:pt>
                <c:pt idx="7">
                  <c:v>1.838</c:v>
                </c:pt>
                <c:pt idx="8">
                  <c:v>2.125</c:v>
                </c:pt>
                <c:pt idx="9">
                  <c:v>2.44</c:v>
                </c:pt>
                <c:pt idx="10">
                  <c:v>2.747</c:v>
                </c:pt>
                <c:pt idx="11">
                  <c:v>3.152</c:v>
                </c:pt>
                <c:pt idx="12">
                  <c:v>3.554</c:v>
                </c:pt>
                <c:pt idx="13">
                  <c:v>3.971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'Estimated Install Base to 2025'!$D$24</c:f>
              <c:strCache>
                <c:ptCount val="1"/>
                <c:pt idx="0">
                  <c:v>+12%/yr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'Estimated Install Base to 2025'!$B$25:$B$41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'Estimated Install Base to 2025'!$D$25:$D$41</c:f>
              <c:numCache>
                <c:formatCode>General</c:formatCode>
                <c:ptCount val="17"/>
                <c:pt idx="6">
                  <c:v>1.632</c:v>
                </c:pt>
                <c:pt idx="7">
                  <c:v>1.82784</c:v>
                </c:pt>
                <c:pt idx="8">
                  <c:v>2.0471808</c:v>
                </c:pt>
                <c:pt idx="9">
                  <c:v>2.292842496</c:v>
                </c:pt>
                <c:pt idx="10">
                  <c:v>2.56798359552</c:v>
                </c:pt>
                <c:pt idx="11">
                  <c:v>2.8761416269824</c:v>
                </c:pt>
                <c:pt idx="12">
                  <c:v>3.22127862222029</c:v>
                </c:pt>
                <c:pt idx="13">
                  <c:v>3.60783205688673</c:v>
                </c:pt>
                <c:pt idx="14">
                  <c:v>4.04077190371313</c:v>
                </c:pt>
                <c:pt idx="15">
                  <c:v>4.52566453215871</c:v>
                </c:pt>
                <c:pt idx="16">
                  <c:v>5.06874427601776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'Estimated Install Base to 2025'!$E$24</c:f>
              <c:strCache>
                <c:ptCount val="1"/>
                <c:pt idx="0">
                  <c:v>+25%/yr</c:v>
                </c:pt>
              </c:strCache>
            </c:strRef>
          </c:tx>
          <c:spPr>
            <a:solidFill>
              <a:srgbClr val="92d050"/>
            </a:solidFill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'Estimated Install Base to 2025'!$B$25:$B$41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xVal>
          <c:yVal>
            <c:numRef>
              <c:f>'Estimated Install Base to 2025'!$E$25:$E$41</c:f>
              <c:numCache>
                <c:formatCode>General</c:formatCode>
                <c:ptCount val="17"/>
                <c:pt idx="6">
                  <c:v>1.632</c:v>
                </c:pt>
                <c:pt idx="7">
                  <c:v>2.04</c:v>
                </c:pt>
                <c:pt idx="8">
                  <c:v>2.55</c:v>
                </c:pt>
                <c:pt idx="9">
                  <c:v>3.1875</c:v>
                </c:pt>
                <c:pt idx="10">
                  <c:v>3.984375</c:v>
                </c:pt>
                <c:pt idx="11">
                  <c:v>4.98046875</c:v>
                </c:pt>
                <c:pt idx="12">
                  <c:v>6.2255859375</c:v>
                </c:pt>
                <c:pt idx="13">
                  <c:v>7.781982421875</c:v>
                </c:pt>
                <c:pt idx="14">
                  <c:v>9.72747802734375</c:v>
                </c:pt>
                <c:pt idx="15">
                  <c:v>12.1593475341797</c:v>
                </c:pt>
                <c:pt idx="16">
                  <c:v>15.1991844177246</c:v>
                </c:pt>
              </c:numCache>
            </c:numRef>
          </c:yVal>
          <c:smooth val="0"/>
        </c:ser>
        <c:axId val="33674680"/>
        <c:axId val="49413241"/>
      </c:scatterChart>
      <c:valAx>
        <c:axId val="336746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13241"/>
        <c:crosses val="autoZero"/>
        <c:crossBetween val="midCat"/>
      </c:valAx>
      <c:valAx>
        <c:axId val="494132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746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Collaborative robot sales forecast (x1000)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'Co-bots'!$B$3</c:f>
              <c:strCache>
                <c:ptCount val="1"/>
                <c:pt idx="0">
                  <c:v>+60%/yr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>
                <a:noFill/>
              </a:ln>
            </c:spPr>
          </c:dPt>
          <c:dLbls>
            <c:numFmt formatCode="#,##0" sourceLinked="0"/>
            <c:dLbl>
              <c:idx val="2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'Co-bots'!$A$4:$A$14</c:f>
              <c:strCache>
                <c:ptCount val="11"/>
                <c:pt idx="0">
                  <c:v>2015</c:v>
                </c:pt>
                <c:pt idx="1">
                  <c:v>2016*</c:v>
                </c:pt>
                <c:pt idx="2">
                  <c:v>2017*</c:v>
                </c:pt>
                <c:pt idx="3">
                  <c:v>2018*</c:v>
                </c:pt>
                <c:pt idx="4">
                  <c:v>2019*</c:v>
                </c:pt>
                <c:pt idx="5">
                  <c:v>2020*</c:v>
                </c:pt>
                <c:pt idx="6">
                  <c:v>2021*</c:v>
                </c:pt>
                <c:pt idx="7">
                  <c:v>2022*</c:v>
                </c:pt>
                <c:pt idx="8">
                  <c:v>2023*</c:v>
                </c:pt>
                <c:pt idx="9">
                  <c:v>2024*</c:v>
                </c:pt>
                <c:pt idx="10">
                  <c:v>2025*</c:v>
                </c:pt>
              </c:strCache>
            </c:strRef>
          </c:cat>
          <c:val>
            <c:numRef>
              <c:f>'Co-bots'!$B$4:$B$14</c:f>
              <c:numCache>
                <c:formatCode>General</c:formatCode>
                <c:ptCount val="11"/>
                <c:pt idx="0">
                  <c:v>10.649</c:v>
                </c:pt>
                <c:pt idx="1">
                  <c:v>21.719</c:v>
                </c:pt>
                <c:pt idx="2">
                  <c:v>34.07</c:v>
                </c:pt>
                <c:pt idx="3">
                  <c:v>53.733</c:v>
                </c:pt>
                <c:pt idx="4">
                  <c:v>85.222</c:v>
                </c:pt>
                <c:pt idx="5">
                  <c:v>135.952</c:v>
                </c:pt>
                <c:pt idx="6">
                  <c:v>217.5232</c:v>
                </c:pt>
                <c:pt idx="7">
                  <c:v>348.03712</c:v>
                </c:pt>
                <c:pt idx="8">
                  <c:v>556.859392</c:v>
                </c:pt>
                <c:pt idx="9">
                  <c:v>890.9750272</c:v>
                </c:pt>
                <c:pt idx="10">
                  <c:v>1425.56004352</c:v>
                </c:pt>
              </c:numCache>
            </c:numRef>
          </c:val>
        </c:ser>
        <c:ser>
          <c:idx val="1"/>
          <c:order val="1"/>
          <c:tx>
            <c:strRef>
              <c:f>'Co-bots'!$C$3</c:f>
              <c:strCache>
                <c:ptCount val="1"/>
                <c:pt idx="0">
                  <c:v>+100%/yr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'Co-bots'!$A$4:$A$14</c:f>
              <c:strCache>
                <c:ptCount val="11"/>
                <c:pt idx="0">
                  <c:v>2015</c:v>
                </c:pt>
                <c:pt idx="1">
                  <c:v>2016*</c:v>
                </c:pt>
                <c:pt idx="2">
                  <c:v>2017*</c:v>
                </c:pt>
                <c:pt idx="3">
                  <c:v>2018*</c:v>
                </c:pt>
                <c:pt idx="4">
                  <c:v>2019*</c:v>
                </c:pt>
                <c:pt idx="5">
                  <c:v>2020*</c:v>
                </c:pt>
                <c:pt idx="6">
                  <c:v>2021*</c:v>
                </c:pt>
                <c:pt idx="7">
                  <c:v>2022*</c:v>
                </c:pt>
                <c:pt idx="8">
                  <c:v>2023*</c:v>
                </c:pt>
                <c:pt idx="9">
                  <c:v>2024*</c:v>
                </c:pt>
                <c:pt idx="10">
                  <c:v>2025*</c:v>
                </c:pt>
              </c:strCache>
            </c:strRef>
          </c:cat>
          <c:val>
            <c:numRef>
              <c:f>'Co-bots'!$C$4:$C$14</c:f>
              <c:numCache>
                <c:formatCode>General</c:formatCode>
                <c:ptCount val="11"/>
                <c:pt idx="0">
                  <c:v>10.649</c:v>
                </c:pt>
                <c:pt idx="1">
                  <c:v>21.719</c:v>
                </c:pt>
                <c:pt idx="2">
                  <c:v>34.07</c:v>
                </c:pt>
                <c:pt idx="3">
                  <c:v>53.733</c:v>
                </c:pt>
                <c:pt idx="4">
                  <c:v>85.222</c:v>
                </c:pt>
                <c:pt idx="5">
                  <c:v>135.952</c:v>
                </c:pt>
                <c:pt idx="6">
                  <c:v>271.904</c:v>
                </c:pt>
                <c:pt idx="7">
                  <c:v>543.808</c:v>
                </c:pt>
                <c:pt idx="8">
                  <c:v>1087.616</c:v>
                </c:pt>
                <c:pt idx="9">
                  <c:v>2175.232</c:v>
                </c:pt>
                <c:pt idx="10">
                  <c:v>4350.464</c:v>
                </c:pt>
              </c:numCache>
            </c:numRef>
          </c:val>
        </c:ser>
        <c:gapWidth val="0"/>
        <c:overlap val="0"/>
        <c:axId val="53833276"/>
        <c:axId val="72529106"/>
      </c:barChart>
      <c:catAx>
        <c:axId val="538332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529106"/>
        <c:crosses val="autoZero"/>
        <c:auto val="1"/>
        <c:lblAlgn val="ctr"/>
        <c:lblOffset val="100"/>
        <c:noMultiLvlLbl val="0"/>
      </c:catAx>
      <c:valAx>
        <c:axId val="725291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3327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Calibri"/>
              </a:rPr>
              <a:t>Energy consumption in [PJ] assuming 1 KW and 24/7 operation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'Co-bots'!$L$3</c:f>
              <c:strCache>
                <c:ptCount val="1"/>
                <c:pt idx="0">
                  <c:v>+60%/yr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'Co-bots'!$K$4:$K$14</c:f>
              <c:strCache>
                <c:ptCount val="11"/>
                <c:pt idx="0">
                  <c:v>2015</c:v>
                </c:pt>
                <c:pt idx="1">
                  <c:v>2016*</c:v>
                </c:pt>
                <c:pt idx="2">
                  <c:v>2017*</c:v>
                </c:pt>
                <c:pt idx="3">
                  <c:v>2018*</c:v>
                </c:pt>
                <c:pt idx="4">
                  <c:v>2019*</c:v>
                </c:pt>
                <c:pt idx="5">
                  <c:v>2020*</c:v>
                </c:pt>
                <c:pt idx="6">
                  <c:v>2021*</c:v>
                </c:pt>
                <c:pt idx="7">
                  <c:v>2022*</c:v>
                </c:pt>
                <c:pt idx="8">
                  <c:v>2023*</c:v>
                </c:pt>
                <c:pt idx="9">
                  <c:v>2024*</c:v>
                </c:pt>
                <c:pt idx="10">
                  <c:v>2025*</c:v>
                </c:pt>
              </c:strCache>
            </c:strRef>
          </c:cat>
          <c:val>
            <c:numRef>
              <c:f>'Co-bots'!$L$4:$L$14</c:f>
              <c:numCache>
                <c:formatCode>General</c:formatCode>
                <c:ptCount val="11"/>
                <c:pt idx="0">
                  <c:v>0.671653728</c:v>
                </c:pt>
                <c:pt idx="1">
                  <c:v>2.041514496</c:v>
                </c:pt>
                <c:pt idx="2">
                  <c:v>4.190377536</c:v>
                </c:pt>
                <c:pt idx="3">
                  <c:v>7.579425312</c:v>
                </c:pt>
                <c:pt idx="4">
                  <c:v>12.954547296</c:v>
                </c:pt>
                <c:pt idx="5">
                  <c:v>21.52931184</c:v>
                </c:pt>
                <c:pt idx="6">
                  <c:v>35.2489351104</c:v>
                </c:pt>
                <c:pt idx="7">
                  <c:v>57.20033234304</c:v>
                </c:pt>
                <c:pt idx="8">
                  <c:v>92.322567915264</c:v>
                </c:pt>
                <c:pt idx="9">
                  <c:v>148.518144830822</c:v>
                </c:pt>
                <c:pt idx="10">
                  <c:v>238.431067895716</c:v>
                </c:pt>
              </c:numCache>
            </c:numRef>
          </c:val>
        </c:ser>
        <c:ser>
          <c:idx val="1"/>
          <c:order val="1"/>
          <c:tx>
            <c:strRef>
              <c:f>'Co-bots'!$M$3</c:f>
              <c:strCache>
                <c:ptCount val="1"/>
                <c:pt idx="0">
                  <c:v>+100%/yr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a5a5a5"/>
              </a:solidFill>
              <a:ln>
                <a:noFill/>
              </a:ln>
            </c:spPr>
          </c:dPt>
          <c:dLbls>
            <c:numFmt formatCode="0" sourceLinked="1"/>
            <c:dLbl>
              <c:idx val="0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4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4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'Co-bots'!$K$4:$K$14</c:f>
              <c:strCache>
                <c:ptCount val="11"/>
                <c:pt idx="0">
                  <c:v>2015</c:v>
                </c:pt>
                <c:pt idx="1">
                  <c:v>2016*</c:v>
                </c:pt>
                <c:pt idx="2">
                  <c:v>2017*</c:v>
                </c:pt>
                <c:pt idx="3">
                  <c:v>2018*</c:v>
                </c:pt>
                <c:pt idx="4">
                  <c:v>2019*</c:v>
                </c:pt>
                <c:pt idx="5">
                  <c:v>2020*</c:v>
                </c:pt>
                <c:pt idx="6">
                  <c:v>2021*</c:v>
                </c:pt>
                <c:pt idx="7">
                  <c:v>2022*</c:v>
                </c:pt>
                <c:pt idx="8">
                  <c:v>2023*</c:v>
                </c:pt>
                <c:pt idx="9">
                  <c:v>2024*</c:v>
                </c:pt>
                <c:pt idx="10">
                  <c:v>2025*</c:v>
                </c:pt>
              </c:strCache>
            </c:strRef>
          </c:cat>
          <c:val>
            <c:numRef>
              <c:f>'Co-bots'!$M$4:$M$14</c:f>
              <c:numCache>
                <c:formatCode>General</c:formatCode>
                <c:ptCount val="11"/>
                <c:pt idx="0">
                  <c:v>0.671653728</c:v>
                </c:pt>
                <c:pt idx="1">
                  <c:v>2.041514496</c:v>
                </c:pt>
                <c:pt idx="2">
                  <c:v>4.190377536</c:v>
                </c:pt>
                <c:pt idx="3">
                  <c:v>7.579425312</c:v>
                </c:pt>
                <c:pt idx="4">
                  <c:v>12.954547296</c:v>
                </c:pt>
                <c:pt idx="5">
                  <c:v>21.52931184</c:v>
                </c:pt>
                <c:pt idx="6">
                  <c:v>38.678840928</c:v>
                </c:pt>
                <c:pt idx="7">
                  <c:v>72.977899104</c:v>
                </c:pt>
                <c:pt idx="8">
                  <c:v>141.576015456</c:v>
                </c:pt>
                <c:pt idx="9">
                  <c:v>278.77224816</c:v>
                </c:pt>
                <c:pt idx="10">
                  <c:v>553.164713568</c:v>
                </c:pt>
              </c:numCache>
            </c:numRef>
          </c:val>
        </c:ser>
        <c:gapWidth val="0"/>
        <c:overlap val="0"/>
        <c:axId val="25480857"/>
        <c:axId val="15020690"/>
      </c:barChart>
      <c:catAx>
        <c:axId val="254808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020690"/>
        <c:crosses val="autoZero"/>
        <c:auto val="1"/>
        <c:lblAlgn val="ctr"/>
        <c:lblOffset val="100"/>
        <c:noMultiLvlLbl val="0"/>
      </c:catAx>
      <c:valAx>
        <c:axId val="15020690"/>
        <c:scaling>
          <c:orientation val="minMax"/>
          <c:max val="56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8085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Calibri"/>
              </a:rPr>
              <a:t>Robotics Conpanies Install Base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2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'Robotics Conpanies Install Base'!$A$2:$A$10</c:f>
              <c:strCache>
                <c:ptCount val="9"/>
                <c:pt idx="0">
                  <c:v>Fanuc</c:v>
                </c:pt>
                <c:pt idx="1">
                  <c:v>Yaskawa</c:v>
                </c:pt>
                <c:pt idx="2">
                  <c:v>ABB</c:v>
                </c:pt>
                <c:pt idx="3">
                  <c:v>Kawasaki</c:v>
                </c:pt>
                <c:pt idx="4">
                  <c:v>Nachi</c:v>
                </c:pt>
                <c:pt idx="5">
                  <c:v>Kuka</c:v>
                </c:pt>
                <c:pt idx="6">
                  <c:v>Denso</c:v>
                </c:pt>
                <c:pt idx="7">
                  <c:v>Epson</c:v>
                </c:pt>
                <c:pt idx="8">
                  <c:v>Adept</c:v>
                </c:pt>
              </c:strCache>
            </c:strRef>
          </c:cat>
          <c:val>
            <c:numRef>
              <c:f>'Robotics Conpanies Install Base'!$C$2:$C$10</c:f>
              <c:numCache>
                <c:formatCode>General</c:formatCode>
                <c:ptCount val="9"/>
                <c:pt idx="0">
                  <c:v>0.287769784172662</c:v>
                </c:pt>
                <c:pt idx="1">
                  <c:v>0.215827338129496</c:v>
                </c:pt>
                <c:pt idx="2">
                  <c:v>0.179856115107914</c:v>
                </c:pt>
                <c:pt idx="3">
                  <c:v>0.079136690647482</c:v>
                </c:pt>
                <c:pt idx="4">
                  <c:v>0.0719424460431655</c:v>
                </c:pt>
                <c:pt idx="5">
                  <c:v>0.0575539568345324</c:v>
                </c:pt>
                <c:pt idx="6">
                  <c:v>0.0575539568345324</c:v>
                </c:pt>
                <c:pt idx="7">
                  <c:v>0.0323741007194245</c:v>
                </c:pt>
                <c:pt idx="8">
                  <c:v>0.0179856115107914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2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580320</xdr:colOff>
      <xdr:row>18</xdr:row>
      <xdr:rowOff>96120</xdr:rowOff>
    </xdr:from>
    <xdr:to>
      <xdr:col>26</xdr:col>
      <xdr:colOff>220320</xdr:colOff>
      <xdr:row>32</xdr:row>
      <xdr:rowOff>65160</xdr:rowOff>
    </xdr:to>
    <xdr:graphicFrame>
      <xdr:nvGraphicFramePr>
        <xdr:cNvPr id="0" name="Chart 2"/>
        <xdr:cNvGraphicFramePr/>
      </xdr:nvGraphicFramePr>
      <xdr:xfrm>
        <a:off x="28980360" y="4699080"/>
        <a:ext cx="5715360" cy="353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418680</xdr:colOff>
      <xdr:row>11</xdr:row>
      <xdr:rowOff>115200</xdr:rowOff>
    </xdr:from>
    <xdr:to>
      <xdr:col>30</xdr:col>
      <xdr:colOff>373680</xdr:colOff>
      <xdr:row>28</xdr:row>
      <xdr:rowOff>128880</xdr:rowOff>
    </xdr:to>
    <xdr:graphicFrame>
      <xdr:nvGraphicFramePr>
        <xdr:cNvPr id="1" name="Chart 3"/>
        <xdr:cNvGraphicFramePr/>
      </xdr:nvGraphicFramePr>
      <xdr:xfrm>
        <a:off x="30540960" y="2803680"/>
        <a:ext cx="7089120" cy="45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114120</xdr:colOff>
      <xdr:row>0</xdr:row>
      <xdr:rowOff>0</xdr:rowOff>
    </xdr:from>
    <xdr:to>
      <xdr:col>33</xdr:col>
      <xdr:colOff>194040</xdr:colOff>
      <xdr:row>13</xdr:row>
      <xdr:rowOff>10080</xdr:rowOff>
    </xdr:to>
    <xdr:graphicFrame>
      <xdr:nvGraphicFramePr>
        <xdr:cNvPr id="2" name="Chart 5"/>
        <xdr:cNvGraphicFramePr/>
      </xdr:nvGraphicFramePr>
      <xdr:xfrm>
        <a:off x="32503320" y="0"/>
        <a:ext cx="6785640" cy="365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548280</xdr:colOff>
      <xdr:row>22</xdr:row>
      <xdr:rowOff>174600</xdr:rowOff>
    </xdr:from>
    <xdr:to>
      <xdr:col>30</xdr:col>
      <xdr:colOff>24120</xdr:colOff>
      <xdr:row>38</xdr:row>
      <xdr:rowOff>10800</xdr:rowOff>
    </xdr:to>
    <xdr:graphicFrame>
      <xdr:nvGraphicFramePr>
        <xdr:cNvPr id="3" name="Chart 6"/>
        <xdr:cNvGraphicFramePr/>
      </xdr:nvGraphicFramePr>
      <xdr:xfrm>
        <a:off x="30670560" y="6025320"/>
        <a:ext cx="6609960" cy="35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551160</xdr:colOff>
      <xdr:row>4</xdr:row>
      <xdr:rowOff>68400</xdr:rowOff>
    </xdr:from>
    <xdr:to>
      <xdr:col>5</xdr:col>
      <xdr:colOff>927000</xdr:colOff>
      <xdr:row>20</xdr:row>
      <xdr:rowOff>105840</xdr:rowOff>
    </xdr:to>
    <xdr:graphicFrame>
      <xdr:nvGraphicFramePr>
        <xdr:cNvPr id="4" name="Chart 4"/>
        <xdr:cNvGraphicFramePr/>
      </xdr:nvGraphicFramePr>
      <xdr:xfrm>
        <a:off x="551160" y="1411200"/>
        <a:ext cx="7287480" cy="41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138600</xdr:colOff>
      <xdr:row>1</xdr:row>
      <xdr:rowOff>107280</xdr:rowOff>
    </xdr:from>
    <xdr:to>
      <xdr:col>22</xdr:col>
      <xdr:colOff>336960</xdr:colOff>
      <xdr:row>17</xdr:row>
      <xdr:rowOff>164520</xdr:rowOff>
    </xdr:to>
    <xdr:graphicFrame>
      <xdr:nvGraphicFramePr>
        <xdr:cNvPr id="5" name="Chart 1"/>
        <xdr:cNvGraphicFramePr/>
      </xdr:nvGraphicFramePr>
      <xdr:xfrm>
        <a:off x="11062800" y="457560"/>
        <a:ext cx="6016320" cy="31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241560</xdr:colOff>
      <xdr:row>23</xdr:row>
      <xdr:rowOff>146520</xdr:rowOff>
    </xdr:from>
    <xdr:to>
      <xdr:col>21</xdr:col>
      <xdr:colOff>295560</xdr:colOff>
      <xdr:row>47</xdr:row>
      <xdr:rowOff>131040</xdr:rowOff>
    </xdr:to>
    <xdr:graphicFrame>
      <xdr:nvGraphicFramePr>
        <xdr:cNvPr id="6" name="Chart 3"/>
        <xdr:cNvGraphicFramePr/>
      </xdr:nvGraphicFramePr>
      <xdr:xfrm>
        <a:off x="10519560" y="4745160"/>
        <a:ext cx="5871960" cy="457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728280</xdr:colOff>
      <xdr:row>0</xdr:row>
      <xdr:rowOff>0</xdr:rowOff>
    </xdr:from>
    <xdr:to>
      <xdr:col>13</xdr:col>
      <xdr:colOff>518400</xdr:colOff>
      <xdr:row>19</xdr:row>
      <xdr:rowOff>160560</xdr:rowOff>
    </xdr:to>
    <xdr:graphicFrame>
      <xdr:nvGraphicFramePr>
        <xdr:cNvPr id="7" name="Chart 2"/>
        <xdr:cNvGraphicFramePr/>
      </xdr:nvGraphicFramePr>
      <xdr:xfrm>
        <a:off x="4447800" y="0"/>
        <a:ext cx="6994800" cy="396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608400</xdr:colOff>
      <xdr:row>15</xdr:row>
      <xdr:rowOff>15480</xdr:rowOff>
    </xdr:from>
    <xdr:to>
      <xdr:col>29</xdr:col>
      <xdr:colOff>158760</xdr:colOff>
      <xdr:row>23</xdr:row>
      <xdr:rowOff>119520</xdr:rowOff>
    </xdr:to>
    <xdr:graphicFrame>
      <xdr:nvGraphicFramePr>
        <xdr:cNvPr id="8" name="Chart 1"/>
        <xdr:cNvGraphicFramePr/>
      </xdr:nvGraphicFramePr>
      <xdr:xfrm>
        <a:off x="14741280" y="3025800"/>
        <a:ext cx="5065560" cy="351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92520</xdr:colOff>
      <xdr:row>19</xdr:row>
      <xdr:rowOff>373680</xdr:rowOff>
    </xdr:from>
    <xdr:to>
      <xdr:col>31</xdr:col>
      <xdr:colOff>154440</xdr:colOff>
      <xdr:row>29</xdr:row>
      <xdr:rowOff>94680</xdr:rowOff>
    </xdr:to>
    <xdr:graphicFrame>
      <xdr:nvGraphicFramePr>
        <xdr:cNvPr id="9" name="Chart 3"/>
        <xdr:cNvGraphicFramePr/>
      </xdr:nvGraphicFramePr>
      <xdr:xfrm>
        <a:off x="16063920" y="4146120"/>
        <a:ext cx="4964040" cy="3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411480</xdr:colOff>
      <xdr:row>0</xdr:row>
      <xdr:rowOff>99000</xdr:rowOff>
    </xdr:from>
    <xdr:to>
      <xdr:col>14</xdr:col>
      <xdr:colOff>484560</xdr:colOff>
      <xdr:row>29</xdr:row>
      <xdr:rowOff>10800</xdr:rowOff>
    </xdr:to>
    <xdr:graphicFrame>
      <xdr:nvGraphicFramePr>
        <xdr:cNvPr id="10" name="Chart 1"/>
        <xdr:cNvGraphicFramePr/>
      </xdr:nvGraphicFramePr>
      <xdr:xfrm>
        <a:off x="3743640" y="99000"/>
        <a:ext cx="6201000" cy="543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0" headerRowCount="1" totalsRowCount="0" totalsRowShown="0">
  <autoFilter ref="A1:C10"/>
  <tableColumns count="3">
    <tableColumn id="1" name="Company"/>
    <tableColumn id="2" name="Installed Units"/>
    <tableColumn id="3" name="Market Shar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5"/>
  <sheetViews>
    <sheetView showFormulas="false" showGridLines="true" showRowColHeaders="true" showZeros="true" rightToLeft="false" tabSelected="true" showOutlineSymbols="true" defaultGridColor="true" view="normal" topLeftCell="A14" colorId="64" zoomScale="95" zoomScaleNormal="95" zoomScalePageLayoutView="100" workbookViewId="0">
      <selection pane="topLeft" activeCell="H23" activeCellId="0" sqref="H23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2.57"/>
    <col collapsed="false" customWidth="true" hidden="false" outlineLevel="0" max="7" min="3" style="0" width="25.57"/>
    <col collapsed="false" customWidth="true" hidden="false" outlineLevel="0" max="8" min="8" style="0" width="32.57"/>
    <col collapsed="false" customWidth="true" hidden="false" outlineLevel="0" max="9" min="9" style="0" width="25.86"/>
    <col collapsed="false" customWidth="true" hidden="false" outlineLevel="0" max="10" min="10" style="0" width="15.71"/>
    <col collapsed="false" customWidth="true" hidden="false" outlineLevel="0" max="11" min="11" style="0" width="32.57"/>
    <col collapsed="false" customWidth="true" hidden="false" outlineLevel="0" max="12" min="12" style="0" width="20.71"/>
    <col collapsed="false" customWidth="true" hidden="false" outlineLevel="0" max="13" min="13" style="0" width="15.71"/>
    <col collapsed="false" customWidth="true" hidden="false" outlineLevel="0" max="14" min="14" style="0" width="33.29"/>
    <col collapsed="false" customWidth="true" hidden="false" outlineLevel="0" max="15" min="15" style="0" width="29.42"/>
    <col collapsed="false" customWidth="true" hidden="false" outlineLevel="0" max="16" min="16" style="0" width="15.71"/>
    <col collapsed="false" customWidth="true" hidden="false" outlineLevel="0" max="17" min="17" style="0" width="13.14"/>
    <col collapsed="false" customWidth="true" hidden="false" outlineLevel="0" max="18" min="18" style="0" width="18.71"/>
    <col collapsed="false" customWidth="true" hidden="false" outlineLevel="0" max="19" min="19" style="0" width="11.99"/>
    <col collapsed="false" customWidth="true" hidden="false" outlineLevel="0" max="21" min="20" style="0" width="12.42"/>
    <col collapsed="false" customWidth="true" hidden="false" outlineLevel="0" max="30" min="22" style="0" width="9.8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1"/>
      <c r="R1" s="1"/>
      <c r="S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3" t="s">
        <v>1</v>
      </c>
      <c r="I2" s="3"/>
      <c r="J2" s="3"/>
      <c r="K2" s="4" t="s">
        <v>2</v>
      </c>
      <c r="L2" s="4"/>
      <c r="M2" s="4"/>
      <c r="N2" s="5" t="s">
        <v>3</v>
      </c>
      <c r="O2" s="5"/>
      <c r="P2" s="5"/>
      <c r="Q2" s="1"/>
      <c r="R2" s="1"/>
      <c r="S2" s="1"/>
    </row>
    <row r="3" customFormat="false" ht="45" hidden="false" customHeight="true" outlineLevel="0" collapsed="false">
      <c r="A3" s="1"/>
      <c r="B3" s="1"/>
      <c r="C3" s="1"/>
      <c r="D3" s="1"/>
      <c r="E3" s="1"/>
      <c r="F3" s="1"/>
      <c r="G3" s="1"/>
      <c r="H3" s="6" t="s">
        <v>4</v>
      </c>
      <c r="I3" s="7" t="s">
        <v>5</v>
      </c>
      <c r="J3" s="8" t="s">
        <v>6</v>
      </c>
      <c r="K3" s="6" t="s">
        <v>4</v>
      </c>
      <c r="L3" s="7" t="s">
        <v>5</v>
      </c>
      <c r="M3" s="8" t="s">
        <v>6</v>
      </c>
      <c r="N3" s="6" t="s">
        <v>4</v>
      </c>
      <c r="O3" s="7" t="s">
        <v>5</v>
      </c>
      <c r="P3" s="8" t="s">
        <v>6</v>
      </c>
      <c r="Q3" s="1"/>
      <c r="R3" s="1"/>
      <c r="S3" s="1"/>
    </row>
    <row r="4" customFormat="false" ht="30" hidden="false" customHeight="false" outlineLevel="0" collapsed="false">
      <c r="A4" s="1"/>
      <c r="B4" s="1"/>
      <c r="C4" s="1"/>
      <c r="D4" s="1"/>
      <c r="E4" s="1"/>
      <c r="F4" s="1"/>
      <c r="G4" s="1"/>
      <c r="H4" s="9" t="s">
        <v>7</v>
      </c>
      <c r="I4" s="10" t="n">
        <v>4.06004266991771</v>
      </c>
      <c r="J4" s="11" t="n">
        <f aca="false">300/950</f>
        <v>0.31578947368421</v>
      </c>
      <c r="K4" s="9" t="s">
        <v>7</v>
      </c>
      <c r="L4" s="10" t="n">
        <v>2.2</v>
      </c>
      <c r="M4" s="11" t="n">
        <f aca="false">400/950</f>
        <v>0.421052631578947</v>
      </c>
      <c r="N4" s="9" t="s">
        <v>7</v>
      </c>
      <c r="O4" s="10" t="n">
        <v>1.86260493827161</v>
      </c>
      <c r="P4" s="11" t="n">
        <f aca="false">250/950</f>
        <v>0.263157894736842</v>
      </c>
      <c r="Q4" s="1"/>
      <c r="R4" s="1"/>
      <c r="S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2" t="s">
        <v>8</v>
      </c>
      <c r="I5" s="10" t="n">
        <v>5.41176470588235</v>
      </c>
      <c r="J5" s="11"/>
      <c r="K5" s="12" t="s">
        <v>8</v>
      </c>
      <c r="L5" s="10" t="n">
        <v>2.54054054054054</v>
      </c>
      <c r="M5" s="11"/>
      <c r="N5" s="12" t="s">
        <v>8</v>
      </c>
      <c r="O5" s="10" t="n">
        <v>1.66230769230769</v>
      </c>
      <c r="P5" s="11"/>
      <c r="Q5" s="1"/>
      <c r="R5" s="1"/>
      <c r="S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3" t="s">
        <v>9</v>
      </c>
      <c r="I6" s="10" t="n">
        <v>4.56470588235294</v>
      </c>
      <c r="J6" s="11"/>
      <c r="K6" s="13" t="s">
        <v>9</v>
      </c>
      <c r="L6" s="10" t="n">
        <v>2.43</v>
      </c>
      <c r="M6" s="11"/>
      <c r="N6" s="13" t="s">
        <v>10</v>
      </c>
      <c r="O6" s="10" t="n">
        <v>2.03117647058824</v>
      </c>
      <c r="P6" s="11"/>
      <c r="Q6" s="1"/>
      <c r="R6" s="1"/>
      <c r="S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4" t="s">
        <v>10</v>
      </c>
      <c r="I7" s="10" t="n">
        <v>5.0812324929972</v>
      </c>
      <c r="J7" s="11"/>
      <c r="K7" s="14" t="s">
        <v>10</v>
      </c>
      <c r="L7" s="10" t="n">
        <v>2.46875</v>
      </c>
      <c r="M7" s="11"/>
      <c r="N7" s="14" t="s">
        <v>9</v>
      </c>
      <c r="O7" s="10" t="n">
        <v>1.33111111111111</v>
      </c>
      <c r="P7" s="11"/>
      <c r="Q7" s="1"/>
      <c r="R7" s="1"/>
      <c r="S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5" t="s">
        <v>11</v>
      </c>
      <c r="I8" s="10" t="n">
        <v>3.71224165341812</v>
      </c>
      <c r="J8" s="11"/>
      <c r="K8" s="15" t="s">
        <v>11</v>
      </c>
      <c r="L8" s="10" t="n">
        <v>2.2203125</v>
      </c>
      <c r="M8" s="11"/>
      <c r="N8" s="15" t="s">
        <v>11</v>
      </c>
      <c r="O8" s="10" t="n">
        <v>1.47427272727273</v>
      </c>
      <c r="P8" s="11"/>
      <c r="Q8" s="1"/>
      <c r="R8" s="1"/>
      <c r="S8" s="1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6" t="s">
        <v>12</v>
      </c>
      <c r="I9" s="17" t="n">
        <v>1</v>
      </c>
      <c r="J9" s="11"/>
      <c r="K9" s="16" t="s">
        <v>12</v>
      </c>
      <c r="L9" s="18" t="n">
        <v>1</v>
      </c>
      <c r="M9" s="11"/>
      <c r="N9" s="16" t="s">
        <v>12</v>
      </c>
      <c r="O9" s="17" t="n">
        <v>1</v>
      </c>
      <c r="P9" s="11"/>
      <c r="Q9" s="1"/>
      <c r="R9" s="1"/>
      <c r="S9" s="1"/>
    </row>
    <row r="10" customFormat="false" ht="15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customFormat="false" ht="14.45" hidden="false" customHeight="true" outlineLevel="0" collapsed="false">
      <c r="A11" s="1"/>
      <c r="B11" s="1"/>
      <c r="C11" s="1"/>
      <c r="D11" s="1"/>
      <c r="E11" s="1"/>
      <c r="F11" s="1"/>
      <c r="G11" s="1"/>
      <c r="H11" s="19" t="s">
        <v>13</v>
      </c>
      <c r="I11" s="19"/>
      <c r="J11" s="19"/>
      <c r="K11" s="19"/>
      <c r="L11" s="19"/>
      <c r="M11" s="19"/>
      <c r="N11" s="20"/>
      <c r="O11" s="1"/>
      <c r="P11" s="1"/>
      <c r="Q11" s="1"/>
      <c r="R11" s="1"/>
      <c r="S11" s="1"/>
    </row>
    <row r="12" customFormat="false" ht="45" hidden="false" customHeight="false" outlineLevel="0" collapsed="false">
      <c r="A12" s="1"/>
      <c r="B12" s="1"/>
      <c r="C12" s="1"/>
      <c r="D12" s="1"/>
      <c r="E12" s="1"/>
      <c r="F12" s="1"/>
      <c r="G12" s="1"/>
      <c r="H12" s="21" t="s">
        <v>4</v>
      </c>
      <c r="I12" s="22" t="s">
        <v>5</v>
      </c>
      <c r="J12" s="22" t="s">
        <v>14</v>
      </c>
      <c r="K12" s="22" t="s">
        <v>15</v>
      </c>
      <c r="L12" s="22" t="s">
        <v>16</v>
      </c>
      <c r="M12" s="23" t="s">
        <v>17</v>
      </c>
      <c r="N12" s="1"/>
      <c r="O12" s="1"/>
      <c r="P12" s="1"/>
      <c r="Q12" s="1"/>
      <c r="R12" s="1"/>
      <c r="S12" s="1"/>
    </row>
    <row r="13" customFormat="false" ht="30" hidden="false" customHeight="false" outlineLevel="0" collapsed="false">
      <c r="A13" s="1"/>
      <c r="B13" s="1"/>
      <c r="C13" s="1"/>
      <c r="D13" s="1"/>
      <c r="E13" s="1"/>
      <c r="F13" s="1"/>
      <c r="G13" s="1"/>
      <c r="H13" s="9" t="s">
        <v>7</v>
      </c>
      <c r="I13" s="24" t="n">
        <f aca="false">2*(I4*$J$4+L4*$M$4+O4*$P$4)</f>
        <v>5.39718744324887</v>
      </c>
      <c r="J13" s="25" t="n">
        <v>0.401</v>
      </c>
      <c r="K13" s="26" t="n">
        <f aca="false">$K$19*J13</f>
        <v>495390.989</v>
      </c>
      <c r="L13" s="27" t="n">
        <f aca="false">I13*1000*K13/(1*10^6)</f>
        <v>2673.71802532944</v>
      </c>
      <c r="M13" s="28" t="n">
        <f aca="false">L13*1000000*31536000/(1*10^15)</f>
        <v>84.3183716467892</v>
      </c>
      <c r="N13" s="1"/>
      <c r="O13" s="1"/>
      <c r="P13" s="1"/>
      <c r="Q13" s="1"/>
      <c r="R13" s="1"/>
      <c r="S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2" t="s">
        <v>8</v>
      </c>
      <c r="I14" s="29" t="n">
        <f aca="false">2*(I5*$J$4+L5*$M$4+O5*$P$4)</f>
        <v>6.43225800222704</v>
      </c>
      <c r="J14" s="30" t="n">
        <v>0.288</v>
      </c>
      <c r="K14" s="29" t="n">
        <f aca="false">$K$19*J14</f>
        <v>355792.032</v>
      </c>
      <c r="L14" s="31" t="n">
        <f aca="false">I14*1000*K14/(1*10^6)</f>
        <v>2288.54614496062</v>
      </c>
      <c r="M14" s="32" t="n">
        <f aca="false">L14*1000000*31536000/(1*10^15)</f>
        <v>72.1715912274781</v>
      </c>
      <c r="N14" s="1"/>
      <c r="O14" s="1"/>
      <c r="P14" s="1"/>
      <c r="Q14" s="1"/>
      <c r="R14" s="1"/>
      <c r="S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3" t="s">
        <v>9</v>
      </c>
      <c r="I15" s="33" t="n">
        <f aca="false">2*(I6*$J$4+L6*$M$4+O6*$P$4)</f>
        <v>5.99832817337461</v>
      </c>
      <c r="J15" s="34" t="n">
        <v>0.041</v>
      </c>
      <c r="K15" s="33" t="n">
        <f aca="false">$K$19*J15</f>
        <v>50650.949</v>
      </c>
      <c r="L15" s="35" t="n">
        <f aca="false">I15*1000*K15/(1*10^6)</f>
        <v>303.821014394861</v>
      </c>
      <c r="M15" s="36" t="n">
        <f aca="false">L15*1000000*31536000/(1*10^15)</f>
        <v>9.58129950995633</v>
      </c>
      <c r="N15" s="1"/>
      <c r="O15" s="1"/>
      <c r="P15" s="1"/>
      <c r="Q15" s="1"/>
      <c r="R15" s="1"/>
      <c r="S15" s="1"/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/>
      <c r="H16" s="14" t="s">
        <v>10</v>
      </c>
      <c r="I16" s="37" t="n">
        <f aca="false">2*(I7*$J$4+L7*$M$4+O7*$P$4)</f>
        <v>5.98873163300408</v>
      </c>
      <c r="J16" s="38" t="n">
        <v>0.019</v>
      </c>
      <c r="K16" s="37" t="n">
        <f aca="false">$K$19*J16</f>
        <v>23472.391</v>
      </c>
      <c r="L16" s="39" t="n">
        <f aca="false">I16*1000*K16/(1*10^6)</f>
        <v>140.56985048394</v>
      </c>
      <c r="M16" s="40" t="n">
        <f aca="false">L16*1000000*31536000/(1*10^15)</f>
        <v>4.43301080486154</v>
      </c>
      <c r="N16" s="1"/>
      <c r="O16" s="1"/>
      <c r="P16" s="1"/>
      <c r="Q16" s="1"/>
      <c r="R16" s="1"/>
      <c r="S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5" t="s">
        <v>11</v>
      </c>
      <c r="I17" s="41" t="n">
        <f aca="false">2*(I8*$J$4+L8*$M$4+O8*$P$4)</f>
        <v>4.99024353230236</v>
      </c>
      <c r="J17" s="42" t="n">
        <v>0.1</v>
      </c>
      <c r="K17" s="41" t="n">
        <f aca="false">$K$19*J17</f>
        <v>123538.9</v>
      </c>
      <c r="L17" s="43" t="n">
        <f aca="false">I17*1000*K17/(1*10^6)</f>
        <v>616.489196712748</v>
      </c>
      <c r="M17" s="44" t="n">
        <f aca="false">L17*1000000*31536000/(1*10^15)</f>
        <v>19.4416033075332</v>
      </c>
      <c r="N17" s="1"/>
      <c r="O17" s="1"/>
      <c r="P17" s="1"/>
      <c r="Q17" s="1"/>
      <c r="R17" s="1"/>
      <c r="S17" s="1"/>
    </row>
    <row r="18" customFormat="false" ht="15.75" hidden="false" customHeight="false" outlineLevel="0" collapsed="false">
      <c r="A18" s="1"/>
      <c r="B18" s="1"/>
      <c r="C18" s="1"/>
      <c r="D18" s="1"/>
      <c r="E18" s="1"/>
      <c r="F18" s="1"/>
      <c r="G18" s="1"/>
      <c r="H18" s="16" t="s">
        <v>12</v>
      </c>
      <c r="I18" s="45" t="n">
        <f aca="false">2*(I9*$J$4+L9*$M$4+O9*$P$4)</f>
        <v>2</v>
      </c>
      <c r="J18" s="46" t="n">
        <f aca="false">10.7%+4.4%</f>
        <v>0.151</v>
      </c>
      <c r="K18" s="45" t="n">
        <f aca="false">$K$19*J18</f>
        <v>186543.739</v>
      </c>
      <c r="L18" s="47" t="n">
        <f aca="false">I18*1000*K18/(1*10^6)</f>
        <v>373.087478</v>
      </c>
      <c r="M18" s="48" t="n">
        <f aca="false">L18*1000000*31536000/(1*10^15)</f>
        <v>11.765686706208</v>
      </c>
      <c r="N18" s="1"/>
      <c r="O18" s="1"/>
      <c r="P18" s="1"/>
      <c r="Q18" s="1"/>
      <c r="R18" s="1"/>
      <c r="S18" s="1"/>
    </row>
    <row r="19" customFormat="false" ht="21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49" t="n">
        <v>1235389</v>
      </c>
      <c r="L19" s="50" t="n">
        <f aca="false">SUM(L13:L18)</f>
        <v>6396.23170988161</v>
      </c>
      <c r="M19" s="51" t="n">
        <f aca="false">SUM(M13:M18)</f>
        <v>201.711563202826</v>
      </c>
      <c r="N19" s="1"/>
      <c r="O19" s="1"/>
      <c r="P19" s="1"/>
      <c r="Q19" s="1"/>
      <c r="R19" s="1"/>
      <c r="S19" s="1"/>
    </row>
    <row r="20" customFormat="false" ht="45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52"/>
      <c r="K20" s="53" t="s">
        <v>18</v>
      </c>
      <c r="L20" s="54" t="s">
        <v>16</v>
      </c>
      <c r="M20" s="55" t="s">
        <v>19</v>
      </c>
      <c r="N20" s="1"/>
      <c r="O20" s="1"/>
      <c r="P20" s="1"/>
      <c r="Q20" s="1"/>
      <c r="R20" s="1"/>
      <c r="S20" s="1"/>
    </row>
    <row r="21" customFormat="false" ht="15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56"/>
      <c r="H22" s="57" t="s">
        <v>20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8"/>
      <c r="T22" s="59"/>
      <c r="U22" s="60"/>
      <c r="V22" s="61"/>
    </row>
    <row r="23" customFormat="false" ht="13.8" hidden="false" customHeight="false" outlineLevel="0" collapsed="false">
      <c r="A23" s="1"/>
      <c r="B23" s="1"/>
      <c r="C23" s="1"/>
      <c r="D23" s="1"/>
      <c r="E23" s="1"/>
      <c r="F23" s="1"/>
      <c r="G23" s="56"/>
      <c r="H23" s="62" t="n">
        <v>2015</v>
      </c>
      <c r="I23" s="63" t="s">
        <v>21</v>
      </c>
      <c r="J23" s="63" t="s">
        <v>22</v>
      </c>
      <c r="K23" s="63" t="s">
        <v>23</v>
      </c>
      <c r="L23" s="63" t="s">
        <v>24</v>
      </c>
      <c r="M23" s="63" t="s">
        <v>25</v>
      </c>
      <c r="N23" s="63" t="s">
        <v>26</v>
      </c>
      <c r="O23" s="63" t="s">
        <v>27</v>
      </c>
      <c r="P23" s="63" t="s">
        <v>28</v>
      </c>
      <c r="Q23" s="63" t="s">
        <v>29</v>
      </c>
      <c r="R23" s="64" t="s">
        <v>30</v>
      </c>
      <c r="S23" s="1"/>
    </row>
    <row r="24" customFormat="false" ht="13.8" hidden="false" customHeight="false" outlineLevel="0" collapsed="false">
      <c r="A24" s="1"/>
      <c r="B24" s="65" t="s">
        <v>31</v>
      </c>
      <c r="C24" s="65"/>
      <c r="D24" s="65"/>
      <c r="E24" s="65"/>
      <c r="F24" s="1"/>
      <c r="G24" s="56"/>
      <c r="H24" s="66" t="n">
        <f aca="false">'Estimated Install Base to 2025'!D31*1000000</f>
        <v>1632000</v>
      </c>
      <c r="I24" s="67" t="n">
        <f aca="false">'Estimated Install Base to 2025'!D32*1000000</f>
        <v>1827840</v>
      </c>
      <c r="J24" s="67" t="n">
        <f aca="false">'Estimated Install Base to 2025'!D33*1000000</f>
        <v>2047180.8</v>
      </c>
      <c r="K24" s="67" t="n">
        <f aca="false">'Estimated Install Base to 2025'!D34*1000000</f>
        <v>2292842.496</v>
      </c>
      <c r="L24" s="67" t="n">
        <f aca="false">'Estimated Install Base to 2025'!D35*1000000</f>
        <v>2567983.59552</v>
      </c>
      <c r="M24" s="67" t="n">
        <f aca="false">'Estimated Install Base to 2025'!D36*1000000</f>
        <v>2876141.6269824</v>
      </c>
      <c r="N24" s="67" t="n">
        <f aca="false">'Estimated Install Base to 2025'!D37*1000000</f>
        <v>3221278.62222029</v>
      </c>
      <c r="O24" s="67" t="n">
        <f aca="false">'Estimated Install Base to 2025'!D38*1000000</f>
        <v>3607832.05688673</v>
      </c>
      <c r="P24" s="67" t="n">
        <f aca="false">'Estimated Install Base to 2025'!D39*1000000</f>
        <v>4040771.90371313</v>
      </c>
      <c r="Q24" s="67" t="n">
        <f aca="false">'Estimated Install Base to 2025'!D40*1000000</f>
        <v>4525664.53215871</v>
      </c>
      <c r="R24" s="68" t="n">
        <f aca="false">'Estimated Install Base to 2025'!D41*1000000</f>
        <v>5068744.27601776</v>
      </c>
      <c r="S24" s="1"/>
    </row>
    <row r="25" customFormat="false" ht="36.9" hidden="false" customHeight="false" outlineLevel="0" collapsed="false">
      <c r="A25" s="1"/>
      <c r="B25" s="69" t="s">
        <v>32</v>
      </c>
      <c r="C25" s="70" t="s">
        <v>33</v>
      </c>
      <c r="D25" s="70" t="s">
        <v>34</v>
      </c>
      <c r="E25" s="71" t="s">
        <v>35</v>
      </c>
      <c r="F25" s="1"/>
      <c r="G25" s="9" t="s">
        <v>7</v>
      </c>
      <c r="H25" s="72" t="n">
        <f aca="false">($I13*1000*($H24*$J13)/(1*10^6))*1000000*31536000/(1*10^15)</f>
        <v>111.388058763321</v>
      </c>
      <c r="I25" s="73" t="n">
        <f aca="false">($I13*1000*(I$24*$J13)/(1*10^6))*1000000*31536000/(1*10^15)</f>
        <v>124.754625814919</v>
      </c>
      <c r="J25" s="73" t="n">
        <f aca="false">($I13*1000*(J$24*$J13)/(1*10^6))*1000000*31536000/(1*10^15)</f>
        <v>139.72518091271</v>
      </c>
      <c r="K25" s="73" t="n">
        <f aca="false">($I13*1000*(K$24*$J13)/(1*10^6))*1000000*31536000/(1*10^15)</f>
        <v>156.492202622235</v>
      </c>
      <c r="L25" s="73" t="n">
        <f aca="false">($I13*1000*(L$24*$J13)/(1*10^6))*1000000*31536000/(1*10^15)</f>
        <v>175.271266936903</v>
      </c>
      <c r="M25" s="73" t="n">
        <f aca="false">($I13*1000*(M$24*$J13)/(1*10^6))*1000000*31536000/(1*10^15)</f>
        <v>196.303818969331</v>
      </c>
      <c r="N25" s="73" t="n">
        <f aca="false">($I13*1000*(N$24*$J13)/(1*10^6))*1000000*31536000/(1*10^15)</f>
        <v>219.860277245651</v>
      </c>
      <c r="O25" s="73" t="n">
        <f aca="false">($I13*1000*(O$24*$J13)/(1*10^6))*1000000*31536000/(1*10^15)</f>
        <v>246.243510515129</v>
      </c>
      <c r="P25" s="73" t="n">
        <f aca="false">($I13*1000*(P$24*$J13)/(1*10^6))*1000000*31536000/(1*10^15)</f>
        <v>275.792731776945</v>
      </c>
      <c r="Q25" s="73" t="n">
        <f aca="false">($I13*1000*(Q$24*$J13)/(1*10^6))*1000000*31536000/(1*10^15)</f>
        <v>308.887859590178</v>
      </c>
      <c r="R25" s="74" t="n">
        <f aca="false">($I13*1000*(R$24*$J13)/(1*10^6))*1000000*31536000/(1*10^15)</f>
        <v>345.954402741</v>
      </c>
      <c r="S25" s="1"/>
    </row>
    <row r="26" customFormat="false" ht="13.8" hidden="false" customHeight="false" outlineLevel="0" collapsed="false">
      <c r="A26" s="1"/>
      <c r="B26" s="75" t="n">
        <v>2009</v>
      </c>
      <c r="C26" s="76" t="n">
        <f aca="false">SUM($B$47:$B$52)</f>
        <v>166.706604988458</v>
      </c>
      <c r="D26" s="76"/>
      <c r="E26" s="77"/>
      <c r="F26" s="1"/>
      <c r="G26" s="12" t="s">
        <v>8</v>
      </c>
      <c r="H26" s="72" t="n">
        <f aca="false">($I14*1000*(H$24*$J14)/(1*10^6))*1000000*31536000/(1*10^15)</f>
        <v>95.3416590913828</v>
      </c>
      <c r="I26" s="73" t="n">
        <f aca="false">($I14*1000*(I$24*$J14)/(1*10^6))*1000000*31536000/(1*10^15)</f>
        <v>106.782658182349</v>
      </c>
      <c r="J26" s="73" t="n">
        <f aca="false">($I14*1000*(J$24*$J14)/(1*10^6))*1000000*31536000/(1*10^15)</f>
        <v>119.596577164231</v>
      </c>
      <c r="K26" s="73" t="n">
        <f aca="false">($I14*1000*(K$24*$J14)/(1*10^6))*1000000*31536000/(1*10^15)</f>
        <v>133.948166423938</v>
      </c>
      <c r="L26" s="73" t="n">
        <f aca="false">($I14*1000*(L$24*$J14)/(1*10^6))*1000000*31536000/(1*10^15)</f>
        <v>150.021946394811</v>
      </c>
      <c r="M26" s="73" t="n">
        <f aca="false">($I14*1000*(M$24*$J14)/(1*10^6))*1000000*31536000/(1*10^15)</f>
        <v>168.024579962188</v>
      </c>
      <c r="N26" s="73" t="n">
        <f aca="false">($I14*1000*(N$24*$J14)/(1*10^6))*1000000*31536000/(1*10^15)</f>
        <v>188.187529557651</v>
      </c>
      <c r="O26" s="73" t="n">
        <f aca="false">($I14*1000*(O$24*$J14)/(1*10^6))*1000000*31536000/(1*10^15)</f>
        <v>210.770033104569</v>
      </c>
      <c r="P26" s="73" t="n">
        <f aca="false">($I14*1000*(P$24*$J14)/(1*10^6))*1000000*31536000/(1*10^15)</f>
        <v>236.062437077117</v>
      </c>
      <c r="Q26" s="73" t="n">
        <f aca="false">($I14*1000*(Q$24*$J14)/(1*10^6))*1000000*31536000/(1*10^15)</f>
        <v>264.389929526371</v>
      </c>
      <c r="R26" s="74" t="n">
        <f aca="false">($I14*1000*(R$24*$J14)/(1*10^6))*1000000*31536000/(1*10^15)</f>
        <v>296.116721069536</v>
      </c>
      <c r="S26" s="1"/>
    </row>
    <row r="27" customFormat="false" ht="13.8" hidden="false" customHeight="false" outlineLevel="0" collapsed="false">
      <c r="A27" s="1"/>
      <c r="B27" s="75" t="n">
        <v>2010</v>
      </c>
      <c r="C27" s="78" t="n">
        <f aca="false">SUM($C$47:$C$52)</f>
        <v>172.911160316138</v>
      </c>
      <c r="D27" s="78"/>
      <c r="E27" s="77"/>
      <c r="F27" s="1"/>
      <c r="G27" s="13" t="s">
        <v>9</v>
      </c>
      <c r="H27" s="72" t="n">
        <f aca="false">($I15*1000*(H$24*$J15)/(1*10^6))*1000000*31536000/(1*10^15)</f>
        <v>12.6572932090611</v>
      </c>
      <c r="I27" s="73" t="n">
        <f aca="false">($I15*1000*(I$24*$J15)/(1*10^6))*1000000*31536000/(1*10^15)</f>
        <v>14.1761683941484</v>
      </c>
      <c r="J27" s="73" t="n">
        <f aca="false">($I15*1000*(J$24*$J15)/(1*10^6))*1000000*31536000/(1*10^15)</f>
        <v>15.8773086014462</v>
      </c>
      <c r="K27" s="73" t="n">
        <f aca="false">($I15*1000*(K$24*$J15)/(1*10^6))*1000000*31536000/(1*10^15)</f>
        <v>17.7825856336197</v>
      </c>
      <c r="L27" s="73" t="n">
        <f aca="false">($I15*1000*(L$24*$J15)/(1*10^6))*1000000*31536000/(1*10^15)</f>
        <v>19.9164959096541</v>
      </c>
      <c r="M27" s="73" t="n">
        <f aca="false">($I15*1000*(M$24*$J15)/(1*10^6))*1000000*31536000/(1*10^15)</f>
        <v>22.3064754188126</v>
      </c>
      <c r="N27" s="73" t="n">
        <f aca="false">($I15*1000*(N$24*$J15)/(1*10^6))*1000000*31536000/(1*10^15)</f>
        <v>24.9832524690701</v>
      </c>
      <c r="O27" s="73" t="n">
        <f aca="false">($I15*1000*(O$24*$J15)/(1*10^6))*1000000*31536000/(1*10^15)</f>
        <v>27.9812427653585</v>
      </c>
      <c r="P27" s="73" t="n">
        <f aca="false">($I15*1000*(P$24*$J15)/(1*10^6))*1000000*31536000/(1*10^15)</f>
        <v>31.3389918972016</v>
      </c>
      <c r="Q27" s="73" t="n">
        <f aca="false">($I15*1000*(Q$24*$J15)/(1*10^6))*1000000*31536000/(1*10^15)</f>
        <v>35.0996709248658</v>
      </c>
      <c r="R27" s="74" t="n">
        <f aca="false">($I15*1000*(R$24*$J15)/(1*10^6))*1000000*31536000/(1*10^15)</f>
        <v>39.3116314358497</v>
      </c>
      <c r="S27" s="1"/>
    </row>
    <row r="28" customFormat="false" ht="13.8" hidden="false" customHeight="false" outlineLevel="0" collapsed="false">
      <c r="A28" s="1"/>
      <c r="B28" s="75" t="n">
        <v>2011</v>
      </c>
      <c r="C28" s="78" t="n">
        <f aca="false">SUM($D$47:$D$52)</f>
        <v>188.259270863557</v>
      </c>
      <c r="D28" s="78"/>
      <c r="E28" s="77"/>
      <c r="F28" s="1"/>
      <c r="G28" s="14" t="s">
        <v>10</v>
      </c>
      <c r="H28" s="72" t="n">
        <f aca="false">($I16*1000*(H$24*$J16)/(1*10^6))*1000000*31536000/(1*10^15)</f>
        <v>5.85619074925714</v>
      </c>
      <c r="I28" s="73" t="n">
        <f aca="false">($I16*1000*(I$24*$J16)/(1*10^6))*1000000*31536000/(1*10^15)</f>
        <v>6.558933639168</v>
      </c>
      <c r="J28" s="73" t="n">
        <f aca="false">($I16*1000*(J$24*$J16)/(1*10^6))*1000000*31536000/(1*10^15)</f>
        <v>7.34600567586816</v>
      </c>
      <c r="K28" s="73" t="n">
        <f aca="false">($I16*1000*(K$24*$J16)/(1*10^6))*1000000*31536000/(1*10^15)</f>
        <v>8.22752635697234</v>
      </c>
      <c r="L28" s="73" t="n">
        <f aca="false">($I16*1000*(L$24*$J16)/(1*10^6))*1000000*31536000/(1*10^15)</f>
        <v>9.21482951980903</v>
      </c>
      <c r="M28" s="73" t="n">
        <f aca="false">($I16*1000*(M$24*$J16)/(1*10^6))*1000000*31536000/(1*10^15)</f>
        <v>10.3206090621861</v>
      </c>
      <c r="N28" s="73" t="n">
        <f aca="false">($I16*1000*(N$24*$J16)/(1*10^6))*1000000*31536000/(1*10^15)</f>
        <v>11.5590821496484</v>
      </c>
      <c r="O28" s="73" t="n">
        <f aca="false">($I16*1000*(O$24*$J16)/(1*10^6))*1000000*31536000/(1*10^15)</f>
        <v>12.9461720076063</v>
      </c>
      <c r="P28" s="73" t="n">
        <f aca="false">($I16*1000*(P$24*$J16)/(1*10^6))*1000000*31536000/(1*10^15)</f>
        <v>14.499712648519</v>
      </c>
      <c r="Q28" s="73" t="n">
        <f aca="false">($I16*1000*(Q$24*$J16)/(1*10^6))*1000000*31536000/(1*10^15)</f>
        <v>16.2396781663413</v>
      </c>
      <c r="R28" s="74" t="n">
        <f aca="false">($I16*1000*(R$24*$J16)/(1*10^6))*1000000*31536000/(1*10^15)</f>
        <v>18.1884395463023</v>
      </c>
      <c r="S28" s="1"/>
    </row>
    <row r="29" customFormat="false" ht="25.1" hidden="false" customHeight="false" outlineLevel="0" collapsed="false">
      <c r="A29" s="1"/>
      <c r="B29" s="75" t="n">
        <v>2012</v>
      </c>
      <c r="C29" s="78" t="n">
        <f aca="false">SUM($E$47:$E$52)</f>
        <v>201.648048149604</v>
      </c>
      <c r="D29" s="78"/>
      <c r="E29" s="77"/>
      <c r="F29" s="1"/>
      <c r="G29" s="15" t="s">
        <v>11</v>
      </c>
      <c r="H29" s="72" t="n">
        <f aca="false">($I17*1000*(H$24*$J17)/(1*10^6))*1000000*31536000/(1*10^15)</f>
        <v>25.6831626296609</v>
      </c>
      <c r="I29" s="73" t="n">
        <f aca="false">($I17*1000*(I$24*$J17)/(1*10^6))*1000000*31536000/(1*10^15)</f>
        <v>28.7651421452203</v>
      </c>
      <c r="J29" s="73" t="n">
        <f aca="false">($I17*1000*(J$24*$J17)/(1*10^6))*1000000*31536000/(1*10^15)</f>
        <v>32.2169592026467</v>
      </c>
      <c r="K29" s="73" t="n">
        <f aca="false">($I17*1000*(K$24*$J17)/(1*10^6))*1000000*31536000/(1*10^15)</f>
        <v>36.0829943069643</v>
      </c>
      <c r="L29" s="73" t="n">
        <f aca="false">($I17*1000*(L$24*$J17)/(1*10^6))*1000000*31536000/(1*10^15)</f>
        <v>40.4129536238</v>
      </c>
      <c r="M29" s="73" t="n">
        <f aca="false">($I17*1000*(M$24*$J17)/(1*10^6))*1000000*31536000/(1*10^15)</f>
        <v>45.262508058656</v>
      </c>
      <c r="N29" s="73" t="n">
        <f aca="false">($I17*1000*(N$24*$J17)/(1*10^6))*1000000*31536000/(1*10^15)</f>
        <v>50.6940090256948</v>
      </c>
      <c r="O29" s="73" t="n">
        <f aca="false">($I17*1000*(O$24*$J17)/(1*10^6))*1000000*31536000/(1*10^15)</f>
        <v>56.7772901087781</v>
      </c>
      <c r="P29" s="73" t="n">
        <f aca="false">($I17*1000*(P$24*$J17)/(1*10^6))*1000000*31536000/(1*10^15)</f>
        <v>63.5905649218315</v>
      </c>
      <c r="Q29" s="73" t="n">
        <f aca="false">($I17*1000*(Q$24*$J17)/(1*10^6))*1000000*31536000/(1*10^15)</f>
        <v>71.2214327124513</v>
      </c>
      <c r="R29" s="74" t="n">
        <f aca="false">($I17*1000*(R$24*$J17)/(1*10^6))*1000000*31536000/(1*10^15)</f>
        <v>79.7680046379455</v>
      </c>
      <c r="S29" s="1"/>
    </row>
    <row r="30" customFormat="false" ht="13.8" hidden="false" customHeight="false" outlineLevel="0" collapsed="false">
      <c r="A30" s="1"/>
      <c r="B30" s="75" t="n">
        <v>2013</v>
      </c>
      <c r="C30" s="78" t="n">
        <f aca="false">SUM($F$47:$F$52)</f>
        <v>217.485992012366</v>
      </c>
      <c r="D30" s="78"/>
      <c r="E30" s="77"/>
      <c r="F30" s="1"/>
      <c r="G30" s="16" t="s">
        <v>12</v>
      </c>
      <c r="H30" s="72" t="n">
        <f aca="false">($I18*1000*(H$24*$J18)/(1*10^6))*1000000*31536000/(1*10^15)</f>
        <v>15.542959104</v>
      </c>
      <c r="I30" s="73" t="n">
        <f aca="false">($I18*1000*(I$24*$J18)/(1*10^6))*1000000*31536000/(1*10^15)</f>
        <v>17.40811419648</v>
      </c>
      <c r="J30" s="73" t="n">
        <f aca="false">($I18*1000*(J$24*$J18)/(1*10^6))*1000000*31536000/(1*10^15)</f>
        <v>19.4970879000576</v>
      </c>
      <c r="K30" s="73" t="n">
        <f aca="false">($I18*1000*(K$24*$J18)/(1*10^6))*1000000*31536000/(1*10^15)</f>
        <v>21.8367384480645</v>
      </c>
      <c r="L30" s="73" t="n">
        <f aca="false">($I18*1000*(L$24*$J18)/(1*10^6))*1000000*31536000/(1*10^15)</f>
        <v>24.4571470618323</v>
      </c>
      <c r="M30" s="73" t="n">
        <f aca="false">($I18*1000*(M$24*$J18)/(1*10^6))*1000000*31536000/(1*10^15)</f>
        <v>27.3920047092521</v>
      </c>
      <c r="N30" s="73" t="n">
        <f aca="false">($I18*1000*(N$24*$J18)/(1*10^6))*1000000*31536000/(1*10^15)</f>
        <v>30.6790452743624</v>
      </c>
      <c r="O30" s="73" t="n">
        <f aca="false">($I18*1000*(O$24*$J18)/(1*10^6))*1000000*31536000/(1*10^15)</f>
        <v>34.3605307072859</v>
      </c>
      <c r="P30" s="73" t="n">
        <f aca="false">($I18*1000*(P$24*$J18)/(1*10^6))*1000000*31536000/(1*10^15)</f>
        <v>38.4837943921602</v>
      </c>
      <c r="Q30" s="73" t="n">
        <f aca="false">($I18*1000*(Q$24*$J18)/(1*10^6))*1000000*31536000/(1*10^15)</f>
        <v>43.1018497192194</v>
      </c>
      <c r="R30" s="74" t="n">
        <f aca="false">($I18*1000*(R$24*$J18)/(1*10^6))*1000000*31536000/(1*10^15)</f>
        <v>48.2740716855258</v>
      </c>
      <c r="S30" s="1"/>
    </row>
    <row r="31" customFormat="false" ht="21.75" hidden="false" customHeight="false" outlineLevel="0" collapsed="false">
      <c r="A31" s="1"/>
      <c r="B31" s="75" t="n">
        <v>2014</v>
      </c>
      <c r="C31" s="78" t="n">
        <f aca="false">SUM($G$47:$G$52)</f>
        <v>240.344880061714</v>
      </c>
      <c r="D31" s="78"/>
      <c r="E31" s="77"/>
      <c r="F31" s="1"/>
      <c r="G31" s="1"/>
      <c r="H31" s="79" t="n">
        <f aca="false">SUM(H25:H30)</f>
        <v>266.469323546683</v>
      </c>
      <c r="I31" s="80" t="n">
        <f aca="false">SUM(I25:I30)</f>
        <v>298.445642372285</v>
      </c>
      <c r="J31" s="80" t="n">
        <f aca="false">SUM(J25:J30)</f>
        <v>334.259119456959</v>
      </c>
      <c r="K31" s="80" t="n">
        <f aca="false">SUM(K25:K30)</f>
        <v>374.370213791794</v>
      </c>
      <c r="L31" s="80" t="n">
        <f aca="false">SUM(L25:L30)</f>
        <v>419.294639446809</v>
      </c>
      <c r="M31" s="80" t="n">
        <f aca="false">SUM(M25:M30)</f>
        <v>469.609996180426</v>
      </c>
      <c r="N31" s="80" t="n">
        <f aca="false">SUM(N25:N30)</f>
        <v>525.963195722078</v>
      </c>
      <c r="O31" s="80" t="n">
        <f aca="false">SUM(O25:O30)</f>
        <v>589.078779208727</v>
      </c>
      <c r="P31" s="80" t="n">
        <f aca="false">SUM(P25:P30)</f>
        <v>659.768232713774</v>
      </c>
      <c r="Q31" s="80" t="n">
        <f aca="false">SUM(Q25:Q30)</f>
        <v>738.940420639427</v>
      </c>
      <c r="R31" s="81" t="n">
        <f aca="false">SUM(R25:R30)</f>
        <v>827.613271116159</v>
      </c>
      <c r="S31" s="1"/>
    </row>
    <row r="32" customFormat="false" ht="15.75" hidden="false" customHeight="false" outlineLevel="0" collapsed="false">
      <c r="A32" s="1"/>
      <c r="B32" s="75" t="n">
        <v>2015</v>
      </c>
      <c r="C32" s="78" t="n">
        <f aca="false">SUM($H$47:$H$52)</f>
        <v>266.469323546683</v>
      </c>
      <c r="D32" s="78" t="n">
        <v>266.469323546683</v>
      </c>
      <c r="E32" s="77" t="n">
        <v>266.469323546683</v>
      </c>
      <c r="F32" s="1"/>
      <c r="G32" s="1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1"/>
    </row>
    <row r="33" customFormat="false" ht="15.75" hidden="false" customHeight="true" outlineLevel="0" collapsed="false">
      <c r="A33" s="1"/>
      <c r="B33" s="75" t="n">
        <v>2016</v>
      </c>
      <c r="C33" s="78" t="n">
        <f aca="false">SUM($I$47:$I$52)</f>
        <v>300.10454453358</v>
      </c>
      <c r="D33" s="78" t="n">
        <v>298.445642372285</v>
      </c>
      <c r="E33" s="77" t="n">
        <v>333.086654433353</v>
      </c>
      <c r="F33" s="1"/>
      <c r="G33" s="1"/>
      <c r="H33" s="83" t="s">
        <v>36</v>
      </c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1"/>
    </row>
    <row r="34" customFormat="false" ht="15" hidden="false" customHeight="false" outlineLevel="0" collapsed="false">
      <c r="A34" s="1"/>
      <c r="B34" s="75" t="n">
        <v>2017</v>
      </c>
      <c r="C34" s="78" t="n">
        <f aca="false">SUM($J$47:$J$52)</f>
        <v>346.965265034743</v>
      </c>
      <c r="D34" s="78" t="n">
        <v>334.259119456959</v>
      </c>
      <c r="E34" s="77" t="n">
        <v>416.358318041692</v>
      </c>
      <c r="F34" s="1"/>
      <c r="G34" s="1"/>
      <c r="H34" s="62" t="n">
        <v>2015</v>
      </c>
      <c r="I34" s="63" t="s">
        <v>21</v>
      </c>
      <c r="J34" s="63" t="s">
        <v>22</v>
      </c>
      <c r="K34" s="63" t="s">
        <v>23</v>
      </c>
      <c r="L34" s="63" t="s">
        <v>24</v>
      </c>
      <c r="M34" s="63" t="s">
        <v>25</v>
      </c>
      <c r="N34" s="63" t="s">
        <v>26</v>
      </c>
      <c r="O34" s="63" t="s">
        <v>27</v>
      </c>
      <c r="P34" s="63" t="s">
        <v>28</v>
      </c>
      <c r="Q34" s="63" t="s">
        <v>29</v>
      </c>
      <c r="R34" s="64" t="s">
        <v>30</v>
      </c>
      <c r="S34" s="1"/>
    </row>
    <row r="35" customFormat="false" ht="15" hidden="false" customHeight="false" outlineLevel="0" collapsed="false">
      <c r="A35" s="1"/>
      <c r="B35" s="75" t="n">
        <v>2018</v>
      </c>
      <c r="C35" s="78" t="n">
        <f aca="false">SUM($K$47:$K$52)</f>
        <v>398.397763145775</v>
      </c>
      <c r="D35" s="78" t="n">
        <v>374.370213791794</v>
      </c>
      <c r="E35" s="77" t="n">
        <v>520.447897552114</v>
      </c>
      <c r="F35" s="1"/>
      <c r="G35" s="1"/>
      <c r="H35" s="66" t="n">
        <f aca="false">'Estimated Install Base to 2025'!E31*1000000</f>
        <v>1632000</v>
      </c>
      <c r="I35" s="84" t="n">
        <f aca="false">'Estimated Install Base to 2025'!E32*1000000</f>
        <v>2040000</v>
      </c>
      <c r="J35" s="67" t="n">
        <f aca="false">'Estimated Install Base to 2025'!E33*1000000</f>
        <v>2550000</v>
      </c>
      <c r="K35" s="67" t="n">
        <f aca="false">'Estimated Install Base to 2025'!E34*1000000</f>
        <v>3187500</v>
      </c>
      <c r="L35" s="67" t="n">
        <f aca="false">'Estimated Install Base to 2025'!E35*1000000</f>
        <v>3984375</v>
      </c>
      <c r="M35" s="67" t="n">
        <f aca="false">'Estimated Install Base to 2025'!E36*1000000</f>
        <v>4980468.75</v>
      </c>
      <c r="N35" s="67" t="n">
        <f aca="false">'Estimated Install Base to 2025'!E37*1000000</f>
        <v>6225585.9375</v>
      </c>
      <c r="O35" s="67" t="n">
        <f aca="false">'Estimated Install Base to 2025'!E38*1000000</f>
        <v>7781982.421875</v>
      </c>
      <c r="P35" s="67" t="n">
        <f aca="false">'Estimated Install Base to 2025'!E39*1000000</f>
        <v>9727478.02734375</v>
      </c>
      <c r="Q35" s="67" t="n">
        <f aca="false">'Estimated Install Base to 2025'!E40*1000000</f>
        <v>12159347.5341797</v>
      </c>
      <c r="R35" s="68" t="n">
        <f aca="false">'Estimated Install Base to 2025'!E41*1000000</f>
        <v>15199184.4177246</v>
      </c>
      <c r="S35" s="1"/>
    </row>
    <row r="36" customFormat="false" ht="36.9" hidden="false" customHeight="false" outlineLevel="0" collapsed="false">
      <c r="A36" s="1"/>
      <c r="B36" s="75" t="n">
        <v>2019</v>
      </c>
      <c r="C36" s="78" t="n">
        <f aca="false">SUM($L$47:$L$52)</f>
        <v>448.524039082559</v>
      </c>
      <c r="D36" s="78" t="n">
        <v>419.294639446809</v>
      </c>
      <c r="E36" s="77" t="n">
        <v>650.559871940143</v>
      </c>
      <c r="F36" s="1"/>
      <c r="G36" s="9" t="s">
        <v>7</v>
      </c>
      <c r="H36" s="72" t="n">
        <f aca="false">($I13*1000*($H$35*$J13)/(1*10^6))*1000000*31536000/(1*10^15)</f>
        <v>111.388058763321</v>
      </c>
      <c r="I36" s="73" t="n">
        <f aca="false">($I13*1000*($I$35*$J13)/(1*10^6))*1000000*31536000/(1*10^15)</f>
        <v>139.235073454151</v>
      </c>
      <c r="J36" s="73" t="n">
        <f aca="false">($I13*1000*($J$35*$J13)/(1*10^6))*1000000*31536000/(1*10^15)</f>
        <v>174.043841817689</v>
      </c>
      <c r="K36" s="73" t="n">
        <f aca="false">($I13*1000*($K$35*$J13)/(1*10^6))*1000000*31536000/(1*10^15)</f>
        <v>217.554802272111</v>
      </c>
      <c r="L36" s="73" t="n">
        <f aca="false">($I13*1000*($L$35*$J13)/(1*10^6))*1000000*31536000/(1*10^15)</f>
        <v>271.943502840138</v>
      </c>
      <c r="M36" s="73" t="n">
        <f aca="false">($I13*1000*($M$35*$J13)/(1*10^6))*1000000*31536000/(1*10^15)</f>
        <v>339.929378550173</v>
      </c>
      <c r="N36" s="73" t="n">
        <f aca="false">($I13*1000*($N$35*$J13)/(1*10^6))*1000000*31536000/(1*10^15)</f>
        <v>424.911723187716</v>
      </c>
      <c r="O36" s="73" t="n">
        <f aca="false">($I13*1000*($O$35*$J13)/(1*10^6))*1000000*31536000/(1*10^15)</f>
        <v>531.139653984646</v>
      </c>
      <c r="P36" s="73" t="n">
        <f aca="false">($I13*1000*($P$35*$J13)/(1*10^6))*1000000*31536000/(1*10^15)</f>
        <v>663.924567480807</v>
      </c>
      <c r="Q36" s="73" t="n">
        <f aca="false">($I13*1000*($Q$35*$J13)/(1*10^6))*1000000*31536000/(1*10^15)</f>
        <v>829.905709351009</v>
      </c>
      <c r="R36" s="74" t="n">
        <f aca="false">($I13*1000*($R$35*$J13)/(1*10^6))*1000000*31536000/(1*10^15)</f>
        <v>1037.38213668876</v>
      </c>
      <c r="S36" s="1"/>
    </row>
    <row r="37" customFormat="false" ht="13.8" hidden="false" customHeight="false" outlineLevel="0" collapsed="false">
      <c r="A37" s="1"/>
      <c r="B37" s="75" t="n">
        <v>2020</v>
      </c>
      <c r="C37" s="78" t="n">
        <f aca="false">SUM($M$47:$M$52)</f>
        <v>514.651536653887</v>
      </c>
      <c r="D37" s="78" t="n">
        <v>469.609996180426</v>
      </c>
      <c r="E37" s="77" t="n">
        <v>813.199839925179</v>
      </c>
      <c r="F37" s="1"/>
      <c r="G37" s="12" t="s">
        <v>8</v>
      </c>
      <c r="H37" s="72" t="n">
        <f aca="false">($I14*1000*($H$35*$J14)/(1*10^6))*1000000*31536000/(1*10^15)</f>
        <v>95.3416590913828</v>
      </c>
      <c r="I37" s="73" t="n">
        <f aca="false">($I14*1000*($I$35*$J14)/(1*10^6))*1000000*31536000/(1*10^15)</f>
        <v>119.177073864228</v>
      </c>
      <c r="J37" s="73" t="n">
        <f aca="false">($I14*1000*($J$35*$J14)/(1*10^6))*1000000*31536000/(1*10^15)</f>
        <v>148.971342330286</v>
      </c>
      <c r="K37" s="73" t="n">
        <f aca="false">($I14*1000*($K$35*$J14)/(1*10^6))*1000000*31536000/(1*10^15)</f>
        <v>186.214177912857</v>
      </c>
      <c r="L37" s="73" t="n">
        <f aca="false">($I14*1000*($L$35*$J14)/(1*10^6))*1000000*31536000/(1*10^15)</f>
        <v>232.767722391071</v>
      </c>
      <c r="M37" s="73" t="n">
        <f aca="false">($I14*1000*($M$35*$J14)/(1*10^6))*1000000*31536000/(1*10^15)</f>
        <v>290.959652988839</v>
      </c>
      <c r="N37" s="73" t="n">
        <f aca="false">($I14*1000*($N$35*$J14)/(1*10^6))*1000000*31536000/(1*10^15)</f>
        <v>363.699566236049</v>
      </c>
      <c r="O37" s="73" t="n">
        <f aca="false">($I14*1000*($O$35*$J14)/(1*10^6))*1000000*31536000/(1*10^15)</f>
        <v>454.624457795061</v>
      </c>
      <c r="P37" s="73" t="n">
        <f aca="false">($I14*1000*($P$35*$J14)/(1*10^6))*1000000*31536000/(1*10^15)</f>
        <v>568.280572243826</v>
      </c>
      <c r="Q37" s="73" t="n">
        <f aca="false">($I14*1000*($Q$35*$J14)/(1*10^6))*1000000*31536000/(1*10^15)</f>
        <v>710.350715304783</v>
      </c>
      <c r="R37" s="74" t="n">
        <f aca="false">($I14*1000*($R$35*$J14)/(1*10^6))*1000000*31536000/(1*10^15)</f>
        <v>887.938394130978</v>
      </c>
      <c r="S37" s="1"/>
    </row>
    <row r="38" customFormat="false" ht="13.8" hidden="false" customHeight="false" outlineLevel="0" collapsed="false">
      <c r="A38" s="1"/>
      <c r="B38" s="75" t="n">
        <v>2021</v>
      </c>
      <c r="C38" s="78" t="n">
        <f aca="false">SUM($N$47:$N$52)</f>
        <v>580.289200909871</v>
      </c>
      <c r="D38" s="78" t="n">
        <v>525.963195722077</v>
      </c>
      <c r="E38" s="77" t="n">
        <v>1016.49979990647</v>
      </c>
      <c r="F38" s="1"/>
      <c r="G38" s="13" t="s">
        <v>9</v>
      </c>
      <c r="H38" s="72" t="n">
        <f aca="false">($I15*1000*($H$35*$J15)/(1*10^6))*1000000*31536000/(1*10^15)</f>
        <v>12.6572932090611</v>
      </c>
      <c r="I38" s="73" t="n">
        <f aca="false">($I15*1000*($I$35*$J15)/(1*10^6))*1000000*31536000/(1*10^15)</f>
        <v>15.8216165113263</v>
      </c>
      <c r="J38" s="73" t="n">
        <f aca="false">($I15*1000*($J$35*$J15)/(1*10^6))*1000000*31536000/(1*10^15)</f>
        <v>19.7770206391579</v>
      </c>
      <c r="K38" s="73" t="n">
        <f aca="false">($I15*1000*($K$35*$J15)/(1*10^6))*1000000*31536000/(1*10^15)</f>
        <v>24.7212757989474</v>
      </c>
      <c r="L38" s="73" t="n">
        <f aca="false">($I15*1000*($L$35*$J15)/(1*10^6))*1000000*31536000/(1*10^15)</f>
        <v>30.9015947486842</v>
      </c>
      <c r="M38" s="73" t="n">
        <f aca="false">($I15*1000*($M$35*$J15)/(1*10^6))*1000000*31536000/(1*10^15)</f>
        <v>38.6269934358553</v>
      </c>
      <c r="N38" s="73" t="n">
        <f aca="false">($I15*1000*($N$35*$J15)/(1*10^6))*1000000*31536000/(1*10^15)</f>
        <v>48.2837417948191</v>
      </c>
      <c r="O38" s="73" t="n">
        <f aca="false">($I15*1000*($O$35*$J15)/(1*10^6))*1000000*31536000/(1*10^15)</f>
        <v>60.3546772435239</v>
      </c>
      <c r="P38" s="73" t="n">
        <f aca="false">($I15*1000*($P$35*$J15)/(1*10^6))*1000000*31536000/(1*10^15)</f>
        <v>75.4433465544048</v>
      </c>
      <c r="Q38" s="73" t="n">
        <f aca="false">($I15*1000*($Q$35*$J15)/(1*10^6))*1000000*31536000/(1*10^15)</f>
        <v>94.3041831930061</v>
      </c>
      <c r="R38" s="74" t="n">
        <f aca="false">($I15*1000*($R$35*$J15)/(1*10^6))*1000000*31536000/(1*10^15)</f>
        <v>117.880228991258</v>
      </c>
      <c r="S38" s="1"/>
    </row>
    <row r="39" customFormat="false" ht="13.8" hidden="false" customHeight="false" outlineLevel="0" collapsed="false">
      <c r="A39" s="1"/>
      <c r="B39" s="75" t="n">
        <v>2022</v>
      </c>
      <c r="C39" s="78" t="n">
        <f aca="false">SUM($O$47:$O$52)</f>
        <v>648.376031742571</v>
      </c>
      <c r="D39" s="78" t="n">
        <v>589.078779208727</v>
      </c>
      <c r="E39" s="77" t="n">
        <v>1270.62474988309</v>
      </c>
      <c r="F39" s="1"/>
      <c r="G39" s="14" t="s">
        <v>10</v>
      </c>
      <c r="H39" s="72" t="n">
        <f aca="false">($I16*1000*($H$35*$J16)/(1*10^6))*1000000*31536000/(1*10^15)</f>
        <v>5.85619074925714</v>
      </c>
      <c r="I39" s="73" t="n">
        <f aca="false">($I16*1000*($I$35*$J16)/(1*10^6))*1000000*31536000/(1*10^15)</f>
        <v>7.32023843657143</v>
      </c>
      <c r="J39" s="73" t="n">
        <f aca="false">($I16*1000*($J$35*$J16)/(1*10^6))*1000000*31536000/(1*10^15)</f>
        <v>9.15029804571429</v>
      </c>
      <c r="K39" s="73" t="n">
        <f aca="false">($I16*1000*($K$35*$J16)/(1*10^6))*1000000*31536000/(1*10^15)</f>
        <v>11.4378725571429</v>
      </c>
      <c r="L39" s="73" t="n">
        <f aca="false">($I16*1000*($L$35*$J16)/(1*10^6))*1000000*31536000/(1*10^15)</f>
        <v>14.2973406964286</v>
      </c>
      <c r="M39" s="73" t="n">
        <f aca="false">($I16*1000*($M$35*$J16)/(1*10^6))*1000000*31536000/(1*10^15)</f>
        <v>17.8716758705357</v>
      </c>
      <c r="N39" s="73" t="n">
        <f aca="false">($I16*1000*($N$35*$J16)/(1*10^6))*1000000*31536000/(1*10^15)</f>
        <v>22.3395948381696</v>
      </c>
      <c r="O39" s="73" t="n">
        <f aca="false">($I16*1000*($O$35*$J16)/(1*10^6))*1000000*31536000/(1*10^15)</f>
        <v>27.9244935477121</v>
      </c>
      <c r="P39" s="73" t="n">
        <f aca="false">($I16*1000*($P$35*$J16)/(1*10^6))*1000000*31536000/(1*10^15)</f>
        <v>34.9056169346401</v>
      </c>
      <c r="Q39" s="73" t="n">
        <f aca="false">($I16*1000*($Q$35*$J16)/(1*10^6))*1000000*31536000/(1*10^15)</f>
        <v>43.6320211683001</v>
      </c>
      <c r="R39" s="74" t="n">
        <f aca="false">($I16*1000*($R$35*$J16)/(1*10^6))*1000000*31536000/(1*10^15)</f>
        <v>54.5400264603751</v>
      </c>
      <c r="S39" s="1"/>
    </row>
    <row r="40" customFormat="false" ht="25.1" hidden="false" customHeight="false" outlineLevel="0" collapsed="false">
      <c r="A40" s="1"/>
      <c r="B40" s="75" t="n">
        <v>2023</v>
      </c>
      <c r="C40" s="78"/>
      <c r="D40" s="78" t="n">
        <v>659.768232713774</v>
      </c>
      <c r="E40" s="77" t="n">
        <v>1588.28093735387</v>
      </c>
      <c r="F40" s="1"/>
      <c r="G40" s="15" t="s">
        <v>11</v>
      </c>
      <c r="H40" s="72" t="n">
        <f aca="false">($I17*1000*($H$35*$J17)/(1*10^6))*1000000*31536000/(1*10^15)</f>
        <v>25.6831626296609</v>
      </c>
      <c r="I40" s="73" t="n">
        <f aca="false">($I17*1000*($I$35*$J17)/(1*10^6))*1000000*31536000/(1*10^15)</f>
        <v>32.1039532870762</v>
      </c>
      <c r="J40" s="73" t="n">
        <f aca="false">($I17*1000*($J$35*$J17)/(1*10^6))*1000000*31536000/(1*10^15)</f>
        <v>40.1299416088452</v>
      </c>
      <c r="K40" s="73" t="n">
        <f aca="false">($I17*1000*($K$35*$J17)/(1*10^6))*1000000*31536000/(1*10^15)</f>
        <v>50.1624270110565</v>
      </c>
      <c r="L40" s="73" t="n">
        <f aca="false">($I17*1000*($L$35*$J17)/(1*10^6))*1000000*31536000/(1*10^15)</f>
        <v>62.7030337638206</v>
      </c>
      <c r="M40" s="73" t="n">
        <f aca="false">($I17*1000*($M$35*$J17)/(1*10^6))*1000000*31536000/(1*10^15)</f>
        <v>78.3787922047758</v>
      </c>
      <c r="N40" s="73" t="n">
        <f aca="false">($I17*1000*($N$35*$J17)/(1*10^6))*1000000*31536000/(1*10^15)</f>
        <v>97.9734902559698</v>
      </c>
      <c r="O40" s="73" t="n">
        <f aca="false">($I17*1000*($O$35*$J17)/(1*10^6))*1000000*31536000/(1*10^15)</f>
        <v>122.466862819962</v>
      </c>
      <c r="P40" s="73" t="n">
        <f aca="false">($I17*1000*($P$35*$J17)/(1*10^6))*1000000*31536000/(1*10^15)</f>
        <v>153.083578524953</v>
      </c>
      <c r="Q40" s="73" t="n">
        <f aca="false">($I17*1000*($Q$35*$J17)/(1*10^6))*1000000*31536000/(1*10^15)</f>
        <v>191.354473156191</v>
      </c>
      <c r="R40" s="74" t="n">
        <f aca="false">($I17*1000*($R$35*$J17)/(1*10^6))*1000000*31536000/(1*10^15)</f>
        <v>239.193091445239</v>
      </c>
      <c r="S40" s="1"/>
    </row>
    <row r="41" customFormat="false" ht="13.8" hidden="false" customHeight="false" outlineLevel="0" collapsed="false">
      <c r="A41" s="1"/>
      <c r="B41" s="75" t="n">
        <v>2024</v>
      </c>
      <c r="C41" s="78"/>
      <c r="D41" s="78" t="n">
        <v>738.940420639427</v>
      </c>
      <c r="E41" s="77" t="n">
        <v>1985.35117169233</v>
      </c>
      <c r="F41" s="1"/>
      <c r="G41" s="16" t="s">
        <v>12</v>
      </c>
      <c r="H41" s="72" t="n">
        <f aca="false">($I18*1000*($H$35*$J18)/(1*10^6))*1000000*31536000/(1*10^15)</f>
        <v>15.542959104</v>
      </c>
      <c r="I41" s="73" t="n">
        <f aca="false">($I18*1000*($I$35*$J18)/(1*10^6))*1000000*31536000/(1*10^15)</f>
        <v>19.42869888</v>
      </c>
      <c r="J41" s="73" t="n">
        <f aca="false">($I18*1000*($J$35*$J18)/(1*10^6))*1000000*31536000/(1*10^15)</f>
        <v>24.2858736</v>
      </c>
      <c r="K41" s="73" t="n">
        <f aca="false">($I18*1000*($K$35*$J18)/(1*10^6))*1000000*31536000/(1*10^15)</f>
        <v>30.357342</v>
      </c>
      <c r="L41" s="73" t="n">
        <f aca="false">($I18*1000*($L$35*$J18)/(1*10^6))*1000000*31536000/(1*10^15)</f>
        <v>37.9466775</v>
      </c>
      <c r="M41" s="73" t="n">
        <f aca="false">($I18*1000*($M$35*$J18)/(1*10^6))*1000000*31536000/(1*10^15)</f>
        <v>47.433346875</v>
      </c>
      <c r="N41" s="73" t="n">
        <f aca="false">($I18*1000*($N$35*$J18)/(1*10^6))*1000000*31536000/(1*10^15)</f>
        <v>59.29168359375</v>
      </c>
      <c r="O41" s="73" t="n">
        <f aca="false">($I18*1000*($O$35*$J18)/(1*10^6))*1000000*31536000/(1*10^15)</f>
        <v>74.1146044921875</v>
      </c>
      <c r="P41" s="73" t="n">
        <f aca="false">($I18*1000*($P$35*$J18)/(1*10^6))*1000000*31536000/(1*10^15)</f>
        <v>92.6432556152344</v>
      </c>
      <c r="Q41" s="73" t="n">
        <f aca="false">($I18*1000*($Q$35*$J18)/(1*10^6))*1000000*31536000/(1*10^15)</f>
        <v>115.804069519043</v>
      </c>
      <c r="R41" s="74" t="n">
        <f aca="false">($I18*1000*($R$35*$J18)/(1*10^6))*1000000*31536000/(1*10^15)</f>
        <v>144.755086898804</v>
      </c>
      <c r="S41" s="1"/>
    </row>
    <row r="42" customFormat="false" ht="21.75" hidden="false" customHeight="false" outlineLevel="0" collapsed="false">
      <c r="A42" s="1"/>
      <c r="B42" s="85" t="n">
        <v>2025</v>
      </c>
      <c r="C42" s="86"/>
      <c r="D42" s="86" t="n">
        <v>827.613271116159</v>
      </c>
      <c r="E42" s="87" t="n">
        <v>2481.68896461541</v>
      </c>
      <c r="F42" s="1"/>
      <c r="G42" s="1"/>
      <c r="H42" s="79" t="n">
        <f aca="false">SUM(H36:H41)</f>
        <v>266.469323546683</v>
      </c>
      <c r="I42" s="80" t="n">
        <f aca="false">SUM(I36:I41)</f>
        <v>333.086654433353</v>
      </c>
      <c r="J42" s="80" t="n">
        <f aca="false">SUM(J36:J41)</f>
        <v>416.358318041692</v>
      </c>
      <c r="K42" s="80" t="n">
        <f aca="false">SUM(K36:K41)</f>
        <v>520.447897552115</v>
      </c>
      <c r="L42" s="80" t="n">
        <f aca="false">SUM(L36:L41)</f>
        <v>650.559871940143</v>
      </c>
      <c r="M42" s="80" t="n">
        <f aca="false">SUM(M36:M41)</f>
        <v>813.199839925179</v>
      </c>
      <c r="N42" s="80" t="n">
        <f aca="false">SUM(N36:N41)</f>
        <v>1016.49979990647</v>
      </c>
      <c r="O42" s="80" t="n">
        <f aca="false">SUM(O36:O41)</f>
        <v>1270.62474988309</v>
      </c>
      <c r="P42" s="80" t="n">
        <f aca="false">SUM(P36:P41)</f>
        <v>1588.28093735387</v>
      </c>
      <c r="Q42" s="80" t="n">
        <f aca="false">SUM(Q36:Q41)</f>
        <v>1985.35117169233</v>
      </c>
      <c r="R42" s="81" t="n">
        <f aca="false">SUM(R36:R41)</f>
        <v>2481.68896461541</v>
      </c>
      <c r="S42" s="1"/>
    </row>
    <row r="43" customFormat="false" ht="15.75" hidden="false" customHeight="false" outlineLevel="0" collapsed="false">
      <c r="A43" s="1"/>
      <c r="B43" s="88"/>
      <c r="C43" s="88"/>
      <c r="D43" s="88"/>
      <c r="E43" s="88"/>
      <c r="F43" s="88"/>
      <c r="G43" s="1"/>
      <c r="H43" s="1"/>
      <c r="I43" s="1"/>
      <c r="J43" s="89"/>
      <c r="K43" s="1"/>
      <c r="L43" s="1"/>
      <c r="M43" s="1"/>
      <c r="N43" s="1"/>
      <c r="O43" s="1"/>
      <c r="P43" s="1"/>
      <c r="Q43" s="1"/>
      <c r="R43" s="90"/>
      <c r="S43" s="1"/>
    </row>
    <row r="44" customFormat="false" ht="15.75" hidden="false" customHeight="true" outlineLevel="0" collapsed="false">
      <c r="A44" s="1"/>
      <c r="B44" s="91" t="s">
        <v>37</v>
      </c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59"/>
      <c r="Q44" s="59"/>
      <c r="R44" s="59"/>
    </row>
    <row r="45" customFormat="false" ht="15" hidden="false" customHeight="false" outlineLevel="0" collapsed="false">
      <c r="A45" s="1"/>
      <c r="B45" s="62" t="n">
        <v>2009</v>
      </c>
      <c r="C45" s="63" t="n">
        <v>2010</v>
      </c>
      <c r="D45" s="63" t="n">
        <v>2011</v>
      </c>
      <c r="E45" s="63" t="n">
        <v>2012</v>
      </c>
      <c r="F45" s="63" t="n">
        <v>2013</v>
      </c>
      <c r="G45" s="63" t="n">
        <v>2014</v>
      </c>
      <c r="H45" s="63" t="n">
        <v>2015</v>
      </c>
      <c r="I45" s="63" t="n">
        <v>2016</v>
      </c>
      <c r="J45" s="63" t="n">
        <v>2017</v>
      </c>
      <c r="K45" s="63" t="n">
        <v>2018</v>
      </c>
      <c r="L45" s="63" t="n">
        <v>2019</v>
      </c>
      <c r="M45" s="63" t="n">
        <v>2020</v>
      </c>
      <c r="N45" s="63" t="n">
        <v>2021</v>
      </c>
      <c r="O45" s="64" t="n">
        <v>2022</v>
      </c>
    </row>
    <row r="46" customFormat="false" ht="15" hidden="false" customHeight="false" outlineLevel="0" collapsed="false">
      <c r="A46" s="1"/>
      <c r="B46" s="66" t="n">
        <f aca="false">'Estimated Install Base to 2025'!C25*1000000</f>
        <v>1021000</v>
      </c>
      <c r="C46" s="67" t="n">
        <f aca="false">'Estimated Install Base to 2025'!C26*1000000</f>
        <v>1059000</v>
      </c>
      <c r="D46" s="67" t="n">
        <f aca="false">'Estimated Install Base to 2025'!C27*1000000</f>
        <v>1153000</v>
      </c>
      <c r="E46" s="67" t="n">
        <f aca="false">'Estimated Install Base to 2025'!C28*1000000</f>
        <v>1235000</v>
      </c>
      <c r="F46" s="67" t="n">
        <f aca="false">'Estimated Install Base to 2025'!C29*1000000</f>
        <v>1332000</v>
      </c>
      <c r="G46" s="67" t="n">
        <f aca="false">'Estimated Install Base to 2025'!C30*1000000</f>
        <v>1472000</v>
      </c>
      <c r="H46" s="67" t="n">
        <f aca="false">'Estimated Install Base to 2025'!C31*1000000</f>
        <v>1632000</v>
      </c>
      <c r="I46" s="67" t="n">
        <f aca="false">'Estimated Install Base to 2025'!C32*1000000</f>
        <v>1838000</v>
      </c>
      <c r="J46" s="67" t="n">
        <f aca="false">'Estimated Install Base to 2025'!C33*1000000</f>
        <v>2125000</v>
      </c>
      <c r="K46" s="67" t="n">
        <f aca="false">'Estimated Install Base to 2025'!C34*1000000</f>
        <v>2440000</v>
      </c>
      <c r="L46" s="67" t="n">
        <f aca="false">'Estimated Install Base to 2025'!C35*1000000</f>
        <v>2747000</v>
      </c>
      <c r="M46" s="67" t="n">
        <f aca="false">'Estimated Install Base to 2025'!C36*1000000</f>
        <v>3152000</v>
      </c>
      <c r="N46" s="67" t="n">
        <f aca="false">'Estimated Install Base to 2025'!C37*1000000</f>
        <v>3554000</v>
      </c>
      <c r="O46" s="68" t="n">
        <f aca="false">'Estimated Install Base to 2025'!C38*1000000</f>
        <v>3971000</v>
      </c>
    </row>
    <row r="47" customFormat="false" ht="15" hidden="false" customHeight="false" outlineLevel="0" collapsed="false">
      <c r="A47" s="1"/>
      <c r="B47" s="72" t="n">
        <f aca="false">($I13*1000)*($B$46*$J13)*(31536000)/(1*10^15)</f>
        <v>69.6857892140628</v>
      </c>
      <c r="C47" s="73" t="n">
        <f aca="false">($I13*1000)*($C$46*$J13)*(31536000)/(1*10^15)</f>
        <v>72.2793837195813</v>
      </c>
      <c r="D47" s="73" t="n">
        <f aca="false">($I13*1000)*($D$46*$J13)*(31536000)/(1*10^15)</f>
        <v>78.6951174963902</v>
      </c>
      <c r="E47" s="73" t="n">
        <f aca="false">($I13*1000)*($E$46*$J13)*(31536000)/(1*10^15)</f>
        <v>84.2918214293511</v>
      </c>
      <c r="F47" s="73" t="n">
        <f aca="false">($I13*1000)*($F$46*$J13)*(31536000)/(1*10^15)</f>
        <v>90.912312667122</v>
      </c>
      <c r="G47" s="73" t="n">
        <f aca="false">($I13*1000)*($G$46*$J13)*(31536000)/(1*10^15)</f>
        <v>100.467660845348</v>
      </c>
      <c r="H47" s="73" t="n">
        <f aca="false">($I13*1000)*($H$46*$J13)*(31536000)/(1*10^15)</f>
        <v>111.388058763321</v>
      </c>
      <c r="I47" s="73" t="n">
        <f aca="false">($I13*1000)*($I$46*$J13)*(31536000)/(1*10^15)</f>
        <v>125.44807108271</v>
      </c>
      <c r="J47" s="73" t="n">
        <f aca="false">($I13*1000)*($J$46*$J13)*(31536000)/(1*10^15)</f>
        <v>145.036534848074</v>
      </c>
      <c r="K47" s="73" t="n">
        <f aca="false">($I13*1000)*($K$46*$J13)*(31536000)/(1*10^15)</f>
        <v>166.536068249082</v>
      </c>
      <c r="L47" s="73" t="n">
        <f aca="false">($I13*1000)*($L$46*$J13)*(31536000)/(1*10^15)</f>
        <v>187.489581754192</v>
      </c>
      <c r="M47" s="73" t="n">
        <f aca="false">($I13*1000)*($M$46*$J13)*(31536000)/(1*10^15)</f>
        <v>215.131838984061</v>
      </c>
      <c r="N47" s="73" t="n">
        <f aca="false">($I13*1000)*($N$46*$J13)*(31536000)/(1*10^15)</f>
        <v>242.569338752967</v>
      </c>
      <c r="O47" s="74" t="n">
        <f aca="false">($I13*1000)*($O$46*$J13)*(31536000)/(1*10^15)</f>
        <v>271.030625826683</v>
      </c>
    </row>
    <row r="48" customFormat="false" ht="15" hidden="false" customHeight="false" outlineLevel="0" collapsed="false">
      <c r="A48" s="1"/>
      <c r="B48" s="72" t="n">
        <f aca="false">($I14*1000)*($B$46*$J14)*(31536000)/(1*10^15)</f>
        <v>59.6469570663614</v>
      </c>
      <c r="C48" s="73" t="n">
        <f aca="false">($I14*1000)*($C$46*$J14)*(31536000)/(1*10^15)</f>
        <v>61.8669221677539</v>
      </c>
      <c r="D48" s="73" t="n">
        <f aca="false">($I14*1000)*($D$46*$J14)*(31536000)/(1*10^15)</f>
        <v>67.358414786988</v>
      </c>
      <c r="E48" s="73" t="n">
        <f aca="false">($I14*1000)*($E$46*$J14)*(31536000)/(1*10^15)</f>
        <v>72.148865795256</v>
      </c>
      <c r="F48" s="73" t="n">
        <f aca="false">($I14*1000)*($F$46*$J14)*(31536000)/(1*10^15)</f>
        <v>77.8156188172316</v>
      </c>
      <c r="G48" s="73" t="n">
        <f aca="false">($I14*1000)*($G$46*$J14)*(31536000)/(1*10^15)</f>
        <v>85.9944376118355</v>
      </c>
      <c r="H48" s="73" t="n">
        <f aca="false">($I14*1000)*($H$46*$J14)*(31536000)/(1*10^15)</f>
        <v>95.3416590913828</v>
      </c>
      <c r="I48" s="73" t="n">
        <f aca="false">($I14*1000)*($I$46*$J14)*(31536000)/(1*10^15)</f>
        <v>107.3762067463</v>
      </c>
      <c r="J48" s="73" t="n">
        <f aca="false">($I14*1000)*($J$46*$J14)*(31536000)/(1*10^15)</f>
        <v>124.142785275238</v>
      </c>
      <c r="K48" s="73" t="n">
        <f aca="false">($I14*1000)*($K$46*$J14)*(31536000)/(1*10^15)</f>
        <v>142.545127563097</v>
      </c>
      <c r="L48" s="73" t="n">
        <f aca="false">($I14*1000)*($L$46*$J14)*(31536000)/(1*10^15)</f>
        <v>160.480108776978</v>
      </c>
      <c r="M48" s="73" t="n">
        <f aca="false">($I14*1000)*($M$46*$J14)*(31536000)/(1*10^15)</f>
        <v>184.140263147082</v>
      </c>
      <c r="N48" s="73" t="n">
        <f aca="false">($I14*1000)*($N$46*$J14)*(31536000)/(1*10^15)</f>
        <v>207.625157114445</v>
      </c>
      <c r="O48" s="74" t="n">
        <f aca="false">($I14*1000)*($O$46*$J14)*(31536000)/(1*10^15)</f>
        <v>231.986353095515</v>
      </c>
    </row>
    <row r="49" customFormat="false" ht="15" hidden="false" customHeight="false" outlineLevel="0" collapsed="false">
      <c r="A49" s="1"/>
      <c r="B49" s="72" t="n">
        <f aca="false">($I15*1000)*($B$46*$J15)*(31536000)/(1*10^15)</f>
        <v>7.91856395003146</v>
      </c>
      <c r="C49" s="73" t="n">
        <f aca="false">($I15*1000)*($C$46*$J15)*(31536000)/(1*10^15)</f>
        <v>8.21328033602675</v>
      </c>
      <c r="D49" s="73" t="n">
        <f aca="false">($I15*1000)*($D$46*$J15)*(31536000)/(1*10^15)</f>
        <v>8.94231560664669</v>
      </c>
      <c r="E49" s="73" t="n">
        <f aca="false">($I15*1000)*($E$46*$J15)*(31536000)/(1*10^15)</f>
        <v>9.57828254484706</v>
      </c>
      <c r="F49" s="73" t="n">
        <f aca="false">($I15*1000)*($F$46*$J15)*(31536000)/(1*10^15)</f>
        <v>10.3305848985719</v>
      </c>
      <c r="G49" s="73" t="n">
        <f aca="false">($I15*1000)*($G$46*$J15)*(31536000)/(1*10^15)</f>
        <v>11.4163821101335</v>
      </c>
      <c r="H49" s="73" t="n">
        <f aca="false">($I15*1000)*($H$46*$J15)*(31536000)/(1*10^15)</f>
        <v>12.6572932090611</v>
      </c>
      <c r="I49" s="73" t="n">
        <f aca="false">($I15*1000)*($I$46*$J15)*(31536000)/(1*10^15)</f>
        <v>14.2549662489303</v>
      </c>
      <c r="J49" s="73" t="n">
        <f aca="false">($I15*1000)*($J$46*$J15)*(31536000)/(1*10^15)</f>
        <v>16.4808505326316</v>
      </c>
      <c r="K49" s="73" t="n">
        <f aca="false">($I15*1000)*($K$46*$J15)*(31536000)/(1*10^15)</f>
        <v>18.9238942586452</v>
      </c>
      <c r="L49" s="73" t="n">
        <f aca="false">($I15*1000)*($L$46*$J15)*(31536000)/(1*10^15)</f>
        <v>21.3048924297125</v>
      </c>
      <c r="M49" s="73" t="n">
        <f aca="false">($I15*1000)*($M$46*$J15)*(31536000)/(1*10^15)</f>
        <v>24.4459486488728</v>
      </c>
      <c r="N49" s="73" t="n">
        <f aca="false">($I15*1000)*($N$46*$J15)*(31536000)/(1*10^15)</f>
        <v>27.5637377849283</v>
      </c>
      <c r="O49" s="74" t="n">
        <f aca="false">($I15*1000)*($O$46*$J15)*(31536000)/(1*10^15)</f>
        <v>30.7978623365082</v>
      </c>
    </row>
    <row r="50" customFormat="false" ht="15" hidden="false" customHeight="false" outlineLevel="0" collapsed="false">
      <c r="A50" s="1"/>
      <c r="B50" s="72" t="n">
        <f aca="false">($I16*1000)*($B$46*$J16)*(31536000)/(1*10^15)</f>
        <v>3.6637075704605</v>
      </c>
      <c r="C50" s="73" t="n">
        <f aca="false">($I16*1000)*($C$46*$J16)*(31536000)/(1*10^15)</f>
        <v>3.80006495310252</v>
      </c>
      <c r="D50" s="73" t="n">
        <f aca="false">($I16*1000)*($D$46*$J16)*(31536000)/(1*10^15)</f>
        <v>4.13737005753277</v>
      </c>
      <c r="E50" s="73" t="n">
        <f aca="false">($I16*1000)*($E$46*$J16)*(31536000)/(1*10^15)</f>
        <v>4.43161493586555</v>
      </c>
      <c r="F50" s="73" t="n">
        <f aca="false">($I16*1000)*($F$46*$J16)*(31536000)/(1*10^15)</f>
        <v>4.77968509682017</v>
      </c>
      <c r="G50" s="73" t="n">
        <f aca="false">($I16*1000)*($G$46*$J16)*(31536000)/(1*10^15)</f>
        <v>5.28205440129076</v>
      </c>
      <c r="H50" s="73" t="n">
        <f aca="false">($I16*1000)*($H$46*$J16)*(31536000)/(1*10^15)</f>
        <v>5.85619074925714</v>
      </c>
      <c r="I50" s="73" t="n">
        <f aca="false">($I16*1000)*($I$46*$J16)*(31536000)/(1*10^15)</f>
        <v>6.59539129726387</v>
      </c>
      <c r="J50" s="73" t="n">
        <f aca="false">($I16*1000)*($J$46*$J16)*(31536000)/(1*10^15)</f>
        <v>7.62524837142857</v>
      </c>
      <c r="K50" s="73" t="n">
        <f aca="false">($I16*1000)*($K$46*$J16)*(31536000)/(1*10^15)</f>
        <v>8.7555793064874</v>
      </c>
      <c r="L50" s="73" t="n">
        <f aca="false">($I16*1000)*($L$46*$J16)*(31536000)/(1*10^15)</f>
        <v>9.8572034241479</v>
      </c>
      <c r="M50" s="73" t="n">
        <f aca="false">($I16*1000)*($M$46*$J16)*(31536000)/(1*10^15)</f>
        <v>11.3104860549378</v>
      </c>
      <c r="N50" s="73" t="n">
        <f aca="false">($I16*1000)*($N$46*$J16)*(31536000)/(1*10^15)</f>
        <v>12.7530036292034</v>
      </c>
      <c r="O50" s="74" t="n">
        <f aca="false">($I16*1000)*($O$46*$J16)*(31536000)/(1*10^15)</f>
        <v>14.2493464860908</v>
      </c>
    </row>
    <row r="51" customFormat="false" ht="15" hidden="false" customHeight="false" outlineLevel="0" collapsed="false">
      <c r="A51" s="1"/>
      <c r="B51" s="72" t="n">
        <f aca="false">($I17*1000)*($B$46*$J17)*(31536000)/(1*10^15)</f>
        <v>16.0677138755416</v>
      </c>
      <c r="C51" s="73" t="n">
        <f aca="false">($I17*1000)*($C$46*$J17)*(31536000)/(1*10^15)</f>
        <v>16.6657286916734</v>
      </c>
      <c r="D51" s="73" t="n">
        <f aca="false">($I17*1000)*($D$46*$J17)*(31536000)/(1*10^15)</f>
        <v>18.1450284999994</v>
      </c>
      <c r="E51" s="73" t="n">
        <f aca="false">($I17*1000)*($E$46*$J17)*(31536000)/(1*10^15)</f>
        <v>19.4354815242839</v>
      </c>
      <c r="F51" s="73" t="n">
        <f aca="false">($I17*1000)*($F$46*$J17)*(31536000)/(1*10^15)</f>
        <v>20.9619930286203</v>
      </c>
      <c r="G51" s="73" t="n">
        <f aca="false">($I17*1000)*($G$46*$J17)*(31536000)/(1*10^15)</f>
        <v>23.1652055091059</v>
      </c>
      <c r="H51" s="73" t="n">
        <f aca="false">($I17*1000)*($H$46*$J17)*(31536000)/(1*10^15)</f>
        <v>25.6831626296609</v>
      </c>
      <c r="I51" s="73" t="n">
        <f aca="false">($I17*1000)*($I$46*$J17)*(31536000)/(1*10^15)</f>
        <v>28.9250324223755</v>
      </c>
      <c r="J51" s="73" t="n">
        <f aca="false">($I17*1000)*($J$46*$J17)*(31536000)/(1*10^15)</f>
        <v>33.441618007371</v>
      </c>
      <c r="K51" s="73" t="n">
        <f aca="false">($I17*1000)*($K$46*$J17)*(31536000)/(1*10^15)</f>
        <v>38.3988460884637</v>
      </c>
      <c r="L51" s="73" t="n">
        <f aca="false">($I17*1000)*($L$46*$J17)*(31536000)/(1*10^15)</f>
        <v>43.2301763135285</v>
      </c>
      <c r="M51" s="73" t="n">
        <f aca="false">($I17*1000)*($M$46*$J17)*(31536000)/(1*10^15)</f>
        <v>49.6037552749334</v>
      </c>
      <c r="N51" s="73" t="n">
        <f aca="false">($I17*1000)*($N$46*$J17)*(31536000)/(1*10^15)</f>
        <v>55.9301225403278</v>
      </c>
      <c r="O51" s="74" t="n">
        <f aca="false">($I17*1000)*($O$46*$J17)*(31536000)/(1*10^15)</f>
        <v>62.4925482857743</v>
      </c>
    </row>
    <row r="52" customFormat="false" ht="15" hidden="false" customHeight="false" outlineLevel="0" collapsed="false">
      <c r="A52" s="1"/>
      <c r="B52" s="72" t="n">
        <f aca="false">($I18*1000)*($B$46*$J18)*(31536000)/(1*10^15)</f>
        <v>9.723873312</v>
      </c>
      <c r="C52" s="73" t="n">
        <f aca="false">($I18*1000)*($C$46*$J18)*(31536000)/(1*10^15)</f>
        <v>10.085780448</v>
      </c>
      <c r="D52" s="73" t="n">
        <f aca="false">($I18*1000)*($D$46*$J18)*(31536000)/(1*10^15)</f>
        <v>10.981024416</v>
      </c>
      <c r="E52" s="73" t="n">
        <f aca="false">($I18*1000)*($E$46*$J18)*(31536000)/(1*10^15)</f>
        <v>11.76198192</v>
      </c>
      <c r="F52" s="73" t="n">
        <f aca="false">($I18*1000)*($F$46*$J18)*(31536000)/(1*10^15)</f>
        <v>12.685797504</v>
      </c>
      <c r="G52" s="73" t="n">
        <f aca="false">($I18*1000)*($G$46*$J18)*(31536000)/(1*10^15)</f>
        <v>14.019139584</v>
      </c>
      <c r="H52" s="73" t="n">
        <f aca="false">($I18*1000)*($H$46*$J18)*(31536000)/(1*10^15)</f>
        <v>15.542959104</v>
      </c>
      <c r="I52" s="73" t="n">
        <f aca="false">($I18*1000)*($I$46*$J18)*(31536000)/(1*10^15)</f>
        <v>17.504876736</v>
      </c>
      <c r="J52" s="73" t="n">
        <f aca="false">($I18*1000)*($J$46*$J18)*(31536000)/(1*10^15)</f>
        <v>20.238228</v>
      </c>
      <c r="K52" s="73" t="n">
        <f aca="false">($I18*1000)*($K$46*$J18)*(31536000)/(1*10^15)</f>
        <v>23.23824768</v>
      </c>
      <c r="L52" s="73" t="n">
        <f aca="false">($I18*1000)*($L$46*$J18)*(31536000)/(1*10^15)</f>
        <v>26.162076384</v>
      </c>
      <c r="M52" s="73" t="n">
        <f aca="false">($I18*1000)*($M$46*$J18)*(31536000)/(1*10^15)</f>
        <v>30.019244544</v>
      </c>
      <c r="N52" s="73" t="n">
        <f aca="false">($I18*1000)*($N$46*$J18)*(31536000)/(1*10^15)</f>
        <v>33.847841088</v>
      </c>
      <c r="O52" s="74" t="n">
        <f aca="false">($I18*1000)*($O$46*$J18)*(31536000)/(1*10^15)</f>
        <v>37.819295712</v>
      </c>
    </row>
    <row r="53" customFormat="false" ht="21.75" hidden="false" customHeight="false" outlineLevel="0" collapsed="false">
      <c r="A53" s="1"/>
      <c r="B53" s="79" t="n">
        <f aca="false">SUM($B$47:$B$52)</f>
        <v>166.706604988458</v>
      </c>
      <c r="C53" s="80" t="n">
        <f aca="false">SUM($C$47:$C$52)</f>
        <v>172.911160316138</v>
      </c>
      <c r="D53" s="80" t="n">
        <f aca="false">SUM($D$47:$D$52)</f>
        <v>188.259270863557</v>
      </c>
      <c r="E53" s="80" t="n">
        <f aca="false">SUM($E$47:$E$52)</f>
        <v>201.648048149604</v>
      </c>
      <c r="F53" s="80" t="n">
        <f aca="false">SUM($F$47:$F$52)</f>
        <v>217.485992012366</v>
      </c>
      <c r="G53" s="80" t="n">
        <f aca="false">SUM($G$47:$G$52)</f>
        <v>240.344880061714</v>
      </c>
      <c r="H53" s="80" t="n">
        <f aca="false">SUM($H$47:$H$52)</f>
        <v>266.469323546683</v>
      </c>
      <c r="I53" s="80" t="n">
        <f aca="false">SUM($I$47:$I$52)</f>
        <v>300.10454453358</v>
      </c>
      <c r="J53" s="80" t="n">
        <f aca="false">SUM($J$47:$J$52)</f>
        <v>346.965265034743</v>
      </c>
      <c r="K53" s="80" t="n">
        <f aca="false">SUM($K$47:$K$52)</f>
        <v>398.397763145775</v>
      </c>
      <c r="L53" s="80" t="n">
        <f aca="false">SUM($L$47:$L$52)</f>
        <v>448.524039082559</v>
      </c>
      <c r="M53" s="80" t="n">
        <f aca="false">SUM($M$47:$M$52)</f>
        <v>514.651536653887</v>
      </c>
      <c r="N53" s="80" t="n">
        <f aca="false">SUM($N$47:$N$52)</f>
        <v>580.289200909871</v>
      </c>
      <c r="O53" s="81" t="n">
        <f aca="false">SUM($O$47:$O$52)</f>
        <v>648.376031742571</v>
      </c>
    </row>
    <row r="54" customFormat="false" ht="15" hidden="false" customHeight="false" outlineLevel="0" collapsed="false">
      <c r="A54" s="1"/>
      <c r="J54" s="92"/>
    </row>
    <row r="55" customFormat="false" ht="15" hidden="false" customHeight="false" outlineLevel="0" collapsed="false">
      <c r="J55" s="92"/>
    </row>
  </sheetData>
  <mergeCells count="12">
    <mergeCell ref="H1:P1"/>
    <mergeCell ref="H2:J2"/>
    <mergeCell ref="K2:M2"/>
    <mergeCell ref="N2:P2"/>
    <mergeCell ref="J4:J9"/>
    <mergeCell ref="M4:M9"/>
    <mergeCell ref="P4:P9"/>
    <mergeCell ref="H11:M11"/>
    <mergeCell ref="H22:R22"/>
    <mergeCell ref="B24:E24"/>
    <mergeCell ref="H33:R33"/>
    <mergeCell ref="B44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5" activeCellId="0" sqref="C25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7"/>
    <col collapsed="false" customWidth="true" hidden="false" outlineLevel="0" max="7" min="3" style="0" width="15.71"/>
  </cols>
  <sheetData>
    <row r="1" customFormat="false" ht="27.6" hidden="false" customHeight="true" outlineLevel="0" collapsed="false">
      <c r="B1" s="93" t="s">
        <v>38</v>
      </c>
      <c r="C1" s="93"/>
      <c r="D1" s="93"/>
      <c r="E1" s="93"/>
    </row>
    <row r="2" customFormat="false" ht="15.75" hidden="false" customHeight="false" outlineLevel="0" collapsed="false">
      <c r="B2" s="94" t="s">
        <v>32</v>
      </c>
      <c r="C2" s="94"/>
      <c r="D2" s="95" t="s">
        <v>39</v>
      </c>
      <c r="E2" s="96" t="s">
        <v>40</v>
      </c>
    </row>
    <row r="3" customFormat="false" ht="15" hidden="false" customHeight="false" outlineLevel="0" collapsed="false">
      <c r="A3" s="97" t="s">
        <v>33</v>
      </c>
      <c r="B3" s="98" t="n">
        <v>2009</v>
      </c>
      <c r="C3" s="99"/>
      <c r="D3" s="100" t="n">
        <f aca="false">'IR operational stock 2009-2022'!B4</f>
        <v>1021</v>
      </c>
      <c r="E3" s="101" t="s">
        <v>41</v>
      </c>
    </row>
    <row r="4" customFormat="false" ht="15" hidden="false" customHeight="false" outlineLevel="0" collapsed="false">
      <c r="A4" s="97"/>
      <c r="B4" s="102" t="n">
        <v>2010</v>
      </c>
      <c r="C4" s="103"/>
      <c r="D4" s="104" t="n">
        <f aca="false">'IR operational stock 2009-2022'!B5</f>
        <v>1059</v>
      </c>
      <c r="E4" s="105" t="n">
        <f aca="false">D4/D3-1</f>
        <v>0.0372184133202742</v>
      </c>
      <c r="F4" s="106" t="n">
        <f aca="false">AVERAGE(E4:E12)</f>
        <v>0.10222802848803</v>
      </c>
    </row>
    <row r="5" customFormat="false" ht="15" hidden="false" customHeight="false" outlineLevel="0" collapsed="false">
      <c r="A5" s="97"/>
      <c r="B5" s="102" t="n">
        <v>2011</v>
      </c>
      <c r="C5" s="107"/>
      <c r="D5" s="104" t="n">
        <f aca="false">'IR operational stock 2009-2022'!B6</f>
        <v>1153</v>
      </c>
      <c r="E5" s="105" t="n">
        <f aca="false">D5/D4-1</f>
        <v>0.08876298394712</v>
      </c>
    </row>
    <row r="6" customFormat="false" ht="15" hidden="false" customHeight="false" outlineLevel="0" collapsed="false">
      <c r="A6" s="97"/>
      <c r="B6" s="102" t="n">
        <v>2012</v>
      </c>
      <c r="C6" s="103"/>
      <c r="D6" s="104" t="n">
        <f aca="false">'IR operational stock 2009-2022'!B7</f>
        <v>1235</v>
      </c>
      <c r="E6" s="105" t="n">
        <f aca="false">D6/D5-1</f>
        <v>0.0711188204683435</v>
      </c>
    </row>
    <row r="7" customFormat="false" ht="15" hidden="false" customHeight="false" outlineLevel="0" collapsed="false">
      <c r="A7" s="97"/>
      <c r="B7" s="102" t="n">
        <v>2013</v>
      </c>
      <c r="C7" s="107"/>
      <c r="D7" s="104" t="n">
        <f aca="false">'IR operational stock 2009-2022'!B8</f>
        <v>1332</v>
      </c>
      <c r="E7" s="105" t="n">
        <f aca="false">D7/D6-1</f>
        <v>0.0785425101214574</v>
      </c>
    </row>
    <row r="8" customFormat="false" ht="15" hidden="false" customHeight="false" outlineLevel="0" collapsed="false">
      <c r="A8" s="97"/>
      <c r="B8" s="102" t="n">
        <v>2014</v>
      </c>
      <c r="C8" s="107"/>
      <c r="D8" s="104" t="n">
        <f aca="false">'IR operational stock 2009-2022'!B9</f>
        <v>1472</v>
      </c>
      <c r="E8" s="105" t="n">
        <f aca="false">D8/D7-1</f>
        <v>0.105105105105105</v>
      </c>
    </row>
    <row r="9" customFormat="false" ht="15" hidden="false" customHeight="false" outlineLevel="0" collapsed="false">
      <c r="A9" s="97"/>
      <c r="B9" s="102" t="n">
        <v>2015</v>
      </c>
      <c r="C9" s="107"/>
      <c r="D9" s="104" t="n">
        <f aca="false">'IR operational stock 2009-2022'!B10</f>
        <v>1632</v>
      </c>
      <c r="E9" s="105" t="n">
        <f aca="false">D9/D8-1</f>
        <v>0.108695652173913</v>
      </c>
    </row>
    <row r="10" customFormat="false" ht="15" hidden="false" customHeight="false" outlineLevel="0" collapsed="false">
      <c r="A10" s="97"/>
      <c r="B10" s="102" t="n">
        <v>2016</v>
      </c>
      <c r="C10" s="107"/>
      <c r="D10" s="104" t="n">
        <f aca="false">'IR operational stock 2009-2022'!B11</f>
        <v>1838</v>
      </c>
      <c r="E10" s="105" t="n">
        <f aca="false">D10/D9-1</f>
        <v>0.126225490196078</v>
      </c>
      <c r="F10" s="108"/>
    </row>
    <row r="11" customFormat="false" ht="15" hidden="false" customHeight="false" outlineLevel="0" collapsed="false">
      <c r="A11" s="97"/>
      <c r="B11" s="102" t="n">
        <v>2017</v>
      </c>
      <c r="C11" s="109"/>
      <c r="D11" s="104" t="n">
        <f aca="false">'IR operational stock 2009-2022'!B12</f>
        <v>2125</v>
      </c>
      <c r="E11" s="105" t="n">
        <f aca="false">D11/D10-1</f>
        <v>0.156147986942329</v>
      </c>
    </row>
    <row r="12" customFormat="false" ht="15.75" hidden="false" customHeight="false" outlineLevel="0" collapsed="false">
      <c r="A12" s="97"/>
      <c r="B12" s="102" t="n">
        <v>2018</v>
      </c>
      <c r="C12" s="107"/>
      <c r="D12" s="104" t="n">
        <f aca="false">'IR operational stock 2009-2022'!B13</f>
        <v>2440</v>
      </c>
      <c r="E12" s="105" t="n">
        <f aca="false">D12/D11-1</f>
        <v>0.148235294117647</v>
      </c>
    </row>
    <row r="13" customFormat="false" ht="15" hidden="false" customHeight="false" outlineLevel="0" collapsed="false">
      <c r="B13" s="110" t="s">
        <v>42</v>
      </c>
      <c r="C13" s="111"/>
      <c r="D13" s="112" t="n">
        <f aca="false">'IR operational stock 2009-2022'!B14</f>
        <v>2747</v>
      </c>
      <c r="E13" s="113" t="n">
        <f aca="false">D13/D12-1</f>
        <v>0.125819672131148</v>
      </c>
    </row>
    <row r="14" customFormat="false" ht="15" hidden="false" customHeight="false" outlineLevel="0" collapsed="false">
      <c r="B14" s="110" t="s">
        <v>43</v>
      </c>
      <c r="C14" s="114"/>
      <c r="D14" s="112" t="n">
        <f aca="false">'IR operational stock 2009-2022'!B15</f>
        <v>3152</v>
      </c>
      <c r="E14" s="113" t="n">
        <f aca="false">D14/D13-1</f>
        <v>0.147433563887878</v>
      </c>
    </row>
    <row r="15" customFormat="false" ht="15" hidden="false" customHeight="false" outlineLevel="0" collapsed="false">
      <c r="B15" s="110" t="s">
        <v>44</v>
      </c>
      <c r="C15" s="111"/>
      <c r="D15" s="112" t="n">
        <f aca="false">'IR operational stock 2009-2022'!B16</f>
        <v>3554</v>
      </c>
      <c r="E15" s="113" t="n">
        <f aca="false">D15/D14-1</f>
        <v>0.12753807106599</v>
      </c>
    </row>
    <row r="16" customFormat="false" ht="15" hidden="false" customHeight="false" outlineLevel="0" collapsed="false">
      <c r="B16" s="110" t="s">
        <v>45</v>
      </c>
      <c r="C16" s="114"/>
      <c r="D16" s="112" t="n">
        <f aca="false">'IR operational stock 2009-2022'!B17</f>
        <v>3971</v>
      </c>
      <c r="E16" s="113" t="n">
        <f aca="false">D16/D15-1</f>
        <v>0.117332583005065</v>
      </c>
    </row>
    <row r="17" customFormat="false" ht="15.75" hidden="false" customHeight="false" outlineLevel="0" collapsed="false">
      <c r="B17" s="115" t="s">
        <v>46</v>
      </c>
      <c r="C17" s="116"/>
      <c r="D17" s="117" t="n">
        <f aca="false">D16*1.12</f>
        <v>4447.52</v>
      </c>
      <c r="E17" s="118" t="n">
        <f aca="false">D17/D16-1</f>
        <v>0.12</v>
      </c>
    </row>
    <row r="21" customFormat="false" ht="15.75" hidden="false" customHeight="false" outlineLevel="0" collapsed="false">
      <c r="D21" s="119"/>
      <c r="E21" s="119"/>
      <c r="F21" s="120"/>
      <c r="G21" s="120"/>
    </row>
    <row r="22" customFormat="false" ht="15.75" hidden="false" customHeight="false" outlineLevel="0" collapsed="false">
      <c r="C22" s="121" t="s">
        <v>47</v>
      </c>
      <c r="D22" s="121"/>
      <c r="E22" s="121"/>
      <c r="F22" s="121"/>
      <c r="G22" s="121"/>
    </row>
    <row r="23" customFormat="false" ht="15.75" hidden="false" customHeight="false" outlineLevel="0" collapsed="false">
      <c r="C23" s="122" t="s">
        <v>48</v>
      </c>
      <c r="D23" s="122"/>
      <c r="E23" s="122"/>
      <c r="F23" s="123" t="s">
        <v>49</v>
      </c>
      <c r="G23" s="123"/>
    </row>
    <row r="24" customFormat="false" ht="15.75" hidden="false" customHeight="false" outlineLevel="0" collapsed="false">
      <c r="A24" s="124"/>
      <c r="B24" s="2" t="s">
        <v>32</v>
      </c>
      <c r="C24" s="125" t="s">
        <v>33</v>
      </c>
      <c r="D24" s="126" t="s">
        <v>50</v>
      </c>
      <c r="E24" s="127" t="s">
        <v>51</v>
      </c>
      <c r="F24" s="128" t="s">
        <v>50</v>
      </c>
      <c r="G24" s="127" t="s">
        <v>51</v>
      </c>
    </row>
    <row r="25" customFormat="false" ht="15" hidden="false" customHeight="false" outlineLevel="0" collapsed="false">
      <c r="A25" s="124"/>
      <c r="B25" s="129" t="n">
        <v>2009</v>
      </c>
      <c r="C25" s="130" t="n">
        <f aca="false">'IR operational stock 2009-2022'!B4/1000</f>
        <v>1.021</v>
      </c>
      <c r="D25" s="131"/>
      <c r="E25" s="132"/>
      <c r="F25" s="133"/>
      <c r="G25" s="134"/>
    </row>
    <row r="26" customFormat="false" ht="15" hidden="false" customHeight="false" outlineLevel="0" collapsed="false">
      <c r="A26" s="124"/>
      <c r="B26" s="135" t="n">
        <v>2010</v>
      </c>
      <c r="C26" s="136" t="n">
        <f aca="false">'IR operational stock 2009-2022'!B5/1000</f>
        <v>1.059</v>
      </c>
      <c r="D26" s="137"/>
      <c r="E26" s="138"/>
      <c r="F26" s="139"/>
      <c r="G26" s="140"/>
    </row>
    <row r="27" customFormat="false" ht="15" hidden="false" customHeight="false" outlineLevel="0" collapsed="false">
      <c r="A27" s="124"/>
      <c r="B27" s="135" t="n">
        <v>2011</v>
      </c>
      <c r="C27" s="136" t="n">
        <f aca="false">'IR operational stock 2009-2022'!B6/1000</f>
        <v>1.153</v>
      </c>
      <c r="D27" s="137"/>
      <c r="E27" s="138"/>
      <c r="F27" s="139"/>
      <c r="G27" s="140"/>
    </row>
    <row r="28" customFormat="false" ht="15" hidden="false" customHeight="false" outlineLevel="0" collapsed="false">
      <c r="A28" s="124"/>
      <c r="B28" s="135" t="n">
        <v>2012</v>
      </c>
      <c r="C28" s="136" t="n">
        <f aca="false">'IR operational stock 2009-2022'!B7/1000</f>
        <v>1.235</v>
      </c>
      <c r="D28" s="137"/>
      <c r="E28" s="138"/>
      <c r="F28" s="139"/>
      <c r="G28" s="140"/>
    </row>
    <row r="29" customFormat="false" ht="15" hidden="false" customHeight="false" outlineLevel="0" collapsed="false">
      <c r="A29" s="124"/>
      <c r="B29" s="135" t="n">
        <v>2013</v>
      </c>
      <c r="C29" s="136" t="n">
        <f aca="false">'IR operational stock 2009-2022'!B8/1000</f>
        <v>1.332</v>
      </c>
      <c r="D29" s="137"/>
      <c r="E29" s="138"/>
      <c r="F29" s="139"/>
      <c r="G29" s="140"/>
    </row>
    <row r="30" customFormat="false" ht="15" hidden="false" customHeight="false" outlineLevel="0" collapsed="false">
      <c r="A30" s="124"/>
      <c r="B30" s="135" t="n">
        <v>2014</v>
      </c>
      <c r="C30" s="136" t="n">
        <f aca="false">'IR operational stock 2009-2022'!B9/1000</f>
        <v>1.472</v>
      </c>
      <c r="D30" s="137"/>
      <c r="E30" s="138"/>
      <c r="F30" s="139"/>
      <c r="G30" s="140"/>
    </row>
    <row r="31" customFormat="false" ht="15" hidden="false" customHeight="false" outlineLevel="0" collapsed="false">
      <c r="A31" s="124"/>
      <c r="B31" s="129" t="n">
        <v>2015</v>
      </c>
      <c r="C31" s="136" t="n">
        <f aca="false">'IR operational stock 2009-2022'!B10/1000</f>
        <v>1.632</v>
      </c>
      <c r="D31" s="141" t="n">
        <f aca="false">C31</f>
        <v>1.632</v>
      </c>
      <c r="E31" s="142" t="n">
        <f aca="false">C31</f>
        <v>1.632</v>
      </c>
      <c r="F31" s="143"/>
      <c r="G31" s="144"/>
    </row>
    <row r="32" customFormat="false" ht="15" hidden="false" customHeight="false" outlineLevel="0" collapsed="false">
      <c r="A32" s="124"/>
      <c r="B32" s="135" t="n">
        <v>2016</v>
      </c>
      <c r="C32" s="136" t="n">
        <f aca="false">'IR operational stock 2009-2022'!B11/1000</f>
        <v>1.838</v>
      </c>
      <c r="D32" s="145" t="n">
        <f aca="false">D31*(1+$D$42)</f>
        <v>1.82784</v>
      </c>
      <c r="E32" s="142" t="n">
        <f aca="false">E31*(1+$E$42)</f>
        <v>2.04</v>
      </c>
      <c r="F32" s="143"/>
      <c r="G32" s="144"/>
    </row>
    <row r="33" customFormat="false" ht="15" hidden="false" customHeight="false" outlineLevel="0" collapsed="false">
      <c r="A33" s="124"/>
      <c r="B33" s="135" t="n">
        <v>2017</v>
      </c>
      <c r="C33" s="136" t="n">
        <f aca="false">'IR operational stock 2009-2022'!B12/1000</f>
        <v>2.125</v>
      </c>
      <c r="D33" s="145" t="n">
        <f aca="false">D32*(1+$D$42)</f>
        <v>2.0471808</v>
      </c>
      <c r="E33" s="142" t="n">
        <f aca="false">E32*(1+$E$42)</f>
        <v>2.55</v>
      </c>
      <c r="F33" s="143" t="n">
        <f aca="false">D33*K33/J33</f>
        <v>0.130671114893617</v>
      </c>
      <c r="G33" s="144"/>
      <c r="J33" s="0" t="n">
        <v>94</v>
      </c>
      <c r="K33" s="0" t="n">
        <v>6</v>
      </c>
    </row>
    <row r="34" customFormat="false" ht="15" hidden="false" customHeight="false" outlineLevel="0" collapsed="false">
      <c r="A34" s="124"/>
      <c r="B34" s="135" t="n">
        <v>2018</v>
      </c>
      <c r="C34" s="136" t="n">
        <f aca="false">'IR operational stock 2009-2022'!B13/1000</f>
        <v>2.44</v>
      </c>
      <c r="D34" s="145" t="n">
        <f aca="false">D33*(1+$D$42)</f>
        <v>2.292842496</v>
      </c>
      <c r="E34" s="142" t="n">
        <f aca="false">E33*(1+$E$42)</f>
        <v>3.1875</v>
      </c>
      <c r="F34" s="143" t="n">
        <f aca="false">D34*K34/J34</f>
        <v>0.283385027595506</v>
      </c>
      <c r="G34" s="144"/>
      <c r="J34" s="0" t="n">
        <v>89</v>
      </c>
      <c r="K34" s="0" t="n">
        <v>11</v>
      </c>
    </row>
    <row r="35" customFormat="false" ht="15" hidden="false" customHeight="false" outlineLevel="0" collapsed="false">
      <c r="A35" s="124" t="s">
        <v>52</v>
      </c>
      <c r="B35" s="135" t="n">
        <v>2019</v>
      </c>
      <c r="C35" s="136" t="n">
        <f aca="false">'IR operational stock 2009-2022'!B14/1000</f>
        <v>2.747</v>
      </c>
      <c r="D35" s="145" t="n">
        <f aca="false">D34*(1+$D$42)</f>
        <v>2.56798359552</v>
      </c>
      <c r="E35" s="142" t="n">
        <f aca="false">E34*(1+$E$42)</f>
        <v>3.984375</v>
      </c>
      <c r="F35" s="143" t="n">
        <f aca="false">D35*K35/J35</f>
        <v>0.48913973248</v>
      </c>
      <c r="G35" s="144"/>
      <c r="J35" s="0" t="n">
        <v>84</v>
      </c>
      <c r="K35" s="0" t="n">
        <v>16</v>
      </c>
    </row>
    <row r="36" customFormat="false" ht="15" hidden="false" customHeight="false" outlineLevel="0" collapsed="false">
      <c r="A36" s="124" t="s">
        <v>52</v>
      </c>
      <c r="B36" s="135" t="n">
        <v>2020</v>
      </c>
      <c r="C36" s="136" t="n">
        <f aca="false">'IR operational stock 2009-2022'!B15/1000</f>
        <v>3.152</v>
      </c>
      <c r="D36" s="145" t="n">
        <f aca="false">D35*(1+$D$42)</f>
        <v>2.8761416269824</v>
      </c>
      <c r="E36" s="142" t="n">
        <f aca="false">E35*(1+$E$42)</f>
        <v>4.98046875</v>
      </c>
      <c r="F36" s="143" t="n">
        <f aca="false">D36*K36/J36</f>
        <v>0.76454397679279</v>
      </c>
      <c r="G36" s="144"/>
      <c r="J36" s="0" t="n">
        <v>79</v>
      </c>
      <c r="K36" s="0" t="n">
        <v>21</v>
      </c>
    </row>
    <row r="37" customFormat="false" ht="15" hidden="false" customHeight="false" outlineLevel="0" collapsed="false">
      <c r="A37" s="124" t="s">
        <v>52</v>
      </c>
      <c r="B37" s="129" t="n">
        <v>2021</v>
      </c>
      <c r="C37" s="136" t="n">
        <f aca="false">'IR operational stock 2009-2022'!B16/1000</f>
        <v>3.554</v>
      </c>
      <c r="D37" s="145" t="n">
        <f aca="false">D36*(1+$D$42)</f>
        <v>3.22127862222029</v>
      </c>
      <c r="E37" s="142" t="n">
        <f aca="false">E36*(1+$E$42)</f>
        <v>6.2255859375</v>
      </c>
      <c r="F37" s="143" t="n">
        <f aca="false">D37*K37/J37</f>
        <v>1.01724588070114</v>
      </c>
      <c r="G37" s="144"/>
      <c r="J37" s="0" t="n">
        <v>76</v>
      </c>
      <c r="K37" s="0" t="n">
        <v>24</v>
      </c>
    </row>
    <row r="38" customFormat="false" ht="15" hidden="false" customHeight="false" outlineLevel="0" collapsed="false">
      <c r="A38" s="124" t="s">
        <v>52</v>
      </c>
      <c r="B38" s="135" t="n">
        <v>2022</v>
      </c>
      <c r="C38" s="136" t="n">
        <f aca="false">'IR operational stock 2009-2022'!B17/1000</f>
        <v>3.971</v>
      </c>
      <c r="D38" s="145" t="n">
        <f aca="false">D37*(1+$D$42)</f>
        <v>3.60783205688673</v>
      </c>
      <c r="E38" s="142" t="n">
        <f aca="false">E37*(1+$E$42)</f>
        <v>7.781982421875</v>
      </c>
      <c r="F38" s="143"/>
      <c r="G38" s="144"/>
    </row>
    <row r="39" customFormat="false" ht="15" hidden="false" customHeight="false" outlineLevel="0" collapsed="false">
      <c r="A39" s="124"/>
      <c r="B39" s="135" t="n">
        <v>2023</v>
      </c>
      <c r="C39" s="146"/>
      <c r="D39" s="145" t="n">
        <f aca="false">D38*(1+$D$42)</f>
        <v>4.04077190371313</v>
      </c>
      <c r="E39" s="142" t="n">
        <f aca="false">E38*(1+$E$42)</f>
        <v>9.72747802734375</v>
      </c>
      <c r="F39" s="143"/>
      <c r="G39" s="144"/>
    </row>
    <row r="40" customFormat="false" ht="15" hidden="false" customHeight="false" outlineLevel="0" collapsed="false">
      <c r="A40" s="124"/>
      <c r="B40" s="135" t="n">
        <v>2024</v>
      </c>
      <c r="C40" s="147"/>
      <c r="D40" s="145" t="n">
        <f aca="false">D39*(1+$D$42)</f>
        <v>4.52566453215871</v>
      </c>
      <c r="E40" s="142" t="n">
        <f aca="false">E39*(1+$E$42)</f>
        <v>12.1593475341797</v>
      </c>
      <c r="F40" s="143"/>
      <c r="G40" s="144"/>
    </row>
    <row r="41" customFormat="false" ht="15" hidden="false" customHeight="false" outlineLevel="0" collapsed="false">
      <c r="A41" s="124"/>
      <c r="B41" s="135" t="n">
        <v>2025</v>
      </c>
      <c r="C41" s="146"/>
      <c r="D41" s="145" t="n">
        <f aca="false">D40*(1+$D$42)</f>
        <v>5.06874427601776</v>
      </c>
      <c r="E41" s="142" t="n">
        <f aca="false">E40*(1+$E$42)</f>
        <v>15.1991844177246</v>
      </c>
      <c r="F41" s="143"/>
      <c r="G41" s="144"/>
    </row>
    <row r="42" customFormat="false" ht="15.75" hidden="false" customHeight="false" outlineLevel="0" collapsed="false">
      <c r="A42" s="124"/>
      <c r="B42" s="148" t="s">
        <v>53</v>
      </c>
      <c r="C42" s="149"/>
      <c r="D42" s="150" t="n">
        <v>0.12</v>
      </c>
      <c r="E42" s="151" t="n">
        <v>0.25</v>
      </c>
      <c r="F42" s="152"/>
      <c r="G42" s="153"/>
    </row>
    <row r="44" customFormat="false" ht="15" hidden="false" customHeight="false" outlineLevel="0" collapsed="false">
      <c r="B44" s="154" t="s">
        <v>54</v>
      </c>
      <c r="C44" s="155" t="s">
        <v>55</v>
      </c>
      <c r="D44" s="155"/>
      <c r="E44" s="155"/>
      <c r="F44" s="155"/>
      <c r="G44" s="155"/>
      <c r="H44" s="155"/>
    </row>
    <row r="48" customFormat="false" ht="15" hidden="false" customHeight="false" outlineLevel="0" collapsed="false">
      <c r="F48" s="156" t="n">
        <f aca="false">F33/(F33+D33)</f>
        <v>0.06</v>
      </c>
    </row>
  </sheetData>
  <mergeCells count="7">
    <mergeCell ref="B1:E1"/>
    <mergeCell ref="B2:C2"/>
    <mergeCell ref="A3:A12"/>
    <mergeCell ref="C22:G22"/>
    <mergeCell ref="C23:E23"/>
    <mergeCell ref="F23:G23"/>
    <mergeCell ref="C44:H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1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L4" activeCellId="0" sqref="L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10.85"/>
    <col collapsed="false" customWidth="true" hidden="false" outlineLevel="0" max="3" min="3" style="0" width="9.85"/>
    <col collapsed="false" customWidth="true" hidden="false" outlineLevel="0" max="8" min="8" style="0" width="17"/>
    <col collapsed="false" customWidth="true" hidden="false" outlineLevel="0" max="11" min="11" style="0" width="15.87"/>
    <col collapsed="false" customWidth="true" hidden="false" outlineLevel="0" max="13" min="13" style="0" width="9.85"/>
  </cols>
  <sheetData>
    <row r="1" customFormat="false" ht="10.15" hidden="false" customHeight="true" outlineLevel="0" collapsed="false"/>
    <row r="2" customFormat="false" ht="31.9" hidden="false" customHeight="true" outlineLevel="0" collapsed="false">
      <c r="A2" s="157" t="s">
        <v>56</v>
      </c>
      <c r="B2" s="157"/>
      <c r="C2" s="157"/>
      <c r="K2" s="158" t="s">
        <v>57</v>
      </c>
      <c r="L2" s="158"/>
      <c r="M2" s="158"/>
    </row>
    <row r="3" customFormat="false" ht="15" hidden="false" customHeight="false" outlineLevel="0" collapsed="false">
      <c r="A3" s="159" t="s">
        <v>32</v>
      </c>
      <c r="B3" s="159" t="s">
        <v>58</v>
      </c>
      <c r="C3" s="160" t="s">
        <v>59</v>
      </c>
      <c r="G3" s="161" t="s">
        <v>60</v>
      </c>
      <c r="H3" s="161"/>
      <c r="K3" s="159" t="s">
        <v>32</v>
      </c>
      <c r="L3" s="160" t="s">
        <v>58</v>
      </c>
      <c r="M3" s="160" t="s">
        <v>59</v>
      </c>
    </row>
    <row r="4" customFormat="false" ht="15" hidden="false" customHeight="false" outlineLevel="0" collapsed="false">
      <c r="A4" s="162" t="n">
        <v>2015</v>
      </c>
      <c r="B4" s="163" t="n">
        <f aca="false">D4/1000</f>
        <v>10.649</v>
      </c>
      <c r="C4" s="163" t="n">
        <f aca="false">E4/1000</f>
        <v>10.649</v>
      </c>
      <c r="D4" s="163" t="n">
        <v>10649</v>
      </c>
      <c r="E4" s="163" t="n">
        <v>10649</v>
      </c>
      <c r="G4" s="163" t="n">
        <v>10649</v>
      </c>
      <c r="H4" s="163" t="n">
        <v>10649</v>
      </c>
      <c r="K4" s="162" t="n">
        <v>2015</v>
      </c>
      <c r="L4" s="163" t="n">
        <f aca="false">(2*1000*(G4)*31536000)/(1*10^15)</f>
        <v>0.671653728</v>
      </c>
      <c r="M4" s="163" t="n">
        <f aca="false">(2*1000*(H4)*31536000)/(1*10^15)</f>
        <v>0.671653728</v>
      </c>
    </row>
    <row r="5" customFormat="false" ht="15" hidden="false" customHeight="false" outlineLevel="0" collapsed="false">
      <c r="A5" s="162" t="s">
        <v>21</v>
      </c>
      <c r="B5" s="163" t="n">
        <f aca="false">D5/1000</f>
        <v>21.719</v>
      </c>
      <c r="C5" s="163" t="n">
        <f aca="false">E5/1000</f>
        <v>21.719</v>
      </c>
      <c r="D5" s="163" t="n">
        <v>21719</v>
      </c>
      <c r="E5" s="163" t="n">
        <v>21719</v>
      </c>
      <c r="G5" s="163" t="n">
        <f aca="false">D5+G4</f>
        <v>32368</v>
      </c>
      <c r="H5" s="163" t="n">
        <f aca="false">E5+H4</f>
        <v>32368</v>
      </c>
      <c r="K5" s="162" t="s">
        <v>21</v>
      </c>
      <c r="L5" s="163" t="n">
        <f aca="false">(2*1000*(G5)*31536000)/(1*10^15)</f>
        <v>2.041514496</v>
      </c>
      <c r="M5" s="163" t="n">
        <f aca="false">(2*1000*(H5)*31536000)/(1*10^15)</f>
        <v>2.041514496</v>
      </c>
      <c r="AA5" s="162" t="n">
        <v>2015</v>
      </c>
      <c r="AB5" s="163" t="n">
        <v>10.649</v>
      </c>
      <c r="AC5" s="163" t="n">
        <v>10.649</v>
      </c>
    </row>
    <row r="6" customFormat="false" ht="15" hidden="false" customHeight="false" outlineLevel="0" collapsed="false">
      <c r="A6" s="162" t="s">
        <v>22</v>
      </c>
      <c r="B6" s="163" t="n">
        <f aca="false">D6/1000</f>
        <v>34.07</v>
      </c>
      <c r="C6" s="163" t="n">
        <f aca="false">E6/1000</f>
        <v>34.07</v>
      </c>
      <c r="D6" s="163" t="n">
        <v>34070</v>
      </c>
      <c r="E6" s="163" t="n">
        <v>34070</v>
      </c>
      <c r="G6" s="163" t="n">
        <f aca="false">D6+G5</f>
        <v>66438</v>
      </c>
      <c r="H6" s="163" t="n">
        <f aca="false">E6+H5</f>
        <v>66438</v>
      </c>
      <c r="K6" s="162" t="s">
        <v>22</v>
      </c>
      <c r="L6" s="163" t="n">
        <f aca="false">(2*1000*(G6)*31536000)/(1*10^15)</f>
        <v>4.190377536</v>
      </c>
      <c r="M6" s="163" t="n">
        <f aca="false">(2*1000*(H6)*31536000)/(1*10^15)</f>
        <v>4.190377536</v>
      </c>
      <c r="AA6" s="162" t="n">
        <v>2016</v>
      </c>
      <c r="AB6" s="163" t="n">
        <v>21.719</v>
      </c>
      <c r="AC6" s="163" t="n">
        <v>21.719</v>
      </c>
    </row>
    <row r="7" customFormat="false" ht="15" hidden="false" customHeight="false" outlineLevel="0" collapsed="false">
      <c r="A7" s="162" t="s">
        <v>61</v>
      </c>
      <c r="B7" s="163" t="n">
        <f aca="false">D7/1000</f>
        <v>53.733</v>
      </c>
      <c r="C7" s="163" t="n">
        <f aca="false">E7/1000</f>
        <v>53.733</v>
      </c>
      <c r="D7" s="163" t="n">
        <v>53733</v>
      </c>
      <c r="E7" s="163" t="n">
        <v>53733</v>
      </c>
      <c r="G7" s="163" t="n">
        <f aca="false">D7+G6</f>
        <v>120171</v>
      </c>
      <c r="H7" s="163" t="n">
        <f aca="false">E7+H6</f>
        <v>120171</v>
      </c>
      <c r="K7" s="162" t="s">
        <v>61</v>
      </c>
      <c r="L7" s="163" t="n">
        <f aca="false">(2*1000*(G7)*31536000)/(1*10^15)</f>
        <v>7.579425312</v>
      </c>
      <c r="M7" s="163" t="n">
        <f aca="false">(2*1000*(H7)*31536000)/(1*10^15)</f>
        <v>7.579425312</v>
      </c>
      <c r="AA7" s="162" t="n">
        <v>2017</v>
      </c>
      <c r="AB7" s="163" t="n">
        <v>34.07</v>
      </c>
      <c r="AC7" s="163" t="n">
        <v>34.07</v>
      </c>
    </row>
    <row r="8" customFormat="false" ht="15" hidden="false" customHeight="false" outlineLevel="0" collapsed="false">
      <c r="A8" s="162" t="s">
        <v>42</v>
      </c>
      <c r="B8" s="163" t="n">
        <f aca="false">D8/1000</f>
        <v>85.222</v>
      </c>
      <c r="C8" s="163" t="n">
        <f aca="false">E8/1000</f>
        <v>85.222</v>
      </c>
      <c r="D8" s="163" t="n">
        <v>85222</v>
      </c>
      <c r="E8" s="163" t="n">
        <v>85222</v>
      </c>
      <c r="G8" s="163" t="n">
        <f aca="false">D8+G7</f>
        <v>205393</v>
      </c>
      <c r="H8" s="163" t="n">
        <f aca="false">E8+H7</f>
        <v>205393</v>
      </c>
      <c r="K8" s="162" t="s">
        <v>42</v>
      </c>
      <c r="L8" s="163" t="n">
        <f aca="false">(2*1000*(G8)*31536000)/(1*10^15)</f>
        <v>12.954547296</v>
      </c>
      <c r="M8" s="163" t="n">
        <f aca="false">(2*1000*(H8)*31536000)/(1*10^15)</f>
        <v>12.954547296</v>
      </c>
      <c r="AA8" s="162" t="n">
        <v>2018</v>
      </c>
      <c r="AB8" s="163" t="n">
        <v>53.733</v>
      </c>
      <c r="AC8" s="163" t="n">
        <v>53.733</v>
      </c>
    </row>
    <row r="9" customFormat="false" ht="15" hidden="false" customHeight="false" outlineLevel="0" collapsed="false">
      <c r="A9" s="162" t="s">
        <v>43</v>
      </c>
      <c r="B9" s="163" t="n">
        <f aca="false">D9/1000</f>
        <v>135.952</v>
      </c>
      <c r="C9" s="163" t="n">
        <f aca="false">E9/1000</f>
        <v>135.952</v>
      </c>
      <c r="D9" s="163" t="n">
        <v>135952</v>
      </c>
      <c r="E9" s="163" t="n">
        <v>135952</v>
      </c>
      <c r="G9" s="163" t="n">
        <f aca="false">D9+G8</f>
        <v>341345</v>
      </c>
      <c r="H9" s="163" t="n">
        <f aca="false">E9+H8</f>
        <v>341345</v>
      </c>
      <c r="K9" s="162" t="s">
        <v>43</v>
      </c>
      <c r="L9" s="163" t="n">
        <f aca="false">(2*1000*(G9)*31536000)/(1*10^15)</f>
        <v>21.52931184</v>
      </c>
      <c r="M9" s="163" t="n">
        <f aca="false">(2*1000*(H9)*31536000)/(1*10^15)</f>
        <v>21.52931184</v>
      </c>
      <c r="AA9" s="162" t="n">
        <v>2019</v>
      </c>
      <c r="AB9" s="163" t="n">
        <v>85.222</v>
      </c>
      <c r="AC9" s="163" t="n">
        <v>85.222</v>
      </c>
    </row>
    <row r="10" customFormat="false" ht="15" hidden="false" customHeight="false" outlineLevel="0" collapsed="false">
      <c r="A10" s="162" t="s">
        <v>44</v>
      </c>
      <c r="B10" s="163" t="n">
        <f aca="false">D10/1000</f>
        <v>217.5232</v>
      </c>
      <c r="C10" s="163" t="n">
        <f aca="false">E10/1000</f>
        <v>271.904</v>
      </c>
      <c r="D10" s="163" t="n">
        <f aca="false">D9*(1+$B$15)</f>
        <v>217523.2</v>
      </c>
      <c r="E10" s="163" t="n">
        <f aca="false">E9*(1+$C$15)</f>
        <v>271904</v>
      </c>
      <c r="G10" s="163" t="n">
        <f aca="false">D10+G9</f>
        <v>558868.2</v>
      </c>
      <c r="H10" s="163" t="n">
        <f aca="false">E10+H9</f>
        <v>613249</v>
      </c>
      <c r="K10" s="162" t="s">
        <v>44</v>
      </c>
      <c r="L10" s="163" t="n">
        <f aca="false">(2*1000*(G10)*31536000)/(1*10^15)</f>
        <v>35.2489351104</v>
      </c>
      <c r="M10" s="163" t="n">
        <f aca="false">(2*1000*(H10)*31536000)/(1*10^15)</f>
        <v>38.678840928</v>
      </c>
      <c r="AA10" s="162" t="n">
        <v>2020</v>
      </c>
      <c r="AB10" s="163" t="n">
        <v>135.952</v>
      </c>
      <c r="AC10" s="163" t="n">
        <v>135.952</v>
      </c>
    </row>
    <row r="11" customFormat="false" ht="15" hidden="false" customHeight="false" outlineLevel="0" collapsed="false">
      <c r="A11" s="162" t="s">
        <v>45</v>
      </c>
      <c r="B11" s="163" t="n">
        <f aca="false">D11/1000</f>
        <v>348.03712</v>
      </c>
      <c r="C11" s="163" t="n">
        <f aca="false">E11/1000</f>
        <v>543.808</v>
      </c>
      <c r="D11" s="163" t="n">
        <f aca="false">D10*(1+$B$15)</f>
        <v>348037.12</v>
      </c>
      <c r="E11" s="163" t="n">
        <f aca="false">E10*(1+$C$15)</f>
        <v>543808</v>
      </c>
      <c r="G11" s="163" t="n">
        <f aca="false">D11+G10</f>
        <v>906905.32</v>
      </c>
      <c r="H11" s="163" t="n">
        <f aca="false">E11+H10</f>
        <v>1157057</v>
      </c>
      <c r="K11" s="162" t="s">
        <v>45</v>
      </c>
      <c r="L11" s="163" t="n">
        <f aca="false">(2*1000*(G11)*31536000)/(1*10^15)</f>
        <v>57.20033234304</v>
      </c>
      <c r="M11" s="163" t="n">
        <f aca="false">(2*1000*(H11)*31536000)/(1*10^15)</f>
        <v>72.977899104</v>
      </c>
      <c r="AA11" s="162" t="n">
        <v>2021</v>
      </c>
      <c r="AB11" s="163" t="n">
        <v>217.5232</v>
      </c>
      <c r="AC11" s="163" t="n">
        <v>271.904</v>
      </c>
    </row>
    <row r="12" customFormat="false" ht="15" hidden="false" customHeight="false" outlineLevel="0" collapsed="false">
      <c r="A12" s="162" t="s">
        <v>46</v>
      </c>
      <c r="B12" s="163" t="n">
        <f aca="false">D12/1000</f>
        <v>556.859392</v>
      </c>
      <c r="C12" s="163" t="n">
        <f aca="false">E12/1000</f>
        <v>1087.616</v>
      </c>
      <c r="D12" s="163" t="n">
        <f aca="false">D11*(1+$B$15)</f>
        <v>556859.392</v>
      </c>
      <c r="E12" s="163" t="n">
        <f aca="false">E11*(1+$C$15)</f>
        <v>1087616</v>
      </c>
      <c r="G12" s="163" t="n">
        <f aca="false">D12+G11</f>
        <v>1463764.712</v>
      </c>
      <c r="H12" s="163" t="n">
        <f aca="false">E12+H11</f>
        <v>2244673</v>
      </c>
      <c r="K12" s="162" t="s">
        <v>46</v>
      </c>
      <c r="L12" s="163" t="n">
        <f aca="false">(2*1000*(G12)*31536000)/(1*10^15)</f>
        <v>92.322567915264</v>
      </c>
      <c r="M12" s="163" t="n">
        <f aca="false">(2*1000*(H12)*31536000)/(1*10^15)</f>
        <v>141.576015456</v>
      </c>
      <c r="AA12" s="162" t="n">
        <v>2022</v>
      </c>
      <c r="AB12" s="163" t="n">
        <v>348.03712</v>
      </c>
      <c r="AC12" s="163" t="n">
        <v>543.808</v>
      </c>
    </row>
    <row r="13" customFormat="false" ht="15" hidden="false" customHeight="false" outlineLevel="0" collapsed="false">
      <c r="A13" s="162" t="s">
        <v>62</v>
      </c>
      <c r="B13" s="163" t="n">
        <f aca="false">D13/1000</f>
        <v>890.9750272</v>
      </c>
      <c r="C13" s="163" t="n">
        <f aca="false">E13/1000</f>
        <v>2175.232</v>
      </c>
      <c r="D13" s="163" t="n">
        <f aca="false">D12*(1+$B$15)</f>
        <v>890975.0272</v>
      </c>
      <c r="E13" s="163" t="n">
        <f aca="false">E12*(1+$C$15)</f>
        <v>2175232</v>
      </c>
      <c r="G13" s="163" t="n">
        <f aca="false">D13+G12</f>
        <v>2354739.7392</v>
      </c>
      <c r="H13" s="163" t="n">
        <f aca="false">E13+H12</f>
        <v>4419905</v>
      </c>
      <c r="K13" s="162" t="s">
        <v>62</v>
      </c>
      <c r="L13" s="163" t="n">
        <f aca="false">(2*1000*(G13)*31536000)/(1*10^15)</f>
        <v>148.518144830822</v>
      </c>
      <c r="M13" s="163" t="n">
        <f aca="false">(2*1000*(H13)*31536000)/(1*10^15)</f>
        <v>278.77224816</v>
      </c>
      <c r="AA13" s="162" t="n">
        <v>2023</v>
      </c>
      <c r="AB13" s="163" t="n">
        <v>556.859392</v>
      </c>
      <c r="AC13" s="163" t="n">
        <v>1087.616</v>
      </c>
    </row>
    <row r="14" customFormat="false" ht="15" hidden="false" customHeight="false" outlineLevel="0" collapsed="false">
      <c r="A14" s="162" t="s">
        <v>63</v>
      </c>
      <c r="B14" s="163" t="n">
        <f aca="false">D14/1000</f>
        <v>1425.56004352</v>
      </c>
      <c r="C14" s="163" t="n">
        <f aca="false">E14/1000</f>
        <v>4350.464</v>
      </c>
      <c r="D14" s="163" t="n">
        <f aca="false">D13*(1+$B$15)</f>
        <v>1425560.04352</v>
      </c>
      <c r="E14" s="163" t="n">
        <f aca="false">E13*(1+$C$15)</f>
        <v>4350464</v>
      </c>
      <c r="G14" s="163" t="n">
        <f aca="false">D14+G13</f>
        <v>3780299.78272</v>
      </c>
      <c r="H14" s="163" t="n">
        <f aca="false">E14+H13</f>
        <v>8770369</v>
      </c>
      <c r="K14" s="162" t="s">
        <v>63</v>
      </c>
      <c r="L14" s="163" t="n">
        <f aca="false">(2*1000*(G14)*31536000)/(1*10^15)</f>
        <v>238.431067895716</v>
      </c>
      <c r="M14" s="163" t="n">
        <f aca="false">(2*1000*(H14)*31536000)/(1*10^15)</f>
        <v>553.164713568</v>
      </c>
      <c r="AA14" s="162" t="n">
        <v>2024</v>
      </c>
      <c r="AB14" s="163" t="n">
        <v>890.9750272</v>
      </c>
      <c r="AC14" s="163" t="n">
        <v>2175.232</v>
      </c>
    </row>
    <row r="15" customFormat="false" ht="15" hidden="false" customHeight="false" outlineLevel="0" collapsed="false">
      <c r="A15" s="0" t="s">
        <v>64</v>
      </c>
      <c r="B15" s="106" t="n">
        <v>0.6</v>
      </c>
      <c r="C15" s="106" t="n">
        <v>1</v>
      </c>
      <c r="K15" s="0" t="s">
        <v>64</v>
      </c>
      <c r="L15" s="106" t="n">
        <v>0.6</v>
      </c>
      <c r="M15" s="106" t="n">
        <v>0.8</v>
      </c>
      <c r="AA15" s="162" t="n">
        <v>2025</v>
      </c>
      <c r="AB15" s="163" t="n">
        <v>1425.56004352</v>
      </c>
      <c r="AC15" s="163" t="n">
        <v>4350.464</v>
      </c>
    </row>
    <row r="18" customFormat="false" ht="15" hidden="false" customHeight="false" outlineLevel="0" collapsed="false">
      <c r="F18" s="164" t="s">
        <v>65</v>
      </c>
      <c r="G18" s="164"/>
      <c r="H18" s="164" t="s">
        <v>66</v>
      </c>
      <c r="I18" s="164"/>
      <c r="J18" s="164" t="s">
        <v>67</v>
      </c>
      <c r="K18" s="164"/>
      <c r="L18" s="164" t="s">
        <v>68</v>
      </c>
      <c r="M18" s="164"/>
      <c r="N18" s="164" t="s">
        <v>69</v>
      </c>
      <c r="O18" s="164"/>
      <c r="P18" s="0" t="s">
        <v>70</v>
      </c>
    </row>
    <row r="19" customFormat="false" ht="15" hidden="false" customHeight="false" outlineLevel="0" collapsed="false">
      <c r="F19" s="0" t="s">
        <v>71</v>
      </c>
      <c r="G19" s="0" t="s">
        <v>72</v>
      </c>
      <c r="J19" s="0" t="s">
        <v>71</v>
      </c>
      <c r="K19" s="0" t="s">
        <v>73</v>
      </c>
      <c r="L19" s="0" t="s">
        <v>71</v>
      </c>
      <c r="M19" s="0" t="s">
        <v>73</v>
      </c>
      <c r="N19" s="0" t="s">
        <v>71</v>
      </c>
      <c r="O19" s="0" t="s">
        <v>73</v>
      </c>
      <c r="P19" s="0" t="s">
        <v>71</v>
      </c>
      <c r="Q19" s="0" t="s">
        <v>73</v>
      </c>
    </row>
    <row r="20" customFormat="false" ht="64.5" hidden="false" customHeight="false" outlineLevel="0" collapsed="false">
      <c r="F20" s="0" t="s">
        <v>74</v>
      </c>
      <c r="G20" s="165" t="s">
        <v>75</v>
      </c>
      <c r="H20" s="0" t="s">
        <v>76</v>
      </c>
      <c r="I20" s="165" t="s">
        <v>77</v>
      </c>
      <c r="J20" s="0" t="s">
        <v>78</v>
      </c>
      <c r="K20" s="0" t="s">
        <v>79</v>
      </c>
      <c r="L20" s="0" t="s">
        <v>80</v>
      </c>
      <c r="M20" s="165" t="s">
        <v>81</v>
      </c>
      <c r="N20" s="0" t="s">
        <v>82</v>
      </c>
      <c r="O20" s="0" t="s">
        <v>83</v>
      </c>
      <c r="P20" s="0" t="s">
        <v>84</v>
      </c>
      <c r="Q20" s="0" t="s">
        <v>85</v>
      </c>
    </row>
    <row r="21" customFormat="false" ht="64.5" hidden="false" customHeight="false" outlineLevel="0" collapsed="false">
      <c r="F21" s="0" t="s">
        <v>86</v>
      </c>
      <c r="G21" s="165" t="s">
        <v>75</v>
      </c>
      <c r="H21" s="0" t="s">
        <v>87</v>
      </c>
      <c r="I21" s="165" t="s">
        <v>77</v>
      </c>
    </row>
    <row r="22" customFormat="false" ht="64.5" hidden="false" customHeight="false" outlineLevel="0" collapsed="false">
      <c r="H22" s="0" t="s">
        <v>88</v>
      </c>
      <c r="I22" s="165" t="s">
        <v>77</v>
      </c>
    </row>
    <row r="31" customFormat="false" ht="15" hidden="false" customHeight="false" outlineLevel="0" collapsed="false">
      <c r="E31" s="0" t="n">
        <f aca="false">48*12</f>
        <v>576</v>
      </c>
    </row>
  </sheetData>
  <mergeCells count="8">
    <mergeCell ref="A2:C2"/>
    <mergeCell ref="K2:M2"/>
    <mergeCell ref="G3:H3"/>
    <mergeCell ref="F18:G18"/>
    <mergeCell ref="H18:I18"/>
    <mergeCell ref="J18:K18"/>
    <mergeCell ref="L18:M18"/>
    <mergeCell ref="N18:O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4.43"/>
    <col collapsed="false" customWidth="true" hidden="false" outlineLevel="0" max="3" min="3" style="0" width="13.7"/>
  </cols>
  <sheetData>
    <row r="1" customFormat="false" ht="15" hidden="false" customHeight="false" outlineLevel="0" collapsed="false">
      <c r="A1" s="166" t="s">
        <v>89</v>
      </c>
      <c r="B1" s="166" t="s">
        <v>90</v>
      </c>
      <c r="C1" s="166" t="s">
        <v>91</v>
      </c>
    </row>
    <row r="2" customFormat="false" ht="15" hidden="false" customHeight="false" outlineLevel="0" collapsed="false">
      <c r="A2" s="0" t="s">
        <v>92</v>
      </c>
      <c r="B2" s="0" t="n">
        <v>400</v>
      </c>
      <c r="C2" s="92" t="n">
        <f aca="false">B2/SUM($B$2:$B$10)</f>
        <v>0.287769784172662</v>
      </c>
    </row>
    <row r="3" customFormat="false" ht="15" hidden="false" customHeight="false" outlineLevel="0" collapsed="false">
      <c r="A3" s="0" t="s">
        <v>1</v>
      </c>
      <c r="B3" s="0" t="n">
        <v>300</v>
      </c>
      <c r="C3" s="92" t="n">
        <f aca="false">B3/SUM($B$2:$B$10)</f>
        <v>0.215827338129496</v>
      </c>
    </row>
    <row r="4" customFormat="false" ht="15" hidden="false" customHeight="false" outlineLevel="0" collapsed="false">
      <c r="A4" s="0" t="s">
        <v>3</v>
      </c>
      <c r="B4" s="0" t="n">
        <v>250</v>
      </c>
      <c r="C4" s="92" t="n">
        <f aca="false">B4/SUM($B$2:$B$10)</f>
        <v>0.179856115107914</v>
      </c>
    </row>
    <row r="5" customFormat="false" ht="15" hidden="false" customHeight="false" outlineLevel="0" collapsed="false">
      <c r="A5" s="0" t="s">
        <v>93</v>
      </c>
      <c r="B5" s="0" t="n">
        <v>110</v>
      </c>
      <c r="C5" s="92" t="n">
        <f aca="false">B5/SUM($B$2:$B$10)</f>
        <v>0.079136690647482</v>
      </c>
    </row>
    <row r="6" customFormat="false" ht="15" hidden="false" customHeight="false" outlineLevel="0" collapsed="false">
      <c r="A6" s="0" t="s">
        <v>94</v>
      </c>
      <c r="B6" s="0" t="n">
        <v>100</v>
      </c>
      <c r="C6" s="92" t="n">
        <f aca="false">B6/SUM($B$2:$B$10)</f>
        <v>0.0719424460431655</v>
      </c>
    </row>
    <row r="7" customFormat="false" ht="15" hidden="false" customHeight="false" outlineLevel="0" collapsed="false">
      <c r="A7" s="0" t="s">
        <v>95</v>
      </c>
      <c r="B7" s="0" t="n">
        <v>80</v>
      </c>
      <c r="C7" s="92" t="n">
        <f aca="false">B7/SUM($B$2:$B$10)</f>
        <v>0.0575539568345324</v>
      </c>
    </row>
    <row r="8" customFormat="false" ht="15" hidden="false" customHeight="false" outlineLevel="0" collapsed="false">
      <c r="A8" s="0" t="s">
        <v>96</v>
      </c>
      <c r="B8" s="0" t="n">
        <v>80</v>
      </c>
      <c r="C8" s="92" t="n">
        <f aca="false">B8/SUM($B$2:$B$10)</f>
        <v>0.0575539568345324</v>
      </c>
    </row>
    <row r="9" customFormat="false" ht="15" hidden="false" customHeight="false" outlineLevel="0" collapsed="false">
      <c r="A9" s="0" t="s">
        <v>97</v>
      </c>
      <c r="B9" s="0" t="n">
        <v>45</v>
      </c>
      <c r="C9" s="92" t="n">
        <f aca="false">B9/SUM($B$2:$B$10)</f>
        <v>0.0323741007194245</v>
      </c>
    </row>
    <row r="10" customFormat="false" ht="15" hidden="false" customHeight="false" outlineLevel="0" collapsed="false">
      <c r="A10" s="0" t="s">
        <v>98</v>
      </c>
      <c r="B10" s="0" t="n">
        <v>25</v>
      </c>
      <c r="C10" s="92" t="n">
        <f aca="false">B10/SUM($B$2:$B$10)</f>
        <v>0.0179856115107914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5" activeCellId="0" sqref="D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9.86"/>
  </cols>
  <sheetData>
    <row r="1" customFormat="false" ht="25.5" hidden="false" customHeight="true" outlineLevel="0" collapsed="false">
      <c r="A1" s="167" t="s">
        <v>99</v>
      </c>
      <c r="B1" s="167"/>
    </row>
    <row r="2" customFormat="false" ht="43.5" hidden="false" customHeight="true" outlineLevel="0" collapsed="false">
      <c r="A2" s="168" t="s">
        <v>100</v>
      </c>
      <c r="B2" s="168"/>
    </row>
    <row r="4" customFormat="false" ht="15" hidden="false" customHeight="false" outlineLevel="0" collapsed="false">
      <c r="A4" s="169" t="s">
        <v>101</v>
      </c>
      <c r="B4" s="170" t="n">
        <v>1021</v>
      </c>
    </row>
    <row r="5" customFormat="false" ht="15" hidden="false" customHeight="false" outlineLevel="0" collapsed="false">
      <c r="A5" s="169" t="s">
        <v>102</v>
      </c>
      <c r="B5" s="170" t="n">
        <v>1059</v>
      </c>
    </row>
    <row r="6" customFormat="false" ht="15" hidden="false" customHeight="false" outlineLevel="0" collapsed="false">
      <c r="A6" s="169" t="s">
        <v>103</v>
      </c>
      <c r="B6" s="170" t="n">
        <v>1153</v>
      </c>
    </row>
    <row r="7" customFormat="false" ht="15" hidden="false" customHeight="false" outlineLevel="0" collapsed="false">
      <c r="A7" s="169" t="s">
        <v>104</v>
      </c>
      <c r="B7" s="170" t="n">
        <v>1235</v>
      </c>
    </row>
    <row r="8" customFormat="false" ht="15" hidden="false" customHeight="false" outlineLevel="0" collapsed="false">
      <c r="A8" s="169" t="s">
        <v>105</v>
      </c>
      <c r="B8" s="170" t="n">
        <v>1332</v>
      </c>
    </row>
    <row r="9" customFormat="false" ht="15" hidden="false" customHeight="false" outlineLevel="0" collapsed="false">
      <c r="A9" s="169" t="s">
        <v>106</v>
      </c>
      <c r="B9" s="170" t="n">
        <v>1472</v>
      </c>
    </row>
    <row r="10" customFormat="false" ht="15" hidden="false" customHeight="false" outlineLevel="0" collapsed="false">
      <c r="A10" s="169" t="s">
        <v>107</v>
      </c>
      <c r="B10" s="170" t="n">
        <v>1632</v>
      </c>
    </row>
    <row r="11" customFormat="false" ht="15" hidden="false" customHeight="false" outlineLevel="0" collapsed="false">
      <c r="A11" s="169" t="s">
        <v>108</v>
      </c>
      <c r="B11" s="170" t="n">
        <v>1838</v>
      </c>
    </row>
    <row r="12" customFormat="false" ht="15" hidden="false" customHeight="false" outlineLevel="0" collapsed="false">
      <c r="A12" s="169" t="s">
        <v>109</v>
      </c>
      <c r="B12" s="170" t="n">
        <v>2125</v>
      </c>
    </row>
    <row r="13" customFormat="false" ht="15" hidden="false" customHeight="false" outlineLevel="0" collapsed="false">
      <c r="A13" s="169" t="s">
        <v>110</v>
      </c>
      <c r="B13" s="170" t="n">
        <v>2440</v>
      </c>
    </row>
    <row r="14" customFormat="false" ht="15" hidden="false" customHeight="false" outlineLevel="0" collapsed="false">
      <c r="A14" s="169" t="s">
        <v>42</v>
      </c>
      <c r="B14" s="170" t="n">
        <v>2747</v>
      </c>
    </row>
    <row r="15" customFormat="false" ht="15" hidden="false" customHeight="false" outlineLevel="0" collapsed="false">
      <c r="A15" s="169" t="s">
        <v>43</v>
      </c>
      <c r="B15" s="170" t="n">
        <v>3152</v>
      </c>
    </row>
    <row r="16" customFormat="false" ht="15" hidden="false" customHeight="false" outlineLevel="0" collapsed="false">
      <c r="A16" s="169" t="s">
        <v>44</v>
      </c>
      <c r="B16" s="170" t="n">
        <v>3554</v>
      </c>
    </row>
    <row r="17" customFormat="false" ht="15" hidden="false" customHeight="false" outlineLevel="0" collapsed="false">
      <c r="A17" s="169" t="s">
        <v>45</v>
      </c>
      <c r="B17" s="170" t="n">
        <v>3971</v>
      </c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2016-02-02T08:17:11Z</dcterms:created>
  <dc:creator>Fernando Diaz Ledezma</dc:creator>
  <dc:description/>
  <dc:language>en-US</dc:language>
  <cp:lastModifiedBy/>
  <dcterms:modified xsi:type="dcterms:W3CDTF">2023-07-25T17:19:08Z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