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buntu\GitHub\CGNPS\assembly\param\"/>
    </mc:Choice>
  </mc:AlternateContent>
  <xr:revisionPtr revIDLastSave="0" documentId="13_ncr:1_{5DE0BD9E-36A6-4292-92C7-023ED7E14FA0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header" sheetId="32" r:id="rId1"/>
    <sheet name="masses" sheetId="31" r:id="rId2"/>
    <sheet name="units" sheetId="30" r:id="rId3"/>
    <sheet name="pair" sheetId="33" r:id="rId4"/>
    <sheet name="bonded" sheetId="34" r:id="rId5"/>
    <sheet name="reversible" sheetId="36" r:id="rId6"/>
    <sheet name="force-strain" sheetId="37" r:id="rId7"/>
    <sheet name="langevin" sheetId="3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8" l="1"/>
  <c r="H4" i="38"/>
  <c r="H5" i="38"/>
  <c r="H6" i="38"/>
  <c r="H2" i="38"/>
  <c r="I3" i="36"/>
  <c r="I4" i="36"/>
  <c r="I5" i="36"/>
  <c r="I2" i="36"/>
  <c r="G19" i="31"/>
  <c r="G30" i="31"/>
  <c r="J7" i="33"/>
  <c r="J42" i="33" s="1"/>
  <c r="J8" i="33"/>
  <c r="M9" i="36" s="1"/>
  <c r="J9" i="33"/>
  <c r="J10" i="33"/>
  <c r="J11" i="33"/>
  <c r="J12" i="33"/>
  <c r="J13" i="33"/>
  <c r="J24" i="33"/>
  <c r="J44" i="33" s="1"/>
  <c r="J22" i="33"/>
  <c r="J25" i="33"/>
  <c r="J38" i="33"/>
  <c r="J45" i="33" s="1"/>
  <c r="J39" i="33"/>
  <c r="M11" i="36"/>
  <c r="F38" i="33"/>
  <c r="F39" i="33"/>
  <c r="J27" i="33"/>
  <c r="J20" i="33"/>
  <c r="J18" i="33"/>
  <c r="B13" i="30"/>
  <c r="E2" i="38"/>
  <c r="E3" i="38"/>
  <c r="F3" i="38" s="1"/>
  <c r="E4" i="38"/>
  <c r="E5" i="38"/>
  <c r="E6" i="38"/>
  <c r="F4" i="38"/>
  <c r="F5" i="38"/>
  <c r="F6" i="38"/>
  <c r="D6" i="38"/>
  <c r="D5" i="38"/>
  <c r="D4" i="38"/>
  <c r="D3" i="38"/>
  <c r="D2" i="38"/>
  <c r="C6" i="38"/>
  <c r="C5" i="38"/>
  <c r="C4" i="38"/>
  <c r="C3" i="38"/>
  <c r="B7" i="30"/>
  <c r="H25" i="31"/>
  <c r="H26" i="31"/>
  <c r="B33" i="37"/>
  <c r="J33" i="37"/>
  <c r="J3" i="37"/>
  <c r="L43" i="33"/>
  <c r="L44" i="33"/>
  <c r="L45" i="33"/>
  <c r="L42" i="33"/>
  <c r="K45" i="33"/>
  <c r="K44" i="33"/>
  <c r="K43" i="33"/>
  <c r="K42" i="33"/>
  <c r="H45" i="33"/>
  <c r="I45" i="33"/>
  <c r="G45" i="33"/>
  <c r="G44" i="33"/>
  <c r="H44" i="33"/>
  <c r="I44" i="33"/>
  <c r="H43" i="33"/>
  <c r="I43" i="33"/>
  <c r="F43" i="33"/>
  <c r="G42" i="33"/>
  <c r="H42" i="33"/>
  <c r="I42" i="33"/>
  <c r="F42" i="33"/>
  <c r="B3" i="37"/>
  <c r="A4" i="37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4" i="37" s="1"/>
  <c r="P17" i="33"/>
  <c r="Q7" i="36"/>
  <c r="G5" i="36" s="1"/>
  <c r="Q6" i="36"/>
  <c r="G4" i="36" s="1"/>
  <c r="Q5" i="36"/>
  <c r="G3" i="36" s="1"/>
  <c r="Q4" i="36"/>
  <c r="G2" i="36" s="1"/>
  <c r="R16" i="33"/>
  <c r="U14" i="36" s="1"/>
  <c r="U11" i="36"/>
  <c r="U10" i="36"/>
  <c r="U9" i="36"/>
  <c r="U8" i="36"/>
  <c r="E4" i="34"/>
  <c r="D33" i="37" s="1"/>
  <c r="E3" i="34"/>
  <c r="K10" i="36"/>
  <c r="K11" i="36"/>
  <c r="K12" i="36"/>
  <c r="K13" i="36"/>
  <c r="K14" i="36"/>
  <c r="K15" i="36"/>
  <c r="K16" i="36"/>
  <c r="H16" i="36"/>
  <c r="H15" i="36"/>
  <c r="H14" i="36"/>
  <c r="H13" i="36"/>
  <c r="H12" i="36"/>
  <c r="H11" i="36"/>
  <c r="H10" i="36"/>
  <c r="E10" i="36"/>
  <c r="E11" i="36"/>
  <c r="E12" i="36"/>
  <c r="E13" i="36"/>
  <c r="E14" i="36"/>
  <c r="E15" i="36"/>
  <c r="E16" i="36"/>
  <c r="K9" i="36"/>
  <c r="H9" i="36"/>
  <c r="H8" i="36"/>
  <c r="E9" i="36"/>
  <c r="F3" i="36"/>
  <c r="F4" i="36"/>
  <c r="F5" i="36"/>
  <c r="F2" i="36"/>
  <c r="P7" i="36"/>
  <c r="G16" i="36" s="1"/>
  <c r="T16" i="36" s="1"/>
  <c r="P6" i="36"/>
  <c r="G14" i="36" s="1"/>
  <c r="T14" i="36" s="1"/>
  <c r="P5" i="36"/>
  <c r="G10" i="36" s="1"/>
  <c r="T10" i="36" s="1"/>
  <c r="P4" i="36"/>
  <c r="G8" i="36" s="1"/>
  <c r="T8" i="36" s="1"/>
  <c r="E4" i="36"/>
  <c r="E5" i="36"/>
  <c r="E3" i="36"/>
  <c r="Q10" i="33"/>
  <c r="F14" i="33" s="1"/>
  <c r="P6" i="33"/>
  <c r="P7" i="33"/>
  <c r="E7" i="34"/>
  <c r="D17" i="34"/>
  <c r="D18" i="34"/>
  <c r="D16" i="34"/>
  <c r="E17" i="34"/>
  <c r="E18" i="34" s="1"/>
  <c r="D11" i="34"/>
  <c r="D12" i="34" s="1"/>
  <c r="D13" i="34" s="1"/>
  <c r="H7" i="34"/>
  <c r="G7" i="34"/>
  <c r="F7" i="34"/>
  <c r="J37" i="33"/>
  <c r="J36" i="33"/>
  <c r="J35" i="33"/>
  <c r="J34" i="33"/>
  <c r="J33" i="33"/>
  <c r="J32" i="33"/>
  <c r="J31" i="33"/>
  <c r="J30" i="33"/>
  <c r="J29" i="33"/>
  <c r="J28" i="33"/>
  <c r="J26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H27" i="33"/>
  <c r="H28" i="33" s="1"/>
  <c r="H29" i="33" s="1"/>
  <c r="H30" i="33" s="1"/>
  <c r="H31" i="33" s="1"/>
  <c r="H32" i="33" s="1"/>
  <c r="H33" i="33" s="1"/>
  <c r="H34" i="33" s="1"/>
  <c r="H35" i="33" s="1"/>
  <c r="H36" i="33" s="1"/>
  <c r="H37" i="33" s="1"/>
  <c r="H38" i="33" s="1"/>
  <c r="H39" i="33" s="1"/>
  <c r="I27" i="33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26" i="33"/>
  <c r="H26" i="33"/>
  <c r="S8" i="33"/>
  <c r="F34" i="33" s="1"/>
  <c r="S17" i="33"/>
  <c r="T17" i="33"/>
  <c r="S18" i="33"/>
  <c r="T18" i="33"/>
  <c r="S19" i="33"/>
  <c r="T19" i="33"/>
  <c r="S20" i="33"/>
  <c r="T20" i="33"/>
  <c r="T21" i="33"/>
  <c r="S21" i="33"/>
  <c r="T22" i="33"/>
  <c r="R21" i="33"/>
  <c r="R19" i="33" s="1"/>
  <c r="J21" i="33"/>
  <c r="J19" i="33"/>
  <c r="J17" i="33"/>
  <c r="J14" i="33"/>
  <c r="J15" i="33"/>
  <c r="G21" i="33"/>
  <c r="G19" i="33"/>
  <c r="G17" i="33"/>
  <c r="G14" i="33"/>
  <c r="H23" i="33"/>
  <c r="I23" i="33"/>
  <c r="H24" i="33"/>
  <c r="I24" i="33"/>
  <c r="I22" i="33"/>
  <c r="H22" i="33"/>
  <c r="I16" i="33"/>
  <c r="H16" i="33"/>
  <c r="I18" i="33"/>
  <c r="I19" i="33" s="1"/>
  <c r="I20" i="33" s="1"/>
  <c r="H18" i="33"/>
  <c r="H19" i="33" s="1"/>
  <c r="H20" i="33" s="1"/>
  <c r="I15" i="33"/>
  <c r="H15" i="33"/>
  <c r="Q16" i="33"/>
  <c r="J23" i="33" s="1"/>
  <c r="R17" i="33"/>
  <c r="G22" i="33" s="1"/>
  <c r="Q17" i="33"/>
  <c r="R18" i="33"/>
  <c r="Q18" i="33"/>
  <c r="Q19" i="33"/>
  <c r="F23" i="33"/>
  <c r="P16" i="33"/>
  <c r="U12" i="36" s="1"/>
  <c r="G10" i="33"/>
  <c r="H11" i="33"/>
  <c r="H12" i="33" s="1"/>
  <c r="H13" i="33" s="1"/>
  <c r="I11" i="33"/>
  <c r="I12" i="33" s="1"/>
  <c r="I13" i="33" s="1"/>
  <c r="F12" i="33"/>
  <c r="E3" i="33"/>
  <c r="E26" i="33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H9" i="33"/>
  <c r="I9" i="33"/>
  <c r="G9" i="33"/>
  <c r="P18" i="33"/>
  <c r="P9" i="33"/>
  <c r="F8" i="33" s="1"/>
  <c r="P19" i="33"/>
  <c r="G8" i="33" s="1"/>
  <c r="F7" i="33"/>
  <c r="E8" i="33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7" i="33"/>
  <c r="G7" i="33"/>
  <c r="I8" i="33"/>
  <c r="H8" i="33"/>
  <c r="G2" i="33"/>
  <c r="O26" i="33"/>
  <c r="N26" i="33"/>
  <c r="F6" i="33"/>
  <c r="F2" i="33"/>
  <c r="K3" i="33"/>
  <c r="J3" i="33"/>
  <c r="I3" i="33"/>
  <c r="J24" i="31"/>
  <c r="J23" i="31"/>
  <c r="H23" i="31"/>
  <c r="B22" i="31"/>
  <c r="B19" i="31"/>
  <c r="O11" i="31"/>
  <c r="H24" i="31" s="1"/>
  <c r="L11" i="31"/>
  <c r="H22" i="31" s="1"/>
  <c r="I11" i="31"/>
  <c r="H20" i="31" s="1"/>
  <c r="F11" i="31"/>
  <c r="C11" i="31"/>
  <c r="B11" i="31" s="1"/>
  <c r="L10" i="31"/>
  <c r="H21" i="31" s="1"/>
  <c r="B5" i="30"/>
  <c r="B18" i="31" l="1"/>
  <c r="B23" i="31" s="1"/>
  <c r="H19" i="31" s="1"/>
  <c r="M13" i="36"/>
  <c r="F45" i="33"/>
  <c r="M3" i="37" s="1"/>
  <c r="M8" i="36"/>
  <c r="U13" i="36"/>
  <c r="C6" i="37"/>
  <c r="D25" i="37"/>
  <c r="E3" i="37"/>
  <c r="C27" i="37"/>
  <c r="C16" i="37"/>
  <c r="D5" i="37"/>
  <c r="C33" i="37"/>
  <c r="C24" i="37"/>
  <c r="D13" i="37"/>
  <c r="C23" i="37"/>
  <c r="C12" i="37"/>
  <c r="C15" i="37"/>
  <c r="C3" i="37"/>
  <c r="C32" i="37"/>
  <c r="D21" i="37"/>
  <c r="C11" i="37"/>
  <c r="D3" i="37"/>
  <c r="C31" i="37"/>
  <c r="C20" i="37"/>
  <c r="D9" i="37"/>
  <c r="D29" i="37"/>
  <c r="C19" i="37"/>
  <c r="C8" i="37"/>
  <c r="C28" i="37"/>
  <c r="D17" i="37"/>
  <c r="C7" i="37"/>
  <c r="C29" i="37"/>
  <c r="C25" i="37"/>
  <c r="C21" i="37"/>
  <c r="C17" i="37"/>
  <c r="C13" i="37"/>
  <c r="C9" i="37"/>
  <c r="C5" i="37"/>
  <c r="D32" i="37"/>
  <c r="D28" i="37"/>
  <c r="D24" i="37"/>
  <c r="D20" i="37"/>
  <c r="D16" i="37"/>
  <c r="D12" i="37"/>
  <c r="D8" i="37"/>
  <c r="D4" i="37"/>
  <c r="C4" i="37"/>
  <c r="D31" i="37"/>
  <c r="D27" i="37"/>
  <c r="D23" i="37"/>
  <c r="D19" i="37"/>
  <c r="D15" i="37"/>
  <c r="D11" i="37"/>
  <c r="D7" i="37"/>
  <c r="D30" i="37"/>
  <c r="D26" i="37"/>
  <c r="D22" i="37"/>
  <c r="D18" i="37"/>
  <c r="D14" i="37"/>
  <c r="D10" i="37"/>
  <c r="D6" i="37"/>
  <c r="C30" i="37"/>
  <c r="C26" i="37"/>
  <c r="C22" i="37"/>
  <c r="C18" i="37"/>
  <c r="C14" i="37"/>
  <c r="C10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G11" i="36"/>
  <c r="T11" i="36" s="1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5" i="37"/>
  <c r="B4" i="37"/>
  <c r="M22" i="37"/>
  <c r="M14" i="37"/>
  <c r="M6" i="37"/>
  <c r="K30" i="37"/>
  <c r="K29" i="37"/>
  <c r="K28" i="37"/>
  <c r="K27" i="37"/>
  <c r="K21" i="37"/>
  <c r="K20" i="37"/>
  <c r="K19" i="37"/>
  <c r="K13" i="37"/>
  <c r="K12" i="37"/>
  <c r="K11" i="37"/>
  <c r="K5" i="37"/>
  <c r="K4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J4" i="37"/>
  <c r="F10" i="34"/>
  <c r="F11" i="37" s="1"/>
  <c r="A35" i="37"/>
  <c r="B34" i="37"/>
  <c r="J34" i="37"/>
  <c r="C34" i="37"/>
  <c r="D34" i="37"/>
  <c r="E34" i="37"/>
  <c r="M16" i="36"/>
  <c r="U16" i="36"/>
  <c r="M15" i="36"/>
  <c r="G38" i="33"/>
  <c r="U15" i="36"/>
  <c r="F11" i="34"/>
  <c r="G13" i="36"/>
  <c r="T13" i="36" s="1"/>
  <c r="G15" i="36"/>
  <c r="T15" i="36" s="1"/>
  <c r="G12" i="36"/>
  <c r="T12" i="36" s="1"/>
  <c r="G9" i="36"/>
  <c r="T9" i="36" s="1"/>
  <c r="S10" i="33"/>
  <c r="F30" i="33" s="1"/>
  <c r="R10" i="33"/>
  <c r="F16" i="33" s="1"/>
  <c r="T7" i="33"/>
  <c r="F37" i="33" s="1"/>
  <c r="R7" i="33"/>
  <c r="F22" i="33" s="1"/>
  <c r="F11" i="33"/>
  <c r="Q7" i="33"/>
  <c r="F21" i="33" s="1"/>
  <c r="F10" i="33"/>
  <c r="Q9" i="33"/>
  <c r="F17" i="33" s="1"/>
  <c r="S9" i="33"/>
  <c r="F32" i="33" s="1"/>
  <c r="F25" i="33"/>
  <c r="T10" i="33"/>
  <c r="F31" i="33" s="1"/>
  <c r="Q8" i="33"/>
  <c r="F19" i="33" s="1"/>
  <c r="T9" i="33"/>
  <c r="F33" i="33" s="1"/>
  <c r="F26" i="33"/>
  <c r="P8" i="33"/>
  <c r="F9" i="33" s="1"/>
  <c r="T12" i="33"/>
  <c r="F27" i="33" s="1"/>
  <c r="S7" i="33"/>
  <c r="F36" i="33" s="1"/>
  <c r="F15" i="33"/>
  <c r="T8" i="33"/>
  <c r="F35" i="33" s="1"/>
  <c r="G23" i="33"/>
  <c r="G39" i="33"/>
  <c r="G18" i="33"/>
  <c r="G20" i="33"/>
  <c r="R20" i="33"/>
  <c r="M14" i="36"/>
  <c r="G15" i="33"/>
  <c r="R9" i="33"/>
  <c r="F18" i="33" s="1"/>
  <c r="G12" i="33"/>
  <c r="G43" i="33" s="1"/>
  <c r="K32" i="37" s="1"/>
  <c r="G11" i="33"/>
  <c r="C2" i="38" l="1"/>
  <c r="F2" i="38" s="1"/>
  <c r="H27" i="31"/>
  <c r="M8" i="37"/>
  <c r="M16" i="37"/>
  <c r="M24" i="37"/>
  <c r="M32" i="37"/>
  <c r="M9" i="37"/>
  <c r="M17" i="37"/>
  <c r="M25" i="37"/>
  <c r="M10" i="37"/>
  <c r="M18" i="37"/>
  <c r="M26" i="37"/>
  <c r="M30" i="37"/>
  <c r="M33" i="37"/>
  <c r="M7" i="37"/>
  <c r="M15" i="37"/>
  <c r="M23" i="37"/>
  <c r="M31" i="37"/>
  <c r="M34" i="37"/>
  <c r="M11" i="37"/>
  <c r="M19" i="37"/>
  <c r="M27" i="37"/>
  <c r="M4" i="37"/>
  <c r="M12" i="37"/>
  <c r="M20" i="37"/>
  <c r="M28" i="37"/>
  <c r="M5" i="37"/>
  <c r="M13" i="37"/>
  <c r="M21" i="37"/>
  <c r="M29" i="37"/>
  <c r="K31" i="37"/>
  <c r="M10" i="36"/>
  <c r="J43" i="33"/>
  <c r="K6" i="37"/>
  <c r="K14" i="37"/>
  <c r="K22" i="37"/>
  <c r="K8" i="37"/>
  <c r="K16" i="37"/>
  <c r="K24" i="37"/>
  <c r="K3" i="37"/>
  <c r="K33" i="37"/>
  <c r="K7" i="37"/>
  <c r="K15" i="37"/>
  <c r="K23" i="37"/>
  <c r="K34" i="37"/>
  <c r="K9" i="37"/>
  <c r="K17" i="37"/>
  <c r="K25" i="37"/>
  <c r="K10" i="37"/>
  <c r="K18" i="37"/>
  <c r="K26" i="37"/>
  <c r="F12" i="37"/>
  <c r="F14" i="37"/>
  <c r="F33" i="37"/>
  <c r="F27" i="37"/>
  <c r="F34" i="37"/>
  <c r="F23" i="37"/>
  <c r="F7" i="37"/>
  <c r="F16" i="37"/>
  <c r="F32" i="37"/>
  <c r="F10" i="37"/>
  <c r="F13" i="37"/>
  <c r="F30" i="37"/>
  <c r="F31" i="37"/>
  <c r="F9" i="37"/>
  <c r="F28" i="37"/>
  <c r="F19" i="37"/>
  <c r="F26" i="37"/>
  <c r="F5" i="37"/>
  <c r="F18" i="37"/>
  <c r="F3" i="37"/>
  <c r="F25" i="37"/>
  <c r="F22" i="37"/>
  <c r="F6" i="37"/>
  <c r="F15" i="37"/>
  <c r="F29" i="37"/>
  <c r="F24" i="37"/>
  <c r="F8" i="37"/>
  <c r="F21" i="37"/>
  <c r="F17" i="37"/>
  <c r="F20" i="37"/>
  <c r="F4" i="37"/>
  <c r="G5" i="37"/>
  <c r="G7" i="37"/>
  <c r="G9" i="37"/>
  <c r="G11" i="37"/>
  <c r="G13" i="37"/>
  <c r="G15" i="37"/>
  <c r="G17" i="37"/>
  <c r="G19" i="37"/>
  <c r="G21" i="37"/>
  <c r="G23" i="37"/>
  <c r="G25" i="37"/>
  <c r="G27" i="37"/>
  <c r="G29" i="37"/>
  <c r="G31" i="37"/>
  <c r="G33" i="37"/>
  <c r="G3" i="37"/>
  <c r="G4" i="37"/>
  <c r="G6" i="37"/>
  <c r="G8" i="37"/>
  <c r="G10" i="37"/>
  <c r="G12" i="37"/>
  <c r="G14" i="37"/>
  <c r="G16" i="37"/>
  <c r="G18" i="37"/>
  <c r="G20" i="37"/>
  <c r="G22" i="37"/>
  <c r="G24" i="37"/>
  <c r="G26" i="37"/>
  <c r="G28" i="37"/>
  <c r="G30" i="37"/>
  <c r="G32" i="37"/>
  <c r="G34" i="37"/>
  <c r="A36" i="37"/>
  <c r="F35" i="37"/>
  <c r="G35" i="37"/>
  <c r="B35" i="37"/>
  <c r="J35" i="37"/>
  <c r="C35" i="37"/>
  <c r="K35" i="37"/>
  <c r="D35" i="37"/>
  <c r="E35" i="37"/>
  <c r="M35" i="37"/>
  <c r="F13" i="34"/>
  <c r="I35" i="37" s="1"/>
  <c r="F12" i="34"/>
  <c r="R8" i="33"/>
  <c r="F20" i="33" s="1"/>
  <c r="S11" i="33"/>
  <c r="T11" i="33" s="1"/>
  <c r="F29" i="33" s="1"/>
  <c r="G24" i="33"/>
  <c r="G16" i="33"/>
  <c r="J16" i="33"/>
  <c r="G13" i="33"/>
  <c r="M12" i="36"/>
  <c r="J6" i="33"/>
  <c r="H3" i="33" s="1"/>
  <c r="G3" i="33"/>
  <c r="G6" i="33"/>
  <c r="I25" i="31" l="1"/>
  <c r="I26" i="31"/>
  <c r="I20" i="31"/>
  <c r="I24" i="31"/>
  <c r="I23" i="31"/>
  <c r="I21" i="31"/>
  <c r="I22" i="31"/>
  <c r="I19" i="31"/>
  <c r="B8" i="30"/>
  <c r="B10" i="30" s="1"/>
  <c r="G2" i="38" s="1"/>
  <c r="I14" i="37"/>
  <c r="I30" i="37"/>
  <c r="I5" i="37"/>
  <c r="I7" i="37"/>
  <c r="I9" i="37"/>
  <c r="I11" i="37"/>
  <c r="I13" i="37"/>
  <c r="I15" i="37"/>
  <c r="I17" i="37"/>
  <c r="I19" i="37"/>
  <c r="I21" i="37"/>
  <c r="I23" i="37"/>
  <c r="I25" i="37"/>
  <c r="I27" i="37"/>
  <c r="I29" i="37"/>
  <c r="I31" i="37"/>
  <c r="I33" i="37"/>
  <c r="I24" i="37"/>
  <c r="I3" i="37"/>
  <c r="I4" i="37"/>
  <c r="I16" i="37"/>
  <c r="I22" i="37"/>
  <c r="I28" i="37"/>
  <c r="I32" i="37"/>
  <c r="I6" i="37"/>
  <c r="I8" i="37"/>
  <c r="I10" i="37"/>
  <c r="I12" i="37"/>
  <c r="I18" i="37"/>
  <c r="I20" i="37"/>
  <c r="I26" i="37"/>
  <c r="I34" i="37"/>
  <c r="H3" i="37"/>
  <c r="H5" i="37"/>
  <c r="H7" i="37"/>
  <c r="H9" i="37"/>
  <c r="H11" i="37"/>
  <c r="H13" i="37"/>
  <c r="H15" i="37"/>
  <c r="H17" i="37"/>
  <c r="H19" i="37"/>
  <c r="H21" i="37"/>
  <c r="H23" i="37"/>
  <c r="H25" i="37"/>
  <c r="H27" i="37"/>
  <c r="H29" i="37"/>
  <c r="H31" i="37"/>
  <c r="H33" i="37"/>
  <c r="H4" i="37"/>
  <c r="H6" i="37"/>
  <c r="H8" i="37"/>
  <c r="H10" i="37"/>
  <c r="H12" i="37"/>
  <c r="H14" i="37"/>
  <c r="H16" i="37"/>
  <c r="H18" i="37"/>
  <c r="H20" i="37"/>
  <c r="H22" i="37"/>
  <c r="H24" i="37"/>
  <c r="H26" i="37"/>
  <c r="H28" i="37"/>
  <c r="H30" i="37"/>
  <c r="H32" i="37"/>
  <c r="H34" i="37"/>
  <c r="H35" i="37"/>
  <c r="A37" i="37"/>
  <c r="B36" i="37"/>
  <c r="J36" i="37"/>
  <c r="C36" i="37"/>
  <c r="K36" i="37"/>
  <c r="D36" i="37"/>
  <c r="E36" i="37"/>
  <c r="M36" i="37"/>
  <c r="F36" i="37"/>
  <c r="G36" i="37"/>
  <c r="H36" i="37"/>
  <c r="I36" i="37"/>
  <c r="F28" i="33"/>
  <c r="F24" i="33"/>
  <c r="F44" i="33" s="1"/>
  <c r="L36" i="37" s="1"/>
  <c r="F13" i="33"/>
  <c r="G5" i="38" l="1"/>
  <c r="G4" i="38"/>
  <c r="G6" i="38"/>
  <c r="G3" i="38"/>
  <c r="I27" i="31"/>
  <c r="L33" i="37"/>
  <c r="L3" i="37"/>
  <c r="L8" i="37"/>
  <c r="L31" i="37"/>
  <c r="L23" i="37"/>
  <c r="L15" i="37"/>
  <c r="L7" i="37"/>
  <c r="L11" i="37"/>
  <c r="L30" i="37"/>
  <c r="L22" i="37"/>
  <c r="L14" i="37"/>
  <c r="L6" i="37"/>
  <c r="L27" i="37"/>
  <c r="L29" i="37"/>
  <c r="L21" i="37"/>
  <c r="L13" i="37"/>
  <c r="L5" i="37"/>
  <c r="L19" i="37"/>
  <c r="L32" i="37"/>
  <c r="L28" i="37"/>
  <c r="L20" i="37"/>
  <c r="L12" i="37"/>
  <c r="L4" i="37"/>
  <c r="L34" i="37"/>
  <c r="L16" i="37"/>
  <c r="L26" i="37"/>
  <c r="L18" i="37"/>
  <c r="L10" i="37"/>
  <c r="L25" i="37"/>
  <c r="L17" i="37"/>
  <c r="L9" i="37"/>
  <c r="L24" i="37"/>
  <c r="L35" i="37"/>
  <c r="A38" i="37"/>
  <c r="F37" i="37"/>
  <c r="G37" i="37"/>
  <c r="H37" i="37"/>
  <c r="I37" i="37"/>
  <c r="B37" i="37"/>
  <c r="J37" i="37"/>
  <c r="C37" i="37"/>
  <c r="K37" i="37"/>
  <c r="D37" i="37"/>
  <c r="L37" i="37"/>
  <c r="E37" i="37"/>
  <c r="M37" i="37"/>
  <c r="A39" i="37" l="1"/>
  <c r="B38" i="37"/>
  <c r="J38" i="37"/>
  <c r="C38" i="37"/>
  <c r="K38" i="37"/>
  <c r="D38" i="37"/>
  <c r="L38" i="37"/>
  <c r="E38" i="37"/>
  <c r="M38" i="37"/>
  <c r="F38" i="37"/>
  <c r="G38" i="37"/>
  <c r="H38" i="37"/>
  <c r="I38" i="37"/>
  <c r="A40" i="37" l="1"/>
  <c r="F39" i="37"/>
  <c r="G39" i="37"/>
  <c r="H39" i="37"/>
  <c r="I39" i="37"/>
  <c r="B39" i="37"/>
  <c r="J39" i="37"/>
  <c r="C39" i="37"/>
  <c r="K39" i="37"/>
  <c r="D39" i="37"/>
  <c r="L39" i="37"/>
  <c r="E39" i="37"/>
  <c r="M39" i="37"/>
  <c r="A41" i="37" l="1"/>
  <c r="B40" i="37"/>
  <c r="J40" i="37"/>
  <c r="C40" i="37"/>
  <c r="K40" i="37"/>
  <c r="D40" i="37"/>
  <c r="L40" i="37"/>
  <c r="E40" i="37"/>
  <c r="M40" i="37"/>
  <c r="F40" i="37"/>
  <c r="G40" i="37"/>
  <c r="H40" i="37"/>
  <c r="I40" i="37"/>
  <c r="A42" i="37" l="1"/>
  <c r="F41" i="37"/>
  <c r="G41" i="37"/>
  <c r="H41" i="37"/>
  <c r="I41" i="37"/>
  <c r="B41" i="37"/>
  <c r="J41" i="37"/>
  <c r="C41" i="37"/>
  <c r="K41" i="37"/>
  <c r="D41" i="37"/>
  <c r="L41" i="37"/>
  <c r="E41" i="37"/>
  <c r="M41" i="37"/>
  <c r="A43" i="37" l="1"/>
  <c r="B42" i="37"/>
  <c r="J42" i="37"/>
  <c r="C42" i="37"/>
  <c r="K42" i="37"/>
  <c r="D42" i="37"/>
  <c r="L42" i="37"/>
  <c r="E42" i="37"/>
  <c r="M42" i="37"/>
  <c r="F42" i="37"/>
  <c r="G42" i="37"/>
  <c r="H42" i="37"/>
  <c r="I42" i="37"/>
  <c r="A44" i="37" l="1"/>
  <c r="F43" i="37"/>
  <c r="G43" i="37"/>
  <c r="H43" i="37"/>
  <c r="I43" i="37"/>
  <c r="B43" i="37"/>
  <c r="J43" i="37"/>
  <c r="C43" i="37"/>
  <c r="K43" i="37"/>
  <c r="D43" i="37"/>
  <c r="L43" i="37"/>
  <c r="E43" i="37"/>
  <c r="M43" i="37"/>
  <c r="A45" i="37" l="1"/>
  <c r="B44" i="37"/>
  <c r="J44" i="37"/>
  <c r="C44" i="37"/>
  <c r="K44" i="37"/>
  <c r="D44" i="37"/>
  <c r="L44" i="37"/>
  <c r="E44" i="37"/>
  <c r="M44" i="37"/>
  <c r="F44" i="37"/>
  <c r="G44" i="37"/>
  <c r="H44" i="37"/>
  <c r="I44" i="37"/>
  <c r="A46" i="37" l="1"/>
  <c r="F45" i="37"/>
  <c r="G45" i="37"/>
  <c r="H45" i="37"/>
  <c r="I45" i="37"/>
  <c r="B45" i="37"/>
  <c r="J45" i="37"/>
  <c r="C45" i="37"/>
  <c r="K45" i="37"/>
  <c r="D45" i="37"/>
  <c r="L45" i="37"/>
  <c r="E45" i="37"/>
  <c r="M45" i="37"/>
  <c r="A47" i="37" l="1"/>
  <c r="B46" i="37"/>
  <c r="J46" i="37"/>
  <c r="C46" i="37"/>
  <c r="K46" i="37"/>
  <c r="D46" i="37"/>
  <c r="L46" i="37"/>
  <c r="E46" i="37"/>
  <c r="M46" i="37"/>
  <c r="F46" i="37"/>
  <c r="G46" i="37"/>
  <c r="H46" i="37"/>
  <c r="I46" i="37"/>
  <c r="A48" i="37" l="1"/>
  <c r="F47" i="37"/>
  <c r="G47" i="37"/>
  <c r="H47" i="37"/>
  <c r="I47" i="37"/>
  <c r="B47" i="37"/>
  <c r="J47" i="37"/>
  <c r="C47" i="37"/>
  <c r="K47" i="37"/>
  <c r="D47" i="37"/>
  <c r="L47" i="37"/>
  <c r="E47" i="37"/>
  <c r="M47" i="37"/>
  <c r="A49" i="37" l="1"/>
  <c r="B48" i="37"/>
  <c r="J48" i="37"/>
  <c r="C48" i="37"/>
  <c r="K48" i="37"/>
  <c r="D48" i="37"/>
  <c r="L48" i="37"/>
  <c r="E48" i="37"/>
  <c r="M48" i="37"/>
  <c r="F48" i="37"/>
  <c r="G48" i="37"/>
  <c r="H48" i="37"/>
  <c r="I48" i="37"/>
  <c r="A50" i="37" l="1"/>
  <c r="F49" i="37"/>
  <c r="G49" i="37"/>
  <c r="H49" i="37"/>
  <c r="I49" i="37"/>
  <c r="B49" i="37"/>
  <c r="J49" i="37"/>
  <c r="C49" i="37"/>
  <c r="K49" i="37"/>
  <c r="D49" i="37"/>
  <c r="L49" i="37"/>
  <c r="E49" i="37"/>
  <c r="M49" i="37"/>
  <c r="A51" i="37" l="1"/>
  <c r="B50" i="37"/>
  <c r="J50" i="37"/>
  <c r="C50" i="37"/>
  <c r="K50" i="37"/>
  <c r="D50" i="37"/>
  <c r="L50" i="37"/>
  <c r="E50" i="37"/>
  <c r="M50" i="37"/>
  <c r="F50" i="37"/>
  <c r="G50" i="37"/>
  <c r="H50" i="37"/>
  <c r="I50" i="37"/>
  <c r="A52" i="37" l="1"/>
  <c r="F51" i="37"/>
  <c r="G51" i="37"/>
  <c r="H51" i="37"/>
  <c r="I51" i="37"/>
  <c r="B51" i="37"/>
  <c r="J51" i="37"/>
  <c r="C51" i="37"/>
  <c r="K51" i="37"/>
  <c r="D51" i="37"/>
  <c r="L51" i="37"/>
  <c r="E51" i="37"/>
  <c r="M51" i="37"/>
  <c r="A53" i="37" l="1"/>
  <c r="B52" i="37"/>
  <c r="J52" i="37"/>
  <c r="D52" i="37"/>
  <c r="L52" i="37"/>
  <c r="E52" i="37"/>
  <c r="M52" i="37"/>
  <c r="G52" i="37"/>
  <c r="H52" i="37"/>
  <c r="I52" i="37"/>
  <c r="C52" i="37"/>
  <c r="F52" i="37"/>
  <c r="K52" i="37"/>
  <c r="A54" i="37" l="1"/>
  <c r="F53" i="37"/>
  <c r="H53" i="37"/>
  <c r="I53" i="37"/>
  <c r="C53" i="37"/>
  <c r="K53" i="37"/>
  <c r="D53" i="37"/>
  <c r="L53" i="37"/>
  <c r="E53" i="37"/>
  <c r="M53" i="37"/>
  <c r="B53" i="37"/>
  <c r="G53" i="37"/>
  <c r="J53" i="37"/>
  <c r="A55" i="37" l="1"/>
  <c r="B54" i="37"/>
  <c r="J54" i="37"/>
  <c r="D54" i="37"/>
  <c r="L54" i="37"/>
  <c r="E54" i="37"/>
  <c r="M54" i="37"/>
  <c r="G54" i="37"/>
  <c r="H54" i="37"/>
  <c r="I54" i="37"/>
  <c r="K54" i="37"/>
  <c r="F54" i="37"/>
  <c r="C54" i="37"/>
  <c r="A56" i="37" l="1"/>
  <c r="F55" i="37"/>
  <c r="H55" i="37"/>
  <c r="I55" i="37"/>
  <c r="C55" i="37"/>
  <c r="K55" i="37"/>
  <c r="D55" i="37"/>
  <c r="L55" i="37"/>
  <c r="E55" i="37"/>
  <c r="M55" i="37"/>
  <c r="B55" i="37"/>
  <c r="G55" i="37"/>
  <c r="J55" i="37"/>
  <c r="A57" i="37" l="1"/>
  <c r="B56" i="37"/>
  <c r="J56" i="37"/>
  <c r="D56" i="37"/>
  <c r="L56" i="37"/>
  <c r="E56" i="37"/>
  <c r="M56" i="37"/>
  <c r="G56" i="37"/>
  <c r="H56" i="37"/>
  <c r="I56" i="37"/>
  <c r="C56" i="37"/>
  <c r="F56" i="37"/>
  <c r="K56" i="37"/>
  <c r="A58" i="37" l="1"/>
  <c r="F57" i="37"/>
  <c r="H57" i="37"/>
  <c r="I57" i="37"/>
  <c r="C57" i="37"/>
  <c r="K57" i="37"/>
  <c r="D57" i="37"/>
  <c r="L57" i="37"/>
  <c r="E57" i="37"/>
  <c r="M57" i="37"/>
  <c r="G57" i="37"/>
  <c r="J57" i="37"/>
  <c r="B57" i="37"/>
  <c r="A59" i="37" l="1"/>
  <c r="B58" i="37"/>
  <c r="J58" i="37"/>
  <c r="D58" i="37"/>
  <c r="L58" i="37"/>
  <c r="E58" i="37"/>
  <c r="M58" i="37"/>
  <c r="G58" i="37"/>
  <c r="H58" i="37"/>
  <c r="I58" i="37"/>
  <c r="C58" i="37"/>
  <c r="F58" i="37"/>
  <c r="K58" i="37"/>
  <c r="A60" i="37" l="1"/>
  <c r="F59" i="37"/>
  <c r="H59" i="37"/>
  <c r="I59" i="37"/>
  <c r="C59" i="37"/>
  <c r="K59" i="37"/>
  <c r="D59" i="37"/>
  <c r="L59" i="37"/>
  <c r="E59" i="37"/>
  <c r="M59" i="37"/>
  <c r="B59" i="37"/>
  <c r="J59" i="37"/>
  <c r="G59" i="37"/>
  <c r="A61" i="37" l="1"/>
  <c r="B60" i="37"/>
  <c r="J60" i="37"/>
  <c r="D60" i="37"/>
  <c r="L60" i="37"/>
  <c r="E60" i="37"/>
  <c r="M60" i="37"/>
  <c r="G60" i="37"/>
  <c r="H60" i="37"/>
  <c r="I60" i="37"/>
  <c r="C60" i="37"/>
  <c r="F60" i="37"/>
  <c r="K60" i="37"/>
  <c r="A62" i="37" l="1"/>
  <c r="F61" i="37"/>
  <c r="H61" i="37"/>
  <c r="I61" i="37"/>
  <c r="C61" i="37"/>
  <c r="K61" i="37"/>
  <c r="D61" i="37"/>
  <c r="L61" i="37"/>
  <c r="E61" i="37"/>
  <c r="M61" i="37"/>
  <c r="B61" i="37"/>
  <c r="G61" i="37"/>
  <c r="J61" i="37"/>
  <c r="A63" i="37" l="1"/>
  <c r="B62" i="37"/>
  <c r="J62" i="37"/>
  <c r="D62" i="37"/>
  <c r="L62" i="37"/>
  <c r="E62" i="37"/>
  <c r="M62" i="37"/>
  <c r="G62" i="37"/>
  <c r="H62" i="37"/>
  <c r="I62" i="37"/>
  <c r="K62" i="37"/>
  <c r="F62" i="37"/>
  <c r="C62" i="37"/>
  <c r="A64" i="37" l="1"/>
  <c r="F63" i="37"/>
  <c r="H63" i="37"/>
  <c r="I63" i="37"/>
  <c r="C63" i="37"/>
  <c r="K63" i="37"/>
  <c r="D63" i="37"/>
  <c r="L63" i="37"/>
  <c r="E63" i="37"/>
  <c r="M63" i="37"/>
  <c r="B63" i="37"/>
  <c r="G63" i="37"/>
  <c r="J63" i="37"/>
  <c r="A65" i="37" l="1"/>
  <c r="B64" i="37"/>
  <c r="J64" i="37"/>
  <c r="D64" i="37"/>
  <c r="L64" i="37"/>
  <c r="E64" i="37"/>
  <c r="M64" i="37"/>
  <c r="G64" i="37"/>
  <c r="H64" i="37"/>
  <c r="I64" i="37"/>
  <c r="C64" i="37"/>
  <c r="F64" i="37"/>
  <c r="K64" i="37"/>
  <c r="A66" i="37" l="1"/>
  <c r="F65" i="37"/>
  <c r="H65" i="37"/>
  <c r="I65" i="37"/>
  <c r="C65" i="37"/>
  <c r="K65" i="37"/>
  <c r="D65" i="37"/>
  <c r="L65" i="37"/>
  <c r="E65" i="37"/>
  <c r="M65" i="37"/>
  <c r="G65" i="37"/>
  <c r="J65" i="37"/>
  <c r="B65" i="37"/>
  <c r="A67" i="37" l="1"/>
  <c r="B66" i="37"/>
  <c r="J66" i="37"/>
  <c r="D66" i="37"/>
  <c r="L66" i="37"/>
  <c r="E66" i="37"/>
  <c r="M66" i="37"/>
  <c r="G66" i="37"/>
  <c r="H66" i="37"/>
  <c r="I66" i="37"/>
  <c r="C66" i="37"/>
  <c r="F66" i="37"/>
  <c r="K66" i="37"/>
  <c r="A68" i="37" l="1"/>
  <c r="F67" i="37"/>
  <c r="H67" i="37"/>
  <c r="I67" i="37"/>
  <c r="C67" i="37"/>
  <c r="K67" i="37"/>
  <c r="D67" i="37"/>
  <c r="L67" i="37"/>
  <c r="E67" i="37"/>
  <c r="M67" i="37"/>
  <c r="B67" i="37"/>
  <c r="J67" i="37"/>
  <c r="G67" i="37"/>
  <c r="A69" i="37" l="1"/>
  <c r="B68" i="37"/>
  <c r="J68" i="37"/>
  <c r="D68" i="37"/>
  <c r="L68" i="37"/>
  <c r="E68" i="37"/>
  <c r="M68" i="37"/>
  <c r="G68" i="37"/>
  <c r="H68" i="37"/>
  <c r="I68" i="37"/>
  <c r="C68" i="37"/>
  <c r="F68" i="37"/>
  <c r="K68" i="37"/>
  <c r="A70" i="37" l="1"/>
  <c r="F69" i="37"/>
  <c r="H69" i="37"/>
  <c r="I69" i="37"/>
  <c r="C69" i="37"/>
  <c r="K69" i="37"/>
  <c r="D69" i="37"/>
  <c r="L69" i="37"/>
  <c r="E69" i="37"/>
  <c r="M69" i="37"/>
  <c r="B69" i="37"/>
  <c r="G69" i="37"/>
  <c r="J69" i="37"/>
  <c r="A71" i="37" l="1"/>
  <c r="B70" i="37"/>
  <c r="J70" i="37"/>
  <c r="D70" i="37"/>
  <c r="L70" i="37"/>
  <c r="E70" i="37"/>
  <c r="M70" i="37"/>
  <c r="G70" i="37"/>
  <c r="H70" i="37"/>
  <c r="I70" i="37"/>
  <c r="K70" i="37"/>
  <c r="F70" i="37"/>
  <c r="C70" i="37"/>
  <c r="A72" i="37" l="1"/>
  <c r="F71" i="37"/>
  <c r="H71" i="37"/>
  <c r="I71" i="37"/>
  <c r="C71" i="37"/>
  <c r="K71" i="37"/>
  <c r="D71" i="37"/>
  <c r="L71" i="37"/>
  <c r="E71" i="37"/>
  <c r="M71" i="37"/>
  <c r="B71" i="37"/>
  <c r="G71" i="37"/>
  <c r="J71" i="37"/>
  <c r="A73" i="37" l="1"/>
  <c r="B72" i="37"/>
  <c r="J72" i="37"/>
  <c r="D72" i="37"/>
  <c r="L72" i="37"/>
  <c r="E72" i="37"/>
  <c r="M72" i="37"/>
  <c r="G72" i="37"/>
  <c r="H72" i="37"/>
  <c r="I72" i="37"/>
  <c r="C72" i="37"/>
  <c r="F72" i="37"/>
  <c r="K72" i="37"/>
  <c r="A74" i="37" l="1"/>
  <c r="F73" i="37"/>
  <c r="H73" i="37"/>
  <c r="I73" i="37"/>
  <c r="C73" i="37"/>
  <c r="K73" i="37"/>
  <c r="D73" i="37"/>
  <c r="L73" i="37"/>
  <c r="E73" i="37"/>
  <c r="M73" i="37"/>
  <c r="G73" i="37"/>
  <c r="J73" i="37"/>
  <c r="B73" i="37"/>
  <c r="A75" i="37" l="1"/>
  <c r="B74" i="37"/>
  <c r="J74" i="37"/>
  <c r="D74" i="37"/>
  <c r="L74" i="37"/>
  <c r="E74" i="37"/>
  <c r="M74" i="37"/>
  <c r="G74" i="37"/>
  <c r="H74" i="37"/>
  <c r="I74" i="37"/>
  <c r="C74" i="37"/>
  <c r="F74" i="37"/>
  <c r="K74" i="37"/>
  <c r="A76" i="37" l="1"/>
  <c r="F75" i="37"/>
  <c r="H75" i="37"/>
  <c r="I75" i="37"/>
  <c r="C75" i="37"/>
  <c r="K75" i="37"/>
  <c r="D75" i="37"/>
  <c r="L75" i="37"/>
  <c r="E75" i="37"/>
  <c r="M75" i="37"/>
  <c r="B75" i="37"/>
  <c r="G75" i="37"/>
  <c r="J75" i="37"/>
  <c r="A77" i="37" l="1"/>
  <c r="B76" i="37"/>
  <c r="J76" i="37"/>
  <c r="D76" i="37"/>
  <c r="L76" i="37"/>
  <c r="E76" i="37"/>
  <c r="M76" i="37"/>
  <c r="G76" i="37"/>
  <c r="H76" i="37"/>
  <c r="I76" i="37"/>
  <c r="C76" i="37"/>
  <c r="F76" i="37"/>
  <c r="K76" i="37"/>
  <c r="A78" i="37" l="1"/>
  <c r="F77" i="37"/>
  <c r="H77" i="37"/>
  <c r="I77" i="37"/>
  <c r="C77" i="37"/>
  <c r="K77" i="37"/>
  <c r="D77" i="37"/>
  <c r="E77" i="37"/>
  <c r="M77" i="37"/>
  <c r="B77" i="37"/>
  <c r="G77" i="37"/>
  <c r="J77" i="37"/>
  <c r="L77" i="37"/>
  <c r="A79" i="37" l="1"/>
  <c r="B78" i="37"/>
  <c r="J78" i="37"/>
  <c r="D78" i="37"/>
  <c r="L78" i="37"/>
  <c r="E78" i="37"/>
  <c r="M78" i="37"/>
  <c r="G78" i="37"/>
  <c r="I78" i="37"/>
  <c r="F78" i="37"/>
  <c r="H78" i="37"/>
  <c r="K78" i="37"/>
  <c r="C78" i="37"/>
  <c r="A80" i="37" l="1"/>
  <c r="F79" i="37"/>
  <c r="H79" i="37"/>
  <c r="I79" i="37"/>
  <c r="C79" i="37"/>
  <c r="K79" i="37"/>
  <c r="E79" i="37"/>
  <c r="M79" i="37"/>
  <c r="B79" i="37"/>
  <c r="D79" i="37"/>
  <c r="G79" i="37"/>
  <c r="L79" i="37"/>
  <c r="J79" i="37"/>
  <c r="A81" i="37" l="1"/>
  <c r="B80" i="37"/>
  <c r="J80" i="37"/>
  <c r="D80" i="37"/>
  <c r="L80" i="37"/>
  <c r="E80" i="37"/>
  <c r="M80" i="37"/>
  <c r="G80" i="37"/>
  <c r="I80" i="37"/>
  <c r="C80" i="37"/>
  <c r="F80" i="37"/>
  <c r="H80" i="37"/>
  <c r="K80" i="37"/>
  <c r="A82" i="37" l="1"/>
  <c r="F81" i="37"/>
  <c r="H81" i="37"/>
  <c r="I81" i="37"/>
  <c r="C81" i="37"/>
  <c r="K81" i="37"/>
  <c r="E81" i="37"/>
  <c r="M81" i="37"/>
  <c r="L81" i="37"/>
  <c r="B81" i="37"/>
  <c r="D81" i="37"/>
  <c r="G81" i="37"/>
  <c r="J81" i="37"/>
  <c r="A83" i="37" l="1"/>
  <c r="B82" i="37"/>
  <c r="J82" i="37"/>
  <c r="D82" i="37"/>
  <c r="L82" i="37"/>
  <c r="E82" i="37"/>
  <c r="G82" i="37"/>
  <c r="I82" i="37"/>
  <c r="C82" i="37"/>
  <c r="F82" i="37"/>
  <c r="H82" i="37"/>
  <c r="K82" i="37"/>
  <c r="M82" i="37"/>
  <c r="A84" i="37" l="1"/>
  <c r="F83" i="37"/>
  <c r="H83" i="37"/>
  <c r="C83" i="37"/>
  <c r="K83" i="37"/>
  <c r="E83" i="37"/>
  <c r="M83" i="37"/>
  <c r="G83" i="37"/>
  <c r="I83" i="37"/>
  <c r="J83" i="37"/>
  <c r="L83" i="37"/>
  <c r="B83" i="37"/>
  <c r="D83" i="37"/>
  <c r="A85" i="37" l="1"/>
  <c r="B84" i="37"/>
  <c r="J84" i="37"/>
  <c r="D84" i="37"/>
  <c r="L84" i="37"/>
  <c r="G84" i="37"/>
  <c r="I84" i="37"/>
  <c r="K84" i="37"/>
  <c r="M84" i="37"/>
  <c r="C84" i="37"/>
  <c r="E84" i="37"/>
  <c r="F84" i="37"/>
  <c r="H84" i="37"/>
  <c r="A86" i="37" l="1"/>
  <c r="F85" i="37"/>
  <c r="H85" i="37"/>
  <c r="C85" i="37"/>
  <c r="K85" i="37"/>
  <c r="E85" i="37"/>
  <c r="M85" i="37"/>
  <c r="B85" i="37"/>
  <c r="D85" i="37"/>
  <c r="G85" i="37"/>
  <c r="I85" i="37"/>
  <c r="J85" i="37"/>
  <c r="L85" i="37"/>
  <c r="A87" i="37" l="1"/>
  <c r="B86" i="37"/>
  <c r="J86" i="37"/>
  <c r="D86" i="37"/>
  <c r="L86" i="37"/>
  <c r="G86" i="37"/>
  <c r="I86" i="37"/>
  <c r="C86" i="37"/>
  <c r="E86" i="37"/>
  <c r="H86" i="37"/>
  <c r="F86" i="37"/>
  <c r="K86" i="37"/>
  <c r="M86" i="37"/>
  <c r="A88" i="37" l="1"/>
  <c r="F87" i="37"/>
  <c r="H87" i="37"/>
  <c r="C87" i="37"/>
  <c r="K87" i="37"/>
  <c r="E87" i="37"/>
  <c r="M87" i="37"/>
  <c r="G87" i="37"/>
  <c r="I87" i="37"/>
  <c r="J87" i="37"/>
  <c r="L87" i="37"/>
  <c r="B87" i="37"/>
  <c r="D87" i="37"/>
  <c r="A89" i="37" l="1"/>
  <c r="B88" i="37"/>
  <c r="J88" i="37"/>
  <c r="D88" i="37"/>
  <c r="L88" i="37"/>
  <c r="G88" i="37"/>
  <c r="I88" i="37"/>
  <c r="K88" i="37"/>
  <c r="M88" i="37"/>
  <c r="C88" i="37"/>
  <c r="E88" i="37"/>
  <c r="F88" i="37"/>
  <c r="H88" i="37"/>
  <c r="A90" i="37" l="1"/>
  <c r="F89" i="37"/>
  <c r="H89" i="37"/>
  <c r="C89" i="37"/>
  <c r="J89" i="37"/>
  <c r="K89" i="37"/>
  <c r="L89" i="37"/>
  <c r="B89" i="37"/>
  <c r="M89" i="37"/>
  <c r="D89" i="37"/>
  <c r="E89" i="37"/>
  <c r="G89" i="37"/>
  <c r="I89" i="37"/>
  <c r="A91" i="37" l="1"/>
  <c r="B90" i="37"/>
  <c r="D90" i="37"/>
  <c r="H90" i="37"/>
  <c r="I90" i="37"/>
  <c r="J90" i="37"/>
  <c r="K90" i="37"/>
  <c r="C90" i="37"/>
  <c r="L90" i="37"/>
  <c r="E90" i="37"/>
  <c r="M90" i="37"/>
  <c r="F90" i="37"/>
  <c r="G90" i="37"/>
  <c r="A92" i="37" l="1"/>
  <c r="D91" i="37"/>
  <c r="L91" i="37"/>
  <c r="E91" i="37"/>
  <c r="M91" i="37"/>
  <c r="F91" i="37"/>
  <c r="G91" i="37"/>
  <c r="H91" i="37"/>
  <c r="I91" i="37"/>
  <c r="B91" i="37"/>
  <c r="J91" i="37"/>
  <c r="C91" i="37"/>
  <c r="K91" i="37"/>
  <c r="A93" i="37" l="1"/>
  <c r="H92" i="37"/>
  <c r="I92" i="37"/>
  <c r="B92" i="37"/>
  <c r="J92" i="37"/>
  <c r="C92" i="37"/>
  <c r="K92" i="37"/>
  <c r="D92" i="37"/>
  <c r="L92" i="37"/>
  <c r="E92" i="37"/>
  <c r="M92" i="37"/>
  <c r="F92" i="37"/>
  <c r="G92" i="37"/>
  <c r="A94" i="37" l="1"/>
  <c r="D93" i="37"/>
  <c r="L93" i="37"/>
  <c r="E93" i="37"/>
  <c r="M93" i="37"/>
  <c r="G93" i="37"/>
  <c r="F93" i="37"/>
  <c r="H93" i="37"/>
  <c r="I93" i="37"/>
  <c r="B93" i="37"/>
  <c r="J93" i="37"/>
  <c r="C93" i="37"/>
  <c r="K93" i="37"/>
  <c r="A95" i="37" l="1"/>
  <c r="H94" i="37"/>
  <c r="I94" i="37"/>
  <c r="B94" i="37"/>
  <c r="J94" i="37"/>
  <c r="K94" i="37"/>
  <c r="C94" i="37"/>
  <c r="D94" i="37"/>
  <c r="L94" i="37"/>
  <c r="E94" i="37"/>
  <c r="M94" i="37"/>
  <c r="F94" i="37"/>
  <c r="G94" i="37"/>
  <c r="A96" i="37" l="1"/>
  <c r="D95" i="37"/>
  <c r="L95" i="37"/>
  <c r="E95" i="37"/>
  <c r="M95" i="37"/>
  <c r="F95" i="37"/>
  <c r="G95" i="37"/>
  <c r="H95" i="37"/>
  <c r="I95" i="37"/>
  <c r="B95" i="37"/>
  <c r="J95" i="37"/>
  <c r="K95" i="37"/>
  <c r="C95" i="37"/>
  <c r="A97" i="37" l="1"/>
  <c r="H96" i="37"/>
  <c r="I96" i="37"/>
  <c r="C96" i="37"/>
  <c r="B96" i="37"/>
  <c r="J96" i="37"/>
  <c r="K96" i="37"/>
  <c r="D96" i="37"/>
  <c r="L96" i="37"/>
  <c r="E96" i="37"/>
  <c r="M96" i="37"/>
  <c r="F96" i="37"/>
  <c r="G96" i="37"/>
  <c r="A98" i="37" l="1"/>
  <c r="D97" i="37"/>
  <c r="L97" i="37"/>
  <c r="E97" i="37"/>
  <c r="M97" i="37"/>
  <c r="F97" i="37"/>
  <c r="G97" i="37"/>
  <c r="H97" i="37"/>
  <c r="I97" i="37"/>
  <c r="B97" i="37"/>
  <c r="J97" i="37"/>
  <c r="C97" i="37"/>
  <c r="K97" i="37"/>
  <c r="A99" i="37" l="1"/>
  <c r="H98" i="37"/>
  <c r="I98" i="37"/>
  <c r="C98" i="37"/>
  <c r="B98" i="37"/>
  <c r="J98" i="37"/>
  <c r="K98" i="37"/>
  <c r="D98" i="37"/>
  <c r="L98" i="37"/>
  <c r="E98" i="37"/>
  <c r="M98" i="37"/>
  <c r="F98" i="37"/>
  <c r="G98" i="37"/>
  <c r="A100" i="37" l="1"/>
  <c r="D99" i="37"/>
  <c r="L99" i="37"/>
  <c r="E99" i="37"/>
  <c r="M99" i="37"/>
  <c r="G99" i="37"/>
  <c r="F99" i="37"/>
  <c r="H99" i="37"/>
  <c r="I99" i="37"/>
  <c r="B99" i="37"/>
  <c r="J99" i="37"/>
  <c r="K99" i="37"/>
  <c r="C99" i="37"/>
  <c r="A101" i="37" l="1"/>
  <c r="H100" i="37"/>
  <c r="I100" i="37"/>
  <c r="K100" i="37"/>
  <c r="B100" i="37"/>
  <c r="J100" i="37"/>
  <c r="C100" i="37"/>
  <c r="D100" i="37"/>
  <c r="L100" i="37"/>
  <c r="E100" i="37"/>
  <c r="M100" i="37"/>
  <c r="F100" i="37"/>
  <c r="G100" i="37"/>
  <c r="A102" i="37" l="1"/>
  <c r="D101" i="37"/>
  <c r="L101" i="37"/>
  <c r="E101" i="37"/>
  <c r="M101" i="37"/>
  <c r="F101" i="37"/>
  <c r="G101" i="37"/>
  <c r="H101" i="37"/>
  <c r="I101" i="37"/>
  <c r="B101" i="37"/>
  <c r="J101" i="37"/>
  <c r="C101" i="37"/>
  <c r="K101" i="37"/>
  <c r="A103" i="37" l="1"/>
  <c r="H102" i="37"/>
  <c r="I102" i="37"/>
  <c r="K102" i="37"/>
  <c r="B102" i="37"/>
  <c r="J102" i="37"/>
  <c r="C102" i="37"/>
  <c r="D102" i="37"/>
  <c r="L102" i="37"/>
  <c r="E102" i="37"/>
  <c r="M102" i="37"/>
  <c r="F102" i="37"/>
  <c r="G102" i="37"/>
  <c r="A104" i="37" l="1"/>
  <c r="D103" i="37"/>
  <c r="E103" i="37"/>
  <c r="M103" i="37"/>
  <c r="F103" i="37"/>
  <c r="G103" i="37"/>
  <c r="H103" i="37"/>
  <c r="I103" i="37"/>
  <c r="B103" i="37"/>
  <c r="J103" i="37"/>
  <c r="K103" i="37"/>
  <c r="C103" i="37"/>
  <c r="L103" i="37"/>
  <c r="A105" i="37" l="1"/>
  <c r="I104" i="37"/>
  <c r="K104" i="37"/>
  <c r="B104" i="37"/>
  <c r="J104" i="37"/>
  <c r="C104" i="37"/>
  <c r="D104" i="37"/>
  <c r="L104" i="37"/>
  <c r="E104" i="37"/>
  <c r="M104" i="37"/>
  <c r="F104" i="37"/>
  <c r="G104" i="37"/>
  <c r="H104" i="37"/>
  <c r="A106" i="37" l="1"/>
  <c r="E105" i="37"/>
  <c r="M105" i="37"/>
  <c r="F105" i="37"/>
  <c r="G105" i="37"/>
  <c r="H105" i="37"/>
  <c r="I105" i="37"/>
  <c r="B105" i="37"/>
  <c r="J105" i="37"/>
  <c r="C105" i="37"/>
  <c r="D105" i="37"/>
  <c r="K105" i="37"/>
  <c r="L105" i="37"/>
  <c r="A107" i="37" l="1"/>
  <c r="I106" i="37"/>
  <c r="K106" i="37"/>
  <c r="B106" i="37"/>
  <c r="J106" i="37"/>
  <c r="C106" i="37"/>
  <c r="D106" i="37"/>
  <c r="L106" i="37"/>
  <c r="E106" i="37"/>
  <c r="M106" i="37"/>
  <c r="F106" i="37"/>
  <c r="G106" i="37"/>
  <c r="H106" i="37"/>
  <c r="A108" i="37" l="1"/>
  <c r="E107" i="37"/>
  <c r="M107" i="37"/>
  <c r="F107" i="37"/>
  <c r="G107" i="37"/>
  <c r="H107" i="37"/>
  <c r="I107" i="37"/>
  <c r="B107" i="37"/>
  <c r="J107" i="37"/>
  <c r="K107" i="37"/>
  <c r="L107" i="37"/>
  <c r="C107" i="37"/>
  <c r="D107" i="37"/>
  <c r="A109" i="37" l="1"/>
  <c r="I108" i="37"/>
  <c r="K108" i="37"/>
  <c r="B108" i="37"/>
  <c r="J108" i="37"/>
  <c r="C108" i="37"/>
  <c r="D108" i="37"/>
  <c r="L108" i="37"/>
  <c r="E108" i="37"/>
  <c r="M108" i="37"/>
  <c r="F108" i="37"/>
  <c r="G108" i="37"/>
  <c r="H108" i="37"/>
  <c r="A110" i="37" l="1"/>
  <c r="E109" i="37"/>
  <c r="M109" i="37"/>
  <c r="F109" i="37"/>
  <c r="G109" i="37"/>
  <c r="H109" i="37"/>
  <c r="I109" i="37"/>
  <c r="B109" i="37"/>
  <c r="J109" i="37"/>
  <c r="K109" i="37"/>
  <c r="C109" i="37"/>
  <c r="D109" i="37"/>
  <c r="L109" i="37"/>
  <c r="A111" i="37" l="1"/>
  <c r="I110" i="37"/>
  <c r="K110" i="37"/>
  <c r="B110" i="37"/>
  <c r="J110" i="37"/>
  <c r="C110" i="37"/>
  <c r="D110" i="37"/>
  <c r="L110" i="37"/>
  <c r="E110" i="37"/>
  <c r="M110" i="37"/>
  <c r="F110" i="37"/>
  <c r="G110" i="37"/>
  <c r="H110" i="37"/>
  <c r="A112" i="37" l="1"/>
  <c r="E111" i="37"/>
  <c r="M111" i="37"/>
  <c r="F111" i="37"/>
  <c r="G111" i="37"/>
  <c r="H111" i="37"/>
  <c r="I111" i="37"/>
  <c r="B111" i="37"/>
  <c r="J111" i="37"/>
  <c r="D111" i="37"/>
  <c r="K111" i="37"/>
  <c r="C111" i="37"/>
  <c r="L111" i="37"/>
  <c r="A113" i="37" l="1"/>
  <c r="I112" i="37"/>
  <c r="K112" i="37"/>
  <c r="B112" i="37"/>
  <c r="J112" i="37"/>
  <c r="C112" i="37"/>
  <c r="D112" i="37"/>
  <c r="L112" i="37"/>
  <c r="E112" i="37"/>
  <c r="M112" i="37"/>
  <c r="F112" i="37"/>
  <c r="H112" i="37"/>
  <c r="G112" i="37"/>
  <c r="A114" i="37" l="1"/>
  <c r="E113" i="37"/>
  <c r="M113" i="37"/>
  <c r="F113" i="37"/>
  <c r="G113" i="37"/>
  <c r="H113" i="37"/>
  <c r="I113" i="37"/>
  <c r="B113" i="37"/>
  <c r="J113" i="37"/>
  <c r="C113" i="37"/>
  <c r="D113" i="37"/>
  <c r="L113" i="37"/>
  <c r="K113" i="37"/>
  <c r="A115" i="37" l="1"/>
  <c r="I114" i="37"/>
  <c r="K114" i="37"/>
  <c r="B114" i="37"/>
  <c r="J114" i="37"/>
  <c r="C114" i="37"/>
  <c r="D114" i="37"/>
  <c r="L114" i="37"/>
  <c r="E114" i="37"/>
  <c r="M114" i="37"/>
  <c r="F114" i="37"/>
  <c r="G114" i="37"/>
  <c r="H114" i="37"/>
  <c r="A116" i="37" l="1"/>
  <c r="E115" i="37"/>
  <c r="M115" i="37"/>
  <c r="F115" i="37"/>
  <c r="G115" i="37"/>
  <c r="H115" i="37"/>
  <c r="I115" i="37"/>
  <c r="B115" i="37"/>
  <c r="J115" i="37"/>
  <c r="K115" i="37"/>
  <c r="L115" i="37"/>
  <c r="C115" i="37"/>
  <c r="D115" i="37"/>
  <c r="A117" i="37" l="1"/>
  <c r="I116" i="37"/>
  <c r="B116" i="37"/>
  <c r="J116" i="37"/>
  <c r="C116" i="37"/>
  <c r="K116" i="37"/>
  <c r="D116" i="37"/>
  <c r="L116" i="37"/>
  <c r="E116" i="37"/>
  <c r="M116" i="37"/>
  <c r="F116" i="37"/>
  <c r="G116" i="37"/>
  <c r="H116" i="37"/>
  <c r="A118" i="37" l="1"/>
  <c r="E117" i="37"/>
  <c r="M117" i="37"/>
  <c r="G117" i="37"/>
  <c r="F117" i="37"/>
  <c r="H117" i="37"/>
  <c r="I117" i="37"/>
  <c r="B117" i="37"/>
  <c r="J117" i="37"/>
  <c r="K117" i="37"/>
  <c r="C117" i="37"/>
  <c r="L117" i="37"/>
  <c r="D117" i="37"/>
  <c r="A119" i="37" l="1"/>
  <c r="I118" i="37"/>
  <c r="B118" i="37"/>
  <c r="J118" i="37"/>
  <c r="C118" i="37"/>
  <c r="K118" i="37"/>
  <c r="D118" i="37"/>
  <c r="L118" i="37"/>
  <c r="E118" i="37"/>
  <c r="M118" i="37"/>
  <c r="F118" i="37"/>
  <c r="G118" i="37"/>
  <c r="H118" i="37"/>
  <c r="A120" i="37" l="1"/>
  <c r="E119" i="37"/>
  <c r="M119" i="37"/>
  <c r="G119" i="37"/>
  <c r="F119" i="37"/>
  <c r="H119" i="37"/>
  <c r="I119" i="37"/>
  <c r="B119" i="37"/>
  <c r="J119" i="37"/>
  <c r="C119" i="37"/>
  <c r="D119" i="37"/>
  <c r="K119" i="37"/>
  <c r="L119" i="37"/>
  <c r="A121" i="37" l="1"/>
  <c r="I120" i="37"/>
  <c r="B120" i="37"/>
  <c r="J120" i="37"/>
  <c r="K120" i="37"/>
  <c r="C120" i="37"/>
  <c r="D120" i="37"/>
  <c r="L120" i="37"/>
  <c r="E120" i="37"/>
  <c r="M120" i="37"/>
  <c r="F120" i="37"/>
  <c r="H120" i="37"/>
  <c r="G120" i="37"/>
  <c r="A122" i="37" l="1"/>
  <c r="E121" i="37"/>
  <c r="M121" i="37"/>
  <c r="F121" i="37"/>
  <c r="H121" i="37"/>
  <c r="I121" i="37"/>
  <c r="B121" i="37"/>
  <c r="J121" i="37"/>
  <c r="C121" i="37"/>
  <c r="D121" i="37"/>
  <c r="G121" i="37"/>
  <c r="K121" i="37"/>
  <c r="L121" i="37"/>
  <c r="A123" i="37" l="1"/>
  <c r="I122" i="37"/>
  <c r="B122" i="37"/>
  <c r="J122" i="37"/>
  <c r="D122" i="37"/>
  <c r="L122" i="37"/>
  <c r="E122" i="37"/>
  <c r="M122" i="37"/>
  <c r="F122" i="37"/>
  <c r="K122" i="37"/>
  <c r="G122" i="37"/>
  <c r="C122" i="37"/>
  <c r="H122" i="37"/>
  <c r="E123" i="37" l="1"/>
  <c r="M123" i="37"/>
  <c r="F123" i="37"/>
  <c r="H123" i="37"/>
  <c r="I123" i="37"/>
  <c r="B123" i="37"/>
  <c r="J123" i="37"/>
  <c r="G123" i="37"/>
  <c r="C123" i="37"/>
  <c r="K123" i="37"/>
  <c r="D123" i="37"/>
  <c r="L123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Pranjal Singh</author>
  </authors>
  <commentList>
    <comment ref="H2" authorId="0" shapeId="0" xr:uid="{65CDE593-8992-41E6-8F27-6E1D0B69B6CD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Cut off chosen to include second nearest neighbour interactions (important to have good diffusivity).</t>
        </r>
      </text>
    </comment>
    <comment ref="I2" authorId="0" shapeId="0" xr:uid="{AF715D42-D4C8-4678-8EDB-BE301E255155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Tuned to desirable diffusivity.</t>
        </r>
      </text>
    </comment>
    <comment ref="J2" authorId="0" shapeId="0" xr:uid="{53F136CD-DC45-4FF4-BA4C-6444923C95EE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Tuned to desirable bending rigidity.</t>
        </r>
      </text>
    </comment>
    <comment ref="K2" authorId="0" shapeId="0" xr:uid="{90A8EED1-F6F7-440C-88C1-EF7EEA16723B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zero spontaneous/intrinsic curvature.</t>
        </r>
      </text>
    </comment>
    <comment ref="H6" authorId="0" shapeId="0" xr:uid="{3C87A422-BB23-4177-A57D-BD0A6D14C57C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4-2 interaction (soft core) because large coarse-graining size.</t>
        </r>
      </text>
    </comment>
    <comment ref="M6" authorId="0" shapeId="0" xr:uid="{3939DB91-DC37-46CF-A9B7-7C3802F13925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Baseline potential well depth.</t>
        </r>
      </text>
    </comment>
    <comment ref="N6" authorId="0" shapeId="0" xr:uid="{63DA8D83-D410-4067-83FD-03DB929BCF10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Twice to model the low mobility of NM particles near NPC; NPC shall bind more strongly to NM than NM to NM, otherwise NM particles will diffuse off.</t>
        </r>
      </text>
    </comment>
    <comment ref="P6" authorId="0" shapeId="0" xr:uid="{346BB79B-7F02-4DEB-B717-C7F8B49DC662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NL-B to NM binding via farnesyl group; assumed stronger than NL-A to NM where no farnesyl group is present.</t>
        </r>
      </text>
    </comment>
    <comment ref="H7" authorId="0" shapeId="0" xr:uid="{67B5B811-2FC1-40FA-A8CD-430FD05B5487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9-6 interaction (stiff core) because small coarse-graining size.</t>
        </r>
      </text>
    </comment>
    <comment ref="N7" authorId="0" shapeId="0" xr:uid="{30593C8A-8431-48AF-829F-4AD227D8880B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Tuned to have enough strength of repulsion keeping NPCs from fusing/overlapping.</t>
        </r>
      </text>
    </comment>
    <comment ref="O7" authorId="0" shapeId="0" xr:uid="{A1F5DF94-E95C-4878-808E-9B90E8EB784F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NL to NPC binding interaction via Nups and ELYS (Kittisopikul2021).</t>
        </r>
      </text>
    </comment>
    <comment ref="O8" authorId="0" shapeId="0" xr:uid="{3C446302-A325-4F90-BE68-136B2BEBFBDF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The strength of EPS wrapping/unwrapping interaction (Makarov 2019); Assumed value.</t>
        </r>
      </text>
    </comment>
    <comment ref="Q10" authorId="0" shapeId="0" xr:uid="{500B1019-0FBD-44BF-842F-0854DF73C0CA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Weak EC-EC interaction (Chiang2019).</t>
        </r>
      </text>
    </comment>
    <comment ref="R11" authorId="0" shapeId="0" xr:uid="{EB271954-BF91-475C-8105-22E606BDE599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Stronger HC-HC interaction than EC-EC interaction (Chiang2019).</t>
        </r>
      </text>
    </comment>
    <comment ref="M16" authorId="0" shapeId="0" xr:uid="{0E08A650-6154-4BCD-9C68-9DBD14ECFF93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In-plane siize of NM particles is not well defined and tunable. Also, since second neighbour interactions are included, we can't directly equate 'sigma*sqrt(2)' as 'diameter' of NM particles.</t>
        </r>
      </text>
    </comment>
    <comment ref="N17" authorId="0" shapeId="0" xr:uid="{9BB30C8F-AA75-4180-B81E-C58871B7EE94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Setting this value results in desired NPC steric diameter of about 80 nm in simulation.</t>
        </r>
      </text>
    </comment>
    <comment ref="O18" authorId="0" shapeId="0" xr:uid="{296F0397-7045-475A-899D-AD33F8EE3139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The desired NL filament globular domain size (Turgay2017).</t>
        </r>
      </text>
    </comment>
    <comment ref="Q20" authorId="0" shapeId="0" xr:uid="{8116E4CD-1BD6-43B4-9D0D-C3896DA36016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Size of PC beads.</t>
        </r>
      </text>
    </comment>
    <comment ref="S22" authorId="0" shapeId="0" xr:uid="{4B0C3865-834C-4F43-9C39-B386E11F1446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Size of F-actin bead.</t>
        </r>
      </text>
    </comment>
    <comment ref="T23" authorId="0" shapeId="0" xr:uid="{FC21FC27-D1C6-4FB0-A7A6-3B38A833E331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Size of MT bead.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Pranjal Singh</author>
  </authors>
  <commentList>
    <comment ref="E2" authorId="0" shapeId="0" xr:uid="{FA0CF4B3-22A9-4E69-9EDD-0B93331FD8DC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NL filament stiffness based on Sapra2020.</t>
        </r>
      </text>
    </comment>
    <comment ref="F2" authorId="0" shapeId="0" xr:uid="{CFAEB6F9-76AA-4F20-9416-4D56CF234B18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NL filament rod domain length between globular domains (Turgay2017).</t>
        </r>
      </text>
    </comment>
    <comment ref="F3" authorId="0" shapeId="0" xr:uid="{E17F97A2-3138-4F09-86D2-5C890CD8A36F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Discretization length on F-actin filaments.</t>
        </r>
      </text>
    </comment>
    <comment ref="F4" authorId="0" shapeId="0" xr:uid="{45459939-003B-427F-B158-83A845807A35}">
      <text>
        <r>
          <rPr>
            <b/>
            <sz val="9"/>
            <color indexed="81"/>
            <rFont val="Tahoma"/>
            <family val="2"/>
          </rPr>
          <t>Pranjal Singh:</t>
        </r>
        <r>
          <rPr>
            <sz val="9"/>
            <color indexed="81"/>
            <rFont val="Tahoma"/>
            <family val="2"/>
          </rPr>
          <t xml:space="preserve">
Discretization length on MT filaments.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Pranjal Singh</author>
  </authors>
  <commentList>
    <comment ref="E2" authorId="0" shapeId="0" xr:uid="{274588A6-18CF-411B-AD69-DFA62794C3CC}">
      <text>
        <r>
          <rPr>
            <b/>
            <sz val="9"/>
            <color indexed="81"/>
            <rFont val="Tahoma"/>
            <charset val="1"/>
          </rPr>
          <t>Pranjal Singh:</t>
        </r>
        <r>
          <rPr>
            <sz val="9"/>
            <color indexed="81"/>
            <rFont val="Tahoma"/>
            <charset val="1"/>
          </rPr>
          <t xml:space="preserve">
monolayer has its own viscosity, hence very small external viscosity on it</t>
        </r>
      </text>
    </comment>
  </commentList>
</comments>
</file>

<file path=xl/sharedStrings.xml><?xml version="1.0" encoding="utf-8"?>
<sst xmlns="http://schemas.openxmlformats.org/spreadsheetml/2006/main" count="438" uniqueCount="254">
  <si>
    <t>Particle Type</t>
  </si>
  <si>
    <t>Molecular weight [kDa]</t>
  </si>
  <si>
    <t>Lamin-B1</t>
  </si>
  <si>
    <t>Lamin-B2</t>
  </si>
  <si>
    <t>NPC</t>
  </si>
  <si>
    <t>LBR</t>
  </si>
  <si>
    <t>Emerin</t>
  </si>
  <si>
    <t>SUN-1</t>
  </si>
  <si>
    <t>Nesprin-3</t>
  </si>
  <si>
    <t>LAP2</t>
  </si>
  <si>
    <t>MAN1</t>
  </si>
  <si>
    <t>PC</t>
  </si>
  <si>
    <t>ePC</t>
  </si>
  <si>
    <t>PI</t>
  </si>
  <si>
    <t>PE</t>
  </si>
  <si>
    <t>PA</t>
  </si>
  <si>
    <t>Lipid</t>
  </si>
  <si>
    <t>Fraction</t>
  </si>
  <si>
    <t>Average</t>
  </si>
  <si>
    <t>Lamin-A</t>
  </si>
  <si>
    <t>Protein</t>
  </si>
  <si>
    <t>NL</t>
  </si>
  <si>
    <t>NM Lipids</t>
  </si>
  <si>
    <t>Entity</t>
  </si>
  <si>
    <t>Mass [kDa]</t>
  </si>
  <si>
    <t>Nucleosome</t>
  </si>
  <si>
    <t>PS</t>
  </si>
  <si>
    <t>SM</t>
  </si>
  <si>
    <t>Lamin-C</t>
  </si>
  <si>
    <t>Average m_L</t>
  </si>
  <si>
    <t>m_NPC</t>
  </si>
  <si>
    <t>NM binding proteins</t>
  </si>
  <si>
    <t>Average m_NLA</t>
  </si>
  <si>
    <t>Average m_NLB</t>
  </si>
  <si>
    <t>m_NUC</t>
  </si>
  <si>
    <t>N_NM</t>
  </si>
  <si>
    <t>N_NPC</t>
  </si>
  <si>
    <t>CG_L_in_NM</t>
  </si>
  <si>
    <t>Parameter</t>
  </si>
  <si>
    <t>Value</t>
  </si>
  <si>
    <t>Reduced Mass</t>
  </si>
  <si>
    <t>https://www.uniprot.org/uniprot/P02545</t>
  </si>
  <si>
    <t>https://www.uniprot.org/uniprot/Q03252</t>
  </si>
  <si>
    <t>https://www.uniprot.org/uniprot/P20700</t>
  </si>
  <si>
    <t>https://pubchem.ncbi.nlm.nih.gov/compound/C24_1-Sphingomyelin</t>
  </si>
  <si>
    <t>L_NEpatch [nm]</t>
  </si>
  <si>
    <t>r_NPC [nm]</t>
  </si>
  <si>
    <t>rho_L [nm^{-2}]</t>
  </si>
  <si>
    <t>https://www.nature.com/articles/s41598-019-46617-7</t>
  </si>
  <si>
    <t>Unit</t>
  </si>
  <si>
    <t>K</t>
  </si>
  <si>
    <t>nm</t>
  </si>
  <si>
    <t>J/K</t>
  </si>
  <si>
    <t>J</t>
  </si>
  <si>
    <t>kDa</t>
  </si>
  <si>
    <t>kg</t>
  </si>
  <si>
    <t>ns</t>
  </si>
  <si>
    <t>τ</t>
  </si>
  <si>
    <t>Energy scale, epsilon</t>
  </si>
  <si>
    <t>Length scale, sigma</t>
  </si>
  <si>
    <t>Mass scale, m</t>
  </si>
  <si>
    <t>Time scale, tau</t>
  </si>
  <si>
    <t>Reduced temperature, T*</t>
  </si>
  <si>
    <t>Temperature, T</t>
  </si>
  <si>
    <t>Quantity</t>
  </si>
  <si>
    <t>Equilibrium bond length between NL particles</t>
  </si>
  <si>
    <t>1 (NM)</t>
  </si>
  <si>
    <t>2 (NPC)</t>
  </si>
  <si>
    <t>3 (NLA)</t>
  </si>
  <si>
    <t>4 (NLB)</t>
  </si>
  <si>
    <t>5 (EC)</t>
  </si>
  <si>
    <t>6 (HC)</t>
  </si>
  <si>
    <t>Boltzmann Constant, k_B</t>
  </si>
  <si>
    <t>Timestep, delta t</t>
  </si>
  <si>
    <t>Area per NM</t>
  </si>
  <si>
    <t>Diameter [nm]</t>
  </si>
  <si>
    <t>Source:</t>
  </si>
  <si>
    <t>Sources:</t>
  </si>
  <si>
    <t>http://www.nature.com/articles/nrm.2016.147</t>
  </si>
  <si>
    <t>http://www.nature.com/articles/nature10098</t>
  </si>
  <si>
    <t>https://pubs.acs.org/doi/10.1021/acs.analchem.9b05052</t>
  </si>
  <si>
    <t>Sources of rho_L:</t>
  </si>
  <si>
    <t>https://dx.doi.org/10.1016%2Fj.bpj.2014.07.044</t>
  </si>
  <si>
    <t>http://dx.doi.org/10.1016/j.bbamem.2014.06.004</t>
  </si>
  <si>
    <t>http://www.nature.com/articles/2231279a0</t>
  </si>
  <si>
    <t>CG_B_in_NM</t>
  </si>
  <si>
    <t>Average m_B</t>
  </si>
  <si>
    <t>Particle Counts</t>
  </si>
  <si>
    <t>7 (FA)</t>
  </si>
  <si>
    <t>8 (MT)</t>
  </si>
  <si>
    <t>Turgay 2017</t>
  </si>
  <si>
    <t>mie/cut</t>
  </si>
  <si>
    <t>epsilon</t>
  </si>
  <si>
    <t>sigma</t>
  </si>
  <si>
    <t>gammaR</t>
  </si>
  <si>
    <t>gammaA</t>
  </si>
  <si>
    <t>cutoff</t>
  </si>
  <si>
    <t>Sr. No.</t>
  </si>
  <si>
    <t>A</t>
  </si>
  <si>
    <t>B</t>
  </si>
  <si>
    <t>Style</t>
  </si>
  <si>
    <t>zeta</t>
  </si>
  <si>
    <t>mu</t>
  </si>
  <si>
    <t>theta_0</t>
  </si>
  <si>
    <t>fluidmembrane</t>
  </si>
  <si>
    <t>pair_coeff</t>
  </si>
  <si>
    <t>d0</t>
  </si>
  <si>
    <t>4-2</t>
  </si>
  <si>
    <t>9-6</t>
  </si>
  <si>
    <t>NM</t>
  </si>
  <si>
    <t>NL-A</t>
  </si>
  <si>
    <t>NL-B</t>
  </si>
  <si>
    <t>EC</t>
  </si>
  <si>
    <t>HC</t>
  </si>
  <si>
    <t>FA</t>
  </si>
  <si>
    <t>MT</t>
  </si>
  <si>
    <t>Prefix</t>
  </si>
  <si>
    <t>d0/sigma</t>
  </si>
  <si>
    <t>bond_coeff</t>
  </si>
  <si>
    <t>harmonic</t>
  </si>
  <si>
    <t>r0</t>
  </si>
  <si>
    <t>Type</t>
  </si>
  <si>
    <t>NL filament</t>
  </si>
  <si>
    <t>PC chain</t>
  </si>
  <si>
    <t>FA filament</t>
  </si>
  <si>
    <t>MT filament</t>
  </si>
  <si>
    <t>CL</t>
  </si>
  <si>
    <t>OL</t>
  </si>
  <si>
    <t>fene</t>
  </si>
  <si>
    <t>R0</t>
  </si>
  <si>
    <t>morse</t>
  </si>
  <si>
    <t>D</t>
  </si>
  <si>
    <t>alpha</t>
  </si>
  <si>
    <t>rmk</t>
  </si>
  <si>
    <t>rbrk</t>
  </si>
  <si>
    <t>Purpose</t>
  </si>
  <si>
    <t>angle_coeff</t>
  </si>
  <si>
    <t>Lp</t>
  </si>
  <si>
    <t>Mahamid2016</t>
  </si>
  <si>
    <t>Mahamid2016; Turgay2017</t>
  </si>
  <si>
    <t># NL filament</t>
  </si>
  <si>
    <t># FA filament</t>
  </si>
  <si>
    <t># MT filament</t>
  </si>
  <si>
    <t># PC chain</t>
  </si>
  <si>
    <t># CL</t>
  </si>
  <si>
    <t># OL</t>
  </si>
  <si>
    <t>Colors</t>
  </si>
  <si>
    <t>#dddddd</t>
  </si>
  <si>
    <t>light gray</t>
  </si>
  <si>
    <t>#00aaff</t>
  </si>
  <si>
    <t>cyan</t>
  </si>
  <si>
    <t>#cccc00</t>
  </si>
  <si>
    <t>gold</t>
  </si>
  <si>
    <t>#aa00ff</t>
  </si>
  <si>
    <t>magenta</t>
  </si>
  <si>
    <t>#7d7d7d dark gray</t>
  </si>
  <si>
    <t>#5555ff</t>
  </si>
  <si>
    <t>blue</t>
  </si>
  <si>
    <t>#cc0000</t>
  </si>
  <si>
    <t>red</t>
  </si>
  <si>
    <t>#00cc00</t>
  </si>
  <si>
    <t>green</t>
  </si>
  <si>
    <t>#7d7d7d</t>
  </si>
  <si>
    <t>fix</t>
  </si>
  <si>
    <t>bond/break</t>
  </si>
  <si>
    <t>N</t>
  </si>
  <si>
    <t>CLbrk all</t>
  </si>
  <si>
    <t>OLbrk all</t>
  </si>
  <si>
    <t>3CL3 all</t>
  </si>
  <si>
    <t>Scope</t>
  </si>
  <si>
    <t>bond/create</t>
  </si>
  <si>
    <t>A-B</t>
  </si>
  <si>
    <t>3 3</t>
  </si>
  <si>
    <t>ILAbrk all</t>
  </si>
  <si>
    <t>ILBbrk all</t>
  </si>
  <si>
    <t># IL-A</t>
  </si>
  <si>
    <t># IL-B</t>
  </si>
  <si>
    <t>IL-A</t>
  </si>
  <si>
    <t>IL-B</t>
  </si>
  <si>
    <t>iparam</t>
  </si>
  <si>
    <t>iparam 2 3</t>
  </si>
  <si>
    <t>jparam</t>
  </si>
  <si>
    <t>jparam 2 3</t>
  </si>
  <si>
    <t>prob</t>
  </si>
  <si>
    <t>4CL4 all</t>
  </si>
  <si>
    <t>4 4</t>
  </si>
  <si>
    <t>iparam 2 4</t>
  </si>
  <si>
    <t>jparam 2 4</t>
  </si>
  <si>
    <t>3ILA1 all</t>
  </si>
  <si>
    <t>3ILA2 all</t>
  </si>
  <si>
    <t>4ILA1 all</t>
  </si>
  <si>
    <t>4ILA2 all</t>
  </si>
  <si>
    <t>6ILB1 all</t>
  </si>
  <si>
    <t>7OL1 all</t>
  </si>
  <si>
    <t>8OL1 all</t>
  </si>
  <si>
    <t>iparam 1 1</t>
  </si>
  <si>
    <t>jparam 1 3</t>
  </si>
  <si>
    <t>jparam 1 4</t>
  </si>
  <si>
    <t>jparam 1 6</t>
  </si>
  <si>
    <t>jparam 1 7</t>
  </si>
  <si>
    <t>jparam 1 8</t>
  </si>
  <si>
    <t>iparam 5 2</t>
  </si>
  <si>
    <t>iparam 2 2</t>
  </si>
  <si>
    <t>cutoff-pair</t>
  </si>
  <si>
    <t>r0-pair</t>
  </si>
  <si>
    <t>r0-bond</t>
  </si>
  <si>
    <t>1 3</t>
  </si>
  <si>
    <t>2 3</t>
  </si>
  <si>
    <t>1 4</t>
  </si>
  <si>
    <t>2 4</t>
  </si>
  <si>
    <t>1 6</t>
  </si>
  <si>
    <t>1 7</t>
  </si>
  <si>
    <t>1 8</t>
  </si>
  <si>
    <t>bond strain</t>
  </si>
  <si>
    <t>cl</t>
  </si>
  <si>
    <t>il-a</t>
  </si>
  <si>
    <t>il-b</t>
  </si>
  <si>
    <t>ol</t>
  </si>
  <si>
    <t>Reversible Bonds</t>
  </si>
  <si>
    <t>3*4</t>
  </si>
  <si>
    <t>Item</t>
  </si>
  <si>
    <t>1*2</t>
  </si>
  <si>
    <t>7*8</t>
  </si>
  <si>
    <t>n</t>
  </si>
  <si>
    <t>m</t>
  </si>
  <si>
    <t>C</t>
  </si>
  <si>
    <t>https://www.ncbi.nlm.nih.gov/pmc/articles/PMC4039033/</t>
  </si>
  <si>
    <t>CSK</t>
  </si>
  <si>
    <t>Tubulin</t>
  </si>
  <si>
    <t>https://www.nature.com/articles/nature09207</t>
  </si>
  <si>
    <t>Assuming 13 tubulin in cicumference and 4 tubulin in length (13/pi)</t>
  </si>
  <si>
    <t>https://www.uniprot.org/uniprot/P60709</t>
  </si>
  <si>
    <t>Actin</t>
  </si>
  <si>
    <t>https://www.rcsb.org/structure/3g37</t>
  </si>
  <si>
    <t>From above ref, about 5 actin in 8nm by 20 nm</t>
  </si>
  <si>
    <t>monolayer</t>
  </si>
  <si>
    <t>Group</t>
  </si>
  <si>
    <t>Types</t>
  </si>
  <si>
    <t>m (in kg)</t>
  </si>
  <si>
    <t>d (in m)</t>
  </si>
  <si>
    <t>eta (in Pa-s)</t>
  </si>
  <si>
    <t>tau_t (in s)</t>
  </si>
  <si>
    <t>tau_t (reduced)</t>
  </si>
  <si>
    <t>meshwork</t>
  </si>
  <si>
    <t>chain</t>
  </si>
  <si>
    <t>1 2</t>
  </si>
  <si>
    <t>3 4</t>
  </si>
  <si>
    <t>5 6</t>
  </si>
  <si>
    <t>Force, epsilon/sigma</t>
  </si>
  <si>
    <t>pN</t>
  </si>
  <si>
    <t>prob 0.02 221</t>
  </si>
  <si>
    <t>f_brk</t>
  </si>
  <si>
    <t>tau_t (used with 1/10x viscosity)</t>
  </si>
  <si>
    <t># CGNPS - Coarse-Grained Nuclear Periphery Simulator
#
# See the README file in the top-level CGNPS directory.
# This software is released under the GNU General Public License.
# -----------------------------------------------------------------------------
# This file (param.xlsx) is used for managing model parameters.
# -----------------------------------------------------------------------------
# date           :08-Jan-22
# version      :0.6.0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</si>
</sst>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"/>
    <numFmt numFmtId="167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00AA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AA00FF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5555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CC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/>
    <xf numFmtId="0" fontId="0" fillId="0" borderId="0" xfId="0" applyBorder="1"/>
    <xf numFmtId="0" fontId="0" fillId="0" borderId="14" xfId="0" applyBorder="1"/>
    <xf numFmtId="0" fontId="0" fillId="0" borderId="13" xfId="0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1" fontId="0" fillId="0" borderId="14" xfId="0" applyNumberFormat="1" applyBorder="1"/>
    <xf numFmtId="0" fontId="0" fillId="0" borderId="17" xfId="0" applyBorder="1"/>
    <xf numFmtId="164" fontId="0" fillId="0" borderId="0" xfId="0" applyNumberFormat="1" applyBorder="1"/>
    <xf numFmtId="164" fontId="0" fillId="0" borderId="16" xfId="0" applyNumberFormat="1" applyBorder="1"/>
    <xf numFmtId="0" fontId="16" fillId="0" borderId="0" xfId="0" applyFont="1"/>
    <xf numFmtId="11" fontId="0" fillId="0" borderId="0" xfId="0" applyNumberFormat="1"/>
    <xf numFmtId="0" fontId="0" fillId="0" borderId="11" xfId="0" applyFill="1" applyBorder="1"/>
    <xf numFmtId="1" fontId="0" fillId="0" borderId="0" xfId="0" applyNumberFormat="1" applyBorder="1"/>
    <xf numFmtId="0" fontId="0" fillId="0" borderId="12" xfId="0" applyFill="1" applyBorder="1"/>
    <xf numFmtId="1" fontId="0" fillId="0" borderId="16" xfId="0" applyNumberFormat="1" applyBorder="1"/>
    <xf numFmtId="0" fontId="0" fillId="0" borderId="0" xfId="0" applyFill="1" applyBorder="1"/>
    <xf numFmtId="0" fontId="0" fillId="0" borderId="15" xfId="0" applyFill="1" applyBorder="1"/>
    <xf numFmtId="0" fontId="0" fillId="0" borderId="0" xfId="0" applyAlignment="1"/>
    <xf numFmtId="0" fontId="20" fillId="0" borderId="0" xfId="0" applyFont="1"/>
    <xf numFmtId="0" fontId="0" fillId="34" borderId="0" xfId="0" applyFill="1" applyBorder="1"/>
    <xf numFmtId="0" fontId="0" fillId="34" borderId="16" xfId="0" applyFill="1" applyBorder="1"/>
    <xf numFmtId="164" fontId="0" fillId="0" borderId="0" xfId="0" applyNumberFormat="1"/>
    <xf numFmtId="0" fontId="20" fillId="0" borderId="0" xfId="0" applyFont="1" applyBorder="1"/>
    <xf numFmtId="165" fontId="20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0" fillId="0" borderId="0" xfId="0" applyNumberFormat="1" applyFont="1"/>
    <xf numFmtId="164" fontId="20" fillId="0" borderId="0" xfId="0" applyNumberFormat="1" applyFont="1"/>
    <xf numFmtId="1" fontId="20" fillId="0" borderId="0" xfId="0" applyNumberFormat="1" applyFont="1"/>
    <xf numFmtId="0" fontId="20" fillId="0" borderId="14" xfId="0" applyFont="1" applyBorder="1"/>
    <xf numFmtId="49" fontId="0" fillId="0" borderId="11" xfId="0" applyNumberFormat="1" applyBorder="1"/>
    <xf numFmtId="49" fontId="0" fillId="0" borderId="12" xfId="0" applyNumberFormat="1" applyBorder="1"/>
    <xf numFmtId="164" fontId="0" fillId="0" borderId="17" xfId="0" applyNumberFormat="1" applyBorder="1"/>
    <xf numFmtId="0" fontId="21" fillId="0" borderId="0" xfId="0" applyFont="1" applyBorder="1"/>
    <xf numFmtId="164" fontId="21" fillId="0" borderId="0" xfId="0" applyNumberFormat="1" applyFont="1"/>
    <xf numFmtId="1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21" fillId="0" borderId="0" xfId="0" applyFont="1" applyFill="1" applyBorder="1"/>
    <xf numFmtId="0" fontId="21" fillId="0" borderId="0" xfId="0" applyFont="1"/>
    <xf numFmtId="0" fontId="21" fillId="0" borderId="14" xfId="0" applyFont="1" applyBorder="1"/>
    <xf numFmtId="2" fontId="0" fillId="0" borderId="0" xfId="0" applyNumberFormat="1"/>
    <xf numFmtId="2" fontId="21" fillId="0" borderId="0" xfId="0" applyNumberFormat="1" applyFont="1"/>
    <xf numFmtId="0" fontId="0" fillId="0" borderId="13" xfId="0" applyFill="1" applyBorder="1"/>
    <xf numFmtId="2" fontId="20" fillId="0" borderId="0" xfId="0" applyNumberFormat="1" applyFont="1"/>
    <xf numFmtId="167" fontId="0" fillId="0" borderId="0" xfId="0" applyNumberFormat="1"/>
    <xf numFmtId="0" fontId="0" fillId="33" borderId="0" xfId="0" applyFill="1" applyAlignment="1">
      <alignment horizontal="left" vertical="top" wrapText="1"/>
    </xf>
    <xf numFmtId="0" fontId="0" fillId="33" borderId="0" xfId="0" applyFill="1" applyAlignment="1">
      <alignment horizontal="left" vertical="top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00"/>
      <color rgb="FFCC0000"/>
      <color rgb="FF5555FF"/>
      <color rgb="FF7D7D7D"/>
      <color rgb="FFAA00FF"/>
      <color rgb="FFCCCC00"/>
      <color rgb="FF00AAFF"/>
      <color rgb="FFDDDDDD"/>
      <color rgb="FF00AF00"/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'force-strain'!$B$2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'force-strain'!$B$3:$B$123</c:f>
              <c:numCache>
                <c:formatCode>General</c:formatCode>
                <c:ptCount val="121"/>
                <c:pt idx="0">
                  <c:v>-45</c:v>
                </c:pt>
                <c:pt idx="1">
                  <c:v>-43.5</c:v>
                </c:pt>
                <c:pt idx="2">
                  <c:v>-41.999999999999993</c:v>
                </c:pt>
                <c:pt idx="3">
                  <c:v>-40.499999999999993</c:v>
                </c:pt>
                <c:pt idx="4">
                  <c:v>-38.999999999999993</c:v>
                </c:pt>
                <c:pt idx="5">
                  <c:v>-37.499999999999993</c:v>
                </c:pt>
                <c:pt idx="6">
                  <c:v>-35.999999999999993</c:v>
                </c:pt>
                <c:pt idx="7">
                  <c:v>-34.499999999999986</c:v>
                </c:pt>
                <c:pt idx="8">
                  <c:v>-32.999999999999986</c:v>
                </c:pt>
                <c:pt idx="9">
                  <c:v>-31.499999999999986</c:v>
                </c:pt>
                <c:pt idx="10">
                  <c:v>-29.999999999999986</c:v>
                </c:pt>
                <c:pt idx="11">
                  <c:v>-28.499999999999982</c:v>
                </c:pt>
                <c:pt idx="12">
                  <c:v>-26.999999999999982</c:v>
                </c:pt>
                <c:pt idx="13">
                  <c:v>-25.499999999999982</c:v>
                </c:pt>
                <c:pt idx="14">
                  <c:v>-23.999999999999979</c:v>
                </c:pt>
                <c:pt idx="15">
                  <c:v>-22.499999999999979</c:v>
                </c:pt>
                <c:pt idx="16">
                  <c:v>-20.999999999999979</c:v>
                </c:pt>
                <c:pt idx="17">
                  <c:v>-19.499999999999975</c:v>
                </c:pt>
                <c:pt idx="18">
                  <c:v>-17.999999999999975</c:v>
                </c:pt>
                <c:pt idx="19">
                  <c:v>-16.499999999999979</c:v>
                </c:pt>
                <c:pt idx="20">
                  <c:v>-14.999999999999979</c:v>
                </c:pt>
                <c:pt idx="21">
                  <c:v>-13.499999999999979</c:v>
                </c:pt>
                <c:pt idx="22">
                  <c:v>-11.999999999999979</c:v>
                </c:pt>
                <c:pt idx="23">
                  <c:v>-10.49999999999998</c:v>
                </c:pt>
                <c:pt idx="24">
                  <c:v>-8.9999999999999805</c:v>
                </c:pt>
                <c:pt idx="25">
                  <c:v>-7.4999999999999796</c:v>
                </c:pt>
                <c:pt idx="26">
                  <c:v>-5.9999999999999796</c:v>
                </c:pt>
                <c:pt idx="27">
                  <c:v>-4.4999999999999787</c:v>
                </c:pt>
                <c:pt idx="28">
                  <c:v>-2.9999999999999787</c:v>
                </c:pt>
                <c:pt idx="29">
                  <c:v>-1.4999999999999787</c:v>
                </c:pt>
                <c:pt idx="30">
                  <c:v>0</c:v>
                </c:pt>
                <c:pt idx="31">
                  <c:v>1.5</c:v>
                </c:pt>
                <c:pt idx="32">
                  <c:v>3</c:v>
                </c:pt>
                <c:pt idx="33">
                  <c:v>4.5</c:v>
                </c:pt>
                <c:pt idx="34">
                  <c:v>6</c:v>
                </c:pt>
                <c:pt idx="35">
                  <c:v>7.5</c:v>
                </c:pt>
                <c:pt idx="36">
                  <c:v>9</c:v>
                </c:pt>
                <c:pt idx="37">
                  <c:v>10.500000000000002</c:v>
                </c:pt>
                <c:pt idx="38">
                  <c:v>12</c:v>
                </c:pt>
                <c:pt idx="39">
                  <c:v>13.5</c:v>
                </c:pt>
                <c:pt idx="40">
                  <c:v>14.999999999999998</c:v>
                </c:pt>
                <c:pt idx="41">
                  <c:v>16.499999999999996</c:v>
                </c:pt>
                <c:pt idx="42">
                  <c:v>17.999999999999996</c:v>
                </c:pt>
                <c:pt idx="43">
                  <c:v>19.499999999999996</c:v>
                </c:pt>
                <c:pt idx="44">
                  <c:v>20.999999999999996</c:v>
                </c:pt>
                <c:pt idx="45">
                  <c:v>22.5</c:v>
                </c:pt>
                <c:pt idx="46">
                  <c:v>24</c:v>
                </c:pt>
                <c:pt idx="47">
                  <c:v>25.500000000000004</c:v>
                </c:pt>
                <c:pt idx="48">
                  <c:v>27.000000000000004</c:v>
                </c:pt>
                <c:pt idx="49">
                  <c:v>28.500000000000004</c:v>
                </c:pt>
                <c:pt idx="50">
                  <c:v>30.000000000000007</c:v>
                </c:pt>
                <c:pt idx="51">
                  <c:v>31.500000000000007</c:v>
                </c:pt>
                <c:pt idx="52">
                  <c:v>33.000000000000007</c:v>
                </c:pt>
                <c:pt idx="53">
                  <c:v>34.500000000000007</c:v>
                </c:pt>
                <c:pt idx="54">
                  <c:v>36.000000000000014</c:v>
                </c:pt>
                <c:pt idx="55">
                  <c:v>37.500000000000007</c:v>
                </c:pt>
                <c:pt idx="56">
                  <c:v>39.000000000000007</c:v>
                </c:pt>
                <c:pt idx="57">
                  <c:v>40.500000000000014</c:v>
                </c:pt>
                <c:pt idx="58">
                  <c:v>42.000000000000014</c:v>
                </c:pt>
                <c:pt idx="59">
                  <c:v>43.500000000000014</c:v>
                </c:pt>
                <c:pt idx="60">
                  <c:v>45.000000000000014</c:v>
                </c:pt>
                <c:pt idx="61">
                  <c:v>46.500000000000014</c:v>
                </c:pt>
                <c:pt idx="62">
                  <c:v>48.000000000000014</c:v>
                </c:pt>
                <c:pt idx="63">
                  <c:v>49.500000000000021</c:v>
                </c:pt>
                <c:pt idx="64">
                  <c:v>51.000000000000021</c:v>
                </c:pt>
                <c:pt idx="65">
                  <c:v>52.500000000000021</c:v>
                </c:pt>
                <c:pt idx="66">
                  <c:v>54.000000000000021</c:v>
                </c:pt>
                <c:pt idx="67">
                  <c:v>55.500000000000021</c:v>
                </c:pt>
                <c:pt idx="68">
                  <c:v>57.000000000000028</c:v>
                </c:pt>
                <c:pt idx="69">
                  <c:v>58.500000000000028</c:v>
                </c:pt>
                <c:pt idx="70">
                  <c:v>60.000000000000028</c:v>
                </c:pt>
                <c:pt idx="71">
                  <c:v>61.500000000000028</c:v>
                </c:pt>
                <c:pt idx="72">
                  <c:v>63.000000000000028</c:v>
                </c:pt>
                <c:pt idx="73">
                  <c:v>64.500000000000028</c:v>
                </c:pt>
                <c:pt idx="74">
                  <c:v>66.000000000000028</c:v>
                </c:pt>
                <c:pt idx="75">
                  <c:v>67.500000000000028</c:v>
                </c:pt>
                <c:pt idx="76">
                  <c:v>69.000000000000043</c:v>
                </c:pt>
                <c:pt idx="77">
                  <c:v>70.500000000000043</c:v>
                </c:pt>
                <c:pt idx="78">
                  <c:v>72.000000000000043</c:v>
                </c:pt>
                <c:pt idx="79">
                  <c:v>73.500000000000043</c:v>
                </c:pt>
                <c:pt idx="80">
                  <c:v>75.000000000000028</c:v>
                </c:pt>
                <c:pt idx="81">
                  <c:v>76.500000000000028</c:v>
                </c:pt>
                <c:pt idx="82">
                  <c:v>78.000000000000043</c:v>
                </c:pt>
                <c:pt idx="83">
                  <c:v>79.500000000000043</c:v>
                </c:pt>
                <c:pt idx="84">
                  <c:v>81.000000000000043</c:v>
                </c:pt>
                <c:pt idx="85">
                  <c:v>82.500000000000043</c:v>
                </c:pt>
                <c:pt idx="86">
                  <c:v>84.000000000000043</c:v>
                </c:pt>
                <c:pt idx="87">
                  <c:v>85.500000000000043</c:v>
                </c:pt>
                <c:pt idx="88">
                  <c:v>87.000000000000043</c:v>
                </c:pt>
                <c:pt idx="89">
                  <c:v>88.500000000000043</c:v>
                </c:pt>
                <c:pt idx="90">
                  <c:v>90.000000000000043</c:v>
                </c:pt>
                <c:pt idx="91">
                  <c:v>91.500000000000043</c:v>
                </c:pt>
                <c:pt idx="92">
                  <c:v>93.000000000000043</c:v>
                </c:pt>
                <c:pt idx="93">
                  <c:v>94.500000000000057</c:v>
                </c:pt>
                <c:pt idx="94">
                  <c:v>96.000000000000057</c:v>
                </c:pt>
                <c:pt idx="95">
                  <c:v>97.500000000000057</c:v>
                </c:pt>
                <c:pt idx="96">
                  <c:v>99.000000000000057</c:v>
                </c:pt>
                <c:pt idx="97">
                  <c:v>100.50000000000006</c:v>
                </c:pt>
                <c:pt idx="98">
                  <c:v>102.00000000000006</c:v>
                </c:pt>
                <c:pt idx="99">
                  <c:v>103.50000000000006</c:v>
                </c:pt>
                <c:pt idx="100">
                  <c:v>105.00000000000006</c:v>
                </c:pt>
                <c:pt idx="101">
                  <c:v>106.50000000000006</c:v>
                </c:pt>
                <c:pt idx="102">
                  <c:v>108.00000000000006</c:v>
                </c:pt>
                <c:pt idx="103">
                  <c:v>109.50000000000006</c:v>
                </c:pt>
                <c:pt idx="104">
                  <c:v>111.00000000000007</c:v>
                </c:pt>
                <c:pt idx="105">
                  <c:v>112.50000000000007</c:v>
                </c:pt>
                <c:pt idx="106">
                  <c:v>114.00000000000007</c:v>
                </c:pt>
                <c:pt idx="107">
                  <c:v>115.50000000000007</c:v>
                </c:pt>
                <c:pt idx="108">
                  <c:v>117.00000000000007</c:v>
                </c:pt>
                <c:pt idx="109">
                  <c:v>118.50000000000007</c:v>
                </c:pt>
                <c:pt idx="110">
                  <c:v>120.00000000000007</c:v>
                </c:pt>
                <c:pt idx="111">
                  <c:v>121.50000000000007</c:v>
                </c:pt>
                <c:pt idx="112">
                  <c:v>123.00000000000007</c:v>
                </c:pt>
                <c:pt idx="113">
                  <c:v>124.50000000000007</c:v>
                </c:pt>
                <c:pt idx="114">
                  <c:v>126.00000000000009</c:v>
                </c:pt>
                <c:pt idx="115">
                  <c:v>127.50000000000009</c:v>
                </c:pt>
                <c:pt idx="116">
                  <c:v>129.00000000000009</c:v>
                </c:pt>
                <c:pt idx="117">
                  <c:v>130.50000000000009</c:v>
                </c:pt>
                <c:pt idx="118">
                  <c:v>132.00000000000009</c:v>
                </c:pt>
                <c:pt idx="119">
                  <c:v>133.50000000000009</c:v>
                </c:pt>
                <c:pt idx="120">
                  <c:v>135.00000000000009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7-4A1C-8477-DD8891B3FDBD}"/>
            </c:ext>
          </c:extLst>
        </c:ser>
        <c:ser>
          <c:idx val="1"/>
          <c:order val="1"/>
          <c:tx>
            <c:strRef>
              <c:f>'force-strain'!$C$2</c:f>
              <c:strCache>
                <c:ptCount val="1"/>
                <c:pt idx="0">
                  <c:v>FA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'force-strain'!$C$3:$C$123</c:f>
              <c:numCache>
                <c:formatCode>General</c:formatCode>
                <c:ptCount val="121"/>
                <c:pt idx="0">
                  <c:v>-22.5</c:v>
                </c:pt>
                <c:pt idx="1">
                  <c:v>-21.75</c:v>
                </c:pt>
                <c:pt idx="2">
                  <c:v>-20.999999999999996</c:v>
                </c:pt>
                <c:pt idx="3">
                  <c:v>-20.249999999999996</c:v>
                </c:pt>
                <c:pt idx="4">
                  <c:v>-19.499999999999996</c:v>
                </c:pt>
                <c:pt idx="5">
                  <c:v>-18.749999999999996</c:v>
                </c:pt>
                <c:pt idx="6">
                  <c:v>-17.999999999999996</c:v>
                </c:pt>
                <c:pt idx="7">
                  <c:v>-17.249999999999993</c:v>
                </c:pt>
                <c:pt idx="8">
                  <c:v>-16.499999999999993</c:v>
                </c:pt>
                <c:pt idx="9">
                  <c:v>-15.749999999999993</c:v>
                </c:pt>
                <c:pt idx="10">
                  <c:v>-14.999999999999993</c:v>
                </c:pt>
                <c:pt idx="11">
                  <c:v>-14.249999999999991</c:v>
                </c:pt>
                <c:pt idx="12">
                  <c:v>-13.499999999999991</c:v>
                </c:pt>
                <c:pt idx="13">
                  <c:v>-12.749999999999991</c:v>
                </c:pt>
                <c:pt idx="14">
                  <c:v>-11.999999999999989</c:v>
                </c:pt>
                <c:pt idx="15">
                  <c:v>-11.249999999999989</c:v>
                </c:pt>
                <c:pt idx="16">
                  <c:v>-10.499999999999989</c:v>
                </c:pt>
                <c:pt idx="17">
                  <c:v>-9.7499999999999876</c:v>
                </c:pt>
                <c:pt idx="18">
                  <c:v>-8.9999999999999876</c:v>
                </c:pt>
                <c:pt idx="19">
                  <c:v>-8.2499999999999893</c:v>
                </c:pt>
                <c:pt idx="20">
                  <c:v>-7.4999999999999893</c:v>
                </c:pt>
                <c:pt idx="21">
                  <c:v>-6.7499999999999893</c:v>
                </c:pt>
                <c:pt idx="22">
                  <c:v>-5.9999999999999893</c:v>
                </c:pt>
                <c:pt idx="23">
                  <c:v>-5.2499999999999902</c:v>
                </c:pt>
                <c:pt idx="24">
                  <c:v>-4.4999999999999902</c:v>
                </c:pt>
                <c:pt idx="25">
                  <c:v>-3.7499999999999898</c:v>
                </c:pt>
                <c:pt idx="26">
                  <c:v>-2.9999999999999898</c:v>
                </c:pt>
                <c:pt idx="27">
                  <c:v>-2.2499999999999893</c:v>
                </c:pt>
                <c:pt idx="28">
                  <c:v>-1.4999999999999893</c:v>
                </c:pt>
                <c:pt idx="29">
                  <c:v>-0.74999999999998934</c:v>
                </c:pt>
                <c:pt idx="30">
                  <c:v>0</c:v>
                </c:pt>
                <c:pt idx="31">
                  <c:v>0.75</c:v>
                </c:pt>
                <c:pt idx="32">
                  <c:v>1.5</c:v>
                </c:pt>
                <c:pt idx="33">
                  <c:v>2.25</c:v>
                </c:pt>
                <c:pt idx="34">
                  <c:v>3</c:v>
                </c:pt>
                <c:pt idx="35">
                  <c:v>3.75</c:v>
                </c:pt>
                <c:pt idx="36">
                  <c:v>4.5</c:v>
                </c:pt>
                <c:pt idx="37">
                  <c:v>5.2500000000000009</c:v>
                </c:pt>
                <c:pt idx="38">
                  <c:v>6</c:v>
                </c:pt>
                <c:pt idx="39">
                  <c:v>6.75</c:v>
                </c:pt>
                <c:pt idx="40">
                  <c:v>7.4999999999999991</c:v>
                </c:pt>
                <c:pt idx="41">
                  <c:v>8.2499999999999982</c:v>
                </c:pt>
                <c:pt idx="42">
                  <c:v>8.9999999999999982</c:v>
                </c:pt>
                <c:pt idx="43">
                  <c:v>9.7499999999999982</c:v>
                </c:pt>
                <c:pt idx="44">
                  <c:v>10.499999999999998</c:v>
                </c:pt>
                <c:pt idx="45">
                  <c:v>11.25</c:v>
                </c:pt>
                <c:pt idx="46">
                  <c:v>12</c:v>
                </c:pt>
                <c:pt idx="47">
                  <c:v>12.750000000000002</c:v>
                </c:pt>
                <c:pt idx="48">
                  <c:v>13.500000000000002</c:v>
                </c:pt>
                <c:pt idx="49">
                  <c:v>14.250000000000002</c:v>
                </c:pt>
                <c:pt idx="50">
                  <c:v>15.000000000000004</c:v>
                </c:pt>
                <c:pt idx="51">
                  <c:v>15.750000000000004</c:v>
                </c:pt>
                <c:pt idx="52">
                  <c:v>16.500000000000004</c:v>
                </c:pt>
                <c:pt idx="53">
                  <c:v>17.250000000000004</c:v>
                </c:pt>
                <c:pt idx="54">
                  <c:v>18.000000000000007</c:v>
                </c:pt>
                <c:pt idx="55">
                  <c:v>18.750000000000004</c:v>
                </c:pt>
                <c:pt idx="56">
                  <c:v>19.500000000000004</c:v>
                </c:pt>
                <c:pt idx="57">
                  <c:v>20.250000000000007</c:v>
                </c:pt>
                <c:pt idx="58">
                  <c:v>21.000000000000007</c:v>
                </c:pt>
                <c:pt idx="59">
                  <c:v>21.750000000000007</c:v>
                </c:pt>
                <c:pt idx="60">
                  <c:v>22.500000000000007</c:v>
                </c:pt>
                <c:pt idx="61">
                  <c:v>23.250000000000007</c:v>
                </c:pt>
                <c:pt idx="62">
                  <c:v>24.000000000000007</c:v>
                </c:pt>
                <c:pt idx="63">
                  <c:v>24.750000000000011</c:v>
                </c:pt>
                <c:pt idx="64">
                  <c:v>25.500000000000011</c:v>
                </c:pt>
                <c:pt idx="65">
                  <c:v>26.250000000000011</c:v>
                </c:pt>
                <c:pt idx="66">
                  <c:v>27.000000000000011</c:v>
                </c:pt>
                <c:pt idx="67">
                  <c:v>27.750000000000011</c:v>
                </c:pt>
                <c:pt idx="68">
                  <c:v>28.500000000000014</c:v>
                </c:pt>
                <c:pt idx="69">
                  <c:v>29.250000000000014</c:v>
                </c:pt>
                <c:pt idx="70">
                  <c:v>30.000000000000014</c:v>
                </c:pt>
                <c:pt idx="71">
                  <c:v>30.750000000000014</c:v>
                </c:pt>
                <c:pt idx="72">
                  <c:v>31.500000000000014</c:v>
                </c:pt>
                <c:pt idx="73">
                  <c:v>32.250000000000014</c:v>
                </c:pt>
                <c:pt idx="74">
                  <c:v>33.000000000000014</c:v>
                </c:pt>
                <c:pt idx="75">
                  <c:v>33.750000000000014</c:v>
                </c:pt>
                <c:pt idx="76">
                  <c:v>34.500000000000021</c:v>
                </c:pt>
                <c:pt idx="77">
                  <c:v>35.250000000000021</c:v>
                </c:pt>
                <c:pt idx="78">
                  <c:v>36.000000000000021</c:v>
                </c:pt>
                <c:pt idx="79">
                  <c:v>36.750000000000021</c:v>
                </c:pt>
                <c:pt idx="80">
                  <c:v>37.500000000000014</c:v>
                </c:pt>
                <c:pt idx="81">
                  <c:v>38.250000000000014</c:v>
                </c:pt>
                <c:pt idx="82">
                  <c:v>39.000000000000021</c:v>
                </c:pt>
                <c:pt idx="83">
                  <c:v>39.750000000000021</c:v>
                </c:pt>
                <c:pt idx="84">
                  <c:v>40.500000000000021</c:v>
                </c:pt>
                <c:pt idx="85">
                  <c:v>41.250000000000021</c:v>
                </c:pt>
                <c:pt idx="86">
                  <c:v>42.000000000000021</c:v>
                </c:pt>
                <c:pt idx="87">
                  <c:v>42.750000000000021</c:v>
                </c:pt>
                <c:pt idx="88">
                  <c:v>43.500000000000021</c:v>
                </c:pt>
                <c:pt idx="89">
                  <c:v>44.250000000000021</c:v>
                </c:pt>
                <c:pt idx="90">
                  <c:v>45.000000000000021</c:v>
                </c:pt>
                <c:pt idx="91">
                  <c:v>45.750000000000021</c:v>
                </c:pt>
                <c:pt idx="92">
                  <c:v>46.500000000000021</c:v>
                </c:pt>
                <c:pt idx="93">
                  <c:v>47.250000000000028</c:v>
                </c:pt>
                <c:pt idx="94">
                  <c:v>48.000000000000028</c:v>
                </c:pt>
                <c:pt idx="95">
                  <c:v>48.750000000000028</c:v>
                </c:pt>
                <c:pt idx="96">
                  <c:v>49.500000000000028</c:v>
                </c:pt>
                <c:pt idx="97">
                  <c:v>50.250000000000028</c:v>
                </c:pt>
                <c:pt idx="98">
                  <c:v>51.000000000000028</c:v>
                </c:pt>
                <c:pt idx="99">
                  <c:v>51.750000000000028</c:v>
                </c:pt>
                <c:pt idx="100">
                  <c:v>52.500000000000028</c:v>
                </c:pt>
                <c:pt idx="101">
                  <c:v>53.250000000000028</c:v>
                </c:pt>
                <c:pt idx="102">
                  <c:v>54.000000000000028</c:v>
                </c:pt>
                <c:pt idx="103">
                  <c:v>54.750000000000028</c:v>
                </c:pt>
                <c:pt idx="104">
                  <c:v>55.500000000000036</c:v>
                </c:pt>
                <c:pt idx="105">
                  <c:v>56.250000000000036</c:v>
                </c:pt>
                <c:pt idx="106">
                  <c:v>57.000000000000036</c:v>
                </c:pt>
                <c:pt idx="107">
                  <c:v>57.750000000000036</c:v>
                </c:pt>
                <c:pt idx="108">
                  <c:v>58.500000000000036</c:v>
                </c:pt>
                <c:pt idx="109">
                  <c:v>59.250000000000036</c:v>
                </c:pt>
                <c:pt idx="110">
                  <c:v>60.000000000000036</c:v>
                </c:pt>
                <c:pt idx="111">
                  <c:v>60.750000000000036</c:v>
                </c:pt>
                <c:pt idx="112">
                  <c:v>61.500000000000036</c:v>
                </c:pt>
                <c:pt idx="113">
                  <c:v>62.250000000000036</c:v>
                </c:pt>
                <c:pt idx="114">
                  <c:v>63.000000000000043</c:v>
                </c:pt>
                <c:pt idx="115">
                  <c:v>63.750000000000043</c:v>
                </c:pt>
                <c:pt idx="116">
                  <c:v>64.500000000000043</c:v>
                </c:pt>
                <c:pt idx="117">
                  <c:v>65.250000000000043</c:v>
                </c:pt>
                <c:pt idx="118">
                  <c:v>66.000000000000043</c:v>
                </c:pt>
                <c:pt idx="119">
                  <c:v>66.750000000000043</c:v>
                </c:pt>
                <c:pt idx="120">
                  <c:v>67.500000000000043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7-4A1C-8477-DD8891B3FDBD}"/>
            </c:ext>
          </c:extLst>
        </c:ser>
        <c:ser>
          <c:idx val="2"/>
          <c:order val="2"/>
          <c:tx>
            <c:strRef>
              <c:f>'force-strain'!$D$2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'force-strain'!$D$3:$D$123</c:f>
              <c:numCache>
                <c:formatCode>General</c:formatCode>
                <c:ptCount val="121"/>
                <c:pt idx="0">
                  <c:v>-27</c:v>
                </c:pt>
                <c:pt idx="1">
                  <c:v>-26.099999999999998</c:v>
                </c:pt>
                <c:pt idx="2">
                  <c:v>-25.199999999999996</c:v>
                </c:pt>
                <c:pt idx="3">
                  <c:v>-24.299999999999997</c:v>
                </c:pt>
                <c:pt idx="4">
                  <c:v>-23.399999999999995</c:v>
                </c:pt>
                <c:pt idx="5">
                  <c:v>-22.499999999999996</c:v>
                </c:pt>
                <c:pt idx="6">
                  <c:v>-21.599999999999994</c:v>
                </c:pt>
                <c:pt idx="7">
                  <c:v>-20.699999999999992</c:v>
                </c:pt>
                <c:pt idx="8">
                  <c:v>-19.799999999999994</c:v>
                </c:pt>
                <c:pt idx="9">
                  <c:v>-18.899999999999991</c:v>
                </c:pt>
                <c:pt idx="10">
                  <c:v>-17.999999999999989</c:v>
                </c:pt>
                <c:pt idx="11">
                  <c:v>-17.099999999999991</c:v>
                </c:pt>
                <c:pt idx="12">
                  <c:v>-16.199999999999989</c:v>
                </c:pt>
                <c:pt idx="13">
                  <c:v>-15.299999999999988</c:v>
                </c:pt>
                <c:pt idx="14">
                  <c:v>-14.399999999999988</c:v>
                </c:pt>
                <c:pt idx="15">
                  <c:v>-13.499999999999988</c:v>
                </c:pt>
                <c:pt idx="16">
                  <c:v>-12.599999999999985</c:v>
                </c:pt>
                <c:pt idx="17">
                  <c:v>-11.699999999999985</c:v>
                </c:pt>
                <c:pt idx="18">
                  <c:v>-10.799999999999986</c:v>
                </c:pt>
                <c:pt idx="19">
                  <c:v>-9.8999999999999861</c:v>
                </c:pt>
                <c:pt idx="20">
                  <c:v>-8.9999999999999876</c:v>
                </c:pt>
                <c:pt idx="21">
                  <c:v>-8.0999999999999872</c:v>
                </c:pt>
                <c:pt idx="22">
                  <c:v>-7.1999999999999877</c:v>
                </c:pt>
                <c:pt idx="23">
                  <c:v>-6.2999999999999883</c:v>
                </c:pt>
                <c:pt idx="24">
                  <c:v>-5.3999999999999879</c:v>
                </c:pt>
                <c:pt idx="25">
                  <c:v>-4.4999999999999876</c:v>
                </c:pt>
                <c:pt idx="26">
                  <c:v>-3.5999999999999877</c:v>
                </c:pt>
                <c:pt idx="27">
                  <c:v>-2.6999999999999873</c:v>
                </c:pt>
                <c:pt idx="28">
                  <c:v>-1.7999999999999872</c:v>
                </c:pt>
                <c:pt idx="29">
                  <c:v>-0.89999999999998725</c:v>
                </c:pt>
                <c:pt idx="30">
                  <c:v>0</c:v>
                </c:pt>
                <c:pt idx="31">
                  <c:v>0.9</c:v>
                </c:pt>
                <c:pt idx="32">
                  <c:v>1.8</c:v>
                </c:pt>
                <c:pt idx="33">
                  <c:v>2.6999999999999997</c:v>
                </c:pt>
                <c:pt idx="34">
                  <c:v>3.6</c:v>
                </c:pt>
                <c:pt idx="35">
                  <c:v>4.5</c:v>
                </c:pt>
                <c:pt idx="36">
                  <c:v>5.4</c:v>
                </c:pt>
                <c:pt idx="37">
                  <c:v>6.3000000000000007</c:v>
                </c:pt>
                <c:pt idx="38">
                  <c:v>7.2</c:v>
                </c:pt>
                <c:pt idx="39">
                  <c:v>8.1</c:v>
                </c:pt>
                <c:pt idx="40">
                  <c:v>9</c:v>
                </c:pt>
                <c:pt idx="41">
                  <c:v>9.8999999999999986</c:v>
                </c:pt>
                <c:pt idx="42">
                  <c:v>10.799999999999999</c:v>
                </c:pt>
                <c:pt idx="43">
                  <c:v>11.699999999999998</c:v>
                </c:pt>
                <c:pt idx="44">
                  <c:v>12.599999999999998</c:v>
                </c:pt>
                <c:pt idx="45">
                  <c:v>13.5</c:v>
                </c:pt>
                <c:pt idx="46">
                  <c:v>14.4</c:v>
                </c:pt>
                <c:pt idx="47">
                  <c:v>15.3</c:v>
                </c:pt>
                <c:pt idx="48">
                  <c:v>16.200000000000003</c:v>
                </c:pt>
                <c:pt idx="49">
                  <c:v>17.100000000000001</c:v>
                </c:pt>
                <c:pt idx="50">
                  <c:v>18.000000000000004</c:v>
                </c:pt>
                <c:pt idx="51">
                  <c:v>18.900000000000006</c:v>
                </c:pt>
                <c:pt idx="52">
                  <c:v>19.800000000000004</c:v>
                </c:pt>
                <c:pt idx="53">
                  <c:v>20.700000000000006</c:v>
                </c:pt>
                <c:pt idx="54">
                  <c:v>21.600000000000005</c:v>
                </c:pt>
                <c:pt idx="55">
                  <c:v>22.500000000000004</c:v>
                </c:pt>
                <c:pt idx="56">
                  <c:v>23.400000000000006</c:v>
                </c:pt>
                <c:pt idx="57">
                  <c:v>24.300000000000008</c:v>
                </c:pt>
                <c:pt idx="58">
                  <c:v>25.200000000000006</c:v>
                </c:pt>
                <c:pt idx="59">
                  <c:v>26.100000000000009</c:v>
                </c:pt>
                <c:pt idx="60">
                  <c:v>27.000000000000011</c:v>
                </c:pt>
                <c:pt idx="61">
                  <c:v>27.900000000000009</c:v>
                </c:pt>
                <c:pt idx="62">
                  <c:v>28.800000000000011</c:v>
                </c:pt>
                <c:pt idx="63">
                  <c:v>29.70000000000001</c:v>
                </c:pt>
                <c:pt idx="64">
                  <c:v>30.600000000000012</c:v>
                </c:pt>
                <c:pt idx="65">
                  <c:v>31.500000000000014</c:v>
                </c:pt>
                <c:pt idx="66">
                  <c:v>32.400000000000013</c:v>
                </c:pt>
                <c:pt idx="67">
                  <c:v>33.300000000000011</c:v>
                </c:pt>
                <c:pt idx="68">
                  <c:v>34.200000000000017</c:v>
                </c:pt>
                <c:pt idx="69">
                  <c:v>35.100000000000016</c:v>
                </c:pt>
                <c:pt idx="70">
                  <c:v>36.000000000000014</c:v>
                </c:pt>
                <c:pt idx="71">
                  <c:v>36.90000000000002</c:v>
                </c:pt>
                <c:pt idx="72">
                  <c:v>37.800000000000018</c:v>
                </c:pt>
                <c:pt idx="73">
                  <c:v>38.700000000000017</c:v>
                </c:pt>
                <c:pt idx="74">
                  <c:v>39.600000000000023</c:v>
                </c:pt>
                <c:pt idx="75">
                  <c:v>40.500000000000021</c:v>
                </c:pt>
                <c:pt idx="76">
                  <c:v>41.40000000000002</c:v>
                </c:pt>
                <c:pt idx="77">
                  <c:v>42.300000000000026</c:v>
                </c:pt>
                <c:pt idx="78">
                  <c:v>43.200000000000024</c:v>
                </c:pt>
                <c:pt idx="79">
                  <c:v>44.100000000000023</c:v>
                </c:pt>
                <c:pt idx="80">
                  <c:v>45.000000000000021</c:v>
                </c:pt>
                <c:pt idx="81">
                  <c:v>45.90000000000002</c:v>
                </c:pt>
                <c:pt idx="82">
                  <c:v>46.800000000000018</c:v>
                </c:pt>
                <c:pt idx="83">
                  <c:v>47.700000000000024</c:v>
                </c:pt>
                <c:pt idx="84">
                  <c:v>48.600000000000023</c:v>
                </c:pt>
                <c:pt idx="85">
                  <c:v>49.500000000000021</c:v>
                </c:pt>
                <c:pt idx="86">
                  <c:v>50.400000000000027</c:v>
                </c:pt>
                <c:pt idx="87">
                  <c:v>51.300000000000026</c:v>
                </c:pt>
                <c:pt idx="88">
                  <c:v>52.200000000000024</c:v>
                </c:pt>
                <c:pt idx="89">
                  <c:v>53.10000000000003</c:v>
                </c:pt>
                <c:pt idx="90">
                  <c:v>54.000000000000028</c:v>
                </c:pt>
                <c:pt idx="91">
                  <c:v>54.900000000000027</c:v>
                </c:pt>
                <c:pt idx="92">
                  <c:v>55.800000000000033</c:v>
                </c:pt>
                <c:pt idx="93">
                  <c:v>56.700000000000031</c:v>
                </c:pt>
                <c:pt idx="94">
                  <c:v>57.60000000000003</c:v>
                </c:pt>
                <c:pt idx="95">
                  <c:v>58.500000000000028</c:v>
                </c:pt>
                <c:pt idx="96">
                  <c:v>59.400000000000034</c:v>
                </c:pt>
                <c:pt idx="97">
                  <c:v>60.300000000000033</c:v>
                </c:pt>
                <c:pt idx="98">
                  <c:v>61.200000000000031</c:v>
                </c:pt>
                <c:pt idx="99">
                  <c:v>62.100000000000037</c:v>
                </c:pt>
                <c:pt idx="100">
                  <c:v>63.000000000000036</c:v>
                </c:pt>
                <c:pt idx="101">
                  <c:v>63.900000000000034</c:v>
                </c:pt>
                <c:pt idx="102">
                  <c:v>64.80000000000004</c:v>
                </c:pt>
                <c:pt idx="103">
                  <c:v>65.700000000000045</c:v>
                </c:pt>
                <c:pt idx="104">
                  <c:v>66.600000000000037</c:v>
                </c:pt>
                <c:pt idx="105">
                  <c:v>67.500000000000043</c:v>
                </c:pt>
                <c:pt idx="106">
                  <c:v>68.400000000000034</c:v>
                </c:pt>
                <c:pt idx="107">
                  <c:v>69.30000000000004</c:v>
                </c:pt>
                <c:pt idx="108">
                  <c:v>70.200000000000045</c:v>
                </c:pt>
                <c:pt idx="109">
                  <c:v>71.100000000000037</c:v>
                </c:pt>
                <c:pt idx="110">
                  <c:v>72.000000000000043</c:v>
                </c:pt>
                <c:pt idx="111">
                  <c:v>72.900000000000048</c:v>
                </c:pt>
                <c:pt idx="112">
                  <c:v>73.80000000000004</c:v>
                </c:pt>
                <c:pt idx="113">
                  <c:v>74.700000000000045</c:v>
                </c:pt>
                <c:pt idx="114">
                  <c:v>75.600000000000051</c:v>
                </c:pt>
                <c:pt idx="115">
                  <c:v>76.500000000000043</c:v>
                </c:pt>
                <c:pt idx="116">
                  <c:v>77.400000000000048</c:v>
                </c:pt>
                <c:pt idx="117">
                  <c:v>78.300000000000054</c:v>
                </c:pt>
                <c:pt idx="118">
                  <c:v>79.200000000000045</c:v>
                </c:pt>
                <c:pt idx="119">
                  <c:v>80.100000000000051</c:v>
                </c:pt>
                <c:pt idx="120">
                  <c:v>81.000000000000057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7-4A1C-8477-DD8891B3FDBD}"/>
            </c:ext>
          </c:extLst>
        </c:ser>
        <c:ser>
          <c:idx val="3"/>
          <c:order val="3"/>
          <c:tx>
            <c:strRef>
              <c:f>'force-strain'!$E$2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'force-strain'!$E$3:$E$123</c:f>
              <c:numCache>
                <c:formatCode>General</c:formatCode>
                <c:ptCount val="121"/>
                <c:pt idx="0">
                  <c:v>-245.56947002896695</c:v>
                </c:pt>
                <c:pt idx="1">
                  <c:v>-203.15535539682656</c:v>
                </c:pt>
                <c:pt idx="2">
                  <c:v>-168.41430934948355</c:v>
                </c:pt>
                <c:pt idx="3">
                  <c:v>-139.88467845086208</c:v>
                </c:pt>
                <c:pt idx="4">
                  <c:v>-116.39729751971242</c:v>
                </c:pt>
                <c:pt idx="5">
                  <c:v>-97.014160845234557</c:v>
                </c:pt>
                <c:pt idx="6">
                  <c:v>-80.980531150663168</c:v>
                </c:pt>
                <c:pt idx="7">
                  <c:v>-67.687417578806347</c:v>
                </c:pt>
                <c:pt idx="8">
                  <c:v>-56.642082585937658</c:v>
                </c:pt>
                <c:pt idx="9">
                  <c:v>-47.444786784558552</c:v>
                </c:pt>
                <c:pt idx="10">
                  <c:v>-39.77039622887866</c:v>
                </c:pt>
                <c:pt idx="11">
                  <c:v>-33.353792091769726</c:v>
                </c:pt>
                <c:pt idx="12">
                  <c:v>-27.978263061623423</c:v>
                </c:pt>
                <c:pt idx="13">
                  <c:v>-23.466244595231348</c:v>
                </c:pt>
                <c:pt idx="14">
                  <c:v>-19.671910187923242</c:v>
                </c:pt>
                <c:pt idx="15">
                  <c:v>-16.475228379528541</c:v>
                </c:pt>
                <c:pt idx="16">
                  <c:v>-13.777183047904128</c:v>
                </c:pt>
                <c:pt idx="17">
                  <c:v>-11.49591948478189</c:v>
                </c:pt>
                <c:pt idx="18">
                  <c:v>-9.5636292119531259</c:v>
                </c:pt>
                <c:pt idx="19">
                  <c:v>-7.9240258247950068</c:v>
                </c:pt>
                <c:pt idx="20">
                  <c:v>-6.5302948908348668</c:v>
                </c:pt>
                <c:pt idx="21">
                  <c:v>-5.3434250272250488</c:v>
                </c:pt>
                <c:pt idx="22">
                  <c:v>-4.3308462213234868</c:v>
                </c:pt>
                <c:pt idx="23">
                  <c:v>-3.4653163866363146</c:v>
                </c:pt>
                <c:pt idx="24">
                  <c:v>-2.7240089433136472</c:v>
                </c:pt>
                <c:pt idx="25">
                  <c:v>-2.0877635590952881</c:v>
                </c:pt>
                <c:pt idx="26">
                  <c:v>-1.5404696107422451</c:v>
                </c:pt>
                <c:pt idx="27">
                  <c:v>-1.0685578376197218</c:v>
                </c:pt>
                <c:pt idx="28">
                  <c:v>-0.66058037774947898</c:v>
                </c:pt>
                <c:pt idx="29">
                  <c:v>-0.30686315197941738</c:v>
                </c:pt>
                <c:pt idx="30">
                  <c:v>7.8241050177951799E-4</c:v>
                </c:pt>
                <c:pt idx="31">
                  <c:v>0.26929887865627622</c:v>
                </c:pt>
                <c:pt idx="32">
                  <c:v>0.5045821712548535</c:v>
                </c:pt>
                <c:pt idx="33">
                  <c:v>0.7116477844579544</c:v>
                </c:pt>
                <c:pt idx="34">
                  <c:v>0.894769645954961</c:v>
                </c:pt>
                <c:pt idx="35">
                  <c:v>1.0575963085774371</c:v>
                </c:pt>
                <c:pt idx="36">
                  <c:v>1.203248353396464</c:v>
                </c:pt>
                <c:pt idx="37">
                  <c:v>1.3344001863112618</c:v>
                </c:pt>
                <c:pt idx="38">
                  <c:v>1.45334885277276</c:v>
                </c:pt>
                <c:pt idx="39">
                  <c:v>1.5620720383496915</c:v>
                </c:pt>
                <c:pt idx="40">
                  <c:v>1.6622770489266028</c:v>
                </c:pt>
                <c:pt idx="41">
                  <c:v>1.7554422578322024</c:v>
                </c:pt>
                <c:pt idx="42">
                  <c:v>1.8428522555858802</c:v>
                </c:pt>
                <c:pt idx="43">
                  <c:v>1.9256277311042782</c:v>
                </c:pt>
                <c:pt idx="44">
                  <c:v>2.0047509429604058</c:v>
                </c:pt>
                <c:pt idx="45">
                  <c:v>2.0810874990290724</c:v>
                </c:pt>
                <c:pt idx="46">
                  <c:v>2.1554050472369517</c:v>
                </c:pt>
                <c:pt idx="47">
                  <c:v>2.2283893848308676</c:v>
                </c:pt>
                <c:pt idx="48">
                  <c:v>2.3006584150741651</c:v>
                </c:pt>
                <c:pt idx="49">
                  <c:v>2.3727743157376531</c:v>
                </c:pt>
                <c:pt idx="50">
                  <c:v>2.4452542308751646</c:v>
                </c:pt>
                <c:pt idx="51">
                  <c:v>2.5185797543226887</c:v>
                </c:pt>
                <c:pt idx="52">
                  <c:v>2.5932054386682926</c:v>
                </c:pt>
                <c:pt idx="53">
                  <c:v>2.6695665359603682</c:v>
                </c:pt>
                <c:pt idx="54">
                  <c:v>2.7480861552818299</c:v>
                </c:pt>
                <c:pt idx="55">
                  <c:v>2.8291820068908056</c:v>
                </c:pt>
                <c:pt idx="56">
                  <c:v>2.9132728925145472</c:v>
                </c:pt>
                <c:pt idx="57">
                  <c:v>3.0007850964052833</c:v>
                </c:pt>
                <c:pt idx="58">
                  <c:v>3.0921588319757651</c:v>
                </c:pt>
                <c:pt idx="59">
                  <c:v>3.187854904531028</c:v>
                </c:pt>
                <c:pt idx="60">
                  <c:v>3.2883617623956374</c:v>
                </c:pt>
                <c:pt idx="61">
                  <c:v>3.3942031275514273</c:v>
                </c:pt>
                <c:pt idx="62">
                  <c:v>3.5059464241495313</c:v>
                </c:pt>
                <c:pt idx="63">
                  <c:v>3.6242122609316172</c:v>
                </c:pt>
                <c:pt idx="64">
                  <c:v>3.7496852744676925</c:v>
                </c:pt>
                <c:pt idx="65">
                  <c:v>3.8831267080504603</c:v>
                </c:pt>
                <c:pt idx="66">
                  <c:v>4.0253891914356945</c:v>
                </c:pt>
                <c:pt idx="67">
                  <c:v>4.1774343068504374</c:v>
                </c:pt>
                <c:pt idx="68">
                  <c:v>4.3403536872803707</c:v>
                </c:pt>
                <c:pt idx="69">
                  <c:v>4.5153946088142938</c:v>
                </c:pt>
                <c:pt idx="70">
                  <c:v>4.70399133094483</c:v>
                </c:pt>
                <c:pt idx="71">
                  <c:v>4.9078038378054591</c:v>
                </c:pt>
                <c:pt idx="72">
                  <c:v>5.1287661841432106</c:v>
                </c:pt>
                <c:pt idx="73">
                  <c:v>5.369147418789237</c:v>
                </c:pt>
                <c:pt idx="74">
                  <c:v>5.6316291454272296</c:v>
                </c:pt>
                <c:pt idx="75">
                  <c:v>5.9194053383639584</c:v>
                </c:pt>
                <c:pt idx="76">
                  <c:v>6.2363122974568057</c:v>
                </c:pt>
                <c:pt idx="77">
                  <c:v>6.5869999780908675</c:v>
                </c:pt>
                <c:pt idx="78">
                  <c:v>6.9771609786546245</c:v>
                </c:pt>
                <c:pt idx="79">
                  <c:v>7.4138412179049089</c:v>
                </c:pt>
                <c:pt idx="80">
                  <c:v>7.9058684985469245</c:v>
                </c:pt>
                <c:pt idx="81">
                  <c:v>8.4644547130309284</c:v>
                </c:pt>
                <c:pt idx="82">
                  <c:v>9.1040597609596841</c:v>
                </c:pt>
                <c:pt idx="83">
                  <c:v>9.8436602759878564</c:v>
                </c:pt>
                <c:pt idx="84">
                  <c:v>10.708663248644738</c:v>
                </c:pt>
                <c:pt idx="85">
                  <c:v>11.733882420815917</c:v>
                </c:pt>
                <c:pt idx="86">
                  <c:v>12.968336341245573</c:v>
                </c:pt>
                <c:pt idx="87">
                  <c:v>14.4833166260153</c:v>
                </c:pt>
                <c:pt idx="88">
                  <c:v>16.386660061007859</c:v>
                </c:pt>
                <c:pt idx="89">
                  <c:v>18.84960794273627</c:v>
                </c:pt>
                <c:pt idx="90">
                  <c:v>22.161436020649326</c:v>
                </c:pt>
                <c:pt idx="91">
                  <c:v>26.852327628997877</c:v>
                </c:pt>
                <c:pt idx="92">
                  <c:v>34.010098393432273</c:v>
                </c:pt>
                <c:pt idx="93">
                  <c:v>46.274863976800667</c:v>
                </c:pt>
                <c:pt idx="94">
                  <c:v>72.143550433341503</c:v>
                </c:pt>
                <c:pt idx="95">
                  <c:v>162.43326244526639</c:v>
                </c:pt>
                <c:pt idx="96">
                  <c:v>-664.42851692983515</c:v>
                </c:pt>
                <c:pt idx="97">
                  <c:v>-109.60745506016227</c:v>
                </c:pt>
                <c:pt idx="98">
                  <c:v>-59.882675988065891</c:v>
                </c:pt>
                <c:pt idx="99">
                  <c:v>-41.265908421892583</c:v>
                </c:pt>
                <c:pt idx="100">
                  <c:v>-31.520666589911645</c:v>
                </c:pt>
                <c:pt idx="101">
                  <c:v>-25.525686892241854</c:v>
                </c:pt>
                <c:pt idx="102">
                  <c:v>-21.46540498125459</c:v>
                </c:pt>
                <c:pt idx="103">
                  <c:v>-18.533339636254098</c:v>
                </c:pt>
                <c:pt idx="104">
                  <c:v>-16.316564798906853</c:v>
                </c:pt>
                <c:pt idx="105">
                  <c:v>-14.581748583799268</c:v>
                </c:pt>
                <c:pt idx="106">
                  <c:v>-13.187090065538854</c:v>
                </c:pt>
                <c:pt idx="107">
                  <c:v>-12.041445885145686</c:v>
                </c:pt>
                <c:pt idx="108">
                  <c:v>-11.08356364877932</c:v>
                </c:pt>
                <c:pt idx="109">
                  <c:v>-10.270756914203865</c:v>
                </c:pt>
                <c:pt idx="110">
                  <c:v>-9.5723664420870485</c:v>
                </c:pt>
                <c:pt idx="111">
                  <c:v>-8.9658030603903889</c:v>
                </c:pt>
                <c:pt idx="112">
                  <c:v>-8.4340564159698381</c:v>
                </c:pt>
                <c:pt idx="113">
                  <c:v>-7.9640729235781391</c:v>
                </c:pt>
                <c:pt idx="114">
                  <c:v>-7.5456685484957404</c:v>
                </c:pt>
                <c:pt idx="115">
                  <c:v>-7.1707813998094698</c:v>
                </c:pt>
                <c:pt idx="116">
                  <c:v>-6.8329463600657121</c:v>
                </c:pt>
                <c:pt idx="117">
                  <c:v>-6.5269184266605409</c:v>
                </c:pt>
                <c:pt idx="118">
                  <c:v>-6.2483978673189169</c:v>
                </c:pt>
                <c:pt idx="119">
                  <c:v>-5.993826465782174</c:v>
                </c:pt>
                <c:pt idx="120">
                  <c:v>-5.7602342917806721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7-4A1C-8477-DD8891B3FDBD}"/>
            </c:ext>
          </c:extLst>
        </c:ser>
        <c:ser>
          <c:idx val="4"/>
          <c:order val="4"/>
          <c:tx>
            <c:strRef>
              <c:f>'force-strain'!$F$2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'force-strain'!$F$3:$F$123</c:f>
              <c:numCache>
                <c:formatCode>General</c:formatCode>
                <c:ptCount val="121"/>
                <c:pt idx="0">
                  <c:v>-8.3787736661690886</c:v>
                </c:pt>
                <c:pt idx="1">
                  <c:v>-7.6248361238957036</c:v>
                </c:pt>
                <c:pt idx="2">
                  <c:v>-6.9312723518823924</c:v>
                </c:pt>
                <c:pt idx="3">
                  <c:v>-6.2934735764500767</c:v>
                </c:pt>
                <c:pt idx="4">
                  <c:v>-5.7071751704915821</c:v>
                </c:pt>
                <c:pt idx="5">
                  <c:v>-5.1684312289595038</c:v>
                </c:pt>
                <c:pt idx="6">
                  <c:v>-4.6735910126682914</c:v>
                </c:pt>
                <c:pt idx="7">
                  <c:v>-4.2192771234853037</c:v>
                </c:pt>
                <c:pt idx="8">
                  <c:v>-3.8023652840069668</c:v>
                </c:pt>
                <c:pt idx="9">
                  <c:v>-3.4199656041045672</c:v>
                </c:pt>
                <c:pt idx="10">
                  <c:v>-3.0694052253333468</c:v>
                </c:pt>
                <c:pt idx="11">
                  <c:v>-2.7482122421779351</c:v>
                </c:pt>
                <c:pt idx="12">
                  <c:v>-2.4541008065029026</c:v>
                </c:pt>
                <c:pt idx="13">
                  <c:v>-2.1849573284320085</c:v>
                </c:pt>
                <c:pt idx="14">
                  <c:v>-1.9388276932330222</c:v>
                </c:pt>
                <c:pt idx="15">
                  <c:v>-1.7139054196736341</c:v>
                </c:pt>
                <c:pt idx="16">
                  <c:v>-1.5085206907717552</c:v>
                </c:pt>
                <c:pt idx="17">
                  <c:v>-1.3211301929220383</c:v>
                </c:pt>
                <c:pt idx="18">
                  <c:v>-1.150307704068942</c:v>
                </c:pt>
                <c:pt idx="19">
                  <c:v>-0.9947353759420493</c:v>
                </c:pt>
                <c:pt idx="20">
                  <c:v>-0.85319565939689679</c:v>
                </c:pt>
                <c:pt idx="21">
                  <c:v>-0.72456382563734711</c:v>
                </c:pt>
                <c:pt idx="22">
                  <c:v>-0.60780103955525266</c:v>
                </c:pt>
                <c:pt idx="23">
                  <c:v>-0.50194794462963344</c:v>
                </c:pt>
                <c:pt idx="24">
                  <c:v>-0.40611872179949238</c:v>
                </c:pt>
                <c:pt idx="25">
                  <c:v>-0.319495587478759</c:v>
                </c:pt>
                <c:pt idx="26">
                  <c:v>-0.2413236984346428</c:v>
                </c:pt>
                <c:pt idx="27">
                  <c:v>-0.17090643361665264</c:v>
                </c:pt>
                <c:pt idx="28">
                  <c:v>-0.1076010252163134</c:v>
                </c:pt>
                <c:pt idx="29">
                  <c:v>-5.0814513269898075E-2</c:v>
                </c:pt>
                <c:pt idx="30">
                  <c:v>0</c:v>
                </c:pt>
                <c:pt idx="31">
                  <c:v>4.5346818162605079E-2</c:v>
                </c:pt>
                <c:pt idx="32">
                  <c:v>8.569086131751813E-2</c:v>
                </c:pt>
                <c:pt idx="33">
                  <c:v>0.12146063853505341</c:v>
                </c:pt>
                <c:pt idx="34">
                  <c:v>0.15305099955010376</c:v>
                </c:pt>
                <c:pt idx="35">
                  <c:v>0.18082568197345419</c:v>
                </c:pt>
                <c:pt idx="36">
                  <c:v>0.20511966909094681</c:v>
                </c:pt>
                <c:pt idx="37">
                  <c:v>0.22624137221478047</c:v>
                </c:pt>
                <c:pt idx="38">
                  <c:v>0.24447465052613232</c:v>
                </c:pt>
                <c:pt idx="39">
                  <c:v>0.26008068039828491</c:v>
                </c:pt>
                <c:pt idx="40">
                  <c:v>0.27329968530901733</c:v>
                </c:pt>
                <c:pt idx="41">
                  <c:v>0.28435253663511628</c:v>
                </c:pt>
                <c:pt idx="42">
                  <c:v>0.29344223486572146</c:v>
                </c:pt>
                <c:pt idx="43">
                  <c:v>0.30075528007050123</c:v>
                </c:pt>
                <c:pt idx="44">
                  <c:v>0.30646293980927614</c:v>
                </c:pt>
                <c:pt idx="45">
                  <c:v>0.31072242206793199</c:v>
                </c:pt>
                <c:pt idx="46">
                  <c:v>0.31367796024779154</c:v>
                </c:pt>
                <c:pt idx="47">
                  <c:v>0.31546181671882872</c:v>
                </c:pt>
                <c:pt idx="48">
                  <c:v>0.31619521096821002</c:v>
                </c:pt>
                <c:pt idx="49">
                  <c:v>0.31598917793186188</c:v>
                </c:pt>
                <c:pt idx="50">
                  <c:v>0.31494536168552989</c:v>
                </c:pt>
                <c:pt idx="51">
                  <c:v>0.31315674929071469</c:v>
                </c:pt>
                <c:pt idx="52">
                  <c:v>0.31070834923774915</c:v>
                </c:pt>
                <c:pt idx="53">
                  <c:v>0.30767781860106569</c:v>
                </c:pt>
                <c:pt idx="54">
                  <c:v>0.30413604271849681</c:v>
                </c:pt>
                <c:pt idx="55">
                  <c:v>0.30014767092549793</c:v>
                </c:pt>
                <c:pt idx="56">
                  <c:v>0.29577161161484727</c:v>
                </c:pt>
                <c:pt idx="57">
                  <c:v>0.29106148965116058</c:v>
                </c:pt>
                <c:pt idx="58">
                  <c:v>0.28606606894604342</c:v>
                </c:pt>
                <c:pt idx="59">
                  <c:v>0.28082964279261169</c:v>
                </c:pt>
                <c:pt idx="60">
                  <c:v>0.27539239436622726</c:v>
                </c:pt>
                <c:pt idx="61">
                  <c:v>0.26979072962050288</c:v>
                </c:pt>
                <c:pt idx="62">
                  <c:v>0.26405758464291451</c:v>
                </c:pt>
                <c:pt idx="63">
                  <c:v>0.25822270938173419</c:v>
                </c:pt>
                <c:pt idx="64">
                  <c:v>0.25231292951460388</c:v>
                </c:pt>
                <c:pt idx="65">
                  <c:v>0.2463523880980675</c:v>
                </c:pt>
                <c:pt idx="66">
                  <c:v>0.24036276851600993</c:v>
                </c:pt>
                <c:pt idx="67">
                  <c:v>0.23436350013251586</c:v>
                </c:pt>
                <c:pt idx="68">
                  <c:v>0.22837194795049368</c:v>
                </c:pt>
                <c:pt idx="69">
                  <c:v>0.22240358748091327</c:v>
                </c:pt>
                <c:pt idx="70">
                  <c:v>0.21647216593810972</c:v>
                </c:pt>
                <c:pt idx="71">
                  <c:v>0.21058985079379705</c:v>
                </c:pt>
                <c:pt idx="72">
                  <c:v>0.20476736664572365</c:v>
                </c:pt>
                <c:pt idx="73">
                  <c:v>0.19901412128584225</c:v>
                </c:pt>
                <c:pt idx="74">
                  <c:v>0.19333832178705063</c:v>
                </c:pt>
                <c:pt idx="75">
                  <c:v>0.18774708136658674</c:v>
                </c:pt>
                <c:pt idx="76">
                  <c:v>0.1822465177276982</c:v>
                </c:pt>
                <c:pt idx="77">
                  <c:v>0.17684184352889745</c:v>
                </c:pt>
                <c:pt idx="78">
                  <c:v>0.1715374495816748</c:v>
                </c:pt>
                <c:pt idx="79">
                  <c:v>0.16633698133267616</c:v>
                </c:pt>
                <c:pt idx="80">
                  <c:v>0.16124340914479948</c:v>
                </c:pt>
                <c:pt idx="81">
                  <c:v>0.15625909285318643</c:v>
                </c:pt>
                <c:pt idx="82">
                  <c:v>0.15138584103644961</c:v>
                </c:pt>
                <c:pt idx="83">
                  <c:v>0.14662496541047701</c:v>
                </c:pt>
                <c:pt idx="84">
                  <c:v>0.14197733072159902</c:v>
                </c:pt>
                <c:pt idx="85">
                  <c:v>0.13744340048760872</c:v>
                </c:pt>
                <c:pt idx="86">
                  <c:v>0.13302327890892876</c:v>
                </c:pt>
                <c:pt idx="87">
                  <c:v>0.12871674924796109</c:v>
                </c:pt>
                <c:pt idx="88">
                  <c:v>0.12452330895219875</c:v>
                </c:pt>
                <c:pt idx="89">
                  <c:v>0.12044220177588882</c:v>
                </c:pt>
                <c:pt idx="90">
                  <c:v>0.11647244713578653</c:v>
                </c:pt>
                <c:pt idx="91">
                  <c:v>0.11261286691872577</c:v>
                </c:pt>
                <c:pt idx="92">
                  <c:v>0.10886210994223693</c:v>
                </c:pt>
                <c:pt idx="93">
                  <c:v>0.10521867425417794</c:v>
                </c:pt>
                <c:pt idx="94">
                  <c:v>0.10168092744321577</c:v>
                </c:pt>
                <c:pt idx="95">
                  <c:v>9.8247125118918047E-2</c:v>
                </c:pt>
                <c:pt idx="96">
                  <c:v>9.4915427708114591E-2</c:v>
                </c:pt>
                <c:pt idx="97">
                  <c:v>9.1683915702988963E-2</c:v>
                </c:pt>
                <c:pt idx="98">
                  <c:v>8.8550603485998428E-2</c:v>
                </c:pt>
                <c:pt idx="99">
                  <c:v>8.5513451847132757E-2</c:v>
                </c:pt>
                <c:pt idx="100">
                  <c:v>8.2570379300153193E-2</c:v>
                </c:pt>
                <c:pt idx="101">
                  <c:v>7.9719272296245036E-2</c:v>
                </c:pt>
                <c:pt idx="102">
                  <c:v>7.6957994425927587E-2</c:v>
                </c:pt>
                <c:pt idx="103">
                  <c:v>7.4284394693043473E-2</c:v>
                </c:pt>
                <c:pt idx="104">
                  <c:v>7.169631493815487E-2</c:v>
                </c:pt>
                <c:pt idx="105">
                  <c:v>6.9191596482669232E-2</c:v>
                </c:pt>
                <c:pt idx="106">
                  <c:v>6.6768086059462953E-2</c:v>
                </c:pt>
                <c:pt idx="107">
                  <c:v>6.4423641090636599E-2</c:v>
                </c:pt>
                <c:pt idx="108">
                  <c:v>6.2156134368287666E-2</c:v>
                </c:pt>
                <c:pt idx="109">
                  <c:v>5.9963458189798487E-2</c:v>
                </c:pt>
                <c:pt idx="110">
                  <c:v>5.7843527995079976E-2</c:v>
                </c:pt>
                <c:pt idx="111">
                  <c:v>5.5794285549462481E-2</c:v>
                </c:pt>
                <c:pt idx="112">
                  <c:v>5.3813701712460735E-2</c:v>
                </c:pt>
                <c:pt idx="113">
                  <c:v>5.1899778829437852E-2</c:v>
                </c:pt>
                <c:pt idx="114">
                  <c:v>5.0050552780236506E-2</c:v>
                </c:pt>
                <c:pt idx="115">
                  <c:v>4.8264094716112135E-2</c:v>
                </c:pt>
                <c:pt idx="116">
                  <c:v>4.6538512513780675E-2</c:v>
                </c:pt>
                <c:pt idx="117">
                  <c:v>4.487195197306227E-2</c:v>
                </c:pt>
                <c:pt idx="118">
                  <c:v>4.3262597782450847E-2</c:v>
                </c:pt>
                <c:pt idx="119">
                  <c:v>4.1708674274953408E-2</c:v>
                </c:pt>
                <c:pt idx="120">
                  <c:v>4.020844599470922E-2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7-4A1C-8477-DD8891B3FDBD}"/>
            </c:ext>
          </c:extLst>
        </c:ser>
        <c:ser>
          <c:idx val="5"/>
          <c:order val="5"/>
          <c:tx>
            <c:strRef>
              <c:f>'force-strain'!$G$2</c:f>
              <c:strCache>
                <c:ptCount val="1"/>
                <c:pt idx="0">
                  <c:v>IL-A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'force-strain'!$G$3:$G$123</c:f>
              <c:numCache>
                <c:formatCode>General</c:formatCode>
                <c:ptCount val="121"/>
                <c:pt idx="0">
                  <c:v>-2.9663775386905278</c:v>
                </c:pt>
                <c:pt idx="1">
                  <c:v>-2.7049162155818096</c:v>
                </c:pt>
                <c:pt idx="2">
                  <c:v>-2.4638298099241172</c:v>
                </c:pt>
                <c:pt idx="3">
                  <c:v>-2.2416080093009088</c:v>
                </c:pt>
                <c:pt idx="4">
                  <c:v>-2.0368499146690535</c:v>
                </c:pt>
                <c:pt idx="5">
                  <c:v>-1.8482562015811039</c:v>
                </c:pt>
                <c:pt idx="6">
                  <c:v>-1.6746218399163697</c:v>
                </c:pt>
                <c:pt idx="7">
                  <c:v>-1.5148293324375268</c:v>
                </c:pt>
                <c:pt idx="8">
                  <c:v>-1.367842435305217</c:v>
                </c:pt>
                <c:pt idx="9">
                  <c:v>-1.2327003262990042</c:v>
                </c:pt>
                <c:pt idx="10">
                  <c:v>-1.1085121889236036</c:v>
                </c:pt>
                <c:pt idx="11">
                  <c:v>-0.99445218283744063</c:v>
                </c:pt>
                <c:pt idx="12">
                  <c:v>-0.88975477313865858</c:v>
                </c:pt>
                <c:pt idx="13">
                  <c:v>-0.79371039299294732</c:v>
                </c:pt>
                <c:pt idx="14">
                  <c:v>-0.70566141589863207</c:v>
                </c:pt>
                <c:pt idx="15">
                  <c:v>-0.62499841556705449</c:v>
                </c:pt>
                <c:pt idx="16">
                  <c:v>-0.55115669295957603</c:v>
                </c:pt>
                <c:pt idx="17">
                  <c:v>-0.48361305147495698</c:v>
                </c:pt>
                <c:pt idx="18">
                  <c:v>-0.42188280263026484</c:v>
                </c:pt>
                <c:pt idx="19">
                  <c:v>-0.3655169858321794</c:v>
                </c:pt>
                <c:pt idx="20">
                  <c:v>-0.31409978700033714</c:v>
                </c:pt>
                <c:pt idx="21">
                  <c:v>-0.26724614188651874</c:v>
                </c:pt>
                <c:pt idx="22">
                  <c:v>-0.22459951093888864</c:v>
                </c:pt>
                <c:pt idx="23">
                  <c:v>-0.18582981349456987</c:v>
                </c:pt>
                <c:pt idx="24">
                  <c:v>-0.15063150995165631</c:v>
                </c:pt>
                <c:pt idx="25">
                  <c:v>-0.11872182137801103</c:v>
                </c:pt>
                <c:pt idx="26">
                  <c:v>-8.9839076763253436E-2</c:v>
                </c:pt>
                <c:pt idx="27">
                  <c:v>-6.3741178816230357E-2</c:v>
                </c:pt>
                <c:pt idx="28">
                  <c:v>-4.0204179856804384E-2</c:v>
                </c:pt>
                <c:pt idx="29">
                  <c:v>-1.902095995142692E-2</c:v>
                </c:pt>
                <c:pt idx="30">
                  <c:v>0</c:v>
                </c:pt>
                <c:pt idx="31">
                  <c:v>1.703575700005491E-2</c:v>
                </c:pt>
                <c:pt idx="32">
                  <c:v>3.2249962804966205E-2</c:v>
                </c:pt>
                <c:pt idx="33">
                  <c:v>4.5793844736025609E-2</c:v>
                </c:pt>
                <c:pt idx="34">
                  <c:v>5.7807115880561033E-2</c:v>
                </c:pt>
                <c:pt idx="35">
                  <c:v>6.841881972560826E-2</c:v>
                </c:pt>
                <c:pt idx="36">
                  <c:v>7.7748113908659752E-2</c:v>
                </c:pt>
                <c:pt idx="37">
                  <c:v>8.5904997436574301E-2</c:v>
                </c:pt>
                <c:pt idx="38">
                  <c:v>9.2990985414106095E-2</c:v>
                </c:pt>
                <c:pt idx="39">
                  <c:v>9.9099735035869121E-2</c:v>
                </c:pt>
                <c:pt idx="40">
                  <c:v>0.10431762632833677</c:v>
                </c:pt>
                <c:pt idx="41">
                  <c:v>0.10872430088024118</c:v>
                </c:pt>
                <c:pt idx="42">
                  <c:v>0.1123931615691276</c:v>
                </c:pt>
                <c:pt idx="43">
                  <c:v>0.11539183607759559</c:v>
                </c:pt>
                <c:pt idx="44">
                  <c:v>0.11778260679375024</c:v>
                </c:pt>
                <c:pt idx="45">
                  <c:v>0.11962280950551805</c:v>
                </c:pt>
                <c:pt idx="46">
                  <c:v>0.12096520312675038</c:v>
                </c:pt>
                <c:pt idx="47">
                  <c:v>0.12185831253350678</c:v>
                </c:pt>
                <c:pt idx="48">
                  <c:v>0.12234674644071933</c:v>
                </c:pt>
                <c:pt idx="49">
                  <c:v>0.1224714921117819</c:v>
                </c:pt>
                <c:pt idx="50">
                  <c:v>0.12227018856573363</c:v>
                </c:pt>
                <c:pt idx="51">
                  <c:v>0.12177737982792566</c:v>
                </c:pt>
                <c:pt idx="52">
                  <c:v>0.12102474965972468</c:v>
                </c:pt>
                <c:pt idx="53">
                  <c:v>0.12004133910031664</c:v>
                </c:pt>
                <c:pt idx="54">
                  <c:v>0.11885374805847539</c:v>
                </c:pt>
                <c:pt idx="55">
                  <c:v>0.11748632210373304</c:v>
                </c:pt>
                <c:pt idx="56">
                  <c:v>0.11596132552425197</c:v>
                </c:pt>
                <c:pt idx="57">
                  <c:v>0.11429910164240738</c:v>
                </c:pt>
                <c:pt idx="58">
                  <c:v>0.11251822130822621</c:v>
                </c:pt>
                <c:pt idx="59">
                  <c:v>0.1106356204250107</c:v>
                </c:pt>
                <c:pt idx="60">
                  <c:v>0.10866672730034159</c:v>
                </c:pt>
                <c:pt idx="61">
                  <c:v>0.1066255805588774</c:v>
                </c:pt>
                <c:pt idx="62">
                  <c:v>0.1045249383006296</c:v>
                </c:pt>
                <c:pt idx="63">
                  <c:v>0.1023763791394148</c:v>
                </c:pt>
                <c:pt idx="64">
                  <c:v>0.10019039571069599</c:v>
                </c:pt>
                <c:pt idx="65">
                  <c:v>9.7976481195775872E-2</c:v>
                </c:pt>
                <c:pt idx="66">
                  <c:v>9.5743209370070637E-2</c:v>
                </c:pt>
                <c:pt idx="67">
                  <c:v>9.3498308646751391E-2</c:v>
                </c:pt>
                <c:pt idx="68">
                  <c:v>9.1248730553202234E-2</c:v>
                </c:pt>
                <c:pt idx="69">
                  <c:v>8.9000713046315003E-2</c:v>
                </c:pt>
                <c:pt idx="70">
                  <c:v>8.6759839043457881E-2</c:v>
                </c:pt>
                <c:pt idx="71">
                  <c:v>8.4531090518852756E-2</c:v>
                </c:pt>
                <c:pt idx="72">
                  <c:v>8.2318898489928904E-2</c:v>
                </c:pt>
                <c:pt idx="73">
                  <c:v>8.0127189194851192E-2</c:v>
                </c:pt>
                <c:pt idx="74">
                  <c:v>7.7959426740719914E-2</c:v>
                </c:pt>
                <c:pt idx="75">
                  <c:v>7.5818652481789553E-2</c:v>
                </c:pt>
                <c:pt idx="76">
                  <c:v>7.3707521368343271E-2</c:v>
                </c:pt>
                <c:pt idx="77">
                  <c:v>7.162833548948834E-2</c:v>
                </c:pt>
                <c:pt idx="78">
                  <c:v>6.958307501700714E-2</c:v>
                </c:pt>
                <c:pt idx="79">
                  <c:v>6.7573426742423309E-2</c:v>
                </c:pt>
                <c:pt idx="80">
                  <c:v>6.5600810385538028E-2</c:v>
                </c:pt>
                <c:pt idx="81">
                  <c:v>6.3666402839783531E-2</c:v>
                </c:pt>
                <c:pt idx="82">
                  <c:v>6.1771160507757251E-2</c:v>
                </c:pt>
                <c:pt idx="83">
                  <c:v>5.991583986917403E-2</c:v>
                </c:pt>
                <c:pt idx="84">
                  <c:v>5.8101016413148125E-2</c:v>
                </c:pt>
                <c:pt idx="85">
                  <c:v>5.6327102057127883E-2</c:v>
                </c:pt>
                <c:pt idx="86">
                  <c:v>5.4594361165908996E-2</c:v>
                </c:pt>
                <c:pt idx="87">
                  <c:v>5.2902925275891195E-2</c:v>
                </c:pt>
                <c:pt idx="88">
                  <c:v>5.125280662207668E-2</c:v>
                </c:pt>
                <c:pt idx="89">
                  <c:v>4.9643910558193255E-2</c:v>
                </c:pt>
                <c:pt idx="90">
                  <c:v>4.8076046953720836E-2</c:v>
                </c:pt>
                <c:pt idx="91">
                  <c:v>4.654894064547066E-2</c:v>
                </c:pt>
                <c:pt idx="92">
                  <c:v>4.5062241015679835E-2</c:v>
                </c:pt>
                <c:pt idx="93">
                  <c:v>4.3615530763304593E-2</c:v>
                </c:pt>
                <c:pt idx="94">
                  <c:v>4.2208333930298728E-2</c:v>
                </c:pt>
                <c:pt idx="95">
                  <c:v>4.0840123240119403E-2</c:v>
                </c:pt>
                <c:pt idx="96">
                  <c:v>3.9510326801485592E-2</c:v>
                </c:pt>
                <c:pt idx="97">
                  <c:v>3.8218334226502872E-2</c:v>
                </c:pt>
                <c:pt idx="98">
                  <c:v>3.6963502208639351E-2</c:v>
                </c:pt>
                <c:pt idx="99">
                  <c:v>3.5745159602670426E-2</c:v>
                </c:pt>
                <c:pt idx="100">
                  <c:v>3.4562612045587707E-2</c:v>
                </c:pt>
                <c:pt idx="101">
                  <c:v>3.3415146154570426E-2</c:v>
                </c:pt>
                <c:pt idx="102">
                  <c:v>3.2302033335431232E-2</c:v>
                </c:pt>
                <c:pt idx="103">
                  <c:v>3.1222533232456787E-2</c:v>
                </c:pt>
                <c:pt idx="104">
                  <c:v>3.0175896848252934E-2</c:v>
                </c:pt>
                <c:pt idx="105">
                  <c:v>2.9161369360061529E-2</c:v>
                </c:pt>
                <c:pt idx="106">
                  <c:v>2.8178192657029782E-2</c:v>
                </c:pt>
                <c:pt idx="107">
                  <c:v>2.7225607621070975E-2</c:v>
                </c:pt>
                <c:pt idx="108">
                  <c:v>2.6302856172247781E-2</c:v>
                </c:pt>
                <c:pt idx="109">
                  <c:v>2.5409183098027237E-2</c:v>
                </c:pt>
                <c:pt idx="110">
                  <c:v>2.4543837684288698E-2</c:v>
                </c:pt>
                <c:pt idx="111">
                  <c:v>2.3706075164607203E-2</c:v>
                </c:pt>
                <c:pt idx="112">
                  <c:v>2.2895158003074286E-2</c:v>
                </c:pt>
                <c:pt idx="113">
                  <c:v>2.2110357024750948E-2</c:v>
                </c:pt>
                <c:pt idx="114">
                  <c:v>2.1350952406766065E-2</c:v>
                </c:pt>
                <c:pt idx="115">
                  <c:v>2.0616234542071284E-2</c:v>
                </c:pt>
                <c:pt idx="116">
                  <c:v>1.9905504786935469E-2</c:v>
                </c:pt>
                <c:pt idx="117">
                  <c:v>1.9218076102402143E-2</c:v>
                </c:pt>
                <c:pt idx="118">
                  <c:v>1.8553273599137492E-2</c:v>
                </c:pt>
                <c:pt idx="119">
                  <c:v>1.7910434994359174E-2</c:v>
                </c:pt>
                <c:pt idx="120">
                  <c:v>1.7288910988854437E-2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07-4A1C-8477-DD8891B3FDBD}"/>
            </c:ext>
          </c:extLst>
        </c:ser>
        <c:ser>
          <c:idx val="6"/>
          <c:order val="6"/>
          <c:tx>
            <c:strRef>
              <c:f>'force-strain'!$H$2</c:f>
              <c:strCache>
                <c:ptCount val="1"/>
                <c:pt idx="0">
                  <c:v>IL-B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'force-strain'!$H$3:$H$123</c:f>
              <c:numCache>
                <c:formatCode>General</c:formatCode>
                <c:ptCount val="121"/>
                <c:pt idx="0">
                  <c:v>-1.5425867047312281</c:v>
                </c:pt>
                <c:pt idx="1">
                  <c:v>-1.4098841407684577</c:v>
                </c:pt>
                <c:pt idx="2">
                  <c:v>-1.2871925380859472</c:v>
                </c:pt>
                <c:pt idx="3">
                  <c:v>-1.1737954081399034</c:v>
                </c:pt>
                <c:pt idx="4">
                  <c:v>-1.0690263242737306</c:v>
                </c:pt>
                <c:pt idx="5">
                  <c:v>-0.97226546417730586</c:v>
                </c:pt>
                <c:pt idx="6">
                  <c:v>-0.88293638977321476</c:v>
                </c:pt>
                <c:pt idx="7">
                  <c:v>-0.80050304827301944</c:v>
                </c:pt>
                <c:pt idx="8">
                  <c:v>-0.7244669792581292</c:v>
                </c:pt>
                <c:pt idx="9">
                  <c:v>-0.65436471367543103</c:v>
                </c:pt>
                <c:pt idx="10">
                  <c:v>-0.58976535160263366</c:v>
                </c:pt>
                <c:pt idx="11">
                  <c:v>-0.53026830653719736</c:v>
                </c:pt>
                <c:pt idx="12">
                  <c:v>-0.47550120480018016</c:v>
                </c:pt>
                <c:pt idx="13">
                  <c:v>-0.42511792942659954</c:v>
                </c:pt>
                <c:pt idx="14">
                  <c:v>-0.37879679864083904</c:v>
                </c:pt>
                <c:pt idx="15">
                  <c:v>-0.33623886969289729</c:v>
                </c:pt>
                <c:pt idx="16">
                  <c:v>-0.29716635946225872</c:v>
                </c:pt>
                <c:pt idx="17">
                  <c:v>-0.26132117382403086</c:v>
                </c:pt>
                <c:pt idx="18">
                  <c:v>-0.22846353831967622</c:v>
                </c:pt>
                <c:pt idx="19">
                  <c:v>-0.19837072318493201</c:v>
                </c:pt>
                <c:pt idx="20">
                  <c:v>-0.17083585626288733</c:v>
                </c:pt>
                <c:pt idx="21">
                  <c:v>-0.14566681777308416</c:v>
                </c:pt>
                <c:pt idx="22">
                  <c:v>-0.12268521132012766</c:v>
                </c:pt>
                <c:pt idx="23">
                  <c:v>-0.10172540590970268</c:v>
                </c:pt>
                <c:pt idx="24">
                  <c:v>-8.2633644098037334E-2</c:v>
                </c:pt>
                <c:pt idx="25">
                  <c:v>-6.526721173450438E-2</c:v>
                </c:pt>
                <c:pt idx="26">
                  <c:v>-4.949366506789861E-2</c:v>
                </c:pt>
                <c:pt idx="27">
                  <c:v>-3.5190111276521677E-2</c:v>
                </c:pt>
                <c:pt idx="28">
                  <c:v>-2.2242538751999295E-2</c:v>
                </c:pt>
                <c:pt idx="29">
                  <c:v>-1.0545193718101717E-2</c:v>
                </c:pt>
                <c:pt idx="30">
                  <c:v>0</c:v>
                </c:pt>
                <c:pt idx="31">
                  <c:v>9.4839810224657869E-3</c:v>
                </c:pt>
                <c:pt idx="32">
                  <c:v>1.7991053040694503E-2</c:v>
                </c:pt>
                <c:pt idx="33">
                  <c:v>2.5599352596274588E-2</c:v>
                </c:pt>
                <c:pt idx="34">
                  <c:v>3.2381284410456491E-2</c:v>
                </c:pt>
                <c:pt idx="35">
                  <c:v>3.8403926497312252E-2</c:v>
                </c:pt>
                <c:pt idx="36">
                  <c:v>4.3729407140671875E-2</c:v>
                </c:pt>
                <c:pt idx="37">
                  <c:v>4.8415255672320107E-2</c:v>
                </c:pt>
                <c:pt idx="38">
                  <c:v>5.2514728856090598E-2</c:v>
                </c:pt>
                <c:pt idx="39">
                  <c:v>5.6077114558734646E-2</c:v>
                </c:pt>
                <c:pt idx="40">
                  <c:v>5.9148014273151271E-2</c:v>
                </c:pt>
                <c:pt idx="41">
                  <c:v>6.1769605952165289E-2</c:v>
                </c:pt>
                <c:pt idx="42">
                  <c:v>6.3980888510988085E-2</c:v>
                </c:pt>
                <c:pt idx="43">
                  <c:v>6.5817909263293381E-2</c:v>
                </c:pt>
                <c:pt idx="44">
                  <c:v>6.7313975469017032E-2</c:v>
                </c:pt>
                <c:pt idx="45">
                  <c:v>6.8499851091109121E-2</c:v>
                </c:pt>
                <c:pt idx="46">
                  <c:v>6.9403939783125923E-2</c:v>
                </c:pt>
                <c:pt idx="47">
                  <c:v>7.00524550593635E-2</c:v>
                </c:pt>
                <c:pt idx="48">
                  <c:v>7.0469578533857921E-2</c:v>
                </c:pt>
                <c:pt idx="49">
                  <c:v>7.0677607053676678E-2</c:v>
                </c:pt>
                <c:pt idx="50">
                  <c:v>7.0697089495195722E-2</c:v>
                </c:pt>
                <c:pt idx="51">
                  <c:v>7.0546953939214327E-2</c:v>
                </c:pt>
                <c:pt idx="52">
                  <c:v>7.0244625891536197E-2</c:v>
                </c:pt>
                <c:pt idx="53">
                  <c:v>6.9806138169795029E-2</c:v>
                </c:pt>
                <c:pt idx="54">
                  <c:v>6.9246233034594332E-2</c:v>
                </c:pt>
                <c:pt idx="55">
                  <c:v>6.8578457103249876E-2</c:v>
                </c:pt>
                <c:pt idx="56">
                  <c:v>6.7815249547368936E-2</c:v>
                </c:pt>
                <c:pt idx="57">
                  <c:v>6.6968024040985633E-2</c:v>
                </c:pt>
                <c:pt idx="58">
                  <c:v>6.6047244893824408E-2</c:v>
                </c:pt>
                <c:pt idx="59">
                  <c:v>6.5062497774320688E-2</c:v>
                </c:pt>
                <c:pt idx="60">
                  <c:v>6.4022555399137968E-2</c:v>
                </c:pt>
                <c:pt idx="61">
                  <c:v>6.2935438539944447E-2</c:v>
                </c:pt>
                <c:pt idx="62">
                  <c:v>6.1808472674019163E-2</c:v>
                </c:pt>
                <c:pt idx="63">
                  <c:v>6.0648340582722539E-2</c:v>
                </c:pt>
                <c:pt idx="64">
                  <c:v>5.9461131180881026E-2</c:v>
                </c:pt>
                <c:pt idx="65">
                  <c:v>5.8252384840587798E-2</c:v>
                </c:pt>
                <c:pt idx="66">
                  <c:v>5.7027135454718381E-2</c:v>
                </c:pt>
                <c:pt idx="67">
                  <c:v>5.5789949468505906E-2</c:v>
                </c:pt>
                <c:pt idx="68">
                  <c:v>5.4544962091731389E-2</c:v>
                </c:pt>
                <c:pt idx="69">
                  <c:v>5.3295910889380411E-2</c:v>
                </c:pt>
                <c:pt idx="70">
                  <c:v>5.2046166934923657E-2</c:v>
                </c:pt>
                <c:pt idx="71">
                  <c:v>5.0798763697625968E-2</c:v>
                </c:pt>
                <c:pt idx="72">
                  <c:v>4.955642382341402E-2</c:v>
                </c:pt>
                <c:pt idx="73">
                  <c:v>4.8321583957772626E-2</c:v>
                </c:pt>
                <c:pt idx="74">
                  <c:v>4.7096417748842698E-2</c:v>
                </c:pt>
                <c:pt idx="75">
                  <c:v>4.5882857159304125E-2</c:v>
                </c:pt>
                <c:pt idx="76">
                  <c:v>4.4682612206697475E-2</c:v>
                </c:pt>
                <c:pt idx="77">
                  <c:v>4.3497189243524484E-2</c:v>
                </c:pt>
                <c:pt idx="78">
                  <c:v>4.2327907880724928E-2</c:v>
                </c:pt>
                <c:pt idx="79">
                  <c:v>4.1175916650919651E-2</c:v>
                </c:pt>
                <c:pt idx="80">
                  <c:v>4.0042207501097819E-2</c:v>
                </c:pt>
                <c:pt idx="81">
                  <c:v>3.8927629198177681E-2</c:v>
                </c:pt>
                <c:pt idx="82">
                  <c:v>3.7832899725052362E-2</c:v>
                </c:pt>
                <c:pt idx="83">
                  <c:v>3.6758617739315845E-2</c:v>
                </c:pt>
                <c:pt idx="84">
                  <c:v>3.570527316182192E-2</c:v>
                </c:pt>
                <c:pt idx="85">
                  <c:v>3.4673256957534357E-2</c:v>
                </c:pt>
                <c:pt idx="86">
                  <c:v>3.3662870166756696E-2</c:v>
                </c:pt>
                <c:pt idx="87">
                  <c:v>3.2674332240762105E-2</c:v>
                </c:pt>
                <c:pt idx="88">
                  <c:v>3.1707788732056826E-2</c:v>
                </c:pt>
                <c:pt idx="89">
                  <c:v>3.0763318385986345E-2</c:v>
                </c:pt>
                <c:pt idx="90">
                  <c:v>2.9840939677111964E-2</c:v>
                </c:pt>
                <c:pt idx="91">
                  <c:v>2.8940616830732555E-2</c:v>
                </c:pt>
                <c:pt idx="92">
                  <c:v>2.806226536708362E-2</c:v>
                </c:pt>
                <c:pt idx="93">
                  <c:v>2.7205757203100929E-2</c:v>
                </c:pt>
                <c:pt idx="94">
                  <c:v>2.6370925344174293E-2</c:v>
                </c:pt>
                <c:pt idx="95">
                  <c:v>2.5557568196026316E-2</c:v>
                </c:pt>
                <c:pt idx="96">
                  <c:v>2.4765453524719139E-2</c:v>
                </c:pt>
                <c:pt idx="97">
                  <c:v>2.3994322090808588E-2</c:v>
                </c:pt>
                <c:pt idx="98">
                  <c:v>2.3243890981819542E-2</c:v>
                </c:pt>
                <c:pt idx="99">
                  <c:v>2.2513856665498773E-2</c:v>
                </c:pt>
                <c:pt idx="100">
                  <c:v>2.1803897784704221E-2</c:v>
                </c:pt>
                <c:pt idx="101">
                  <c:v>2.1113677713302803E-2</c:v>
                </c:pt>
                <c:pt idx="102">
                  <c:v>2.044284689106645E-2</c:v>
                </c:pt>
                <c:pt idx="103">
                  <c:v>1.9791044954269504E-2</c:v>
                </c:pt>
                <c:pt idx="104">
                  <c:v>1.9157902677494485E-2</c:v>
                </c:pt>
                <c:pt idx="105">
                  <c:v>1.8543043741040117E-2</c:v>
                </c:pt>
                <c:pt idx="106">
                  <c:v>1.7946086337290817E-2</c:v>
                </c:pt>
                <c:pt idx="107">
                  <c:v>1.7366644628444037E-2</c:v>
                </c:pt>
                <c:pt idx="108">
                  <c:v>1.6804330067097275E-2</c:v>
                </c:pt>
                <c:pt idx="109">
                  <c:v>1.6258752590363912E-2</c:v>
                </c:pt>
                <c:pt idx="110">
                  <c:v>1.5729521697413457E-2</c:v>
                </c:pt>
                <c:pt idx="111">
                  <c:v>1.5216247419612475E-2</c:v>
                </c:pt>
                <c:pt idx="112">
                  <c:v>1.4718541191773449E-2</c:v>
                </c:pt>
                <c:pt idx="113">
                  <c:v>1.4236016632397579E-2</c:v>
                </c:pt>
                <c:pt idx="114">
                  <c:v>1.3768290240219408E-2</c:v>
                </c:pt>
                <c:pt idx="115">
                  <c:v>1.3314982013824484E-2</c:v>
                </c:pt>
                <c:pt idx="116">
                  <c:v>1.2875716000612047E-2</c:v>
                </c:pt>
                <c:pt idx="117">
                  <c:v>1.2450120780911315E-2</c:v>
                </c:pt>
                <c:pt idx="118">
                  <c:v>1.2037829892629078E-2</c:v>
                </c:pt>
                <c:pt idx="119">
                  <c:v>1.1638482201406149E-2</c:v>
                </c:pt>
                <c:pt idx="120">
                  <c:v>1.1251722220888523E-2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07-4A1C-8477-DD8891B3FDBD}"/>
            </c:ext>
          </c:extLst>
        </c:ser>
        <c:ser>
          <c:idx val="7"/>
          <c:order val="7"/>
          <c:tx>
            <c:strRef>
              <c:f>'force-strain'!$I$2</c:f>
              <c:strCache>
                <c:ptCount val="1"/>
                <c:pt idx="0">
                  <c:v>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'force-strain'!$I$3:$I$123</c:f>
              <c:numCache>
                <c:formatCode>General</c:formatCode>
                <c:ptCount val="121"/>
                <c:pt idx="0">
                  <c:v>-7.1499319435075774</c:v>
                </c:pt>
                <c:pt idx="1">
                  <c:v>-6.5039844668945967</c:v>
                </c:pt>
                <c:pt idx="2">
                  <c:v>-5.9100350319819484</c:v>
                </c:pt>
                <c:pt idx="3">
                  <c:v>-5.3640917344926358</c:v>
                </c:pt>
                <c:pt idx="4">
                  <c:v>-4.8624624955930145</c:v>
                </c:pt>
                <c:pt idx="5">
                  <c:v>-4.4017327805246369</c:v>
                </c:pt>
                <c:pt idx="6">
                  <c:v>-3.9787449643344921</c:v>
                </c:pt>
                <c:pt idx="7">
                  <c:v>-3.5905792232692844</c:v>
                </c:pt>
                <c:pt idx="8">
                  <c:v>-3.2345358393402477</c:v>
                </c:pt>
                <c:pt idx="9">
                  <c:v>-2.9081188138479668</c:v>
                </c:pt>
                <c:pt idx="10">
                  <c:v>-2.6090206933302573</c:v>
                </c:pt>
                <c:pt idx="11">
                  <c:v>-2.3351085185050766</c:v>
                </c:pt>
                <c:pt idx="12">
                  <c:v>-2.0844108133662531</c:v>
                </c:pt>
                <c:pt idx="13">
                  <c:v>-1.8551055376910568</c:v>
                </c:pt>
                <c:pt idx="14">
                  <c:v>-1.6455089318708551</c:v>
                </c:pt>
                <c:pt idx="15">
                  <c:v>-1.4540651882123934</c:v>
                </c:pt>
                <c:pt idx="16">
                  <c:v>-1.2793368877081857</c:v>
                </c:pt>
                <c:pt idx="17">
                  <c:v>-1.1199961457684098</c:v>
                </c:pt>
                <c:pt idx="18">
                  <c:v>-0.97481641456992341</c:v>
                </c:pt>
                <c:pt idx="19">
                  <c:v>-0.84266489353475982</c:v>
                </c:pt>
                <c:pt idx="20">
                  <c:v>-0.72249550302337162</c:v>
                </c:pt>
                <c:pt idx="21">
                  <c:v>-0.61334237963781413</c:v>
                </c:pt>
                <c:pt idx="22">
                  <c:v>-0.51431385459630319</c:v>
                </c:pt>
                <c:pt idx="23">
                  <c:v>-0.42458687948114926</c:v>
                </c:pt>
                <c:pt idx="24">
                  <c:v>-0.34340186629349234</c:v>
                </c:pt>
                <c:pt idx="25">
                  <c:v>-0.27005791118597627</c:v>
                </c:pt>
                <c:pt idx="26">
                  <c:v>-0.20390837350273264</c:v>
                </c:pt>
                <c:pt idx="27">
                  <c:v>-0.1443567838480016</c:v>
                </c:pt>
                <c:pt idx="28">
                  <c:v>-9.0853056842652283E-2</c:v>
                </c:pt>
                <c:pt idx="29">
                  <c:v>-4.2889986023082173E-2</c:v>
                </c:pt>
                <c:pt idx="30">
                  <c:v>0</c:v>
                </c:pt>
                <c:pt idx="31">
                  <c:v>3.8247839464855438E-2</c:v>
                </c:pt>
                <c:pt idx="32">
                  <c:v>7.2250615378916277E-2</c:v>
                </c:pt>
                <c:pt idx="33">
                  <c:v>0.10237412602880357</c:v>
                </c:pt>
                <c:pt idx="34">
                  <c:v>0.12895526344844313</c:v>
                </c:pt>
                <c:pt idx="35">
                  <c:v>0.15230421407918665</c:v>
                </c:pt>
                <c:pt idx="36">
                  <c:v>0.17270649480502467</c:v>
                </c:pt>
                <c:pt idx="37">
                  <c:v>0.19042483657258716</c:v>
                </c:pt>
                <c:pt idx="38">
                  <c:v>0.20570092690395134</c:v>
                </c:pt>
                <c:pt idx="39">
                  <c:v>0.21875702177505332</c:v>
                </c:pt>
                <c:pt idx="40">
                  <c:v>0.22979743655881743</c:v>
                </c:pt>
                <c:pt idx="41">
                  <c:v>0.23900992501546889</c:v>
                </c:pt>
                <c:pt idx="42">
                  <c:v>0.24656695464866027</c:v>
                </c:pt>
                <c:pt idx="43">
                  <c:v>0.25262688613115009</c:v>
                </c:pt>
                <c:pt idx="44">
                  <c:v>0.25733506393420508</c:v>
                </c:pt>
                <c:pt idx="45">
                  <c:v>0.26082482476733443</c:v>
                </c:pt>
                <c:pt idx="46">
                  <c:v>0.26321842994629302</c:v>
                </c:pt>
                <c:pt idx="47">
                  <c:v>0.26462792735466834</c:v>
                </c:pt>
                <c:pt idx="48">
                  <c:v>0.26515594824512034</c:v>
                </c:pt>
                <c:pt idx="49">
                  <c:v>0.2648964437380264</c:v>
                </c:pt>
                <c:pt idx="50">
                  <c:v>0.26393536551561531</c:v>
                </c:pt>
                <c:pt idx="51">
                  <c:v>0.26235129487654502</c:v>
                </c:pt>
                <c:pt idx="52">
                  <c:v>0.26021602400732863</c:v>
                </c:pt>
                <c:pt idx="53">
                  <c:v>0.25759509304124301</c:v>
                </c:pt>
                <c:pt idx="54">
                  <c:v>0.25454828621067133</c:v>
                </c:pt>
                <c:pt idx="55">
                  <c:v>0.25113009015369608</c:v>
                </c:pt>
                <c:pt idx="56">
                  <c:v>0.24739011720871931</c:v>
                </c:pt>
                <c:pt idx="57">
                  <c:v>0.24337349632061903</c:v>
                </c:pt>
                <c:pt idx="58">
                  <c:v>0.23912123398721224</c:v>
                </c:pt>
                <c:pt idx="59">
                  <c:v>0.23467054749444377</c:v>
                </c:pt>
                <c:pt idx="60">
                  <c:v>0.23005517252169796</c:v>
                </c:pt>
                <c:pt idx="61">
                  <c:v>0.22530564704394776</c:v>
                </c:pt>
                <c:pt idx="62">
                  <c:v>0.22044957331421419</c:v>
                </c:pt>
                <c:pt idx="63">
                  <c:v>0.21551185957715166</c:v>
                </c:pt>
                <c:pt idx="64">
                  <c:v>0.21051494304173529</c:v>
                </c:pt>
                <c:pt idx="65">
                  <c:v>0.20547899552726537</c:v>
                </c:pt>
                <c:pt idx="66">
                  <c:v>0.20042211309156904</c:v>
                </c:pt>
                <c:pt idx="67">
                  <c:v>0.19536049085273235</c:v>
                </c:pt>
                <c:pt idx="68">
                  <c:v>0.1903085841253753</c:v>
                </c:pt>
                <c:pt idx="69">
                  <c:v>0.18527925690884595</c:v>
                </c:pt>
                <c:pt idx="70">
                  <c:v>0.18028391868727175</c:v>
                </c:pt>
                <c:pt idx="71">
                  <c:v>0.17533265042970206</c:v>
                </c:pt>
                <c:pt idx="72">
                  <c:v>0.17043432061218849</c:v>
                </c:pt>
                <c:pt idx="73">
                  <c:v>0.16559669202218186</c:v>
                </c:pt>
                <c:pt idx="74">
                  <c:v>0.16082652004871698</c:v>
                </c:pt>
                <c:pt idx="75">
                  <c:v>0.15612964310916905</c:v>
                </c:pt>
                <c:pt idx="76">
                  <c:v>0.15151106581458848</c:v>
                </c:pt>
                <c:pt idx="77">
                  <c:v>0.14697503543046611</c:v>
                </c:pt>
                <c:pt idx="78">
                  <c:v>0.14252511214797695</c:v>
                </c:pt>
                <c:pt idx="79">
                  <c:v>0.13816423364205513</c:v>
                </c:pt>
                <c:pt idx="80">
                  <c:v>0.1338947743568322</c:v>
                </c:pt>
                <c:pt idx="81">
                  <c:v>0.12971859992581336</c:v>
                </c:pt>
                <c:pt idx="82">
                  <c:v>0.1256371171034768</c:v>
                </c:pt>
                <c:pt idx="83">
                  <c:v>0.12165131955657403</c:v>
                </c:pt>
                <c:pt idx="84">
                  <c:v>0.11776182983711954</c:v>
                </c:pt>
                <c:pt idx="85">
                  <c:v>0.11396893783472423</c:v>
                </c:pt>
                <c:pt idx="86">
                  <c:v>0.11027263598340964</c:v>
                </c:pt>
                <c:pt idx="87">
                  <c:v>0.10667265147720011</c:v>
                </c:pt>
                <c:pt idx="88">
                  <c:v>0.10316847572950552</c:v>
                </c:pt>
                <c:pt idx="89">
                  <c:v>9.9759391293464339E-2</c:v>
                </c:pt>
                <c:pt idx="90">
                  <c:v>9.6444496443903308E-2</c:v>
                </c:pt>
                <c:pt idx="91">
                  <c:v>9.3222727606295436E-2</c:v>
                </c:pt>
                <c:pt idx="92">
                  <c:v>9.0092879803962703E-2</c:v>
                </c:pt>
                <c:pt idx="93">
                  <c:v>8.7053625281694108E-2</c:v>
                </c:pt>
                <c:pt idx="94">
                  <c:v>8.4103530451853967E-2</c:v>
                </c:pt>
                <c:pt idx="95">
                  <c:v>8.1241071297864939E-2</c:v>
                </c:pt>
                <c:pt idx="96">
                  <c:v>7.8464647359601486E-2</c:v>
                </c:pt>
                <c:pt idx="97">
                  <c:v>7.577259441565555E-2</c:v>
                </c:pt>
                <c:pt idx="98">
                  <c:v>7.3163195968583561E-2</c:v>
                </c:pt>
                <c:pt idx="99">
                  <c:v>7.0634693631056719E-2</c:v>
                </c:pt>
                <c:pt idx="100">
                  <c:v>6.8185296503264589E-2</c:v>
                </c:pt>
                <c:pt idx="101">
                  <c:v>6.5813189624922996E-2</c:v>
                </c:pt>
                <c:pt idx="102">
                  <c:v>6.351654157876363E-2</c:v>
                </c:pt>
                <c:pt idx="103">
                  <c:v>6.1293511316399985E-2</c:v>
                </c:pt>
                <c:pt idx="104">
                  <c:v>5.9142254271933009E-2</c:v>
                </c:pt>
                <c:pt idx="105">
                  <c:v>5.7060927823546777E-2</c:v>
                </c:pt>
                <c:pt idx="106">
                  <c:v>5.5047696158620048E-2</c:v>
                </c:pt>
                <c:pt idx="107">
                  <c:v>5.3100734593512097E-2</c:v>
                </c:pt>
                <c:pt idx="108">
                  <c:v>5.1218233395146834E-2</c:v>
                </c:pt>
                <c:pt idx="109">
                  <c:v>4.9398401147790719E-2</c:v>
                </c:pt>
                <c:pt idx="110">
                  <c:v>4.7639467704976214E-2</c:v>
                </c:pt>
                <c:pt idx="111">
                  <c:v>4.5939686763340655E-2</c:v>
                </c:pt>
                <c:pt idx="112">
                  <c:v>4.4297338092212743E-2</c:v>
                </c:pt>
                <c:pt idx="113">
                  <c:v>4.2710729450064766E-2</c:v>
                </c:pt>
                <c:pt idx="114">
                  <c:v>4.1178198216443355E-2</c:v>
                </c:pt>
                <c:pt idx="115">
                  <c:v>3.9698112765678625E-2</c:v>
                </c:pt>
                <c:pt idx="116">
                  <c:v>3.826887360653581E-2</c:v>
                </c:pt>
                <c:pt idx="117">
                  <c:v>3.6888914310003525E-2</c:v>
                </c:pt>
                <c:pt idx="118">
                  <c:v>3.555670224559352E-2</c:v>
                </c:pt>
                <c:pt idx="119">
                  <c:v>3.4270739144849321E-2</c:v>
                </c:pt>
                <c:pt idx="120">
                  <c:v>3.3029561509213705E-2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07-4A1C-8477-DD8891B3FDBD}"/>
            </c:ext>
          </c:extLst>
        </c:ser>
        <c:ser>
          <c:idx val="8"/>
          <c:order val="8"/>
          <c:tx>
            <c:strRef>
              <c:f>'force-strain'!$J$2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'force-strain'!$J$3:$J$123</c:f>
              <c:numCache>
                <c:formatCode>General</c:formatCode>
                <c:ptCount val="121"/>
                <c:pt idx="0">
                  <c:v>-6.9776024872182703</c:v>
                </c:pt>
                <c:pt idx="1">
                  <c:v>-5.9174282041121264</c:v>
                </c:pt>
                <c:pt idx="2">
                  <c:v>-5.0221770475799454</c:v>
                </c:pt>
                <c:pt idx="3">
                  <c:v>-4.2650269535596861</c:v>
                </c:pt>
                <c:pt idx="4">
                  <c:v>-3.6237438662718762</c:v>
                </c:pt>
                <c:pt idx="5">
                  <c:v>-3.0798557130518702</c:v>
                </c:pt>
                <c:pt idx="6">
                  <c:v>-2.6179826992086612</c:v>
                </c:pt>
                <c:pt idx="7">
                  <c:v>-2.2252928950571422</c:v>
                </c:pt>
                <c:pt idx="8">
                  <c:v>-1.8910585312203971</c:v>
                </c:pt>
                <c:pt idx="9">
                  <c:v>-1.6062934653866279</c:v>
                </c:pt>
                <c:pt idx="10">
                  <c:v>-1.363456249237059</c:v>
                </c:pt>
                <c:pt idx="11">
                  <c:v>-1.1562063495938952</c:v>
                </c:pt>
                <c:pt idx="12">
                  <c:v>-0.97920354836531653</c:v>
                </c:pt>
                <c:pt idx="13">
                  <c:v>-0.82794250447032725</c:v>
                </c:pt>
                <c:pt idx="14">
                  <c:v>-0.69861601809264262</c:v>
                </c:pt>
                <c:pt idx="15">
                  <c:v>-0.5880017790410903</c:v>
                </c:pt>
                <c:pt idx="16">
                  <c:v>-0.49336837336909328</c:v>
                </c:pt>
                <c:pt idx="17">
                  <c:v>-0.41239711777349647</c:v>
                </c:pt>
                <c:pt idx="18">
                  <c:v>-0.34311693039371538</c:v>
                </c:pt>
                <c:pt idx="19">
                  <c:v>-0.28384996144789593</c:v>
                </c:pt>
                <c:pt idx="20">
                  <c:v>-0.23316612285142474</c:v>
                </c:pt>
                <c:pt idx="21">
                  <c:v>-0.18984499243962363</c:v>
                </c:pt>
                <c:pt idx="22">
                  <c:v>-0.15284384139229212</c:v>
                </c:pt>
                <c:pt idx="23">
                  <c:v>-0.12127075541680228</c:v>
                </c:pt>
                <c:pt idx="24">
                  <c:v>-9.4362001120980171E-2</c:v>
                </c:pt>
                <c:pt idx="25">
                  <c:v>-7.1462936718798969E-2</c:v>
                </c:pt>
                <c:pt idx="26">
                  <c:v>-5.2011887094607009E-2</c:v>
                </c:pt>
                <c:pt idx="27">
                  <c:v>-3.55265023810818E-2</c:v>
                </c:pt>
                <c:pt idx="28">
                  <c:v>-2.1592200659821915E-2</c:v>
                </c:pt>
                <c:pt idx="29">
                  <c:v>-9.8523624541243127E-3</c:v>
                </c:pt>
                <c:pt idx="30">
                  <c:v>5.718996489145749E-17</c:v>
                </c:pt>
                <c:pt idx="31">
                  <c:v>8.2293300042456993E-3</c:v>
                </c:pt>
                <c:pt idx="32">
                  <c:v>1.5063563621627489E-2</c:v>
                </c:pt>
                <c:pt idx="33">
                  <c:v>2.0699278933988624E-2</c:v>
                </c:pt>
                <c:pt idx="34">
                  <c:v>2.5306093312879335E-2</c:v>
                </c:pt>
                <c:pt idx="35">
                  <c:v>2.9030422976808645E-2</c:v>
                </c:pt>
                <c:pt idx="36">
                  <c:v>3.1998701012165467E-2</c:v>
                </c:pt>
                <c:pt idx="37">
                  <c:v>3.4320134924962012E-2</c:v>
                </c:pt>
                <c:pt idx="38">
                  <c:v>3.6089072153234876E-2</c:v>
                </c:pt>
                <c:pt idx="39">
                  <c:v>3.7387031384288484E-2</c:v>
                </c:pt>
                <c:pt idx="40">
                  <c:v>3.828444864035252E-2</c:v>
                </c:pt>
                <c:pt idx="41">
                  <c:v>3.8842179634900838E-2</c:v>
                </c:pt>
                <c:pt idx="42">
                  <c:v>3.9112793623859235E-2</c:v>
                </c:pt>
                <c:pt idx="43">
                  <c:v>3.9141688686004955E-2</c:v>
                </c:pt>
                <c:pt idx="44">
                  <c:v>3.8968053903290577E-2</c:v>
                </c:pt>
                <c:pt idx="45">
                  <c:v>3.8625700140368022E-2</c:v>
                </c:pt>
                <c:pt idx="46">
                  <c:v>3.8143777931669669E-2</c:v>
                </c:pt>
                <c:pt idx="47">
                  <c:v>3.7547398281126527E-2</c:v>
                </c:pt>
                <c:pt idx="48">
                  <c:v>3.6858169886516925E-2</c:v>
                </c:pt>
                <c:pt idx="49">
                  <c:v>3.6094664352862384E-2</c:v>
                </c:pt>
                <c:pt idx="50">
                  <c:v>3.5272819303142307E-2</c:v>
                </c:pt>
                <c:pt idx="51">
                  <c:v>3.4406287884580881E-2</c:v>
                </c:pt>
                <c:pt idx="52">
                  <c:v>3.3506741966892503E-2</c:v>
                </c:pt>
                <c:pt idx="53">
                  <c:v>3.2584135303247358E-2</c:v>
                </c:pt>
                <c:pt idx="54">
                  <c:v>3.1646932048518456E-2</c:v>
                </c:pt>
                <c:pt idx="55">
                  <c:v>3.0702305279999991E-2</c:v>
                </c:pt>
                <c:pt idx="56">
                  <c:v>2.9756309524204848E-2</c:v>
                </c:pt>
                <c:pt idx="57">
                  <c:v>2.881403074347455E-2</c:v>
                </c:pt>
                <c:pt idx="58">
                  <c:v>2.7879716764378507E-2</c:v>
                </c:pt>
                <c:pt idx="59">
                  <c:v>2.6956890724738999E-2</c:v>
                </c:pt>
                <c:pt idx="60">
                  <c:v>2.6048449767848283E-2</c:v>
                </c:pt>
                <c:pt idx="61">
                  <c:v>2.5156750912774872E-2</c:v>
                </c:pt>
                <c:pt idx="62">
                  <c:v>2.4283685771568735E-2</c:v>
                </c:pt>
                <c:pt idx="63">
                  <c:v>2.3430745561694225E-2</c:v>
                </c:pt>
                <c:pt idx="64">
                  <c:v>2.259907767006716E-2</c:v>
                </c:pt>
                <c:pt idx="65">
                  <c:v>2.1789534859314102E-2</c:v>
                </c:pt>
                <c:pt idx="66">
                  <c:v>2.1002718063613188E-2</c:v>
                </c:pt>
                <c:pt idx="67">
                  <c:v>2.0239013597563724E-2</c:v>
                </c:pt>
                <c:pt idx="68">
                  <c:v>1.9498625494263969E-2</c:v>
                </c:pt>
                <c:pt idx="69">
                  <c:v>1.8781603595850176E-2</c:v>
                </c:pt>
                <c:pt idx="70">
                  <c:v>1.8087867939183565E-2</c:v>
                </c:pt>
                <c:pt idx="71">
                  <c:v>1.7417229909471841E-2</c:v>
                </c:pt>
                <c:pt idx="72">
                  <c:v>1.676941057392306E-2</c:v>
                </c:pt>
                <c:pt idx="73">
                  <c:v>1.614405655480218E-2</c:v>
                </c:pt>
                <c:pt idx="74">
                  <c:v>1.554075375541814E-2</c:v>
                </c:pt>
                <c:pt idx="75">
                  <c:v>1.495903921268992E-2</c:v>
                </c:pt>
                <c:pt idx="76">
                  <c:v>1.439841131522337E-2</c:v>
                </c:pt>
                <c:pt idx="77">
                  <c:v>1.3858338595593137E-2</c:v>
                </c:pt>
                <c:pt idx="78">
                  <c:v>1.3338267279170146E-2</c:v>
                </c:pt>
                <c:pt idx="79">
                  <c:v>1.2837627748855321E-2</c:v>
                </c:pt>
                <c:pt idx="80">
                  <c:v>1.2355840065030722E-2</c:v>
                </c:pt>
                <c:pt idx="81">
                  <c:v>1.1892318662537855E-2</c:v>
                </c:pt>
                <c:pt idx="82">
                  <c:v>1.1446476331208891E-2</c:v>
                </c:pt>
                <c:pt idx="83">
                  <c:v>1.1017727573121597E-2</c:v>
                </c:pt>
                <c:pt idx="84">
                  <c:v>1.0605491418076261E-2</c:v>
                </c:pt>
                <c:pt idx="85">
                  <c:v>1.0209193768584516E-2</c:v>
                </c:pt>
                <c:pt idx="86">
                  <c:v>9.8282693367307394E-3</c:v>
                </c:pt>
                <c:pt idx="87">
                  <c:v>9.4621632274522003E-3</c:v>
                </c:pt>
                <c:pt idx="88">
                  <c:v>9.1103322159432083E-3</c:v>
                </c:pt>
                <c:pt idx="89">
                  <c:v>8.7722457608987985E-3</c:v>
                </c:pt>
                <c:pt idx="90">
                  <c:v>8.4473867900669453E-3</c:v>
                </c:pt>
                <c:pt idx="91">
                  <c:v>8.135252289981439E-3</c:v>
                </c:pt>
                <c:pt idx="92">
                  <c:v>7.8353537277204514E-3</c:v>
                </c:pt>
                <c:pt idx="93">
                  <c:v>7.5472173290051896E-3</c:v>
                </c:pt>
                <c:pt idx="94">
                  <c:v>7.2703842338595259E-3</c:v>
                </c:pt>
                <c:pt idx="95">
                  <c:v>7.0044105483385646E-3</c:v>
                </c:pt>
                <c:pt idx="96">
                  <c:v>6.7488673084566018E-3</c:v>
                </c:pt>
                <c:pt idx="97">
                  <c:v>6.5033403703602466E-3</c:v>
                </c:pt>
                <c:pt idx="98">
                  <c:v>6.2674302389647413E-3</c:v>
                </c:pt>
                <c:pt idx="99">
                  <c:v>6.0407518456698497E-3</c:v>
                </c:pt>
                <c:pt idx="100">
                  <c:v>5.8229342843673683E-3</c:v>
                </c:pt>
                <c:pt idx="101">
                  <c:v>5.6136205137218243E-3</c:v>
                </c:pt>
                <c:pt idx="102">
                  <c:v>5.4124670326280294E-3</c:v>
                </c:pt>
                <c:pt idx="103">
                  <c:v>5.2191435348048244E-3</c:v>
                </c:pt>
                <c:pt idx="104">
                  <c:v>5.0333325476576733E-3</c:v>
                </c:pt>
                <c:pt idx="105">
                  <c:v>4.8547290598193165E-3</c:v>
                </c:pt>
                <c:pt idx="106">
                  <c:v>4.6830401411446648E-3</c:v>
                </c:pt>
                <c:pt idx="107">
                  <c:v>4.5179845583831844E-3</c:v>
                </c:pt>
                <c:pt idx="108">
                  <c:v>4.3592923892683795E-3</c:v>
                </c:pt>
                <c:pt idx="109">
                  <c:v>4.2067046373423615E-3</c:v>
                </c:pt>
                <c:pt idx="110">
                  <c:v>4.0599728494655389E-3</c:v>
                </c:pt>
                <c:pt idx="111">
                  <c:v>3.9188587376409005E-3</c:v>
                </c:pt>
                <c:pt idx="112">
                  <c:v>3.7831338065035642E-3</c:v>
                </c:pt>
                <c:pt idx="113">
                  <c:v>3.6525789875839379E-3</c:v>
                </c:pt>
                <c:pt idx="114">
                  <c:v>3.5269842812425418E-3</c:v>
                </c:pt>
                <c:pt idx="115">
                  <c:v>3.4061484069924748E-3</c:v>
                </c:pt>
                <c:pt idx="116">
                  <c:v>3.2898784627681497E-3</c:v>
                </c:pt>
                <c:pt idx="117">
                  <c:v>3.1779895935631847E-3</c:v>
                </c:pt>
                <c:pt idx="118">
                  <c:v>3.0703046697434944E-3</c:v>
                </c:pt>
                <c:pt idx="119">
                  <c:v>2.9666539752417013E-3</c:v>
                </c:pt>
                <c:pt idx="120">
                  <c:v>2.8668749057532161E-3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07-4A1C-8477-DD8891B3FDBD}"/>
            </c:ext>
          </c:extLst>
        </c:ser>
        <c:ser>
          <c:idx val="9"/>
          <c:order val="9"/>
          <c:tx>
            <c:strRef>
              <c:f>'force-strain'!$K$2</c:f>
              <c:strCache>
                <c:ptCount val="1"/>
                <c:pt idx="0">
                  <c:v>il-a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'force-strain'!$K$3:$K$123</c:f>
              <c:numCache>
                <c:formatCode>General</c:formatCode>
                <c:ptCount val="121"/>
                <c:pt idx="0">
                  <c:v>-1.3955204974436561</c:v>
                </c:pt>
                <c:pt idx="1">
                  <c:v>-1.1834856408224252</c:v>
                </c:pt>
                <c:pt idx="2">
                  <c:v>-1.0044354095159891</c:v>
                </c:pt>
                <c:pt idx="3">
                  <c:v>-0.85300539071193715</c:v>
                </c:pt>
                <c:pt idx="4">
                  <c:v>-0.72474877325437725</c:v>
                </c:pt>
                <c:pt idx="5">
                  <c:v>-0.615971142610374</c:v>
                </c:pt>
                <c:pt idx="6">
                  <c:v>-0.52359653984173116</c:v>
                </c:pt>
                <c:pt idx="7">
                  <c:v>-0.44505857901142842</c:v>
                </c:pt>
                <c:pt idx="8">
                  <c:v>-0.3782117062440794</c:v>
                </c:pt>
                <c:pt idx="9">
                  <c:v>-0.32125869307732552</c:v>
                </c:pt>
                <c:pt idx="10">
                  <c:v>-0.27269124984741111</c:v>
                </c:pt>
                <c:pt idx="11">
                  <c:v>-0.23124126991877833</c:v>
                </c:pt>
                <c:pt idx="12">
                  <c:v>-0.1958407096730633</c:v>
                </c:pt>
                <c:pt idx="13">
                  <c:v>-0.16558850089406543</c:v>
                </c:pt>
                <c:pt idx="14">
                  <c:v>-0.13972320361852805</c:v>
                </c:pt>
                <c:pt idx="15">
                  <c:v>-0.11760035580821807</c:v>
                </c:pt>
                <c:pt idx="16">
                  <c:v>-9.8673674673818657E-2</c:v>
                </c:pt>
                <c:pt idx="17">
                  <c:v>-8.2479423554699297E-2</c:v>
                </c:pt>
                <c:pt idx="18">
                  <c:v>-6.8623386078742979E-2</c:v>
                </c:pt>
                <c:pt idx="19">
                  <c:v>-5.6769992289579026E-2</c:v>
                </c:pt>
                <c:pt idx="20">
                  <c:v>-4.6633224570284945E-2</c:v>
                </c:pt>
                <c:pt idx="21">
                  <c:v>-3.7968998487924725E-2</c:v>
                </c:pt>
                <c:pt idx="22">
                  <c:v>-3.0568768278458357E-2</c:v>
                </c:pt>
                <c:pt idx="23">
                  <c:v>-2.42541510833604E-2</c:v>
                </c:pt>
                <c:pt idx="24">
                  <c:v>-1.8872400224196034E-2</c:v>
                </c:pt>
                <c:pt idx="25">
                  <c:v>-1.4292587343759794E-2</c:v>
                </c:pt>
                <c:pt idx="26">
                  <c:v>-1.0402377418921275E-2</c:v>
                </c:pt>
                <c:pt idx="27">
                  <c:v>-7.1053004762163261E-3</c:v>
                </c:pt>
                <c:pt idx="28">
                  <c:v>-4.3184401319643828E-3</c:v>
                </c:pt>
                <c:pt idx="29">
                  <c:v>-1.9704724908248968E-3</c:v>
                </c:pt>
                <c:pt idx="30">
                  <c:v>1.1437992978291498E-17</c:v>
                </c:pt>
                <c:pt idx="31">
                  <c:v>1.6458660008491399E-3</c:v>
                </c:pt>
                <c:pt idx="32">
                  <c:v>3.0127127243255378E-3</c:v>
                </c:pt>
                <c:pt idx="33">
                  <c:v>4.1398557867977246E-3</c:v>
                </c:pt>
                <c:pt idx="34">
                  <c:v>5.0612186625758667E-3</c:v>
                </c:pt>
                <c:pt idx="35">
                  <c:v>5.8060845953617464E-3</c:v>
                </c:pt>
                <c:pt idx="36">
                  <c:v>6.399740202433093E-3</c:v>
                </c:pt>
                <c:pt idx="37">
                  <c:v>6.8640269849924024E-3</c:v>
                </c:pt>
                <c:pt idx="38">
                  <c:v>7.217814430646975E-3</c:v>
                </c:pt>
                <c:pt idx="39">
                  <c:v>7.4774062768576963E-3</c:v>
                </c:pt>
                <c:pt idx="40">
                  <c:v>7.6568897280705041E-3</c:v>
                </c:pt>
                <c:pt idx="41">
                  <c:v>7.7684359269801677E-3</c:v>
                </c:pt>
                <c:pt idx="42">
                  <c:v>7.822558724771847E-3</c:v>
                </c:pt>
                <c:pt idx="43">
                  <c:v>7.8283377372009907E-3</c:v>
                </c:pt>
                <c:pt idx="44">
                  <c:v>7.7936107806581122E-3</c:v>
                </c:pt>
                <c:pt idx="45">
                  <c:v>7.7251400280736035E-3</c:v>
                </c:pt>
                <c:pt idx="46">
                  <c:v>7.6287555863339337E-3</c:v>
                </c:pt>
                <c:pt idx="47">
                  <c:v>7.5094796562253053E-3</c:v>
                </c:pt>
                <c:pt idx="48">
                  <c:v>7.3716339773033848E-3</c:v>
                </c:pt>
                <c:pt idx="49">
                  <c:v>7.2189328705724769E-3</c:v>
                </c:pt>
                <c:pt idx="50">
                  <c:v>7.0545638606284607E-3</c:v>
                </c:pt>
                <c:pt idx="51">
                  <c:v>6.8812575769161763E-3</c:v>
                </c:pt>
                <c:pt idx="52">
                  <c:v>6.7013483933785001E-3</c:v>
                </c:pt>
                <c:pt idx="53">
                  <c:v>6.5168270606494718E-3</c:v>
                </c:pt>
                <c:pt idx="54">
                  <c:v>6.3293864097036913E-3</c:v>
                </c:pt>
                <c:pt idx="55">
                  <c:v>6.1404610559999979E-3</c:v>
                </c:pt>
                <c:pt idx="56">
                  <c:v>5.9512619048409697E-3</c:v>
                </c:pt>
                <c:pt idx="57">
                  <c:v>5.7628061486949093E-3</c:v>
                </c:pt>
                <c:pt idx="58">
                  <c:v>5.5759433528757016E-3</c:v>
                </c:pt>
                <c:pt idx="59">
                  <c:v>5.3913781449477999E-3</c:v>
                </c:pt>
                <c:pt idx="60">
                  <c:v>5.2096899535696564E-3</c:v>
                </c:pt>
                <c:pt idx="61">
                  <c:v>5.0313501825549741E-3</c:v>
                </c:pt>
                <c:pt idx="62">
                  <c:v>4.8567371543137474E-3</c:v>
                </c:pt>
                <c:pt idx="63">
                  <c:v>4.6861491123388445E-3</c:v>
                </c:pt>
                <c:pt idx="64">
                  <c:v>4.5198155340134315E-3</c:v>
                </c:pt>
                <c:pt idx="65">
                  <c:v>4.3579069718628159E-3</c:v>
                </c:pt>
                <c:pt idx="66">
                  <c:v>4.2005436127226375E-3</c:v>
                </c:pt>
                <c:pt idx="67">
                  <c:v>4.047802719512745E-3</c:v>
                </c:pt>
                <c:pt idx="68">
                  <c:v>3.899725098852789E-3</c:v>
                </c:pt>
                <c:pt idx="69">
                  <c:v>3.7563207191700352E-3</c:v>
                </c:pt>
                <c:pt idx="70">
                  <c:v>3.6175735878367127E-3</c:v>
                </c:pt>
                <c:pt idx="71">
                  <c:v>3.4834459818943683E-3</c:v>
                </c:pt>
                <c:pt idx="72">
                  <c:v>3.3538821147846122E-3</c:v>
                </c:pt>
                <c:pt idx="73">
                  <c:v>3.2288113109604339E-3</c:v>
                </c:pt>
                <c:pt idx="74">
                  <c:v>3.1081507510836307E-3</c:v>
                </c:pt>
                <c:pt idx="75">
                  <c:v>2.9918078425379838E-3</c:v>
                </c:pt>
                <c:pt idx="76">
                  <c:v>2.8796822630446739E-3</c:v>
                </c:pt>
                <c:pt idx="77">
                  <c:v>2.7716677191186303E-3</c:v>
                </c:pt>
                <c:pt idx="78">
                  <c:v>2.6676534558340318E-3</c:v>
                </c:pt>
                <c:pt idx="79">
                  <c:v>2.5675255497710639E-3</c:v>
                </c:pt>
                <c:pt idx="80">
                  <c:v>2.4711680130061441E-3</c:v>
                </c:pt>
                <c:pt idx="81">
                  <c:v>2.3784637325075706E-3</c:v>
                </c:pt>
                <c:pt idx="82">
                  <c:v>2.289295266241778E-3</c:v>
                </c:pt>
                <c:pt idx="83">
                  <c:v>2.2035455146243196E-3</c:v>
                </c:pt>
                <c:pt idx="84">
                  <c:v>2.121098283615252E-3</c:v>
                </c:pt>
                <c:pt idx="85">
                  <c:v>2.0418387537169034E-3</c:v>
                </c:pt>
                <c:pt idx="86">
                  <c:v>1.965653867346148E-3</c:v>
                </c:pt>
                <c:pt idx="87">
                  <c:v>1.8924326454904401E-3</c:v>
                </c:pt>
                <c:pt idx="88">
                  <c:v>1.8220664431886418E-3</c:v>
                </c:pt>
                <c:pt idx="89">
                  <c:v>1.7544491521797596E-3</c:v>
                </c:pt>
                <c:pt idx="90">
                  <c:v>1.6894773580133891E-3</c:v>
                </c:pt>
                <c:pt idx="91">
                  <c:v>1.6270504579962877E-3</c:v>
                </c:pt>
                <c:pt idx="92">
                  <c:v>1.5670707455440888E-3</c:v>
                </c:pt>
                <c:pt idx="93">
                  <c:v>1.5094434658010378E-3</c:v>
                </c:pt>
                <c:pt idx="94">
                  <c:v>1.454076846771907E-3</c:v>
                </c:pt>
                <c:pt idx="95">
                  <c:v>1.4008821096677128E-3</c:v>
                </c:pt>
                <c:pt idx="96">
                  <c:v>1.3497734616913204E-3</c:v>
                </c:pt>
                <c:pt idx="97">
                  <c:v>1.3006680740720493E-3</c:v>
                </c:pt>
                <c:pt idx="98">
                  <c:v>1.2534860477929483E-3</c:v>
                </c:pt>
                <c:pt idx="99">
                  <c:v>1.20815036913397E-3</c:v>
                </c:pt>
                <c:pt idx="100">
                  <c:v>1.1645868568734737E-3</c:v>
                </c:pt>
                <c:pt idx="101">
                  <c:v>1.1227241027443647E-3</c:v>
                </c:pt>
                <c:pt idx="102">
                  <c:v>1.0824934065256058E-3</c:v>
                </c:pt>
                <c:pt idx="103">
                  <c:v>1.0438287069609649E-3</c:v>
                </c:pt>
                <c:pt idx="104">
                  <c:v>1.0066665095315346E-3</c:v>
                </c:pt>
                <c:pt idx="105">
                  <c:v>9.7094581196386319E-4</c:v>
                </c:pt>
                <c:pt idx="106">
                  <c:v>9.3660802822893331E-4</c:v>
                </c:pt>
                <c:pt idx="107">
                  <c:v>9.0359691167663685E-4</c:v>
                </c:pt>
                <c:pt idx="108">
                  <c:v>8.7185847785367513E-4</c:v>
                </c:pt>
                <c:pt idx="109">
                  <c:v>8.4134092746847289E-4</c:v>
                </c:pt>
                <c:pt idx="110">
                  <c:v>8.1199456989310853E-4</c:v>
                </c:pt>
                <c:pt idx="111">
                  <c:v>7.8377174752818004E-4</c:v>
                </c:pt>
                <c:pt idx="112">
                  <c:v>7.5662676130071208E-4</c:v>
                </c:pt>
                <c:pt idx="113">
                  <c:v>7.3051579751678758E-4</c:v>
                </c:pt>
                <c:pt idx="114">
                  <c:v>7.0539685624850901E-4</c:v>
                </c:pt>
                <c:pt idx="115">
                  <c:v>6.8122968139849491E-4</c:v>
                </c:pt>
                <c:pt idx="116">
                  <c:v>6.5797569255362988E-4</c:v>
                </c:pt>
                <c:pt idx="117">
                  <c:v>6.3559791871263744E-4</c:v>
                </c:pt>
                <c:pt idx="118">
                  <c:v>6.1406093394869945E-4</c:v>
                </c:pt>
                <c:pt idx="119">
                  <c:v>5.933307950483403E-4</c:v>
                </c:pt>
                <c:pt idx="120">
                  <c:v>5.733749811506427E-4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07-4A1C-8477-DD8891B3FDBD}"/>
            </c:ext>
          </c:extLst>
        </c:ser>
        <c:ser>
          <c:idx val="10"/>
          <c:order val="10"/>
          <c:tx>
            <c:strRef>
              <c:f>'force-strain'!$L$2</c:f>
              <c:strCache>
                <c:ptCount val="1"/>
                <c:pt idx="0">
                  <c:v>il-b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'force-strain'!$L$3:$L$123</c:f>
              <c:numCache>
                <c:formatCode>General</c:formatCode>
                <c:ptCount val="121"/>
                <c:pt idx="0">
                  <c:v>-2.4275599452609015E-2</c:v>
                </c:pt>
                <c:pt idx="1">
                  <c:v>-2.1988335339967548E-2</c:v>
                </c:pt>
                <c:pt idx="2">
                  <c:v>-1.9911958712255932E-2</c:v>
                </c:pt>
                <c:pt idx="3">
                  <c:v>-1.8025426679029309E-2</c:v>
                </c:pt>
                <c:pt idx="4">
                  <c:v>-1.6310000884431772E-2</c:v>
                </c:pt>
                <c:pt idx="5">
                  <c:v>-1.4748971193415623E-2</c:v>
                </c:pt>
                <c:pt idx="6">
                  <c:v>-1.3327415422404353E-2</c:v>
                </c:pt>
                <c:pt idx="7">
                  <c:v>-1.2031990033551831E-2</c:v>
                </c:pt>
                <c:pt idx="8">
                  <c:v>-1.0850747480728515E-2</c:v>
                </c:pt>
                <c:pt idx="9">
                  <c:v>-9.7729765401027291E-3</c:v>
                </c:pt>
                <c:pt idx="10">
                  <c:v>-8.7890624999999931E-3</c:v>
                </c:pt>
                <c:pt idx="11">
                  <c:v>-7.8903645410681456E-3</c:v>
                </c:pt>
                <c:pt idx="12">
                  <c:v>-7.069108022970636E-3</c:v>
                </c:pt>
                <c:pt idx="13">
                  <c:v>-6.3182897196625773E-3</c:v>
                </c:pt>
                <c:pt idx="14">
                  <c:v>-5.6315943214920406E-3</c:v>
                </c:pt>
                <c:pt idx="15">
                  <c:v>-5.0033207569494653E-3</c:v>
                </c:pt>
                <c:pt idx="16">
                  <c:v>-4.4283170865227024E-3</c:v>
                </c:pt>
                <c:pt idx="17">
                  <c:v>-3.9019228913358037E-3</c:v>
                </c:pt>
                <c:pt idx="18">
                  <c:v>-3.4199182246617463E-3</c:v>
                </c:pt>
                <c:pt idx="19">
                  <c:v>-2.9784783188471289E-3</c:v>
                </c:pt>
                <c:pt idx="20">
                  <c:v>-2.5741333468813966E-3</c:v>
                </c:pt>
                <c:pt idx="21">
                  <c:v>-2.2037326294779623E-3</c:v>
                </c:pt>
                <c:pt idx="22">
                  <c:v>-1.8644127573685819E-3</c:v>
                </c:pt>
                <c:pt idx="23">
                  <c:v>-1.5535691664466007E-3</c:v>
                </c:pt>
                <c:pt idx="24">
                  <c:v>-1.2688307620317986E-3</c:v>
                </c:pt>
                <c:pt idx="25">
                  <c:v>-1.0080372392218498E-3</c:v>
                </c:pt>
                <c:pt idx="26">
                  <c:v>-7.6921879018775313E-4</c:v>
                </c:pt>
                <c:pt idx="27">
                  <c:v>-5.5057792733272733E-4</c:v>
                </c:pt>
                <c:pt idx="28">
                  <c:v>-3.5047318428949986E-4</c:v>
                </c:pt>
                <c:pt idx="29">
                  <c:v>-1.6740448547988347E-4</c:v>
                </c:pt>
                <c:pt idx="30">
                  <c:v>2.5121479338940404E-18</c:v>
                </c:pt>
                <c:pt idx="31">
                  <c:v>1.5299568256716621E-4</c:v>
                </c:pt>
                <c:pt idx="32">
                  <c:v>2.9273219773703001E-4</c:v>
                </c:pt>
                <c:pt idx="33">
                  <c:v>4.202629997519677E-4</c:v>
                </c:pt>
                <c:pt idx="34">
                  <c:v>5.3655401529250572E-4</c:v>
                </c:pt>
                <c:pt idx="35">
                  <c:v>6.4249145650413812E-4</c:v>
                </c:pt>
                <c:pt idx="36">
                  <c:v>7.3888888132995904E-4</c:v>
                </c:pt>
                <c:pt idx="37">
                  <c:v>8.2649357925746987E-4</c:v>
                </c:pt>
                <c:pt idx="38">
                  <c:v>9.0599235189133302E-4</c:v>
                </c:pt>
                <c:pt idx="39">
                  <c:v>9.780167501017515E-4</c:v>
                </c:pt>
                <c:pt idx="40">
                  <c:v>1.0431478227393811E-3</c:v>
                </c:pt>
                <c:pt idx="41">
                  <c:v>1.1019204259391316E-3</c:v>
                </c:pt>
                <c:pt idx="42">
                  <c:v>1.1548271367584936E-3</c:v>
                </c:pt>
                <c:pt idx="43">
                  <c:v>1.2023218102259782E-3</c:v>
                </c:pt>
                <c:pt idx="44">
                  <c:v>1.244822814737606E-3</c:v>
                </c:pt>
                <c:pt idx="45">
                  <c:v>1.2827159770695885E-3</c:v>
                </c:pt>
                <c:pt idx="46">
                  <c:v>1.3163572650171868E-3</c:v>
                </c:pt>
                <c:pt idx="47">
                  <c:v>1.346075232774102E-3</c:v>
                </c:pt>
                <c:pt idx="48">
                  <c:v>1.3721732515906556E-3</c:v>
                </c:pt>
                <c:pt idx="49">
                  <c:v>1.3949315459551349E-3</c:v>
                </c:pt>
                <c:pt idx="50">
                  <c:v>1.4146090534979435E-3</c:v>
                </c:pt>
                <c:pt idx="51">
                  <c:v>1.4314451249939659E-3</c:v>
                </c:pt>
                <c:pt idx="52">
                  <c:v>1.4456610792094864E-3</c:v>
                </c:pt>
                <c:pt idx="53">
                  <c:v>1.4574616258838781E-3</c:v>
                </c:pt>
                <c:pt idx="54">
                  <c:v>1.4670361688336479E-3</c:v>
                </c:pt>
                <c:pt idx="55">
                  <c:v>1.47456E-3</c:v>
                </c:pt>
                <c:pt idx="56">
                  <c:v>1.4801953942157494E-3</c:v>
                </c:pt>
                <c:pt idx="57">
                  <c:v>1.4840926135298721E-3</c:v>
                </c:pt>
                <c:pt idx="58">
                  <c:v>1.4863908290863039E-3</c:v>
                </c:pt>
                <c:pt idx="59">
                  <c:v>1.4872189677974281E-3</c:v>
                </c:pt>
                <c:pt idx="60">
                  <c:v>1.4866964903728322E-3</c:v>
                </c:pt>
                <c:pt idx="61">
                  <c:v>1.4849341066520585E-3</c:v>
                </c:pt>
                <c:pt idx="62">
                  <c:v>1.482034433639136E-3</c:v>
                </c:pt>
                <c:pt idx="63">
                  <c:v>1.4780926011401037E-3</c:v>
                </c:pt>
                <c:pt idx="64">
                  <c:v>1.4731968094568589E-3</c:v>
                </c:pt>
                <c:pt idx="65">
                  <c:v>1.4674288431864532E-3</c:v>
                </c:pt>
                <c:pt idx="66">
                  <c:v>1.4608645448097942E-3</c:v>
                </c:pt>
                <c:pt idx="67">
                  <c:v>1.4535742514236866E-3</c:v>
                </c:pt>
                <c:pt idx="68">
                  <c:v>1.4456231976715962E-3</c:v>
                </c:pt>
                <c:pt idx="69">
                  <c:v>1.4370718876582941E-3</c:v>
                </c:pt>
                <c:pt idx="70">
                  <c:v>1.4279764383887668E-3</c:v>
                </c:pt>
                <c:pt idx="71">
                  <c:v>1.4183888970499094E-3</c:v>
                </c:pt>
                <c:pt idx="72">
                  <c:v>1.4083575342523067E-3</c:v>
                </c:pt>
                <c:pt idx="73">
                  <c:v>1.3979271151667524E-3</c:v>
                </c:pt>
                <c:pt idx="74">
                  <c:v>1.3871391503243069E-3</c:v>
                </c:pt>
                <c:pt idx="75">
                  <c:v>1.3760321276979656E-3</c:v>
                </c:pt>
                <c:pt idx="76">
                  <c:v>1.3646417275469365E-3</c:v>
                </c:pt>
                <c:pt idx="77">
                  <c:v>1.3530010213798325E-3</c:v>
                </c:pt>
                <c:pt idx="78">
                  <c:v>1.341140656279537E-3</c:v>
                </c:pt>
                <c:pt idx="79">
                  <c:v>1.3290890257290726E-3</c:v>
                </c:pt>
                <c:pt idx="80">
                  <c:v>1.3168724279835388E-3</c:v>
                </c:pt>
                <c:pt idx="81">
                  <c:v>1.3045152129471818E-3</c:v>
                </c:pt>
                <c:pt idx="82">
                  <c:v>1.2920399184362173E-3</c:v>
                </c:pt>
                <c:pt idx="83">
                  <c:v>1.2794673966363748E-3</c:v>
                </c:pt>
                <c:pt idx="84">
                  <c:v>1.2668169314986868E-3</c:v>
                </c:pt>
                <c:pt idx="85">
                  <c:v>1.2541063477572209E-3</c:v>
                </c:pt>
                <c:pt idx="86">
                  <c:v>1.2413521121977485E-3</c:v>
                </c:pt>
                <c:pt idx="87">
                  <c:v>1.2285694277562635E-3</c:v>
                </c:pt>
                <c:pt idx="88">
                  <c:v>1.2157723209804577E-3</c:v>
                </c:pt>
                <c:pt idx="89">
                  <c:v>1.2029737233452478E-3</c:v>
                </c:pt>
                <c:pt idx="90">
                  <c:v>1.1901855468749993E-3</c:v>
                </c:pt>
                <c:pt idx="91">
                  <c:v>1.1774187544898061E-3</c:v>
                </c:pt>
                <c:pt idx="92">
                  <c:v>1.1646834254608099E-3</c:v>
                </c:pt>
                <c:pt idx="93">
                  <c:v>1.1519888163298779E-3</c:v>
                </c:pt>
                <c:pt idx="94">
                  <c:v>1.1393434176216427E-3</c:v>
                </c:pt>
                <c:pt idx="95">
                  <c:v>1.1267550066508846E-3</c:v>
                </c:pt>
                <c:pt idx="96">
                  <c:v>1.1142306967052019E-3</c:v>
                </c:pt>
                <c:pt idx="97">
                  <c:v>1.1017769828617319E-3</c:v>
                </c:pt>
                <c:pt idx="98">
                  <c:v>1.0893997846772149E-3</c:v>
                </c:pt>
                <c:pt idx="99">
                  <c:v>1.0771044859727806E-3</c:v>
                </c:pt>
                <c:pt idx="100">
                  <c:v>1.0648959719182984E-3</c:v>
                </c:pt>
                <c:pt idx="101">
                  <c:v>1.0527786636059606E-3</c:v>
                </c:pt>
                <c:pt idx="102">
                  <c:v>1.0407565502887472E-3</c:v>
                </c:pt>
                <c:pt idx="103">
                  <c:v>1.0288332194464918E-3</c:v>
                </c:pt>
                <c:pt idx="104">
                  <c:v>1.0170118848303786E-3</c:v>
                </c:pt>
                <c:pt idx="105">
                  <c:v>1.005295412625691E-3</c:v>
                </c:pt>
                <c:pt idx="106">
                  <c:v>9.9368634586249004E-4</c:v>
                </c:pt>
                <c:pt idx="107">
                  <c:v>9.8218692719454262E-4</c:v>
                </c:pt>
                <c:pt idx="108">
                  <c:v>9.7079912015814889E-4</c:v>
                </c:pt>
                <c:pt idx="109">
                  <c:v>9.5952462901453893E-4</c:v>
                </c:pt>
                <c:pt idx="110">
                  <c:v>9.4836491727209567E-4</c:v>
                </c:pt>
                <c:pt idx="111">
                  <c:v>9.3732122497783722E-4</c:v>
                </c:pt>
                <c:pt idx="112">
                  <c:v>9.2639458486126563E-4</c:v>
                </c:pt>
                <c:pt idx="113">
                  <c:v>9.1558583740782126E-4</c:v>
                </c:pt>
                <c:pt idx="114">
                  <c:v>9.0489564493377616E-4</c:v>
                </c:pt>
                <c:pt idx="115">
                  <c:v>8.9432450472937326E-4</c:v>
                </c:pt>
                <c:pt idx="116">
                  <c:v>8.8387276133236299E-4</c:v>
                </c:pt>
                <c:pt idx="117">
                  <c:v>8.7354061798978555E-4</c:v>
                </c:pt>
                <c:pt idx="118">
                  <c:v>8.6332814736184702E-4</c:v>
                </c:pt>
                <c:pt idx="119">
                  <c:v>8.5323530151802847E-4</c:v>
                </c:pt>
                <c:pt idx="120">
                  <c:v>8.4326192127212954E-4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07-4A1C-8477-DD8891B3FDBD}"/>
            </c:ext>
          </c:extLst>
        </c:ser>
        <c:ser>
          <c:idx val="11"/>
          <c:order val="11"/>
          <c:tx>
            <c:strRef>
              <c:f>'force-strain'!$M$2</c:f>
              <c:strCache>
                <c:ptCount val="1"/>
                <c:pt idx="0">
                  <c:v>ol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'force-strain'!$M$3:$M$123</c:f>
              <c:numCache>
                <c:formatCode>General</c:formatCode>
                <c:ptCount val="121"/>
                <c:pt idx="0">
                  <c:v>-3.8764458262323771</c:v>
                </c:pt>
                <c:pt idx="1">
                  <c:v>-3.287460113395634</c:v>
                </c:pt>
                <c:pt idx="2">
                  <c:v>-2.7900983597666422</c:v>
                </c:pt>
                <c:pt idx="3">
                  <c:v>-2.3694594186442757</c:v>
                </c:pt>
                <c:pt idx="4">
                  <c:v>-2.0131910368177142</c:v>
                </c:pt>
                <c:pt idx="5">
                  <c:v>-1.7110309516954829</c:v>
                </c:pt>
                <c:pt idx="6">
                  <c:v>-1.4544348328937002</c:v>
                </c:pt>
                <c:pt idx="7">
                  <c:v>-1.2362738305873009</c:v>
                </c:pt>
                <c:pt idx="8">
                  <c:v>-1.0505880729002202</c:v>
                </c:pt>
                <c:pt idx="9">
                  <c:v>-0.89238525854812623</c:v>
                </c:pt>
                <c:pt idx="10">
                  <c:v>-0.75747569402059023</c:v>
                </c:pt>
                <c:pt idx="11">
                  <c:v>-0.64233686088549713</c:v>
                </c:pt>
                <c:pt idx="12">
                  <c:v>-0.54400197131406458</c:v>
                </c:pt>
                <c:pt idx="13">
                  <c:v>-0.45996805803907054</c:v>
                </c:pt>
                <c:pt idx="14">
                  <c:v>-0.38812001005146801</c:v>
                </c:pt>
                <c:pt idx="15">
                  <c:v>-0.32666765502282785</c:v>
                </c:pt>
                <c:pt idx="16">
                  <c:v>-0.27409354076060732</c:v>
                </c:pt>
                <c:pt idx="17">
                  <c:v>-0.22910950987416465</c:v>
                </c:pt>
                <c:pt idx="18">
                  <c:v>-0.19062051688539769</c:v>
                </c:pt>
                <c:pt idx="19">
                  <c:v>-0.15769442302660883</c:v>
                </c:pt>
                <c:pt idx="20">
                  <c:v>-0.12953673491745815</c:v>
                </c:pt>
                <c:pt idx="21">
                  <c:v>-0.10546944024423531</c:v>
                </c:pt>
                <c:pt idx="22">
                  <c:v>-8.4913245217940234E-2</c:v>
                </c:pt>
                <c:pt idx="23">
                  <c:v>-6.7372641898223465E-2</c:v>
                </c:pt>
                <c:pt idx="24">
                  <c:v>-5.2423333956100077E-2</c:v>
                </c:pt>
                <c:pt idx="25">
                  <c:v>-3.9701631510443862E-2</c:v>
                </c:pt>
                <c:pt idx="26">
                  <c:v>-2.8895492830337311E-2</c:v>
                </c:pt>
                <c:pt idx="27">
                  <c:v>-1.9736945767267661E-2</c:v>
                </c:pt>
                <c:pt idx="28">
                  <c:v>-1.1995667033234521E-2</c:v>
                </c:pt>
                <c:pt idx="29">
                  <c:v>-5.4735346967358231E-3</c:v>
                </c:pt>
                <c:pt idx="30">
                  <c:v>-6.3544405434952747E-17</c:v>
                </c:pt>
                <c:pt idx="31">
                  <c:v>4.5718500023587206E-3</c:v>
                </c:pt>
                <c:pt idx="32">
                  <c:v>8.3686464564597142E-3</c:v>
                </c:pt>
                <c:pt idx="33">
                  <c:v>1.1499599407771406E-2</c:v>
                </c:pt>
                <c:pt idx="34">
                  <c:v>1.405894072937742E-2</c:v>
                </c:pt>
                <c:pt idx="35">
                  <c:v>1.6128012764893687E-2</c:v>
                </c:pt>
                <c:pt idx="36">
                  <c:v>1.77770561178697E-2</c:v>
                </c:pt>
                <c:pt idx="37">
                  <c:v>1.906674162497889E-2</c:v>
                </c:pt>
                <c:pt idx="38">
                  <c:v>2.0049484529574939E-2</c:v>
                </c:pt>
                <c:pt idx="39">
                  <c:v>2.0770572991271382E-2</c:v>
                </c:pt>
                <c:pt idx="40">
                  <c:v>2.1269138133529174E-2</c:v>
                </c:pt>
                <c:pt idx="41">
                  <c:v>2.1578988686056014E-2</c:v>
                </c:pt>
                <c:pt idx="42">
                  <c:v>2.1729329791032904E-2</c:v>
                </c:pt>
                <c:pt idx="43">
                  <c:v>2.1745382603336076E-2</c:v>
                </c:pt>
                <c:pt idx="44">
                  <c:v>2.1648918835161419E-2</c:v>
                </c:pt>
                <c:pt idx="45">
                  <c:v>2.1458722300204458E-2</c:v>
                </c:pt>
                <c:pt idx="46">
                  <c:v>2.1190987739816477E-2</c:v>
                </c:pt>
                <c:pt idx="47">
                  <c:v>2.0859665711736971E-2</c:v>
                </c:pt>
                <c:pt idx="48">
                  <c:v>2.0476761048064958E-2</c:v>
                </c:pt>
                <c:pt idx="49">
                  <c:v>2.0052591307145772E-2</c:v>
                </c:pt>
                <c:pt idx="50">
                  <c:v>1.9596010723967942E-2</c:v>
                </c:pt>
                <c:pt idx="51">
                  <c:v>1.9114604380322725E-2</c:v>
                </c:pt>
                <c:pt idx="52">
                  <c:v>1.8614856648273614E-2</c:v>
                </c:pt>
                <c:pt idx="53">
                  <c:v>1.8102297390692971E-2</c:v>
                </c:pt>
                <c:pt idx="54">
                  <c:v>1.7581628915843597E-2</c:v>
                </c:pt>
                <c:pt idx="55">
                  <c:v>1.705683626666667E-2</c:v>
                </c:pt>
                <c:pt idx="56">
                  <c:v>1.6531283069002697E-2</c:v>
                </c:pt>
                <c:pt idx="57">
                  <c:v>1.6007794857485862E-2</c:v>
                </c:pt>
                <c:pt idx="58">
                  <c:v>1.5488731535765833E-2</c:v>
                </c:pt>
                <c:pt idx="59">
                  <c:v>1.4976050402632784E-2</c:v>
                </c:pt>
                <c:pt idx="60">
                  <c:v>1.4471360982137945E-2</c:v>
                </c:pt>
                <c:pt idx="61">
                  <c:v>1.3975972729319381E-2</c:v>
                </c:pt>
                <c:pt idx="62">
                  <c:v>1.3490936539760414E-2</c:v>
                </c:pt>
                <c:pt idx="63">
                  <c:v>1.3017080867607897E-2</c:v>
                </c:pt>
                <c:pt idx="64">
                  <c:v>1.2555043150037321E-2</c:v>
                </c:pt>
                <c:pt idx="65">
                  <c:v>1.2105297144063394E-2</c:v>
                </c:pt>
                <c:pt idx="66">
                  <c:v>1.1668176702007323E-2</c:v>
                </c:pt>
                <c:pt idx="67">
                  <c:v>1.1243896443090956E-2</c:v>
                </c:pt>
                <c:pt idx="68">
                  <c:v>1.083256971903554E-2</c:v>
                </c:pt>
                <c:pt idx="69">
                  <c:v>1.0434224219916761E-2</c:v>
                </c:pt>
                <c:pt idx="70">
                  <c:v>1.0048815521768655E-2</c:v>
                </c:pt>
                <c:pt idx="71">
                  <c:v>9.6762388385954641E-3</c:v>
                </c:pt>
                <c:pt idx="72">
                  <c:v>9.3163392077350374E-3</c:v>
                </c:pt>
                <c:pt idx="73">
                  <c:v>8.9689203082234416E-3</c:v>
                </c:pt>
                <c:pt idx="74">
                  <c:v>8.6337520863434165E-3</c:v>
                </c:pt>
                <c:pt idx="75">
                  <c:v>8.3105773403832871E-3</c:v>
                </c:pt>
                <c:pt idx="76">
                  <c:v>7.9991173973463208E-3</c:v>
                </c:pt>
                <c:pt idx="77">
                  <c:v>7.6990769975517487E-3</c:v>
                </c:pt>
                <c:pt idx="78">
                  <c:v>7.4101484884278642E-3</c:v>
                </c:pt>
                <c:pt idx="79">
                  <c:v>7.1320154160307422E-3</c:v>
                </c:pt>
                <c:pt idx="80">
                  <c:v>6.864355591683741E-3</c:v>
                </c:pt>
                <c:pt idx="81">
                  <c:v>6.6068437014099243E-3</c:v>
                </c:pt>
                <c:pt idx="82">
                  <c:v>6.3591535173382705E-3</c:v>
                </c:pt>
                <c:pt idx="83">
                  <c:v>6.120959762845336E-3</c:v>
                </c:pt>
                <c:pt idx="84">
                  <c:v>5.8919396767090322E-3</c:v>
                </c:pt>
                <c:pt idx="85">
                  <c:v>5.6717743158802847E-3</c:v>
                </c:pt>
                <c:pt idx="86">
                  <c:v>5.4601496315170809E-3</c:v>
                </c:pt>
                <c:pt idx="87">
                  <c:v>5.2567573485845596E-3</c:v>
                </c:pt>
                <c:pt idx="88">
                  <c:v>5.0612956755240078E-3</c:v>
                </c:pt>
                <c:pt idx="89">
                  <c:v>4.8734698671660014E-3</c:v>
                </c:pt>
                <c:pt idx="90">
                  <c:v>4.6929926611483071E-3</c:v>
                </c:pt>
                <c:pt idx="91">
                  <c:v>4.5195846055452486E-3</c:v>
                </c:pt>
                <c:pt idx="92">
                  <c:v>4.3529742931780278E-3</c:v>
                </c:pt>
                <c:pt idx="93">
                  <c:v>4.1928985161139931E-3</c:v>
                </c:pt>
                <c:pt idx="94">
                  <c:v>4.0391023521441846E-3</c:v>
                </c:pt>
                <c:pt idx="95">
                  <c:v>3.8913391935214282E-3</c:v>
                </c:pt>
                <c:pt idx="96">
                  <c:v>3.7493707269203396E-3</c:v>
                </c:pt>
                <c:pt idx="97">
                  <c:v>3.6129668724223627E-3</c:v>
                </c:pt>
                <c:pt idx="98">
                  <c:v>3.4819056883137441E-3</c:v>
                </c:pt>
                <c:pt idx="99">
                  <c:v>3.3559732475943599E-3</c:v>
                </c:pt>
                <c:pt idx="100">
                  <c:v>3.2349634913152038E-3</c:v>
                </c:pt>
                <c:pt idx="101">
                  <c:v>3.1186780631787901E-3</c:v>
                </c:pt>
                <c:pt idx="102">
                  <c:v>3.006926129237798E-3</c:v>
                </c:pt>
                <c:pt idx="103">
                  <c:v>2.8995241860026834E-3</c:v>
                </c:pt>
                <c:pt idx="104">
                  <c:v>2.7962958598098217E-3</c:v>
                </c:pt>
                <c:pt idx="105">
                  <c:v>2.6970716998996227E-3</c:v>
                </c:pt>
                <c:pt idx="106">
                  <c:v>2.6016889673025918E-3</c:v>
                </c:pt>
                <c:pt idx="107">
                  <c:v>2.5099914213239918E-3</c:v>
                </c:pt>
                <c:pt idx="108">
                  <c:v>2.421829105149099E-3</c:v>
                </c:pt>
                <c:pt idx="109">
                  <c:v>2.3370581318568687E-3</c:v>
                </c:pt>
                <c:pt idx="110">
                  <c:v>2.2555404719253025E-3</c:v>
                </c:pt>
                <c:pt idx="111">
                  <c:v>2.1771437431338347E-3</c:v>
                </c:pt>
                <c:pt idx="112">
                  <c:v>2.1017410036130914E-3</c:v>
                </c:pt>
                <c:pt idx="113">
                  <c:v>2.0292105486577456E-3</c:v>
                </c:pt>
                <c:pt idx="114">
                  <c:v>1.9594357118014136E-3</c:v>
                </c:pt>
                <c:pt idx="115">
                  <c:v>1.8923046705513751E-3</c:v>
                </c:pt>
                <c:pt idx="116">
                  <c:v>1.8277102570934181E-3</c:v>
                </c:pt>
                <c:pt idx="117">
                  <c:v>1.7655497742017688E-3</c:v>
                </c:pt>
                <c:pt idx="118">
                  <c:v>1.7057248165241647E-3</c:v>
                </c:pt>
                <c:pt idx="119">
                  <c:v>1.648141097356503E-3</c:v>
                </c:pt>
                <c:pt idx="120">
                  <c:v>1.5927082809740097E-3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07-4A1C-8477-DD8891B3F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85903"/>
        <c:axId val="1428392559"/>
      </c:lineChart>
      <c:catAx>
        <c:axId val="142838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92559"/>
        <c:crosses val="autoZero"/>
        <c:auto val="1"/>
        <c:lblAlgn val="ctr"/>
        <c:lblOffset val="100"/>
        <c:noMultiLvlLbl val="0"/>
      </c:catAx>
      <c:valAx>
        <c:axId val="1428392559"/>
        <c:scaling>
          <c:orientation val="minMax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8590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'force-strain'!$B$2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'force-strain'!$B$3:$B$123</c:f>
              <c:numCache>
                <c:formatCode>General</c:formatCode>
                <c:ptCount val="121"/>
                <c:pt idx="0">
                  <c:v>-45</c:v>
                </c:pt>
                <c:pt idx="1">
                  <c:v>-43.5</c:v>
                </c:pt>
                <c:pt idx="2">
                  <c:v>-41.999999999999993</c:v>
                </c:pt>
                <c:pt idx="3">
                  <c:v>-40.499999999999993</c:v>
                </c:pt>
                <c:pt idx="4">
                  <c:v>-38.999999999999993</c:v>
                </c:pt>
                <c:pt idx="5">
                  <c:v>-37.499999999999993</c:v>
                </c:pt>
                <c:pt idx="6">
                  <c:v>-35.999999999999993</c:v>
                </c:pt>
                <c:pt idx="7">
                  <c:v>-34.499999999999986</c:v>
                </c:pt>
                <c:pt idx="8">
                  <c:v>-32.999999999999986</c:v>
                </c:pt>
                <c:pt idx="9">
                  <c:v>-31.499999999999986</c:v>
                </c:pt>
                <c:pt idx="10">
                  <c:v>-29.999999999999986</c:v>
                </c:pt>
                <c:pt idx="11">
                  <c:v>-28.499999999999982</c:v>
                </c:pt>
                <c:pt idx="12">
                  <c:v>-26.999999999999982</c:v>
                </c:pt>
                <c:pt idx="13">
                  <c:v>-25.499999999999982</c:v>
                </c:pt>
                <c:pt idx="14">
                  <c:v>-23.999999999999979</c:v>
                </c:pt>
                <c:pt idx="15">
                  <c:v>-22.499999999999979</c:v>
                </c:pt>
                <c:pt idx="16">
                  <c:v>-20.999999999999979</c:v>
                </c:pt>
                <c:pt idx="17">
                  <c:v>-19.499999999999975</c:v>
                </c:pt>
                <c:pt idx="18">
                  <c:v>-17.999999999999975</c:v>
                </c:pt>
                <c:pt idx="19">
                  <c:v>-16.499999999999979</c:v>
                </c:pt>
                <c:pt idx="20">
                  <c:v>-14.999999999999979</c:v>
                </c:pt>
                <c:pt idx="21">
                  <c:v>-13.499999999999979</c:v>
                </c:pt>
                <c:pt idx="22">
                  <c:v>-11.999999999999979</c:v>
                </c:pt>
                <c:pt idx="23">
                  <c:v>-10.49999999999998</c:v>
                </c:pt>
                <c:pt idx="24">
                  <c:v>-8.9999999999999805</c:v>
                </c:pt>
                <c:pt idx="25">
                  <c:v>-7.4999999999999796</c:v>
                </c:pt>
                <c:pt idx="26">
                  <c:v>-5.9999999999999796</c:v>
                </c:pt>
                <c:pt idx="27">
                  <c:v>-4.4999999999999787</c:v>
                </c:pt>
                <c:pt idx="28">
                  <c:v>-2.9999999999999787</c:v>
                </c:pt>
                <c:pt idx="29">
                  <c:v>-1.4999999999999787</c:v>
                </c:pt>
                <c:pt idx="30">
                  <c:v>0</c:v>
                </c:pt>
                <c:pt idx="31">
                  <c:v>1.5</c:v>
                </c:pt>
                <c:pt idx="32">
                  <c:v>3</c:v>
                </c:pt>
                <c:pt idx="33">
                  <c:v>4.5</c:v>
                </c:pt>
                <c:pt idx="34">
                  <c:v>6</c:v>
                </c:pt>
                <c:pt idx="35">
                  <c:v>7.5</c:v>
                </c:pt>
                <c:pt idx="36">
                  <c:v>9</c:v>
                </c:pt>
                <c:pt idx="37">
                  <c:v>10.500000000000002</c:v>
                </c:pt>
                <c:pt idx="38">
                  <c:v>12</c:v>
                </c:pt>
                <c:pt idx="39">
                  <c:v>13.5</c:v>
                </c:pt>
                <c:pt idx="40">
                  <c:v>14.999999999999998</c:v>
                </c:pt>
                <c:pt idx="41">
                  <c:v>16.499999999999996</c:v>
                </c:pt>
                <c:pt idx="42">
                  <c:v>17.999999999999996</c:v>
                </c:pt>
                <c:pt idx="43">
                  <c:v>19.499999999999996</c:v>
                </c:pt>
                <c:pt idx="44">
                  <c:v>20.999999999999996</c:v>
                </c:pt>
                <c:pt idx="45">
                  <c:v>22.5</c:v>
                </c:pt>
                <c:pt idx="46">
                  <c:v>24</c:v>
                </c:pt>
                <c:pt idx="47">
                  <c:v>25.500000000000004</c:v>
                </c:pt>
                <c:pt idx="48">
                  <c:v>27.000000000000004</c:v>
                </c:pt>
                <c:pt idx="49">
                  <c:v>28.500000000000004</c:v>
                </c:pt>
                <c:pt idx="50">
                  <c:v>30.000000000000007</c:v>
                </c:pt>
                <c:pt idx="51">
                  <c:v>31.500000000000007</c:v>
                </c:pt>
                <c:pt idx="52">
                  <c:v>33.000000000000007</c:v>
                </c:pt>
                <c:pt idx="53">
                  <c:v>34.500000000000007</c:v>
                </c:pt>
                <c:pt idx="54">
                  <c:v>36.000000000000014</c:v>
                </c:pt>
                <c:pt idx="55">
                  <c:v>37.500000000000007</c:v>
                </c:pt>
                <c:pt idx="56">
                  <c:v>39.000000000000007</c:v>
                </c:pt>
                <c:pt idx="57">
                  <c:v>40.500000000000014</c:v>
                </c:pt>
                <c:pt idx="58">
                  <c:v>42.000000000000014</c:v>
                </c:pt>
                <c:pt idx="59">
                  <c:v>43.500000000000014</c:v>
                </c:pt>
                <c:pt idx="60">
                  <c:v>45.000000000000014</c:v>
                </c:pt>
                <c:pt idx="61">
                  <c:v>46.500000000000014</c:v>
                </c:pt>
                <c:pt idx="62">
                  <c:v>48.000000000000014</c:v>
                </c:pt>
                <c:pt idx="63">
                  <c:v>49.500000000000021</c:v>
                </c:pt>
                <c:pt idx="64">
                  <c:v>51.000000000000021</c:v>
                </c:pt>
                <c:pt idx="65">
                  <c:v>52.500000000000021</c:v>
                </c:pt>
                <c:pt idx="66">
                  <c:v>54.000000000000021</c:v>
                </c:pt>
                <c:pt idx="67">
                  <c:v>55.500000000000021</c:v>
                </c:pt>
                <c:pt idx="68">
                  <c:v>57.000000000000028</c:v>
                </c:pt>
                <c:pt idx="69">
                  <c:v>58.500000000000028</c:v>
                </c:pt>
                <c:pt idx="70">
                  <c:v>60.000000000000028</c:v>
                </c:pt>
                <c:pt idx="71">
                  <c:v>61.500000000000028</c:v>
                </c:pt>
                <c:pt idx="72">
                  <c:v>63.000000000000028</c:v>
                </c:pt>
                <c:pt idx="73">
                  <c:v>64.500000000000028</c:v>
                </c:pt>
                <c:pt idx="74">
                  <c:v>66.000000000000028</c:v>
                </c:pt>
                <c:pt idx="75">
                  <c:v>67.500000000000028</c:v>
                </c:pt>
                <c:pt idx="76">
                  <c:v>69.000000000000043</c:v>
                </c:pt>
                <c:pt idx="77">
                  <c:v>70.500000000000043</c:v>
                </c:pt>
                <c:pt idx="78">
                  <c:v>72.000000000000043</c:v>
                </c:pt>
                <c:pt idx="79">
                  <c:v>73.500000000000043</c:v>
                </c:pt>
                <c:pt idx="80">
                  <c:v>75.000000000000028</c:v>
                </c:pt>
                <c:pt idx="81">
                  <c:v>76.500000000000028</c:v>
                </c:pt>
                <c:pt idx="82">
                  <c:v>78.000000000000043</c:v>
                </c:pt>
                <c:pt idx="83">
                  <c:v>79.500000000000043</c:v>
                </c:pt>
                <c:pt idx="84">
                  <c:v>81.000000000000043</c:v>
                </c:pt>
                <c:pt idx="85">
                  <c:v>82.500000000000043</c:v>
                </c:pt>
                <c:pt idx="86">
                  <c:v>84.000000000000043</c:v>
                </c:pt>
                <c:pt idx="87">
                  <c:v>85.500000000000043</c:v>
                </c:pt>
                <c:pt idx="88">
                  <c:v>87.000000000000043</c:v>
                </c:pt>
                <c:pt idx="89">
                  <c:v>88.500000000000043</c:v>
                </c:pt>
                <c:pt idx="90">
                  <c:v>90.000000000000043</c:v>
                </c:pt>
                <c:pt idx="91">
                  <c:v>91.500000000000043</c:v>
                </c:pt>
                <c:pt idx="92">
                  <c:v>93.000000000000043</c:v>
                </c:pt>
                <c:pt idx="93">
                  <c:v>94.500000000000057</c:v>
                </c:pt>
                <c:pt idx="94">
                  <c:v>96.000000000000057</c:v>
                </c:pt>
                <c:pt idx="95">
                  <c:v>97.500000000000057</c:v>
                </c:pt>
                <c:pt idx="96">
                  <c:v>99.000000000000057</c:v>
                </c:pt>
                <c:pt idx="97">
                  <c:v>100.50000000000006</c:v>
                </c:pt>
                <c:pt idx="98">
                  <c:v>102.00000000000006</c:v>
                </c:pt>
                <c:pt idx="99">
                  <c:v>103.50000000000006</c:v>
                </c:pt>
                <c:pt idx="100">
                  <c:v>105.00000000000006</c:v>
                </c:pt>
                <c:pt idx="101">
                  <c:v>106.50000000000006</c:v>
                </c:pt>
                <c:pt idx="102">
                  <c:v>108.00000000000006</c:v>
                </c:pt>
                <c:pt idx="103">
                  <c:v>109.50000000000006</c:v>
                </c:pt>
                <c:pt idx="104">
                  <c:v>111.00000000000007</c:v>
                </c:pt>
                <c:pt idx="105">
                  <c:v>112.50000000000007</c:v>
                </c:pt>
                <c:pt idx="106">
                  <c:v>114.00000000000007</c:v>
                </c:pt>
                <c:pt idx="107">
                  <c:v>115.50000000000007</c:v>
                </c:pt>
                <c:pt idx="108">
                  <c:v>117.00000000000007</c:v>
                </c:pt>
                <c:pt idx="109">
                  <c:v>118.50000000000007</c:v>
                </c:pt>
                <c:pt idx="110">
                  <c:v>120.00000000000007</c:v>
                </c:pt>
                <c:pt idx="111">
                  <c:v>121.50000000000007</c:v>
                </c:pt>
                <c:pt idx="112">
                  <c:v>123.00000000000007</c:v>
                </c:pt>
                <c:pt idx="113">
                  <c:v>124.50000000000007</c:v>
                </c:pt>
                <c:pt idx="114">
                  <c:v>126.00000000000009</c:v>
                </c:pt>
                <c:pt idx="115">
                  <c:v>127.50000000000009</c:v>
                </c:pt>
                <c:pt idx="116">
                  <c:v>129.00000000000009</c:v>
                </c:pt>
                <c:pt idx="117">
                  <c:v>130.50000000000009</c:v>
                </c:pt>
                <c:pt idx="118">
                  <c:v>132.00000000000009</c:v>
                </c:pt>
                <c:pt idx="119">
                  <c:v>133.50000000000009</c:v>
                </c:pt>
                <c:pt idx="120">
                  <c:v>135.00000000000009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54C-90A0-91519311A8DF}"/>
            </c:ext>
          </c:extLst>
        </c:ser>
        <c:ser>
          <c:idx val="1"/>
          <c:order val="1"/>
          <c:tx>
            <c:strRef>
              <c:f>'force-strain'!$C$2</c:f>
              <c:strCache>
                <c:ptCount val="1"/>
                <c:pt idx="0">
                  <c:v>FA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'force-strain'!$C$3:$C$123</c:f>
              <c:numCache>
                <c:formatCode>General</c:formatCode>
                <c:ptCount val="121"/>
                <c:pt idx="0">
                  <c:v>-22.5</c:v>
                </c:pt>
                <c:pt idx="1">
                  <c:v>-21.75</c:v>
                </c:pt>
                <c:pt idx="2">
                  <c:v>-20.999999999999996</c:v>
                </c:pt>
                <c:pt idx="3">
                  <c:v>-20.249999999999996</c:v>
                </c:pt>
                <c:pt idx="4">
                  <c:v>-19.499999999999996</c:v>
                </c:pt>
                <c:pt idx="5">
                  <c:v>-18.749999999999996</c:v>
                </c:pt>
                <c:pt idx="6">
                  <c:v>-17.999999999999996</c:v>
                </c:pt>
                <c:pt idx="7">
                  <c:v>-17.249999999999993</c:v>
                </c:pt>
                <c:pt idx="8">
                  <c:v>-16.499999999999993</c:v>
                </c:pt>
                <c:pt idx="9">
                  <c:v>-15.749999999999993</c:v>
                </c:pt>
                <c:pt idx="10">
                  <c:v>-14.999999999999993</c:v>
                </c:pt>
                <c:pt idx="11">
                  <c:v>-14.249999999999991</c:v>
                </c:pt>
                <c:pt idx="12">
                  <c:v>-13.499999999999991</c:v>
                </c:pt>
                <c:pt idx="13">
                  <c:v>-12.749999999999991</c:v>
                </c:pt>
                <c:pt idx="14">
                  <c:v>-11.999999999999989</c:v>
                </c:pt>
                <c:pt idx="15">
                  <c:v>-11.249999999999989</c:v>
                </c:pt>
                <c:pt idx="16">
                  <c:v>-10.499999999999989</c:v>
                </c:pt>
                <c:pt idx="17">
                  <c:v>-9.7499999999999876</c:v>
                </c:pt>
                <c:pt idx="18">
                  <c:v>-8.9999999999999876</c:v>
                </c:pt>
                <c:pt idx="19">
                  <c:v>-8.2499999999999893</c:v>
                </c:pt>
                <c:pt idx="20">
                  <c:v>-7.4999999999999893</c:v>
                </c:pt>
                <c:pt idx="21">
                  <c:v>-6.7499999999999893</c:v>
                </c:pt>
                <c:pt idx="22">
                  <c:v>-5.9999999999999893</c:v>
                </c:pt>
                <c:pt idx="23">
                  <c:v>-5.2499999999999902</c:v>
                </c:pt>
                <c:pt idx="24">
                  <c:v>-4.4999999999999902</c:v>
                </c:pt>
                <c:pt idx="25">
                  <c:v>-3.7499999999999898</c:v>
                </c:pt>
                <c:pt idx="26">
                  <c:v>-2.9999999999999898</c:v>
                </c:pt>
                <c:pt idx="27">
                  <c:v>-2.2499999999999893</c:v>
                </c:pt>
                <c:pt idx="28">
                  <c:v>-1.4999999999999893</c:v>
                </c:pt>
                <c:pt idx="29">
                  <c:v>-0.74999999999998934</c:v>
                </c:pt>
                <c:pt idx="30">
                  <c:v>0</c:v>
                </c:pt>
                <c:pt idx="31">
                  <c:v>0.75</c:v>
                </c:pt>
                <c:pt idx="32">
                  <c:v>1.5</c:v>
                </c:pt>
                <c:pt idx="33">
                  <c:v>2.25</c:v>
                </c:pt>
                <c:pt idx="34">
                  <c:v>3</c:v>
                </c:pt>
                <c:pt idx="35">
                  <c:v>3.75</c:v>
                </c:pt>
                <c:pt idx="36">
                  <c:v>4.5</c:v>
                </c:pt>
                <c:pt idx="37">
                  <c:v>5.2500000000000009</c:v>
                </c:pt>
                <c:pt idx="38">
                  <c:v>6</c:v>
                </c:pt>
                <c:pt idx="39">
                  <c:v>6.75</c:v>
                </c:pt>
                <c:pt idx="40">
                  <c:v>7.4999999999999991</c:v>
                </c:pt>
                <c:pt idx="41">
                  <c:v>8.2499999999999982</c:v>
                </c:pt>
                <c:pt idx="42">
                  <c:v>8.9999999999999982</c:v>
                </c:pt>
                <c:pt idx="43">
                  <c:v>9.7499999999999982</c:v>
                </c:pt>
                <c:pt idx="44">
                  <c:v>10.499999999999998</c:v>
                </c:pt>
                <c:pt idx="45">
                  <c:v>11.25</c:v>
                </c:pt>
                <c:pt idx="46">
                  <c:v>12</c:v>
                </c:pt>
                <c:pt idx="47">
                  <c:v>12.750000000000002</c:v>
                </c:pt>
                <c:pt idx="48">
                  <c:v>13.500000000000002</c:v>
                </c:pt>
                <c:pt idx="49">
                  <c:v>14.250000000000002</c:v>
                </c:pt>
                <c:pt idx="50">
                  <c:v>15.000000000000004</c:v>
                </c:pt>
                <c:pt idx="51">
                  <c:v>15.750000000000004</c:v>
                </c:pt>
                <c:pt idx="52">
                  <c:v>16.500000000000004</c:v>
                </c:pt>
                <c:pt idx="53">
                  <c:v>17.250000000000004</c:v>
                </c:pt>
                <c:pt idx="54">
                  <c:v>18.000000000000007</c:v>
                </c:pt>
                <c:pt idx="55">
                  <c:v>18.750000000000004</c:v>
                </c:pt>
                <c:pt idx="56">
                  <c:v>19.500000000000004</c:v>
                </c:pt>
                <c:pt idx="57">
                  <c:v>20.250000000000007</c:v>
                </c:pt>
                <c:pt idx="58">
                  <c:v>21.000000000000007</c:v>
                </c:pt>
                <c:pt idx="59">
                  <c:v>21.750000000000007</c:v>
                </c:pt>
                <c:pt idx="60">
                  <c:v>22.500000000000007</c:v>
                </c:pt>
                <c:pt idx="61">
                  <c:v>23.250000000000007</c:v>
                </c:pt>
                <c:pt idx="62">
                  <c:v>24.000000000000007</c:v>
                </c:pt>
                <c:pt idx="63">
                  <c:v>24.750000000000011</c:v>
                </c:pt>
                <c:pt idx="64">
                  <c:v>25.500000000000011</c:v>
                </c:pt>
                <c:pt idx="65">
                  <c:v>26.250000000000011</c:v>
                </c:pt>
                <c:pt idx="66">
                  <c:v>27.000000000000011</c:v>
                </c:pt>
                <c:pt idx="67">
                  <c:v>27.750000000000011</c:v>
                </c:pt>
                <c:pt idx="68">
                  <c:v>28.500000000000014</c:v>
                </c:pt>
                <c:pt idx="69">
                  <c:v>29.250000000000014</c:v>
                </c:pt>
                <c:pt idx="70">
                  <c:v>30.000000000000014</c:v>
                </c:pt>
                <c:pt idx="71">
                  <c:v>30.750000000000014</c:v>
                </c:pt>
                <c:pt idx="72">
                  <c:v>31.500000000000014</c:v>
                </c:pt>
                <c:pt idx="73">
                  <c:v>32.250000000000014</c:v>
                </c:pt>
                <c:pt idx="74">
                  <c:v>33.000000000000014</c:v>
                </c:pt>
                <c:pt idx="75">
                  <c:v>33.750000000000014</c:v>
                </c:pt>
                <c:pt idx="76">
                  <c:v>34.500000000000021</c:v>
                </c:pt>
                <c:pt idx="77">
                  <c:v>35.250000000000021</c:v>
                </c:pt>
                <c:pt idx="78">
                  <c:v>36.000000000000021</c:v>
                </c:pt>
                <c:pt idx="79">
                  <c:v>36.750000000000021</c:v>
                </c:pt>
                <c:pt idx="80">
                  <c:v>37.500000000000014</c:v>
                </c:pt>
                <c:pt idx="81">
                  <c:v>38.250000000000014</c:v>
                </c:pt>
                <c:pt idx="82">
                  <c:v>39.000000000000021</c:v>
                </c:pt>
                <c:pt idx="83">
                  <c:v>39.750000000000021</c:v>
                </c:pt>
                <c:pt idx="84">
                  <c:v>40.500000000000021</c:v>
                </c:pt>
                <c:pt idx="85">
                  <c:v>41.250000000000021</c:v>
                </c:pt>
                <c:pt idx="86">
                  <c:v>42.000000000000021</c:v>
                </c:pt>
                <c:pt idx="87">
                  <c:v>42.750000000000021</c:v>
                </c:pt>
                <c:pt idx="88">
                  <c:v>43.500000000000021</c:v>
                </c:pt>
                <c:pt idx="89">
                  <c:v>44.250000000000021</c:v>
                </c:pt>
                <c:pt idx="90">
                  <c:v>45.000000000000021</c:v>
                </c:pt>
                <c:pt idx="91">
                  <c:v>45.750000000000021</c:v>
                </c:pt>
                <c:pt idx="92">
                  <c:v>46.500000000000021</c:v>
                </c:pt>
                <c:pt idx="93">
                  <c:v>47.250000000000028</c:v>
                </c:pt>
                <c:pt idx="94">
                  <c:v>48.000000000000028</c:v>
                </c:pt>
                <c:pt idx="95">
                  <c:v>48.750000000000028</c:v>
                </c:pt>
                <c:pt idx="96">
                  <c:v>49.500000000000028</c:v>
                </c:pt>
                <c:pt idx="97">
                  <c:v>50.250000000000028</c:v>
                </c:pt>
                <c:pt idx="98">
                  <c:v>51.000000000000028</c:v>
                </c:pt>
                <c:pt idx="99">
                  <c:v>51.750000000000028</c:v>
                </c:pt>
                <c:pt idx="100">
                  <c:v>52.500000000000028</c:v>
                </c:pt>
                <c:pt idx="101">
                  <c:v>53.250000000000028</c:v>
                </c:pt>
                <c:pt idx="102">
                  <c:v>54.000000000000028</c:v>
                </c:pt>
                <c:pt idx="103">
                  <c:v>54.750000000000028</c:v>
                </c:pt>
                <c:pt idx="104">
                  <c:v>55.500000000000036</c:v>
                </c:pt>
                <c:pt idx="105">
                  <c:v>56.250000000000036</c:v>
                </c:pt>
                <c:pt idx="106">
                  <c:v>57.000000000000036</c:v>
                </c:pt>
                <c:pt idx="107">
                  <c:v>57.750000000000036</c:v>
                </c:pt>
                <c:pt idx="108">
                  <c:v>58.500000000000036</c:v>
                </c:pt>
                <c:pt idx="109">
                  <c:v>59.250000000000036</c:v>
                </c:pt>
                <c:pt idx="110">
                  <c:v>60.000000000000036</c:v>
                </c:pt>
                <c:pt idx="111">
                  <c:v>60.750000000000036</c:v>
                </c:pt>
                <c:pt idx="112">
                  <c:v>61.500000000000036</c:v>
                </c:pt>
                <c:pt idx="113">
                  <c:v>62.250000000000036</c:v>
                </c:pt>
                <c:pt idx="114">
                  <c:v>63.000000000000043</c:v>
                </c:pt>
                <c:pt idx="115">
                  <c:v>63.750000000000043</c:v>
                </c:pt>
                <c:pt idx="116">
                  <c:v>64.500000000000043</c:v>
                </c:pt>
                <c:pt idx="117">
                  <c:v>65.250000000000043</c:v>
                </c:pt>
                <c:pt idx="118">
                  <c:v>66.000000000000043</c:v>
                </c:pt>
                <c:pt idx="119">
                  <c:v>66.750000000000043</c:v>
                </c:pt>
                <c:pt idx="120">
                  <c:v>67.500000000000043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54C-90A0-91519311A8DF}"/>
            </c:ext>
          </c:extLst>
        </c:ser>
        <c:ser>
          <c:idx val="2"/>
          <c:order val="2"/>
          <c:tx>
            <c:strRef>
              <c:f>'force-strain'!$D$2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'force-strain'!$D$3:$D$123</c:f>
              <c:numCache>
                <c:formatCode>General</c:formatCode>
                <c:ptCount val="121"/>
                <c:pt idx="0">
                  <c:v>-27</c:v>
                </c:pt>
                <c:pt idx="1">
                  <c:v>-26.099999999999998</c:v>
                </c:pt>
                <c:pt idx="2">
                  <c:v>-25.199999999999996</c:v>
                </c:pt>
                <c:pt idx="3">
                  <c:v>-24.299999999999997</c:v>
                </c:pt>
                <c:pt idx="4">
                  <c:v>-23.399999999999995</c:v>
                </c:pt>
                <c:pt idx="5">
                  <c:v>-22.499999999999996</c:v>
                </c:pt>
                <c:pt idx="6">
                  <c:v>-21.599999999999994</c:v>
                </c:pt>
                <c:pt idx="7">
                  <c:v>-20.699999999999992</c:v>
                </c:pt>
                <c:pt idx="8">
                  <c:v>-19.799999999999994</c:v>
                </c:pt>
                <c:pt idx="9">
                  <c:v>-18.899999999999991</c:v>
                </c:pt>
                <c:pt idx="10">
                  <c:v>-17.999999999999989</c:v>
                </c:pt>
                <c:pt idx="11">
                  <c:v>-17.099999999999991</c:v>
                </c:pt>
                <c:pt idx="12">
                  <c:v>-16.199999999999989</c:v>
                </c:pt>
                <c:pt idx="13">
                  <c:v>-15.299999999999988</c:v>
                </c:pt>
                <c:pt idx="14">
                  <c:v>-14.399999999999988</c:v>
                </c:pt>
                <c:pt idx="15">
                  <c:v>-13.499999999999988</c:v>
                </c:pt>
                <c:pt idx="16">
                  <c:v>-12.599999999999985</c:v>
                </c:pt>
                <c:pt idx="17">
                  <c:v>-11.699999999999985</c:v>
                </c:pt>
                <c:pt idx="18">
                  <c:v>-10.799999999999986</c:v>
                </c:pt>
                <c:pt idx="19">
                  <c:v>-9.8999999999999861</c:v>
                </c:pt>
                <c:pt idx="20">
                  <c:v>-8.9999999999999876</c:v>
                </c:pt>
                <c:pt idx="21">
                  <c:v>-8.0999999999999872</c:v>
                </c:pt>
                <c:pt idx="22">
                  <c:v>-7.1999999999999877</c:v>
                </c:pt>
                <c:pt idx="23">
                  <c:v>-6.2999999999999883</c:v>
                </c:pt>
                <c:pt idx="24">
                  <c:v>-5.3999999999999879</c:v>
                </c:pt>
                <c:pt idx="25">
                  <c:v>-4.4999999999999876</c:v>
                </c:pt>
                <c:pt idx="26">
                  <c:v>-3.5999999999999877</c:v>
                </c:pt>
                <c:pt idx="27">
                  <c:v>-2.6999999999999873</c:v>
                </c:pt>
                <c:pt idx="28">
                  <c:v>-1.7999999999999872</c:v>
                </c:pt>
                <c:pt idx="29">
                  <c:v>-0.89999999999998725</c:v>
                </c:pt>
                <c:pt idx="30">
                  <c:v>0</c:v>
                </c:pt>
                <c:pt idx="31">
                  <c:v>0.9</c:v>
                </c:pt>
                <c:pt idx="32">
                  <c:v>1.8</c:v>
                </c:pt>
                <c:pt idx="33">
                  <c:v>2.6999999999999997</c:v>
                </c:pt>
                <c:pt idx="34">
                  <c:v>3.6</c:v>
                </c:pt>
                <c:pt idx="35">
                  <c:v>4.5</c:v>
                </c:pt>
                <c:pt idx="36">
                  <c:v>5.4</c:v>
                </c:pt>
                <c:pt idx="37">
                  <c:v>6.3000000000000007</c:v>
                </c:pt>
                <c:pt idx="38">
                  <c:v>7.2</c:v>
                </c:pt>
                <c:pt idx="39">
                  <c:v>8.1</c:v>
                </c:pt>
                <c:pt idx="40">
                  <c:v>9</c:v>
                </c:pt>
                <c:pt idx="41">
                  <c:v>9.8999999999999986</c:v>
                </c:pt>
                <c:pt idx="42">
                  <c:v>10.799999999999999</c:v>
                </c:pt>
                <c:pt idx="43">
                  <c:v>11.699999999999998</c:v>
                </c:pt>
                <c:pt idx="44">
                  <c:v>12.599999999999998</c:v>
                </c:pt>
                <c:pt idx="45">
                  <c:v>13.5</c:v>
                </c:pt>
                <c:pt idx="46">
                  <c:v>14.4</c:v>
                </c:pt>
                <c:pt idx="47">
                  <c:v>15.3</c:v>
                </c:pt>
                <c:pt idx="48">
                  <c:v>16.200000000000003</c:v>
                </c:pt>
                <c:pt idx="49">
                  <c:v>17.100000000000001</c:v>
                </c:pt>
                <c:pt idx="50">
                  <c:v>18.000000000000004</c:v>
                </c:pt>
                <c:pt idx="51">
                  <c:v>18.900000000000006</c:v>
                </c:pt>
                <c:pt idx="52">
                  <c:v>19.800000000000004</c:v>
                </c:pt>
                <c:pt idx="53">
                  <c:v>20.700000000000006</c:v>
                </c:pt>
                <c:pt idx="54">
                  <c:v>21.600000000000005</c:v>
                </c:pt>
                <c:pt idx="55">
                  <c:v>22.500000000000004</c:v>
                </c:pt>
                <c:pt idx="56">
                  <c:v>23.400000000000006</c:v>
                </c:pt>
                <c:pt idx="57">
                  <c:v>24.300000000000008</c:v>
                </c:pt>
                <c:pt idx="58">
                  <c:v>25.200000000000006</c:v>
                </c:pt>
                <c:pt idx="59">
                  <c:v>26.100000000000009</c:v>
                </c:pt>
                <c:pt idx="60">
                  <c:v>27.000000000000011</c:v>
                </c:pt>
                <c:pt idx="61">
                  <c:v>27.900000000000009</c:v>
                </c:pt>
                <c:pt idx="62">
                  <c:v>28.800000000000011</c:v>
                </c:pt>
                <c:pt idx="63">
                  <c:v>29.70000000000001</c:v>
                </c:pt>
                <c:pt idx="64">
                  <c:v>30.600000000000012</c:v>
                </c:pt>
                <c:pt idx="65">
                  <c:v>31.500000000000014</c:v>
                </c:pt>
                <c:pt idx="66">
                  <c:v>32.400000000000013</c:v>
                </c:pt>
                <c:pt idx="67">
                  <c:v>33.300000000000011</c:v>
                </c:pt>
                <c:pt idx="68">
                  <c:v>34.200000000000017</c:v>
                </c:pt>
                <c:pt idx="69">
                  <c:v>35.100000000000016</c:v>
                </c:pt>
                <c:pt idx="70">
                  <c:v>36.000000000000014</c:v>
                </c:pt>
                <c:pt idx="71">
                  <c:v>36.90000000000002</c:v>
                </c:pt>
                <c:pt idx="72">
                  <c:v>37.800000000000018</c:v>
                </c:pt>
                <c:pt idx="73">
                  <c:v>38.700000000000017</c:v>
                </c:pt>
                <c:pt idx="74">
                  <c:v>39.600000000000023</c:v>
                </c:pt>
                <c:pt idx="75">
                  <c:v>40.500000000000021</c:v>
                </c:pt>
                <c:pt idx="76">
                  <c:v>41.40000000000002</c:v>
                </c:pt>
                <c:pt idx="77">
                  <c:v>42.300000000000026</c:v>
                </c:pt>
                <c:pt idx="78">
                  <c:v>43.200000000000024</c:v>
                </c:pt>
                <c:pt idx="79">
                  <c:v>44.100000000000023</c:v>
                </c:pt>
                <c:pt idx="80">
                  <c:v>45.000000000000021</c:v>
                </c:pt>
                <c:pt idx="81">
                  <c:v>45.90000000000002</c:v>
                </c:pt>
                <c:pt idx="82">
                  <c:v>46.800000000000018</c:v>
                </c:pt>
                <c:pt idx="83">
                  <c:v>47.700000000000024</c:v>
                </c:pt>
                <c:pt idx="84">
                  <c:v>48.600000000000023</c:v>
                </c:pt>
                <c:pt idx="85">
                  <c:v>49.500000000000021</c:v>
                </c:pt>
                <c:pt idx="86">
                  <c:v>50.400000000000027</c:v>
                </c:pt>
                <c:pt idx="87">
                  <c:v>51.300000000000026</c:v>
                </c:pt>
                <c:pt idx="88">
                  <c:v>52.200000000000024</c:v>
                </c:pt>
                <c:pt idx="89">
                  <c:v>53.10000000000003</c:v>
                </c:pt>
                <c:pt idx="90">
                  <c:v>54.000000000000028</c:v>
                </c:pt>
                <c:pt idx="91">
                  <c:v>54.900000000000027</c:v>
                </c:pt>
                <c:pt idx="92">
                  <c:v>55.800000000000033</c:v>
                </c:pt>
                <c:pt idx="93">
                  <c:v>56.700000000000031</c:v>
                </c:pt>
                <c:pt idx="94">
                  <c:v>57.60000000000003</c:v>
                </c:pt>
                <c:pt idx="95">
                  <c:v>58.500000000000028</c:v>
                </c:pt>
                <c:pt idx="96">
                  <c:v>59.400000000000034</c:v>
                </c:pt>
                <c:pt idx="97">
                  <c:v>60.300000000000033</c:v>
                </c:pt>
                <c:pt idx="98">
                  <c:v>61.200000000000031</c:v>
                </c:pt>
                <c:pt idx="99">
                  <c:v>62.100000000000037</c:v>
                </c:pt>
                <c:pt idx="100">
                  <c:v>63.000000000000036</c:v>
                </c:pt>
                <c:pt idx="101">
                  <c:v>63.900000000000034</c:v>
                </c:pt>
                <c:pt idx="102">
                  <c:v>64.80000000000004</c:v>
                </c:pt>
                <c:pt idx="103">
                  <c:v>65.700000000000045</c:v>
                </c:pt>
                <c:pt idx="104">
                  <c:v>66.600000000000037</c:v>
                </c:pt>
                <c:pt idx="105">
                  <c:v>67.500000000000043</c:v>
                </c:pt>
                <c:pt idx="106">
                  <c:v>68.400000000000034</c:v>
                </c:pt>
                <c:pt idx="107">
                  <c:v>69.30000000000004</c:v>
                </c:pt>
                <c:pt idx="108">
                  <c:v>70.200000000000045</c:v>
                </c:pt>
                <c:pt idx="109">
                  <c:v>71.100000000000037</c:v>
                </c:pt>
                <c:pt idx="110">
                  <c:v>72.000000000000043</c:v>
                </c:pt>
                <c:pt idx="111">
                  <c:v>72.900000000000048</c:v>
                </c:pt>
                <c:pt idx="112">
                  <c:v>73.80000000000004</c:v>
                </c:pt>
                <c:pt idx="113">
                  <c:v>74.700000000000045</c:v>
                </c:pt>
                <c:pt idx="114">
                  <c:v>75.600000000000051</c:v>
                </c:pt>
                <c:pt idx="115">
                  <c:v>76.500000000000043</c:v>
                </c:pt>
                <c:pt idx="116">
                  <c:v>77.400000000000048</c:v>
                </c:pt>
                <c:pt idx="117">
                  <c:v>78.300000000000054</c:v>
                </c:pt>
                <c:pt idx="118">
                  <c:v>79.200000000000045</c:v>
                </c:pt>
                <c:pt idx="119">
                  <c:v>80.100000000000051</c:v>
                </c:pt>
                <c:pt idx="120">
                  <c:v>81.000000000000057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D-454C-90A0-91519311A8DF}"/>
            </c:ext>
          </c:extLst>
        </c:ser>
        <c:ser>
          <c:idx val="3"/>
          <c:order val="3"/>
          <c:tx>
            <c:strRef>
              <c:f>'force-strain'!$E$2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'force-strain'!$E$3:$E$123</c:f>
              <c:numCache>
                <c:formatCode>General</c:formatCode>
                <c:ptCount val="121"/>
                <c:pt idx="0">
                  <c:v>-245.56947002896695</c:v>
                </c:pt>
                <c:pt idx="1">
                  <c:v>-203.15535539682656</c:v>
                </c:pt>
                <c:pt idx="2">
                  <c:v>-168.41430934948355</c:v>
                </c:pt>
                <c:pt idx="3">
                  <c:v>-139.88467845086208</c:v>
                </c:pt>
                <c:pt idx="4">
                  <c:v>-116.39729751971242</c:v>
                </c:pt>
                <c:pt idx="5">
                  <c:v>-97.014160845234557</c:v>
                </c:pt>
                <c:pt idx="6">
                  <c:v>-80.980531150663168</c:v>
                </c:pt>
                <c:pt idx="7">
                  <c:v>-67.687417578806347</c:v>
                </c:pt>
                <c:pt idx="8">
                  <c:v>-56.642082585937658</c:v>
                </c:pt>
                <c:pt idx="9">
                  <c:v>-47.444786784558552</c:v>
                </c:pt>
                <c:pt idx="10">
                  <c:v>-39.77039622887866</c:v>
                </c:pt>
                <c:pt idx="11">
                  <c:v>-33.353792091769726</c:v>
                </c:pt>
                <c:pt idx="12">
                  <c:v>-27.978263061623423</c:v>
                </c:pt>
                <c:pt idx="13">
                  <c:v>-23.466244595231348</c:v>
                </c:pt>
                <c:pt idx="14">
                  <c:v>-19.671910187923242</c:v>
                </c:pt>
                <c:pt idx="15">
                  <c:v>-16.475228379528541</c:v>
                </c:pt>
                <c:pt idx="16">
                  <c:v>-13.777183047904128</c:v>
                </c:pt>
                <c:pt idx="17">
                  <c:v>-11.49591948478189</c:v>
                </c:pt>
                <c:pt idx="18">
                  <c:v>-9.5636292119531259</c:v>
                </c:pt>
                <c:pt idx="19">
                  <c:v>-7.9240258247950068</c:v>
                </c:pt>
                <c:pt idx="20">
                  <c:v>-6.5302948908348668</c:v>
                </c:pt>
                <c:pt idx="21">
                  <c:v>-5.3434250272250488</c:v>
                </c:pt>
                <c:pt idx="22">
                  <c:v>-4.3308462213234868</c:v>
                </c:pt>
                <c:pt idx="23">
                  <c:v>-3.4653163866363146</c:v>
                </c:pt>
                <c:pt idx="24">
                  <c:v>-2.7240089433136472</c:v>
                </c:pt>
                <c:pt idx="25">
                  <c:v>-2.0877635590952881</c:v>
                </c:pt>
                <c:pt idx="26">
                  <c:v>-1.5404696107422451</c:v>
                </c:pt>
                <c:pt idx="27">
                  <c:v>-1.0685578376197218</c:v>
                </c:pt>
                <c:pt idx="28">
                  <c:v>-0.66058037774947898</c:v>
                </c:pt>
                <c:pt idx="29">
                  <c:v>-0.30686315197941738</c:v>
                </c:pt>
                <c:pt idx="30">
                  <c:v>7.8241050177951799E-4</c:v>
                </c:pt>
                <c:pt idx="31">
                  <c:v>0.26929887865627622</c:v>
                </c:pt>
                <c:pt idx="32">
                  <c:v>0.5045821712548535</c:v>
                </c:pt>
                <c:pt idx="33">
                  <c:v>0.7116477844579544</c:v>
                </c:pt>
                <c:pt idx="34">
                  <c:v>0.894769645954961</c:v>
                </c:pt>
                <c:pt idx="35">
                  <c:v>1.0575963085774371</c:v>
                </c:pt>
                <c:pt idx="36">
                  <c:v>1.203248353396464</c:v>
                </c:pt>
                <c:pt idx="37">
                  <c:v>1.3344001863112618</c:v>
                </c:pt>
                <c:pt idx="38">
                  <c:v>1.45334885277276</c:v>
                </c:pt>
                <c:pt idx="39">
                  <c:v>1.5620720383496915</c:v>
                </c:pt>
                <c:pt idx="40">
                  <c:v>1.6622770489266028</c:v>
                </c:pt>
                <c:pt idx="41">
                  <c:v>1.7554422578322024</c:v>
                </c:pt>
                <c:pt idx="42">
                  <c:v>1.8428522555858802</c:v>
                </c:pt>
                <c:pt idx="43">
                  <c:v>1.9256277311042782</c:v>
                </c:pt>
                <c:pt idx="44">
                  <c:v>2.0047509429604058</c:v>
                </c:pt>
                <c:pt idx="45">
                  <c:v>2.0810874990290724</c:v>
                </c:pt>
                <c:pt idx="46">
                  <c:v>2.1554050472369517</c:v>
                </c:pt>
                <c:pt idx="47">
                  <c:v>2.2283893848308676</c:v>
                </c:pt>
                <c:pt idx="48">
                  <c:v>2.3006584150741651</c:v>
                </c:pt>
                <c:pt idx="49">
                  <c:v>2.3727743157376531</c:v>
                </c:pt>
                <c:pt idx="50">
                  <c:v>2.4452542308751646</c:v>
                </c:pt>
                <c:pt idx="51">
                  <c:v>2.5185797543226887</c:v>
                </c:pt>
                <c:pt idx="52">
                  <c:v>2.5932054386682926</c:v>
                </c:pt>
                <c:pt idx="53">
                  <c:v>2.6695665359603682</c:v>
                </c:pt>
                <c:pt idx="54">
                  <c:v>2.7480861552818299</c:v>
                </c:pt>
                <c:pt idx="55">
                  <c:v>2.8291820068908056</c:v>
                </c:pt>
                <c:pt idx="56">
                  <c:v>2.9132728925145472</c:v>
                </c:pt>
                <c:pt idx="57">
                  <c:v>3.0007850964052833</c:v>
                </c:pt>
                <c:pt idx="58">
                  <c:v>3.0921588319757651</c:v>
                </c:pt>
                <c:pt idx="59">
                  <c:v>3.187854904531028</c:v>
                </c:pt>
                <c:pt idx="60">
                  <c:v>3.2883617623956374</c:v>
                </c:pt>
                <c:pt idx="61">
                  <c:v>3.3942031275514273</c:v>
                </c:pt>
                <c:pt idx="62">
                  <c:v>3.5059464241495313</c:v>
                </c:pt>
                <c:pt idx="63">
                  <c:v>3.6242122609316172</c:v>
                </c:pt>
                <c:pt idx="64">
                  <c:v>3.7496852744676925</c:v>
                </c:pt>
                <c:pt idx="65">
                  <c:v>3.8831267080504603</c:v>
                </c:pt>
                <c:pt idx="66">
                  <c:v>4.0253891914356945</c:v>
                </c:pt>
                <c:pt idx="67">
                  <c:v>4.1774343068504374</c:v>
                </c:pt>
                <c:pt idx="68">
                  <c:v>4.3403536872803707</c:v>
                </c:pt>
                <c:pt idx="69">
                  <c:v>4.5153946088142938</c:v>
                </c:pt>
                <c:pt idx="70">
                  <c:v>4.70399133094483</c:v>
                </c:pt>
                <c:pt idx="71">
                  <c:v>4.9078038378054591</c:v>
                </c:pt>
                <c:pt idx="72">
                  <c:v>5.1287661841432106</c:v>
                </c:pt>
                <c:pt idx="73">
                  <c:v>5.369147418789237</c:v>
                </c:pt>
                <c:pt idx="74">
                  <c:v>5.6316291454272296</c:v>
                </c:pt>
                <c:pt idx="75">
                  <c:v>5.9194053383639584</c:v>
                </c:pt>
                <c:pt idx="76">
                  <c:v>6.2363122974568057</c:v>
                </c:pt>
                <c:pt idx="77">
                  <c:v>6.5869999780908675</c:v>
                </c:pt>
                <c:pt idx="78">
                  <c:v>6.9771609786546245</c:v>
                </c:pt>
                <c:pt idx="79">
                  <c:v>7.4138412179049089</c:v>
                </c:pt>
                <c:pt idx="80">
                  <c:v>7.9058684985469245</c:v>
                </c:pt>
                <c:pt idx="81">
                  <c:v>8.4644547130309284</c:v>
                </c:pt>
                <c:pt idx="82">
                  <c:v>9.1040597609596841</c:v>
                </c:pt>
                <c:pt idx="83">
                  <c:v>9.8436602759878564</c:v>
                </c:pt>
                <c:pt idx="84">
                  <c:v>10.708663248644738</c:v>
                </c:pt>
                <c:pt idx="85">
                  <c:v>11.733882420815917</c:v>
                </c:pt>
                <c:pt idx="86">
                  <c:v>12.968336341245573</c:v>
                </c:pt>
                <c:pt idx="87">
                  <c:v>14.4833166260153</c:v>
                </c:pt>
                <c:pt idx="88">
                  <c:v>16.386660061007859</c:v>
                </c:pt>
                <c:pt idx="89">
                  <c:v>18.84960794273627</c:v>
                </c:pt>
                <c:pt idx="90">
                  <c:v>22.161436020649326</c:v>
                </c:pt>
                <c:pt idx="91">
                  <c:v>26.852327628997877</c:v>
                </c:pt>
                <c:pt idx="92">
                  <c:v>34.010098393432273</c:v>
                </c:pt>
                <c:pt idx="93">
                  <c:v>46.274863976800667</c:v>
                </c:pt>
                <c:pt idx="94">
                  <c:v>72.143550433341503</c:v>
                </c:pt>
                <c:pt idx="95">
                  <c:v>162.43326244526639</c:v>
                </c:pt>
                <c:pt idx="96">
                  <c:v>-664.42851692983515</c:v>
                </c:pt>
                <c:pt idx="97">
                  <c:v>-109.60745506016227</c:v>
                </c:pt>
                <c:pt idx="98">
                  <c:v>-59.882675988065891</c:v>
                </c:pt>
                <c:pt idx="99">
                  <c:v>-41.265908421892583</c:v>
                </c:pt>
                <c:pt idx="100">
                  <c:v>-31.520666589911645</c:v>
                </c:pt>
                <c:pt idx="101">
                  <c:v>-25.525686892241854</c:v>
                </c:pt>
                <c:pt idx="102">
                  <c:v>-21.46540498125459</c:v>
                </c:pt>
                <c:pt idx="103">
                  <c:v>-18.533339636254098</c:v>
                </c:pt>
                <c:pt idx="104">
                  <c:v>-16.316564798906853</c:v>
                </c:pt>
                <c:pt idx="105">
                  <c:v>-14.581748583799268</c:v>
                </c:pt>
                <c:pt idx="106">
                  <c:v>-13.187090065538854</c:v>
                </c:pt>
                <c:pt idx="107">
                  <c:v>-12.041445885145686</c:v>
                </c:pt>
                <c:pt idx="108">
                  <c:v>-11.08356364877932</c:v>
                </c:pt>
                <c:pt idx="109">
                  <c:v>-10.270756914203865</c:v>
                </c:pt>
                <c:pt idx="110">
                  <c:v>-9.5723664420870485</c:v>
                </c:pt>
                <c:pt idx="111">
                  <c:v>-8.9658030603903889</c:v>
                </c:pt>
                <c:pt idx="112">
                  <c:v>-8.4340564159698381</c:v>
                </c:pt>
                <c:pt idx="113">
                  <c:v>-7.9640729235781391</c:v>
                </c:pt>
                <c:pt idx="114">
                  <c:v>-7.5456685484957404</c:v>
                </c:pt>
                <c:pt idx="115">
                  <c:v>-7.1707813998094698</c:v>
                </c:pt>
                <c:pt idx="116">
                  <c:v>-6.8329463600657121</c:v>
                </c:pt>
                <c:pt idx="117">
                  <c:v>-6.5269184266605409</c:v>
                </c:pt>
                <c:pt idx="118">
                  <c:v>-6.2483978673189169</c:v>
                </c:pt>
                <c:pt idx="119">
                  <c:v>-5.993826465782174</c:v>
                </c:pt>
                <c:pt idx="120">
                  <c:v>-5.7602342917806721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D-454C-90A0-91519311A8DF}"/>
            </c:ext>
          </c:extLst>
        </c:ser>
        <c:ser>
          <c:idx val="4"/>
          <c:order val="4"/>
          <c:tx>
            <c:strRef>
              <c:f>'force-strain'!$F$2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'force-strain'!$F$3:$F$123</c:f>
              <c:numCache>
                <c:formatCode>General</c:formatCode>
                <c:ptCount val="121"/>
                <c:pt idx="0">
                  <c:v>-8.3787736661690886</c:v>
                </c:pt>
                <c:pt idx="1">
                  <c:v>-7.6248361238957036</c:v>
                </c:pt>
                <c:pt idx="2">
                  <c:v>-6.9312723518823924</c:v>
                </c:pt>
                <c:pt idx="3">
                  <c:v>-6.2934735764500767</c:v>
                </c:pt>
                <c:pt idx="4">
                  <c:v>-5.7071751704915821</c:v>
                </c:pt>
                <c:pt idx="5">
                  <c:v>-5.1684312289595038</c:v>
                </c:pt>
                <c:pt idx="6">
                  <c:v>-4.6735910126682914</c:v>
                </c:pt>
                <c:pt idx="7">
                  <c:v>-4.2192771234853037</c:v>
                </c:pt>
                <c:pt idx="8">
                  <c:v>-3.8023652840069668</c:v>
                </c:pt>
                <c:pt idx="9">
                  <c:v>-3.4199656041045672</c:v>
                </c:pt>
                <c:pt idx="10">
                  <c:v>-3.0694052253333468</c:v>
                </c:pt>
                <c:pt idx="11">
                  <c:v>-2.7482122421779351</c:v>
                </c:pt>
                <c:pt idx="12">
                  <c:v>-2.4541008065029026</c:v>
                </c:pt>
                <c:pt idx="13">
                  <c:v>-2.1849573284320085</c:v>
                </c:pt>
                <c:pt idx="14">
                  <c:v>-1.9388276932330222</c:v>
                </c:pt>
                <c:pt idx="15">
                  <c:v>-1.7139054196736341</c:v>
                </c:pt>
                <c:pt idx="16">
                  <c:v>-1.5085206907717552</c:v>
                </c:pt>
                <c:pt idx="17">
                  <c:v>-1.3211301929220383</c:v>
                </c:pt>
                <c:pt idx="18">
                  <c:v>-1.150307704068942</c:v>
                </c:pt>
                <c:pt idx="19">
                  <c:v>-0.9947353759420493</c:v>
                </c:pt>
                <c:pt idx="20">
                  <c:v>-0.85319565939689679</c:v>
                </c:pt>
                <c:pt idx="21">
                  <c:v>-0.72456382563734711</c:v>
                </c:pt>
                <c:pt idx="22">
                  <c:v>-0.60780103955525266</c:v>
                </c:pt>
                <c:pt idx="23">
                  <c:v>-0.50194794462963344</c:v>
                </c:pt>
                <c:pt idx="24">
                  <c:v>-0.40611872179949238</c:v>
                </c:pt>
                <c:pt idx="25">
                  <c:v>-0.319495587478759</c:v>
                </c:pt>
                <c:pt idx="26">
                  <c:v>-0.2413236984346428</c:v>
                </c:pt>
                <c:pt idx="27">
                  <c:v>-0.17090643361665264</c:v>
                </c:pt>
                <c:pt idx="28">
                  <c:v>-0.1076010252163134</c:v>
                </c:pt>
                <c:pt idx="29">
                  <c:v>-5.0814513269898075E-2</c:v>
                </c:pt>
                <c:pt idx="30">
                  <c:v>0</c:v>
                </c:pt>
                <c:pt idx="31">
                  <c:v>4.5346818162605079E-2</c:v>
                </c:pt>
                <c:pt idx="32">
                  <c:v>8.569086131751813E-2</c:v>
                </c:pt>
                <c:pt idx="33">
                  <c:v>0.12146063853505341</c:v>
                </c:pt>
                <c:pt idx="34">
                  <c:v>0.15305099955010376</c:v>
                </c:pt>
                <c:pt idx="35">
                  <c:v>0.18082568197345419</c:v>
                </c:pt>
                <c:pt idx="36">
                  <c:v>0.20511966909094681</c:v>
                </c:pt>
                <c:pt idx="37">
                  <c:v>0.22624137221478047</c:v>
                </c:pt>
                <c:pt idx="38">
                  <c:v>0.24447465052613232</c:v>
                </c:pt>
                <c:pt idx="39">
                  <c:v>0.26008068039828491</c:v>
                </c:pt>
                <c:pt idx="40">
                  <c:v>0.27329968530901733</c:v>
                </c:pt>
                <c:pt idx="41">
                  <c:v>0.28435253663511628</c:v>
                </c:pt>
                <c:pt idx="42">
                  <c:v>0.29344223486572146</c:v>
                </c:pt>
                <c:pt idx="43">
                  <c:v>0.30075528007050123</c:v>
                </c:pt>
                <c:pt idx="44">
                  <c:v>0.30646293980927614</c:v>
                </c:pt>
                <c:pt idx="45">
                  <c:v>0.31072242206793199</c:v>
                </c:pt>
                <c:pt idx="46">
                  <c:v>0.31367796024779154</c:v>
                </c:pt>
                <c:pt idx="47">
                  <c:v>0.31546181671882872</c:v>
                </c:pt>
                <c:pt idx="48">
                  <c:v>0.31619521096821002</c:v>
                </c:pt>
                <c:pt idx="49">
                  <c:v>0.31598917793186188</c:v>
                </c:pt>
                <c:pt idx="50">
                  <c:v>0.31494536168552989</c:v>
                </c:pt>
                <c:pt idx="51">
                  <c:v>0.31315674929071469</c:v>
                </c:pt>
                <c:pt idx="52">
                  <c:v>0.31070834923774915</c:v>
                </c:pt>
                <c:pt idx="53">
                  <c:v>0.30767781860106569</c:v>
                </c:pt>
                <c:pt idx="54">
                  <c:v>0.30413604271849681</c:v>
                </c:pt>
                <c:pt idx="55">
                  <c:v>0.30014767092549793</c:v>
                </c:pt>
                <c:pt idx="56">
                  <c:v>0.29577161161484727</c:v>
                </c:pt>
                <c:pt idx="57">
                  <c:v>0.29106148965116058</c:v>
                </c:pt>
                <c:pt idx="58">
                  <c:v>0.28606606894604342</c:v>
                </c:pt>
                <c:pt idx="59">
                  <c:v>0.28082964279261169</c:v>
                </c:pt>
                <c:pt idx="60">
                  <c:v>0.27539239436622726</c:v>
                </c:pt>
                <c:pt idx="61">
                  <c:v>0.26979072962050288</c:v>
                </c:pt>
                <c:pt idx="62">
                  <c:v>0.26405758464291451</c:v>
                </c:pt>
                <c:pt idx="63">
                  <c:v>0.25822270938173419</c:v>
                </c:pt>
                <c:pt idx="64">
                  <c:v>0.25231292951460388</c:v>
                </c:pt>
                <c:pt idx="65">
                  <c:v>0.2463523880980675</c:v>
                </c:pt>
                <c:pt idx="66">
                  <c:v>0.24036276851600993</c:v>
                </c:pt>
                <c:pt idx="67">
                  <c:v>0.23436350013251586</c:v>
                </c:pt>
                <c:pt idx="68">
                  <c:v>0.22837194795049368</c:v>
                </c:pt>
                <c:pt idx="69">
                  <c:v>0.22240358748091327</c:v>
                </c:pt>
                <c:pt idx="70">
                  <c:v>0.21647216593810972</c:v>
                </c:pt>
                <c:pt idx="71">
                  <c:v>0.21058985079379705</c:v>
                </c:pt>
                <c:pt idx="72">
                  <c:v>0.20476736664572365</c:v>
                </c:pt>
                <c:pt idx="73">
                  <c:v>0.19901412128584225</c:v>
                </c:pt>
                <c:pt idx="74">
                  <c:v>0.19333832178705063</c:v>
                </c:pt>
                <c:pt idx="75">
                  <c:v>0.18774708136658674</c:v>
                </c:pt>
                <c:pt idx="76">
                  <c:v>0.1822465177276982</c:v>
                </c:pt>
                <c:pt idx="77">
                  <c:v>0.17684184352889745</c:v>
                </c:pt>
                <c:pt idx="78">
                  <c:v>0.1715374495816748</c:v>
                </c:pt>
                <c:pt idx="79">
                  <c:v>0.16633698133267616</c:v>
                </c:pt>
                <c:pt idx="80">
                  <c:v>0.16124340914479948</c:v>
                </c:pt>
                <c:pt idx="81">
                  <c:v>0.15625909285318643</c:v>
                </c:pt>
                <c:pt idx="82">
                  <c:v>0.15138584103644961</c:v>
                </c:pt>
                <c:pt idx="83">
                  <c:v>0.14662496541047701</c:v>
                </c:pt>
                <c:pt idx="84">
                  <c:v>0.14197733072159902</c:v>
                </c:pt>
                <c:pt idx="85">
                  <c:v>0.13744340048760872</c:v>
                </c:pt>
                <c:pt idx="86">
                  <c:v>0.13302327890892876</c:v>
                </c:pt>
                <c:pt idx="87">
                  <c:v>0.12871674924796109</c:v>
                </c:pt>
                <c:pt idx="88">
                  <c:v>0.12452330895219875</c:v>
                </c:pt>
                <c:pt idx="89">
                  <c:v>0.12044220177588882</c:v>
                </c:pt>
                <c:pt idx="90">
                  <c:v>0.11647244713578653</c:v>
                </c:pt>
                <c:pt idx="91">
                  <c:v>0.11261286691872577</c:v>
                </c:pt>
                <c:pt idx="92">
                  <c:v>0.10886210994223693</c:v>
                </c:pt>
                <c:pt idx="93">
                  <c:v>0.10521867425417794</c:v>
                </c:pt>
                <c:pt idx="94">
                  <c:v>0.10168092744321577</c:v>
                </c:pt>
                <c:pt idx="95">
                  <c:v>9.8247125118918047E-2</c:v>
                </c:pt>
                <c:pt idx="96">
                  <c:v>9.4915427708114591E-2</c:v>
                </c:pt>
                <c:pt idx="97">
                  <c:v>9.1683915702988963E-2</c:v>
                </c:pt>
                <c:pt idx="98">
                  <c:v>8.8550603485998428E-2</c:v>
                </c:pt>
                <c:pt idx="99">
                  <c:v>8.5513451847132757E-2</c:v>
                </c:pt>
                <c:pt idx="100">
                  <c:v>8.2570379300153193E-2</c:v>
                </c:pt>
                <c:pt idx="101">
                  <c:v>7.9719272296245036E-2</c:v>
                </c:pt>
                <c:pt idx="102">
                  <c:v>7.6957994425927587E-2</c:v>
                </c:pt>
                <c:pt idx="103">
                  <c:v>7.4284394693043473E-2</c:v>
                </c:pt>
                <c:pt idx="104">
                  <c:v>7.169631493815487E-2</c:v>
                </c:pt>
                <c:pt idx="105">
                  <c:v>6.9191596482669232E-2</c:v>
                </c:pt>
                <c:pt idx="106">
                  <c:v>6.6768086059462953E-2</c:v>
                </c:pt>
                <c:pt idx="107">
                  <c:v>6.4423641090636599E-2</c:v>
                </c:pt>
                <c:pt idx="108">
                  <c:v>6.2156134368287666E-2</c:v>
                </c:pt>
                <c:pt idx="109">
                  <c:v>5.9963458189798487E-2</c:v>
                </c:pt>
                <c:pt idx="110">
                  <c:v>5.7843527995079976E-2</c:v>
                </c:pt>
                <c:pt idx="111">
                  <c:v>5.5794285549462481E-2</c:v>
                </c:pt>
                <c:pt idx="112">
                  <c:v>5.3813701712460735E-2</c:v>
                </c:pt>
                <c:pt idx="113">
                  <c:v>5.1899778829437852E-2</c:v>
                </c:pt>
                <c:pt idx="114">
                  <c:v>5.0050552780236506E-2</c:v>
                </c:pt>
                <c:pt idx="115">
                  <c:v>4.8264094716112135E-2</c:v>
                </c:pt>
                <c:pt idx="116">
                  <c:v>4.6538512513780675E-2</c:v>
                </c:pt>
                <c:pt idx="117">
                  <c:v>4.487195197306227E-2</c:v>
                </c:pt>
                <c:pt idx="118">
                  <c:v>4.3262597782450847E-2</c:v>
                </c:pt>
                <c:pt idx="119">
                  <c:v>4.1708674274953408E-2</c:v>
                </c:pt>
                <c:pt idx="120">
                  <c:v>4.020844599470922E-2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D-454C-90A0-91519311A8DF}"/>
            </c:ext>
          </c:extLst>
        </c:ser>
        <c:ser>
          <c:idx val="5"/>
          <c:order val="5"/>
          <c:tx>
            <c:strRef>
              <c:f>'force-strain'!$G$2</c:f>
              <c:strCache>
                <c:ptCount val="1"/>
                <c:pt idx="0">
                  <c:v>IL-A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'force-strain'!$G$3:$G$123</c:f>
              <c:numCache>
                <c:formatCode>General</c:formatCode>
                <c:ptCount val="121"/>
                <c:pt idx="0">
                  <c:v>-2.9663775386905278</c:v>
                </c:pt>
                <c:pt idx="1">
                  <c:v>-2.7049162155818096</c:v>
                </c:pt>
                <c:pt idx="2">
                  <c:v>-2.4638298099241172</c:v>
                </c:pt>
                <c:pt idx="3">
                  <c:v>-2.2416080093009088</c:v>
                </c:pt>
                <c:pt idx="4">
                  <c:v>-2.0368499146690535</c:v>
                </c:pt>
                <c:pt idx="5">
                  <c:v>-1.8482562015811039</c:v>
                </c:pt>
                <c:pt idx="6">
                  <c:v>-1.6746218399163697</c:v>
                </c:pt>
                <c:pt idx="7">
                  <c:v>-1.5148293324375268</c:v>
                </c:pt>
                <c:pt idx="8">
                  <c:v>-1.367842435305217</c:v>
                </c:pt>
                <c:pt idx="9">
                  <c:v>-1.2327003262990042</c:v>
                </c:pt>
                <c:pt idx="10">
                  <c:v>-1.1085121889236036</c:v>
                </c:pt>
                <c:pt idx="11">
                  <c:v>-0.99445218283744063</c:v>
                </c:pt>
                <c:pt idx="12">
                  <c:v>-0.88975477313865858</c:v>
                </c:pt>
                <c:pt idx="13">
                  <c:v>-0.79371039299294732</c:v>
                </c:pt>
                <c:pt idx="14">
                  <c:v>-0.70566141589863207</c:v>
                </c:pt>
                <c:pt idx="15">
                  <c:v>-0.62499841556705449</c:v>
                </c:pt>
                <c:pt idx="16">
                  <c:v>-0.55115669295957603</c:v>
                </c:pt>
                <c:pt idx="17">
                  <c:v>-0.48361305147495698</c:v>
                </c:pt>
                <c:pt idx="18">
                  <c:v>-0.42188280263026484</c:v>
                </c:pt>
                <c:pt idx="19">
                  <c:v>-0.3655169858321794</c:v>
                </c:pt>
                <c:pt idx="20">
                  <c:v>-0.31409978700033714</c:v>
                </c:pt>
                <c:pt idx="21">
                  <c:v>-0.26724614188651874</c:v>
                </c:pt>
                <c:pt idx="22">
                  <c:v>-0.22459951093888864</c:v>
                </c:pt>
                <c:pt idx="23">
                  <c:v>-0.18582981349456987</c:v>
                </c:pt>
                <c:pt idx="24">
                  <c:v>-0.15063150995165631</c:v>
                </c:pt>
                <c:pt idx="25">
                  <c:v>-0.11872182137801103</c:v>
                </c:pt>
                <c:pt idx="26">
                  <c:v>-8.9839076763253436E-2</c:v>
                </c:pt>
                <c:pt idx="27">
                  <c:v>-6.3741178816230357E-2</c:v>
                </c:pt>
                <c:pt idx="28">
                  <c:v>-4.0204179856804384E-2</c:v>
                </c:pt>
                <c:pt idx="29">
                  <c:v>-1.902095995142692E-2</c:v>
                </c:pt>
                <c:pt idx="30">
                  <c:v>0</c:v>
                </c:pt>
                <c:pt idx="31">
                  <c:v>1.703575700005491E-2</c:v>
                </c:pt>
                <c:pt idx="32">
                  <c:v>3.2249962804966205E-2</c:v>
                </c:pt>
                <c:pt idx="33">
                  <c:v>4.5793844736025609E-2</c:v>
                </c:pt>
                <c:pt idx="34">
                  <c:v>5.7807115880561033E-2</c:v>
                </c:pt>
                <c:pt idx="35">
                  <c:v>6.841881972560826E-2</c:v>
                </c:pt>
                <c:pt idx="36">
                  <c:v>7.7748113908659752E-2</c:v>
                </c:pt>
                <c:pt idx="37">
                  <c:v>8.5904997436574301E-2</c:v>
                </c:pt>
                <c:pt idx="38">
                  <c:v>9.2990985414106095E-2</c:v>
                </c:pt>
                <c:pt idx="39">
                  <c:v>9.9099735035869121E-2</c:v>
                </c:pt>
                <c:pt idx="40">
                  <c:v>0.10431762632833677</c:v>
                </c:pt>
                <c:pt idx="41">
                  <c:v>0.10872430088024118</c:v>
                </c:pt>
                <c:pt idx="42">
                  <c:v>0.1123931615691276</c:v>
                </c:pt>
                <c:pt idx="43">
                  <c:v>0.11539183607759559</c:v>
                </c:pt>
                <c:pt idx="44">
                  <c:v>0.11778260679375024</c:v>
                </c:pt>
                <c:pt idx="45">
                  <c:v>0.11962280950551805</c:v>
                </c:pt>
                <c:pt idx="46">
                  <c:v>0.12096520312675038</c:v>
                </c:pt>
                <c:pt idx="47">
                  <c:v>0.12185831253350678</c:v>
                </c:pt>
                <c:pt idx="48">
                  <c:v>0.12234674644071933</c:v>
                </c:pt>
                <c:pt idx="49">
                  <c:v>0.1224714921117819</c:v>
                </c:pt>
                <c:pt idx="50">
                  <c:v>0.12227018856573363</c:v>
                </c:pt>
                <c:pt idx="51">
                  <c:v>0.12177737982792566</c:v>
                </c:pt>
                <c:pt idx="52">
                  <c:v>0.12102474965972468</c:v>
                </c:pt>
                <c:pt idx="53">
                  <c:v>0.12004133910031664</c:v>
                </c:pt>
                <c:pt idx="54">
                  <c:v>0.11885374805847539</c:v>
                </c:pt>
                <c:pt idx="55">
                  <c:v>0.11748632210373304</c:v>
                </c:pt>
                <c:pt idx="56">
                  <c:v>0.11596132552425197</c:v>
                </c:pt>
                <c:pt idx="57">
                  <c:v>0.11429910164240738</c:v>
                </c:pt>
                <c:pt idx="58">
                  <c:v>0.11251822130822621</c:v>
                </c:pt>
                <c:pt idx="59">
                  <c:v>0.1106356204250107</c:v>
                </c:pt>
                <c:pt idx="60">
                  <c:v>0.10866672730034159</c:v>
                </c:pt>
                <c:pt idx="61">
                  <c:v>0.1066255805588774</c:v>
                </c:pt>
                <c:pt idx="62">
                  <c:v>0.1045249383006296</c:v>
                </c:pt>
                <c:pt idx="63">
                  <c:v>0.1023763791394148</c:v>
                </c:pt>
                <c:pt idx="64">
                  <c:v>0.10019039571069599</c:v>
                </c:pt>
                <c:pt idx="65">
                  <c:v>9.7976481195775872E-2</c:v>
                </c:pt>
                <c:pt idx="66">
                  <c:v>9.5743209370070637E-2</c:v>
                </c:pt>
                <c:pt idx="67">
                  <c:v>9.3498308646751391E-2</c:v>
                </c:pt>
                <c:pt idx="68">
                  <c:v>9.1248730553202234E-2</c:v>
                </c:pt>
                <c:pt idx="69">
                  <c:v>8.9000713046315003E-2</c:v>
                </c:pt>
                <c:pt idx="70">
                  <c:v>8.6759839043457881E-2</c:v>
                </c:pt>
                <c:pt idx="71">
                  <c:v>8.4531090518852756E-2</c:v>
                </c:pt>
                <c:pt idx="72">
                  <c:v>8.2318898489928904E-2</c:v>
                </c:pt>
                <c:pt idx="73">
                  <c:v>8.0127189194851192E-2</c:v>
                </c:pt>
                <c:pt idx="74">
                  <c:v>7.7959426740719914E-2</c:v>
                </c:pt>
                <c:pt idx="75">
                  <c:v>7.5818652481789553E-2</c:v>
                </c:pt>
                <c:pt idx="76">
                  <c:v>7.3707521368343271E-2</c:v>
                </c:pt>
                <c:pt idx="77">
                  <c:v>7.162833548948834E-2</c:v>
                </c:pt>
                <c:pt idx="78">
                  <c:v>6.958307501700714E-2</c:v>
                </c:pt>
                <c:pt idx="79">
                  <c:v>6.7573426742423309E-2</c:v>
                </c:pt>
                <c:pt idx="80">
                  <c:v>6.5600810385538028E-2</c:v>
                </c:pt>
                <c:pt idx="81">
                  <c:v>6.3666402839783531E-2</c:v>
                </c:pt>
                <c:pt idx="82">
                  <c:v>6.1771160507757251E-2</c:v>
                </c:pt>
                <c:pt idx="83">
                  <c:v>5.991583986917403E-2</c:v>
                </c:pt>
                <c:pt idx="84">
                  <c:v>5.8101016413148125E-2</c:v>
                </c:pt>
                <c:pt idx="85">
                  <c:v>5.6327102057127883E-2</c:v>
                </c:pt>
                <c:pt idx="86">
                  <c:v>5.4594361165908996E-2</c:v>
                </c:pt>
                <c:pt idx="87">
                  <c:v>5.2902925275891195E-2</c:v>
                </c:pt>
                <c:pt idx="88">
                  <c:v>5.125280662207668E-2</c:v>
                </c:pt>
                <c:pt idx="89">
                  <c:v>4.9643910558193255E-2</c:v>
                </c:pt>
                <c:pt idx="90">
                  <c:v>4.8076046953720836E-2</c:v>
                </c:pt>
                <c:pt idx="91">
                  <c:v>4.654894064547066E-2</c:v>
                </c:pt>
                <c:pt idx="92">
                  <c:v>4.5062241015679835E-2</c:v>
                </c:pt>
                <c:pt idx="93">
                  <c:v>4.3615530763304593E-2</c:v>
                </c:pt>
                <c:pt idx="94">
                  <c:v>4.2208333930298728E-2</c:v>
                </c:pt>
                <c:pt idx="95">
                  <c:v>4.0840123240119403E-2</c:v>
                </c:pt>
                <c:pt idx="96">
                  <c:v>3.9510326801485592E-2</c:v>
                </c:pt>
                <c:pt idx="97">
                  <c:v>3.8218334226502872E-2</c:v>
                </c:pt>
                <c:pt idx="98">
                  <c:v>3.6963502208639351E-2</c:v>
                </c:pt>
                <c:pt idx="99">
                  <c:v>3.5745159602670426E-2</c:v>
                </c:pt>
                <c:pt idx="100">
                  <c:v>3.4562612045587707E-2</c:v>
                </c:pt>
                <c:pt idx="101">
                  <c:v>3.3415146154570426E-2</c:v>
                </c:pt>
                <c:pt idx="102">
                  <c:v>3.2302033335431232E-2</c:v>
                </c:pt>
                <c:pt idx="103">
                  <c:v>3.1222533232456787E-2</c:v>
                </c:pt>
                <c:pt idx="104">
                  <c:v>3.0175896848252934E-2</c:v>
                </c:pt>
                <c:pt idx="105">
                  <c:v>2.9161369360061529E-2</c:v>
                </c:pt>
                <c:pt idx="106">
                  <c:v>2.8178192657029782E-2</c:v>
                </c:pt>
                <c:pt idx="107">
                  <c:v>2.7225607621070975E-2</c:v>
                </c:pt>
                <c:pt idx="108">
                  <c:v>2.6302856172247781E-2</c:v>
                </c:pt>
                <c:pt idx="109">
                  <c:v>2.5409183098027237E-2</c:v>
                </c:pt>
                <c:pt idx="110">
                  <c:v>2.4543837684288698E-2</c:v>
                </c:pt>
                <c:pt idx="111">
                  <c:v>2.3706075164607203E-2</c:v>
                </c:pt>
                <c:pt idx="112">
                  <c:v>2.2895158003074286E-2</c:v>
                </c:pt>
                <c:pt idx="113">
                  <c:v>2.2110357024750948E-2</c:v>
                </c:pt>
                <c:pt idx="114">
                  <c:v>2.1350952406766065E-2</c:v>
                </c:pt>
                <c:pt idx="115">
                  <c:v>2.0616234542071284E-2</c:v>
                </c:pt>
                <c:pt idx="116">
                  <c:v>1.9905504786935469E-2</c:v>
                </c:pt>
                <c:pt idx="117">
                  <c:v>1.9218076102402143E-2</c:v>
                </c:pt>
                <c:pt idx="118">
                  <c:v>1.8553273599137492E-2</c:v>
                </c:pt>
                <c:pt idx="119">
                  <c:v>1.7910434994359174E-2</c:v>
                </c:pt>
                <c:pt idx="120">
                  <c:v>1.7288910988854437E-2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5D-454C-90A0-91519311A8DF}"/>
            </c:ext>
          </c:extLst>
        </c:ser>
        <c:ser>
          <c:idx val="6"/>
          <c:order val="6"/>
          <c:tx>
            <c:strRef>
              <c:f>'force-strain'!$H$2</c:f>
              <c:strCache>
                <c:ptCount val="1"/>
                <c:pt idx="0">
                  <c:v>IL-B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'force-strain'!$H$3:$H$123</c:f>
              <c:numCache>
                <c:formatCode>General</c:formatCode>
                <c:ptCount val="121"/>
                <c:pt idx="0">
                  <c:v>-1.5425867047312281</c:v>
                </c:pt>
                <c:pt idx="1">
                  <c:v>-1.4098841407684577</c:v>
                </c:pt>
                <c:pt idx="2">
                  <c:v>-1.2871925380859472</c:v>
                </c:pt>
                <c:pt idx="3">
                  <c:v>-1.1737954081399034</c:v>
                </c:pt>
                <c:pt idx="4">
                  <c:v>-1.0690263242737306</c:v>
                </c:pt>
                <c:pt idx="5">
                  <c:v>-0.97226546417730586</c:v>
                </c:pt>
                <c:pt idx="6">
                  <c:v>-0.88293638977321476</c:v>
                </c:pt>
                <c:pt idx="7">
                  <c:v>-0.80050304827301944</c:v>
                </c:pt>
                <c:pt idx="8">
                  <c:v>-0.7244669792581292</c:v>
                </c:pt>
                <c:pt idx="9">
                  <c:v>-0.65436471367543103</c:v>
                </c:pt>
                <c:pt idx="10">
                  <c:v>-0.58976535160263366</c:v>
                </c:pt>
                <c:pt idx="11">
                  <c:v>-0.53026830653719736</c:v>
                </c:pt>
                <c:pt idx="12">
                  <c:v>-0.47550120480018016</c:v>
                </c:pt>
                <c:pt idx="13">
                  <c:v>-0.42511792942659954</c:v>
                </c:pt>
                <c:pt idx="14">
                  <c:v>-0.37879679864083904</c:v>
                </c:pt>
                <c:pt idx="15">
                  <c:v>-0.33623886969289729</c:v>
                </c:pt>
                <c:pt idx="16">
                  <c:v>-0.29716635946225872</c:v>
                </c:pt>
                <c:pt idx="17">
                  <c:v>-0.26132117382403086</c:v>
                </c:pt>
                <c:pt idx="18">
                  <c:v>-0.22846353831967622</c:v>
                </c:pt>
                <c:pt idx="19">
                  <c:v>-0.19837072318493201</c:v>
                </c:pt>
                <c:pt idx="20">
                  <c:v>-0.17083585626288733</c:v>
                </c:pt>
                <c:pt idx="21">
                  <c:v>-0.14566681777308416</c:v>
                </c:pt>
                <c:pt idx="22">
                  <c:v>-0.12268521132012766</c:v>
                </c:pt>
                <c:pt idx="23">
                  <c:v>-0.10172540590970268</c:v>
                </c:pt>
                <c:pt idx="24">
                  <c:v>-8.2633644098037334E-2</c:v>
                </c:pt>
                <c:pt idx="25">
                  <c:v>-6.526721173450438E-2</c:v>
                </c:pt>
                <c:pt idx="26">
                  <c:v>-4.949366506789861E-2</c:v>
                </c:pt>
                <c:pt idx="27">
                  <c:v>-3.5190111276521677E-2</c:v>
                </c:pt>
                <c:pt idx="28">
                  <c:v>-2.2242538751999295E-2</c:v>
                </c:pt>
                <c:pt idx="29">
                  <c:v>-1.0545193718101717E-2</c:v>
                </c:pt>
                <c:pt idx="30">
                  <c:v>0</c:v>
                </c:pt>
                <c:pt idx="31">
                  <c:v>9.4839810224657869E-3</c:v>
                </c:pt>
                <c:pt idx="32">
                  <c:v>1.7991053040694503E-2</c:v>
                </c:pt>
                <c:pt idx="33">
                  <c:v>2.5599352596274588E-2</c:v>
                </c:pt>
                <c:pt idx="34">
                  <c:v>3.2381284410456491E-2</c:v>
                </c:pt>
                <c:pt idx="35">
                  <c:v>3.8403926497312252E-2</c:v>
                </c:pt>
                <c:pt idx="36">
                  <c:v>4.3729407140671875E-2</c:v>
                </c:pt>
                <c:pt idx="37">
                  <c:v>4.8415255672320107E-2</c:v>
                </c:pt>
                <c:pt idx="38">
                  <c:v>5.2514728856090598E-2</c:v>
                </c:pt>
                <c:pt idx="39">
                  <c:v>5.6077114558734646E-2</c:v>
                </c:pt>
                <c:pt idx="40">
                  <c:v>5.9148014273151271E-2</c:v>
                </c:pt>
                <c:pt idx="41">
                  <c:v>6.1769605952165289E-2</c:v>
                </c:pt>
                <c:pt idx="42">
                  <c:v>6.3980888510988085E-2</c:v>
                </c:pt>
                <c:pt idx="43">
                  <c:v>6.5817909263293381E-2</c:v>
                </c:pt>
                <c:pt idx="44">
                  <c:v>6.7313975469017032E-2</c:v>
                </c:pt>
                <c:pt idx="45">
                  <c:v>6.8499851091109121E-2</c:v>
                </c:pt>
                <c:pt idx="46">
                  <c:v>6.9403939783125923E-2</c:v>
                </c:pt>
                <c:pt idx="47">
                  <c:v>7.00524550593635E-2</c:v>
                </c:pt>
                <c:pt idx="48">
                  <c:v>7.0469578533857921E-2</c:v>
                </c:pt>
                <c:pt idx="49">
                  <c:v>7.0677607053676678E-2</c:v>
                </c:pt>
                <c:pt idx="50">
                  <c:v>7.0697089495195722E-2</c:v>
                </c:pt>
                <c:pt idx="51">
                  <c:v>7.0546953939214327E-2</c:v>
                </c:pt>
                <c:pt idx="52">
                  <c:v>7.0244625891536197E-2</c:v>
                </c:pt>
                <c:pt idx="53">
                  <c:v>6.9806138169795029E-2</c:v>
                </c:pt>
                <c:pt idx="54">
                  <c:v>6.9246233034594332E-2</c:v>
                </c:pt>
                <c:pt idx="55">
                  <c:v>6.8578457103249876E-2</c:v>
                </c:pt>
                <c:pt idx="56">
                  <c:v>6.7815249547368936E-2</c:v>
                </c:pt>
                <c:pt idx="57">
                  <c:v>6.6968024040985633E-2</c:v>
                </c:pt>
                <c:pt idx="58">
                  <c:v>6.6047244893824408E-2</c:v>
                </c:pt>
                <c:pt idx="59">
                  <c:v>6.5062497774320688E-2</c:v>
                </c:pt>
                <c:pt idx="60">
                  <c:v>6.4022555399137968E-2</c:v>
                </c:pt>
                <c:pt idx="61">
                  <c:v>6.2935438539944447E-2</c:v>
                </c:pt>
                <c:pt idx="62">
                  <c:v>6.1808472674019163E-2</c:v>
                </c:pt>
                <c:pt idx="63">
                  <c:v>6.0648340582722539E-2</c:v>
                </c:pt>
                <c:pt idx="64">
                  <c:v>5.9461131180881026E-2</c:v>
                </c:pt>
                <c:pt idx="65">
                  <c:v>5.8252384840587798E-2</c:v>
                </c:pt>
                <c:pt idx="66">
                  <c:v>5.7027135454718381E-2</c:v>
                </c:pt>
                <c:pt idx="67">
                  <c:v>5.5789949468505906E-2</c:v>
                </c:pt>
                <c:pt idx="68">
                  <c:v>5.4544962091731389E-2</c:v>
                </c:pt>
                <c:pt idx="69">
                  <c:v>5.3295910889380411E-2</c:v>
                </c:pt>
                <c:pt idx="70">
                  <c:v>5.2046166934923657E-2</c:v>
                </c:pt>
                <c:pt idx="71">
                  <c:v>5.0798763697625968E-2</c:v>
                </c:pt>
                <c:pt idx="72">
                  <c:v>4.955642382341402E-2</c:v>
                </c:pt>
                <c:pt idx="73">
                  <c:v>4.8321583957772626E-2</c:v>
                </c:pt>
                <c:pt idx="74">
                  <c:v>4.7096417748842698E-2</c:v>
                </c:pt>
                <c:pt idx="75">
                  <c:v>4.5882857159304125E-2</c:v>
                </c:pt>
                <c:pt idx="76">
                  <c:v>4.4682612206697475E-2</c:v>
                </c:pt>
                <c:pt idx="77">
                  <c:v>4.3497189243524484E-2</c:v>
                </c:pt>
                <c:pt idx="78">
                  <c:v>4.2327907880724928E-2</c:v>
                </c:pt>
                <c:pt idx="79">
                  <c:v>4.1175916650919651E-2</c:v>
                </c:pt>
                <c:pt idx="80">
                  <c:v>4.0042207501097819E-2</c:v>
                </c:pt>
                <c:pt idx="81">
                  <c:v>3.8927629198177681E-2</c:v>
                </c:pt>
                <c:pt idx="82">
                  <c:v>3.7832899725052362E-2</c:v>
                </c:pt>
                <c:pt idx="83">
                  <c:v>3.6758617739315845E-2</c:v>
                </c:pt>
                <c:pt idx="84">
                  <c:v>3.570527316182192E-2</c:v>
                </c:pt>
                <c:pt idx="85">
                  <c:v>3.4673256957534357E-2</c:v>
                </c:pt>
                <c:pt idx="86">
                  <c:v>3.3662870166756696E-2</c:v>
                </c:pt>
                <c:pt idx="87">
                  <c:v>3.2674332240762105E-2</c:v>
                </c:pt>
                <c:pt idx="88">
                  <c:v>3.1707788732056826E-2</c:v>
                </c:pt>
                <c:pt idx="89">
                  <c:v>3.0763318385986345E-2</c:v>
                </c:pt>
                <c:pt idx="90">
                  <c:v>2.9840939677111964E-2</c:v>
                </c:pt>
                <c:pt idx="91">
                  <c:v>2.8940616830732555E-2</c:v>
                </c:pt>
                <c:pt idx="92">
                  <c:v>2.806226536708362E-2</c:v>
                </c:pt>
                <c:pt idx="93">
                  <c:v>2.7205757203100929E-2</c:v>
                </c:pt>
                <c:pt idx="94">
                  <c:v>2.6370925344174293E-2</c:v>
                </c:pt>
                <c:pt idx="95">
                  <c:v>2.5557568196026316E-2</c:v>
                </c:pt>
                <c:pt idx="96">
                  <c:v>2.4765453524719139E-2</c:v>
                </c:pt>
                <c:pt idx="97">
                  <c:v>2.3994322090808588E-2</c:v>
                </c:pt>
                <c:pt idx="98">
                  <c:v>2.3243890981819542E-2</c:v>
                </c:pt>
                <c:pt idx="99">
                  <c:v>2.2513856665498773E-2</c:v>
                </c:pt>
                <c:pt idx="100">
                  <c:v>2.1803897784704221E-2</c:v>
                </c:pt>
                <c:pt idx="101">
                  <c:v>2.1113677713302803E-2</c:v>
                </c:pt>
                <c:pt idx="102">
                  <c:v>2.044284689106645E-2</c:v>
                </c:pt>
                <c:pt idx="103">
                  <c:v>1.9791044954269504E-2</c:v>
                </c:pt>
                <c:pt idx="104">
                  <c:v>1.9157902677494485E-2</c:v>
                </c:pt>
                <c:pt idx="105">
                  <c:v>1.8543043741040117E-2</c:v>
                </c:pt>
                <c:pt idx="106">
                  <c:v>1.7946086337290817E-2</c:v>
                </c:pt>
                <c:pt idx="107">
                  <c:v>1.7366644628444037E-2</c:v>
                </c:pt>
                <c:pt idx="108">
                  <c:v>1.6804330067097275E-2</c:v>
                </c:pt>
                <c:pt idx="109">
                  <c:v>1.6258752590363912E-2</c:v>
                </c:pt>
                <c:pt idx="110">
                  <c:v>1.5729521697413457E-2</c:v>
                </c:pt>
                <c:pt idx="111">
                  <c:v>1.5216247419612475E-2</c:v>
                </c:pt>
                <c:pt idx="112">
                  <c:v>1.4718541191773449E-2</c:v>
                </c:pt>
                <c:pt idx="113">
                  <c:v>1.4236016632397579E-2</c:v>
                </c:pt>
                <c:pt idx="114">
                  <c:v>1.3768290240219408E-2</c:v>
                </c:pt>
                <c:pt idx="115">
                  <c:v>1.3314982013824484E-2</c:v>
                </c:pt>
                <c:pt idx="116">
                  <c:v>1.2875716000612047E-2</c:v>
                </c:pt>
                <c:pt idx="117">
                  <c:v>1.2450120780911315E-2</c:v>
                </c:pt>
                <c:pt idx="118">
                  <c:v>1.2037829892629078E-2</c:v>
                </c:pt>
                <c:pt idx="119">
                  <c:v>1.1638482201406149E-2</c:v>
                </c:pt>
                <c:pt idx="120">
                  <c:v>1.1251722220888523E-2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5D-454C-90A0-91519311A8DF}"/>
            </c:ext>
          </c:extLst>
        </c:ser>
        <c:ser>
          <c:idx val="7"/>
          <c:order val="7"/>
          <c:tx>
            <c:strRef>
              <c:f>'force-strain'!$I$2</c:f>
              <c:strCache>
                <c:ptCount val="1"/>
                <c:pt idx="0">
                  <c:v>OL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'force-strain'!$I$3:$I$123</c:f>
              <c:numCache>
                <c:formatCode>General</c:formatCode>
                <c:ptCount val="121"/>
                <c:pt idx="0">
                  <c:v>-7.1499319435075774</c:v>
                </c:pt>
                <c:pt idx="1">
                  <c:v>-6.5039844668945967</c:v>
                </c:pt>
                <c:pt idx="2">
                  <c:v>-5.9100350319819484</c:v>
                </c:pt>
                <c:pt idx="3">
                  <c:v>-5.3640917344926358</c:v>
                </c:pt>
                <c:pt idx="4">
                  <c:v>-4.8624624955930145</c:v>
                </c:pt>
                <c:pt idx="5">
                  <c:v>-4.4017327805246369</c:v>
                </c:pt>
                <c:pt idx="6">
                  <c:v>-3.9787449643344921</c:v>
                </c:pt>
                <c:pt idx="7">
                  <c:v>-3.5905792232692844</c:v>
                </c:pt>
                <c:pt idx="8">
                  <c:v>-3.2345358393402477</c:v>
                </c:pt>
                <c:pt idx="9">
                  <c:v>-2.9081188138479668</c:v>
                </c:pt>
                <c:pt idx="10">
                  <c:v>-2.6090206933302573</c:v>
                </c:pt>
                <c:pt idx="11">
                  <c:v>-2.3351085185050766</c:v>
                </c:pt>
                <c:pt idx="12">
                  <c:v>-2.0844108133662531</c:v>
                </c:pt>
                <c:pt idx="13">
                  <c:v>-1.8551055376910568</c:v>
                </c:pt>
                <c:pt idx="14">
                  <c:v>-1.6455089318708551</c:v>
                </c:pt>
                <c:pt idx="15">
                  <c:v>-1.4540651882123934</c:v>
                </c:pt>
                <c:pt idx="16">
                  <c:v>-1.2793368877081857</c:v>
                </c:pt>
                <c:pt idx="17">
                  <c:v>-1.1199961457684098</c:v>
                </c:pt>
                <c:pt idx="18">
                  <c:v>-0.97481641456992341</c:v>
                </c:pt>
                <c:pt idx="19">
                  <c:v>-0.84266489353475982</c:v>
                </c:pt>
                <c:pt idx="20">
                  <c:v>-0.72249550302337162</c:v>
                </c:pt>
                <c:pt idx="21">
                  <c:v>-0.61334237963781413</c:v>
                </c:pt>
                <c:pt idx="22">
                  <c:v>-0.51431385459630319</c:v>
                </c:pt>
                <c:pt idx="23">
                  <c:v>-0.42458687948114926</c:v>
                </c:pt>
                <c:pt idx="24">
                  <c:v>-0.34340186629349234</c:v>
                </c:pt>
                <c:pt idx="25">
                  <c:v>-0.27005791118597627</c:v>
                </c:pt>
                <c:pt idx="26">
                  <c:v>-0.20390837350273264</c:v>
                </c:pt>
                <c:pt idx="27">
                  <c:v>-0.1443567838480016</c:v>
                </c:pt>
                <c:pt idx="28">
                  <c:v>-9.0853056842652283E-2</c:v>
                </c:pt>
                <c:pt idx="29">
                  <c:v>-4.2889986023082173E-2</c:v>
                </c:pt>
                <c:pt idx="30">
                  <c:v>0</c:v>
                </c:pt>
                <c:pt idx="31">
                  <c:v>3.8247839464855438E-2</c:v>
                </c:pt>
                <c:pt idx="32">
                  <c:v>7.2250615378916277E-2</c:v>
                </c:pt>
                <c:pt idx="33">
                  <c:v>0.10237412602880357</c:v>
                </c:pt>
                <c:pt idx="34">
                  <c:v>0.12895526344844313</c:v>
                </c:pt>
                <c:pt idx="35">
                  <c:v>0.15230421407918665</c:v>
                </c:pt>
                <c:pt idx="36">
                  <c:v>0.17270649480502467</c:v>
                </c:pt>
                <c:pt idx="37">
                  <c:v>0.19042483657258716</c:v>
                </c:pt>
                <c:pt idx="38">
                  <c:v>0.20570092690395134</c:v>
                </c:pt>
                <c:pt idx="39">
                  <c:v>0.21875702177505332</c:v>
                </c:pt>
                <c:pt idx="40">
                  <c:v>0.22979743655881743</c:v>
                </c:pt>
                <c:pt idx="41">
                  <c:v>0.23900992501546889</c:v>
                </c:pt>
                <c:pt idx="42">
                  <c:v>0.24656695464866027</c:v>
                </c:pt>
                <c:pt idx="43">
                  <c:v>0.25262688613115009</c:v>
                </c:pt>
                <c:pt idx="44">
                  <c:v>0.25733506393420508</c:v>
                </c:pt>
                <c:pt idx="45">
                  <c:v>0.26082482476733443</c:v>
                </c:pt>
                <c:pt idx="46">
                  <c:v>0.26321842994629302</c:v>
                </c:pt>
                <c:pt idx="47">
                  <c:v>0.26462792735466834</c:v>
                </c:pt>
                <c:pt idx="48">
                  <c:v>0.26515594824512034</c:v>
                </c:pt>
                <c:pt idx="49">
                  <c:v>0.2648964437380264</c:v>
                </c:pt>
                <c:pt idx="50">
                  <c:v>0.26393536551561531</c:v>
                </c:pt>
                <c:pt idx="51">
                  <c:v>0.26235129487654502</c:v>
                </c:pt>
                <c:pt idx="52">
                  <c:v>0.26021602400732863</c:v>
                </c:pt>
                <c:pt idx="53">
                  <c:v>0.25759509304124301</c:v>
                </c:pt>
                <c:pt idx="54">
                  <c:v>0.25454828621067133</c:v>
                </c:pt>
                <c:pt idx="55">
                  <c:v>0.25113009015369608</c:v>
                </c:pt>
                <c:pt idx="56">
                  <c:v>0.24739011720871931</c:v>
                </c:pt>
                <c:pt idx="57">
                  <c:v>0.24337349632061903</c:v>
                </c:pt>
                <c:pt idx="58">
                  <c:v>0.23912123398721224</c:v>
                </c:pt>
                <c:pt idx="59">
                  <c:v>0.23467054749444377</c:v>
                </c:pt>
                <c:pt idx="60">
                  <c:v>0.23005517252169796</c:v>
                </c:pt>
                <c:pt idx="61">
                  <c:v>0.22530564704394776</c:v>
                </c:pt>
                <c:pt idx="62">
                  <c:v>0.22044957331421419</c:v>
                </c:pt>
                <c:pt idx="63">
                  <c:v>0.21551185957715166</c:v>
                </c:pt>
                <c:pt idx="64">
                  <c:v>0.21051494304173529</c:v>
                </c:pt>
                <c:pt idx="65">
                  <c:v>0.20547899552726537</c:v>
                </c:pt>
                <c:pt idx="66">
                  <c:v>0.20042211309156904</c:v>
                </c:pt>
                <c:pt idx="67">
                  <c:v>0.19536049085273235</c:v>
                </c:pt>
                <c:pt idx="68">
                  <c:v>0.1903085841253753</c:v>
                </c:pt>
                <c:pt idx="69">
                  <c:v>0.18527925690884595</c:v>
                </c:pt>
                <c:pt idx="70">
                  <c:v>0.18028391868727175</c:v>
                </c:pt>
                <c:pt idx="71">
                  <c:v>0.17533265042970206</c:v>
                </c:pt>
                <c:pt idx="72">
                  <c:v>0.17043432061218849</c:v>
                </c:pt>
                <c:pt idx="73">
                  <c:v>0.16559669202218186</c:v>
                </c:pt>
                <c:pt idx="74">
                  <c:v>0.16082652004871698</c:v>
                </c:pt>
                <c:pt idx="75">
                  <c:v>0.15612964310916905</c:v>
                </c:pt>
                <c:pt idx="76">
                  <c:v>0.15151106581458848</c:v>
                </c:pt>
                <c:pt idx="77">
                  <c:v>0.14697503543046611</c:v>
                </c:pt>
                <c:pt idx="78">
                  <c:v>0.14252511214797695</c:v>
                </c:pt>
                <c:pt idx="79">
                  <c:v>0.13816423364205513</c:v>
                </c:pt>
                <c:pt idx="80">
                  <c:v>0.1338947743568322</c:v>
                </c:pt>
                <c:pt idx="81">
                  <c:v>0.12971859992581336</c:v>
                </c:pt>
                <c:pt idx="82">
                  <c:v>0.1256371171034768</c:v>
                </c:pt>
                <c:pt idx="83">
                  <c:v>0.12165131955657403</c:v>
                </c:pt>
                <c:pt idx="84">
                  <c:v>0.11776182983711954</c:v>
                </c:pt>
                <c:pt idx="85">
                  <c:v>0.11396893783472423</c:v>
                </c:pt>
                <c:pt idx="86">
                  <c:v>0.11027263598340964</c:v>
                </c:pt>
                <c:pt idx="87">
                  <c:v>0.10667265147720011</c:v>
                </c:pt>
                <c:pt idx="88">
                  <c:v>0.10316847572950552</c:v>
                </c:pt>
                <c:pt idx="89">
                  <c:v>9.9759391293464339E-2</c:v>
                </c:pt>
                <c:pt idx="90">
                  <c:v>9.6444496443903308E-2</c:v>
                </c:pt>
                <c:pt idx="91">
                  <c:v>9.3222727606295436E-2</c:v>
                </c:pt>
                <c:pt idx="92">
                  <c:v>9.0092879803962703E-2</c:v>
                </c:pt>
                <c:pt idx="93">
                  <c:v>8.7053625281694108E-2</c:v>
                </c:pt>
                <c:pt idx="94">
                  <c:v>8.4103530451853967E-2</c:v>
                </c:pt>
                <c:pt idx="95">
                  <c:v>8.1241071297864939E-2</c:v>
                </c:pt>
                <c:pt idx="96">
                  <c:v>7.8464647359601486E-2</c:v>
                </c:pt>
                <c:pt idx="97">
                  <c:v>7.577259441565555E-2</c:v>
                </c:pt>
                <c:pt idx="98">
                  <c:v>7.3163195968583561E-2</c:v>
                </c:pt>
                <c:pt idx="99">
                  <c:v>7.0634693631056719E-2</c:v>
                </c:pt>
                <c:pt idx="100">
                  <c:v>6.8185296503264589E-2</c:v>
                </c:pt>
                <c:pt idx="101">
                  <c:v>6.5813189624922996E-2</c:v>
                </c:pt>
                <c:pt idx="102">
                  <c:v>6.351654157876363E-2</c:v>
                </c:pt>
                <c:pt idx="103">
                  <c:v>6.1293511316399985E-2</c:v>
                </c:pt>
                <c:pt idx="104">
                  <c:v>5.9142254271933009E-2</c:v>
                </c:pt>
                <c:pt idx="105">
                  <c:v>5.7060927823546777E-2</c:v>
                </c:pt>
                <c:pt idx="106">
                  <c:v>5.5047696158620048E-2</c:v>
                </c:pt>
                <c:pt idx="107">
                  <c:v>5.3100734593512097E-2</c:v>
                </c:pt>
                <c:pt idx="108">
                  <c:v>5.1218233395146834E-2</c:v>
                </c:pt>
                <c:pt idx="109">
                  <c:v>4.9398401147790719E-2</c:v>
                </c:pt>
                <c:pt idx="110">
                  <c:v>4.7639467704976214E-2</c:v>
                </c:pt>
                <c:pt idx="111">
                  <c:v>4.5939686763340655E-2</c:v>
                </c:pt>
                <c:pt idx="112">
                  <c:v>4.4297338092212743E-2</c:v>
                </c:pt>
                <c:pt idx="113">
                  <c:v>4.2710729450064766E-2</c:v>
                </c:pt>
                <c:pt idx="114">
                  <c:v>4.1178198216443355E-2</c:v>
                </c:pt>
                <c:pt idx="115">
                  <c:v>3.9698112765678625E-2</c:v>
                </c:pt>
                <c:pt idx="116">
                  <c:v>3.826887360653581E-2</c:v>
                </c:pt>
                <c:pt idx="117">
                  <c:v>3.6888914310003525E-2</c:v>
                </c:pt>
                <c:pt idx="118">
                  <c:v>3.555670224559352E-2</c:v>
                </c:pt>
                <c:pt idx="119">
                  <c:v>3.4270739144849321E-2</c:v>
                </c:pt>
                <c:pt idx="120">
                  <c:v>3.3029561509213705E-2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5D-454C-90A0-91519311A8DF}"/>
            </c:ext>
          </c:extLst>
        </c:ser>
        <c:ser>
          <c:idx val="8"/>
          <c:order val="8"/>
          <c:tx>
            <c:strRef>
              <c:f>'force-strain'!$J$2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'force-strain'!$J$3:$J$123</c:f>
              <c:numCache>
                <c:formatCode>General</c:formatCode>
                <c:ptCount val="121"/>
                <c:pt idx="0">
                  <c:v>-6.9776024872182703</c:v>
                </c:pt>
                <c:pt idx="1">
                  <c:v>-5.9174282041121264</c:v>
                </c:pt>
                <c:pt idx="2">
                  <c:v>-5.0221770475799454</c:v>
                </c:pt>
                <c:pt idx="3">
                  <c:v>-4.2650269535596861</c:v>
                </c:pt>
                <c:pt idx="4">
                  <c:v>-3.6237438662718762</c:v>
                </c:pt>
                <c:pt idx="5">
                  <c:v>-3.0798557130518702</c:v>
                </c:pt>
                <c:pt idx="6">
                  <c:v>-2.6179826992086612</c:v>
                </c:pt>
                <c:pt idx="7">
                  <c:v>-2.2252928950571422</c:v>
                </c:pt>
                <c:pt idx="8">
                  <c:v>-1.8910585312203971</c:v>
                </c:pt>
                <c:pt idx="9">
                  <c:v>-1.6062934653866279</c:v>
                </c:pt>
                <c:pt idx="10">
                  <c:v>-1.363456249237059</c:v>
                </c:pt>
                <c:pt idx="11">
                  <c:v>-1.1562063495938952</c:v>
                </c:pt>
                <c:pt idx="12">
                  <c:v>-0.97920354836531653</c:v>
                </c:pt>
                <c:pt idx="13">
                  <c:v>-0.82794250447032725</c:v>
                </c:pt>
                <c:pt idx="14">
                  <c:v>-0.69861601809264262</c:v>
                </c:pt>
                <c:pt idx="15">
                  <c:v>-0.5880017790410903</c:v>
                </c:pt>
                <c:pt idx="16">
                  <c:v>-0.49336837336909328</c:v>
                </c:pt>
                <c:pt idx="17">
                  <c:v>-0.41239711777349647</c:v>
                </c:pt>
                <c:pt idx="18">
                  <c:v>-0.34311693039371538</c:v>
                </c:pt>
                <c:pt idx="19">
                  <c:v>-0.28384996144789593</c:v>
                </c:pt>
                <c:pt idx="20">
                  <c:v>-0.23316612285142474</c:v>
                </c:pt>
                <c:pt idx="21">
                  <c:v>-0.18984499243962363</c:v>
                </c:pt>
                <c:pt idx="22">
                  <c:v>-0.15284384139229212</c:v>
                </c:pt>
                <c:pt idx="23">
                  <c:v>-0.12127075541680228</c:v>
                </c:pt>
                <c:pt idx="24">
                  <c:v>-9.4362001120980171E-2</c:v>
                </c:pt>
                <c:pt idx="25">
                  <c:v>-7.1462936718798969E-2</c:v>
                </c:pt>
                <c:pt idx="26">
                  <c:v>-5.2011887094607009E-2</c:v>
                </c:pt>
                <c:pt idx="27">
                  <c:v>-3.55265023810818E-2</c:v>
                </c:pt>
                <c:pt idx="28">
                  <c:v>-2.1592200659821915E-2</c:v>
                </c:pt>
                <c:pt idx="29">
                  <c:v>-9.8523624541243127E-3</c:v>
                </c:pt>
                <c:pt idx="30">
                  <c:v>5.718996489145749E-17</c:v>
                </c:pt>
                <c:pt idx="31">
                  <c:v>8.2293300042456993E-3</c:v>
                </c:pt>
                <c:pt idx="32">
                  <c:v>1.5063563621627489E-2</c:v>
                </c:pt>
                <c:pt idx="33">
                  <c:v>2.0699278933988624E-2</c:v>
                </c:pt>
                <c:pt idx="34">
                  <c:v>2.5306093312879335E-2</c:v>
                </c:pt>
                <c:pt idx="35">
                  <c:v>2.9030422976808645E-2</c:v>
                </c:pt>
                <c:pt idx="36">
                  <c:v>3.1998701012165467E-2</c:v>
                </c:pt>
                <c:pt idx="37">
                  <c:v>3.4320134924962012E-2</c:v>
                </c:pt>
                <c:pt idx="38">
                  <c:v>3.6089072153234876E-2</c:v>
                </c:pt>
                <c:pt idx="39">
                  <c:v>3.7387031384288484E-2</c:v>
                </c:pt>
                <c:pt idx="40">
                  <c:v>3.828444864035252E-2</c:v>
                </c:pt>
                <c:pt idx="41">
                  <c:v>3.8842179634900838E-2</c:v>
                </c:pt>
                <c:pt idx="42">
                  <c:v>3.9112793623859235E-2</c:v>
                </c:pt>
                <c:pt idx="43">
                  <c:v>3.9141688686004955E-2</c:v>
                </c:pt>
                <c:pt idx="44">
                  <c:v>3.8968053903290577E-2</c:v>
                </c:pt>
                <c:pt idx="45">
                  <c:v>3.8625700140368022E-2</c:v>
                </c:pt>
                <c:pt idx="46">
                  <c:v>3.8143777931669669E-2</c:v>
                </c:pt>
                <c:pt idx="47">
                  <c:v>3.7547398281126527E-2</c:v>
                </c:pt>
                <c:pt idx="48">
                  <c:v>3.6858169886516925E-2</c:v>
                </c:pt>
                <c:pt idx="49">
                  <c:v>3.6094664352862384E-2</c:v>
                </c:pt>
                <c:pt idx="50">
                  <c:v>3.5272819303142307E-2</c:v>
                </c:pt>
                <c:pt idx="51">
                  <c:v>3.4406287884580881E-2</c:v>
                </c:pt>
                <c:pt idx="52">
                  <c:v>3.3506741966892503E-2</c:v>
                </c:pt>
                <c:pt idx="53">
                  <c:v>3.2584135303247358E-2</c:v>
                </c:pt>
                <c:pt idx="54">
                  <c:v>3.1646932048518456E-2</c:v>
                </c:pt>
                <c:pt idx="55">
                  <c:v>3.0702305279999991E-2</c:v>
                </c:pt>
                <c:pt idx="56">
                  <c:v>2.9756309524204848E-2</c:v>
                </c:pt>
                <c:pt idx="57">
                  <c:v>2.881403074347455E-2</c:v>
                </c:pt>
                <c:pt idx="58">
                  <c:v>2.7879716764378507E-2</c:v>
                </c:pt>
                <c:pt idx="59">
                  <c:v>2.6956890724738999E-2</c:v>
                </c:pt>
                <c:pt idx="60">
                  <c:v>2.6048449767848283E-2</c:v>
                </c:pt>
                <c:pt idx="61">
                  <c:v>2.5156750912774872E-2</c:v>
                </c:pt>
                <c:pt idx="62">
                  <c:v>2.4283685771568735E-2</c:v>
                </c:pt>
                <c:pt idx="63">
                  <c:v>2.3430745561694225E-2</c:v>
                </c:pt>
                <c:pt idx="64">
                  <c:v>2.259907767006716E-2</c:v>
                </c:pt>
                <c:pt idx="65">
                  <c:v>2.1789534859314102E-2</c:v>
                </c:pt>
                <c:pt idx="66">
                  <c:v>2.1002718063613188E-2</c:v>
                </c:pt>
                <c:pt idx="67">
                  <c:v>2.0239013597563724E-2</c:v>
                </c:pt>
                <c:pt idx="68">
                  <c:v>1.9498625494263969E-2</c:v>
                </c:pt>
                <c:pt idx="69">
                  <c:v>1.8781603595850176E-2</c:v>
                </c:pt>
                <c:pt idx="70">
                  <c:v>1.8087867939183565E-2</c:v>
                </c:pt>
                <c:pt idx="71">
                  <c:v>1.7417229909471841E-2</c:v>
                </c:pt>
                <c:pt idx="72">
                  <c:v>1.676941057392306E-2</c:v>
                </c:pt>
                <c:pt idx="73">
                  <c:v>1.614405655480218E-2</c:v>
                </c:pt>
                <c:pt idx="74">
                  <c:v>1.554075375541814E-2</c:v>
                </c:pt>
                <c:pt idx="75">
                  <c:v>1.495903921268992E-2</c:v>
                </c:pt>
                <c:pt idx="76">
                  <c:v>1.439841131522337E-2</c:v>
                </c:pt>
                <c:pt idx="77">
                  <c:v>1.3858338595593137E-2</c:v>
                </c:pt>
                <c:pt idx="78">
                  <c:v>1.3338267279170146E-2</c:v>
                </c:pt>
                <c:pt idx="79">
                  <c:v>1.2837627748855321E-2</c:v>
                </c:pt>
                <c:pt idx="80">
                  <c:v>1.2355840065030722E-2</c:v>
                </c:pt>
                <c:pt idx="81">
                  <c:v>1.1892318662537855E-2</c:v>
                </c:pt>
                <c:pt idx="82">
                  <c:v>1.1446476331208891E-2</c:v>
                </c:pt>
                <c:pt idx="83">
                  <c:v>1.1017727573121597E-2</c:v>
                </c:pt>
                <c:pt idx="84">
                  <c:v>1.0605491418076261E-2</c:v>
                </c:pt>
                <c:pt idx="85">
                  <c:v>1.0209193768584516E-2</c:v>
                </c:pt>
                <c:pt idx="86">
                  <c:v>9.8282693367307394E-3</c:v>
                </c:pt>
                <c:pt idx="87">
                  <c:v>9.4621632274522003E-3</c:v>
                </c:pt>
                <c:pt idx="88">
                  <c:v>9.1103322159432083E-3</c:v>
                </c:pt>
                <c:pt idx="89">
                  <c:v>8.7722457608987985E-3</c:v>
                </c:pt>
                <c:pt idx="90">
                  <c:v>8.4473867900669453E-3</c:v>
                </c:pt>
                <c:pt idx="91">
                  <c:v>8.135252289981439E-3</c:v>
                </c:pt>
                <c:pt idx="92">
                  <c:v>7.8353537277204514E-3</c:v>
                </c:pt>
                <c:pt idx="93">
                  <c:v>7.5472173290051896E-3</c:v>
                </c:pt>
                <c:pt idx="94">
                  <c:v>7.2703842338595259E-3</c:v>
                </c:pt>
                <c:pt idx="95">
                  <c:v>7.0044105483385646E-3</c:v>
                </c:pt>
                <c:pt idx="96">
                  <c:v>6.7488673084566018E-3</c:v>
                </c:pt>
                <c:pt idx="97">
                  <c:v>6.5033403703602466E-3</c:v>
                </c:pt>
                <c:pt idx="98">
                  <c:v>6.2674302389647413E-3</c:v>
                </c:pt>
                <c:pt idx="99">
                  <c:v>6.0407518456698497E-3</c:v>
                </c:pt>
                <c:pt idx="100">
                  <c:v>5.8229342843673683E-3</c:v>
                </c:pt>
                <c:pt idx="101">
                  <c:v>5.6136205137218243E-3</c:v>
                </c:pt>
                <c:pt idx="102">
                  <c:v>5.4124670326280294E-3</c:v>
                </c:pt>
                <c:pt idx="103">
                  <c:v>5.2191435348048244E-3</c:v>
                </c:pt>
                <c:pt idx="104">
                  <c:v>5.0333325476576733E-3</c:v>
                </c:pt>
                <c:pt idx="105">
                  <c:v>4.8547290598193165E-3</c:v>
                </c:pt>
                <c:pt idx="106">
                  <c:v>4.6830401411446648E-3</c:v>
                </c:pt>
                <c:pt idx="107">
                  <c:v>4.5179845583831844E-3</c:v>
                </c:pt>
                <c:pt idx="108">
                  <c:v>4.3592923892683795E-3</c:v>
                </c:pt>
                <c:pt idx="109">
                  <c:v>4.2067046373423615E-3</c:v>
                </c:pt>
                <c:pt idx="110">
                  <c:v>4.0599728494655389E-3</c:v>
                </c:pt>
                <c:pt idx="111">
                  <c:v>3.9188587376409005E-3</c:v>
                </c:pt>
                <c:pt idx="112">
                  <c:v>3.7831338065035642E-3</c:v>
                </c:pt>
                <c:pt idx="113">
                  <c:v>3.6525789875839379E-3</c:v>
                </c:pt>
                <c:pt idx="114">
                  <c:v>3.5269842812425418E-3</c:v>
                </c:pt>
                <c:pt idx="115">
                  <c:v>3.4061484069924748E-3</c:v>
                </c:pt>
                <c:pt idx="116">
                  <c:v>3.2898784627681497E-3</c:v>
                </c:pt>
                <c:pt idx="117">
                  <c:v>3.1779895935631847E-3</c:v>
                </c:pt>
                <c:pt idx="118">
                  <c:v>3.0703046697434944E-3</c:v>
                </c:pt>
                <c:pt idx="119">
                  <c:v>2.9666539752417013E-3</c:v>
                </c:pt>
                <c:pt idx="120">
                  <c:v>2.8668749057532161E-3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5D-454C-90A0-91519311A8DF}"/>
            </c:ext>
          </c:extLst>
        </c:ser>
        <c:ser>
          <c:idx val="9"/>
          <c:order val="9"/>
          <c:tx>
            <c:strRef>
              <c:f>'force-strain'!$K$2</c:f>
              <c:strCache>
                <c:ptCount val="1"/>
                <c:pt idx="0">
                  <c:v>il-a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'force-strain'!$K$3:$K$123</c:f>
              <c:numCache>
                <c:formatCode>General</c:formatCode>
                <c:ptCount val="121"/>
                <c:pt idx="0">
                  <c:v>-1.3955204974436561</c:v>
                </c:pt>
                <c:pt idx="1">
                  <c:v>-1.1834856408224252</c:v>
                </c:pt>
                <c:pt idx="2">
                  <c:v>-1.0044354095159891</c:v>
                </c:pt>
                <c:pt idx="3">
                  <c:v>-0.85300539071193715</c:v>
                </c:pt>
                <c:pt idx="4">
                  <c:v>-0.72474877325437725</c:v>
                </c:pt>
                <c:pt idx="5">
                  <c:v>-0.615971142610374</c:v>
                </c:pt>
                <c:pt idx="6">
                  <c:v>-0.52359653984173116</c:v>
                </c:pt>
                <c:pt idx="7">
                  <c:v>-0.44505857901142842</c:v>
                </c:pt>
                <c:pt idx="8">
                  <c:v>-0.3782117062440794</c:v>
                </c:pt>
                <c:pt idx="9">
                  <c:v>-0.32125869307732552</c:v>
                </c:pt>
                <c:pt idx="10">
                  <c:v>-0.27269124984741111</c:v>
                </c:pt>
                <c:pt idx="11">
                  <c:v>-0.23124126991877833</c:v>
                </c:pt>
                <c:pt idx="12">
                  <c:v>-0.1958407096730633</c:v>
                </c:pt>
                <c:pt idx="13">
                  <c:v>-0.16558850089406543</c:v>
                </c:pt>
                <c:pt idx="14">
                  <c:v>-0.13972320361852805</c:v>
                </c:pt>
                <c:pt idx="15">
                  <c:v>-0.11760035580821807</c:v>
                </c:pt>
                <c:pt idx="16">
                  <c:v>-9.8673674673818657E-2</c:v>
                </c:pt>
                <c:pt idx="17">
                  <c:v>-8.2479423554699297E-2</c:v>
                </c:pt>
                <c:pt idx="18">
                  <c:v>-6.8623386078742979E-2</c:v>
                </c:pt>
                <c:pt idx="19">
                  <c:v>-5.6769992289579026E-2</c:v>
                </c:pt>
                <c:pt idx="20">
                  <c:v>-4.6633224570284945E-2</c:v>
                </c:pt>
                <c:pt idx="21">
                  <c:v>-3.7968998487924725E-2</c:v>
                </c:pt>
                <c:pt idx="22">
                  <c:v>-3.0568768278458357E-2</c:v>
                </c:pt>
                <c:pt idx="23">
                  <c:v>-2.42541510833604E-2</c:v>
                </c:pt>
                <c:pt idx="24">
                  <c:v>-1.8872400224196034E-2</c:v>
                </c:pt>
                <c:pt idx="25">
                  <c:v>-1.4292587343759794E-2</c:v>
                </c:pt>
                <c:pt idx="26">
                  <c:v>-1.0402377418921275E-2</c:v>
                </c:pt>
                <c:pt idx="27">
                  <c:v>-7.1053004762163261E-3</c:v>
                </c:pt>
                <c:pt idx="28">
                  <c:v>-4.3184401319643828E-3</c:v>
                </c:pt>
                <c:pt idx="29">
                  <c:v>-1.9704724908248968E-3</c:v>
                </c:pt>
                <c:pt idx="30">
                  <c:v>1.1437992978291498E-17</c:v>
                </c:pt>
                <c:pt idx="31">
                  <c:v>1.6458660008491399E-3</c:v>
                </c:pt>
                <c:pt idx="32">
                  <c:v>3.0127127243255378E-3</c:v>
                </c:pt>
                <c:pt idx="33">
                  <c:v>4.1398557867977246E-3</c:v>
                </c:pt>
                <c:pt idx="34">
                  <c:v>5.0612186625758667E-3</c:v>
                </c:pt>
                <c:pt idx="35">
                  <c:v>5.8060845953617464E-3</c:v>
                </c:pt>
                <c:pt idx="36">
                  <c:v>6.399740202433093E-3</c:v>
                </c:pt>
                <c:pt idx="37">
                  <c:v>6.8640269849924024E-3</c:v>
                </c:pt>
                <c:pt idx="38">
                  <c:v>7.217814430646975E-3</c:v>
                </c:pt>
                <c:pt idx="39">
                  <c:v>7.4774062768576963E-3</c:v>
                </c:pt>
                <c:pt idx="40">
                  <c:v>7.6568897280705041E-3</c:v>
                </c:pt>
                <c:pt idx="41">
                  <c:v>7.7684359269801677E-3</c:v>
                </c:pt>
                <c:pt idx="42">
                  <c:v>7.822558724771847E-3</c:v>
                </c:pt>
                <c:pt idx="43">
                  <c:v>7.8283377372009907E-3</c:v>
                </c:pt>
                <c:pt idx="44">
                  <c:v>7.7936107806581122E-3</c:v>
                </c:pt>
                <c:pt idx="45">
                  <c:v>7.7251400280736035E-3</c:v>
                </c:pt>
                <c:pt idx="46">
                  <c:v>7.6287555863339337E-3</c:v>
                </c:pt>
                <c:pt idx="47">
                  <c:v>7.5094796562253053E-3</c:v>
                </c:pt>
                <c:pt idx="48">
                  <c:v>7.3716339773033848E-3</c:v>
                </c:pt>
                <c:pt idx="49">
                  <c:v>7.2189328705724769E-3</c:v>
                </c:pt>
                <c:pt idx="50">
                  <c:v>7.0545638606284607E-3</c:v>
                </c:pt>
                <c:pt idx="51">
                  <c:v>6.8812575769161763E-3</c:v>
                </c:pt>
                <c:pt idx="52">
                  <c:v>6.7013483933785001E-3</c:v>
                </c:pt>
                <c:pt idx="53">
                  <c:v>6.5168270606494718E-3</c:v>
                </c:pt>
                <c:pt idx="54">
                  <c:v>6.3293864097036913E-3</c:v>
                </c:pt>
                <c:pt idx="55">
                  <c:v>6.1404610559999979E-3</c:v>
                </c:pt>
                <c:pt idx="56">
                  <c:v>5.9512619048409697E-3</c:v>
                </c:pt>
                <c:pt idx="57">
                  <c:v>5.7628061486949093E-3</c:v>
                </c:pt>
                <c:pt idx="58">
                  <c:v>5.5759433528757016E-3</c:v>
                </c:pt>
                <c:pt idx="59">
                  <c:v>5.3913781449477999E-3</c:v>
                </c:pt>
                <c:pt idx="60">
                  <c:v>5.2096899535696564E-3</c:v>
                </c:pt>
                <c:pt idx="61">
                  <c:v>5.0313501825549741E-3</c:v>
                </c:pt>
                <c:pt idx="62">
                  <c:v>4.8567371543137474E-3</c:v>
                </c:pt>
                <c:pt idx="63">
                  <c:v>4.6861491123388445E-3</c:v>
                </c:pt>
                <c:pt idx="64">
                  <c:v>4.5198155340134315E-3</c:v>
                </c:pt>
                <c:pt idx="65">
                  <c:v>4.3579069718628159E-3</c:v>
                </c:pt>
                <c:pt idx="66">
                  <c:v>4.2005436127226375E-3</c:v>
                </c:pt>
                <c:pt idx="67">
                  <c:v>4.047802719512745E-3</c:v>
                </c:pt>
                <c:pt idx="68">
                  <c:v>3.899725098852789E-3</c:v>
                </c:pt>
                <c:pt idx="69">
                  <c:v>3.7563207191700352E-3</c:v>
                </c:pt>
                <c:pt idx="70">
                  <c:v>3.6175735878367127E-3</c:v>
                </c:pt>
                <c:pt idx="71">
                  <c:v>3.4834459818943683E-3</c:v>
                </c:pt>
                <c:pt idx="72">
                  <c:v>3.3538821147846122E-3</c:v>
                </c:pt>
                <c:pt idx="73">
                  <c:v>3.2288113109604339E-3</c:v>
                </c:pt>
                <c:pt idx="74">
                  <c:v>3.1081507510836307E-3</c:v>
                </c:pt>
                <c:pt idx="75">
                  <c:v>2.9918078425379838E-3</c:v>
                </c:pt>
                <c:pt idx="76">
                  <c:v>2.8796822630446739E-3</c:v>
                </c:pt>
                <c:pt idx="77">
                  <c:v>2.7716677191186303E-3</c:v>
                </c:pt>
                <c:pt idx="78">
                  <c:v>2.6676534558340318E-3</c:v>
                </c:pt>
                <c:pt idx="79">
                  <c:v>2.5675255497710639E-3</c:v>
                </c:pt>
                <c:pt idx="80">
                  <c:v>2.4711680130061441E-3</c:v>
                </c:pt>
                <c:pt idx="81">
                  <c:v>2.3784637325075706E-3</c:v>
                </c:pt>
                <c:pt idx="82">
                  <c:v>2.289295266241778E-3</c:v>
                </c:pt>
                <c:pt idx="83">
                  <c:v>2.2035455146243196E-3</c:v>
                </c:pt>
                <c:pt idx="84">
                  <c:v>2.121098283615252E-3</c:v>
                </c:pt>
                <c:pt idx="85">
                  <c:v>2.0418387537169034E-3</c:v>
                </c:pt>
                <c:pt idx="86">
                  <c:v>1.965653867346148E-3</c:v>
                </c:pt>
                <c:pt idx="87">
                  <c:v>1.8924326454904401E-3</c:v>
                </c:pt>
                <c:pt idx="88">
                  <c:v>1.8220664431886418E-3</c:v>
                </c:pt>
                <c:pt idx="89">
                  <c:v>1.7544491521797596E-3</c:v>
                </c:pt>
                <c:pt idx="90">
                  <c:v>1.6894773580133891E-3</c:v>
                </c:pt>
                <c:pt idx="91">
                  <c:v>1.6270504579962877E-3</c:v>
                </c:pt>
                <c:pt idx="92">
                  <c:v>1.5670707455440888E-3</c:v>
                </c:pt>
                <c:pt idx="93">
                  <c:v>1.5094434658010378E-3</c:v>
                </c:pt>
                <c:pt idx="94">
                  <c:v>1.454076846771907E-3</c:v>
                </c:pt>
                <c:pt idx="95">
                  <c:v>1.4008821096677128E-3</c:v>
                </c:pt>
                <c:pt idx="96">
                  <c:v>1.3497734616913204E-3</c:v>
                </c:pt>
                <c:pt idx="97">
                  <c:v>1.3006680740720493E-3</c:v>
                </c:pt>
                <c:pt idx="98">
                  <c:v>1.2534860477929483E-3</c:v>
                </c:pt>
                <c:pt idx="99">
                  <c:v>1.20815036913397E-3</c:v>
                </c:pt>
                <c:pt idx="100">
                  <c:v>1.1645868568734737E-3</c:v>
                </c:pt>
                <c:pt idx="101">
                  <c:v>1.1227241027443647E-3</c:v>
                </c:pt>
                <c:pt idx="102">
                  <c:v>1.0824934065256058E-3</c:v>
                </c:pt>
                <c:pt idx="103">
                  <c:v>1.0438287069609649E-3</c:v>
                </c:pt>
                <c:pt idx="104">
                  <c:v>1.0066665095315346E-3</c:v>
                </c:pt>
                <c:pt idx="105">
                  <c:v>9.7094581196386319E-4</c:v>
                </c:pt>
                <c:pt idx="106">
                  <c:v>9.3660802822893331E-4</c:v>
                </c:pt>
                <c:pt idx="107">
                  <c:v>9.0359691167663685E-4</c:v>
                </c:pt>
                <c:pt idx="108">
                  <c:v>8.7185847785367513E-4</c:v>
                </c:pt>
                <c:pt idx="109">
                  <c:v>8.4134092746847289E-4</c:v>
                </c:pt>
                <c:pt idx="110">
                  <c:v>8.1199456989310853E-4</c:v>
                </c:pt>
                <c:pt idx="111">
                  <c:v>7.8377174752818004E-4</c:v>
                </c:pt>
                <c:pt idx="112">
                  <c:v>7.5662676130071208E-4</c:v>
                </c:pt>
                <c:pt idx="113">
                  <c:v>7.3051579751678758E-4</c:v>
                </c:pt>
                <c:pt idx="114">
                  <c:v>7.0539685624850901E-4</c:v>
                </c:pt>
                <c:pt idx="115">
                  <c:v>6.8122968139849491E-4</c:v>
                </c:pt>
                <c:pt idx="116">
                  <c:v>6.5797569255362988E-4</c:v>
                </c:pt>
                <c:pt idx="117">
                  <c:v>6.3559791871263744E-4</c:v>
                </c:pt>
                <c:pt idx="118">
                  <c:v>6.1406093394869945E-4</c:v>
                </c:pt>
                <c:pt idx="119">
                  <c:v>5.933307950483403E-4</c:v>
                </c:pt>
                <c:pt idx="120">
                  <c:v>5.733749811506427E-4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5D-454C-90A0-91519311A8DF}"/>
            </c:ext>
          </c:extLst>
        </c:ser>
        <c:ser>
          <c:idx val="10"/>
          <c:order val="10"/>
          <c:tx>
            <c:strRef>
              <c:f>'force-strain'!$L$2</c:f>
              <c:strCache>
                <c:ptCount val="1"/>
                <c:pt idx="0">
                  <c:v>il-b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'force-strain'!$L$3:$L$123</c:f>
              <c:numCache>
                <c:formatCode>General</c:formatCode>
                <c:ptCount val="121"/>
                <c:pt idx="0">
                  <c:v>-2.4275599452609015E-2</c:v>
                </c:pt>
                <c:pt idx="1">
                  <c:v>-2.1988335339967548E-2</c:v>
                </c:pt>
                <c:pt idx="2">
                  <c:v>-1.9911958712255932E-2</c:v>
                </c:pt>
                <c:pt idx="3">
                  <c:v>-1.8025426679029309E-2</c:v>
                </c:pt>
                <c:pt idx="4">
                  <c:v>-1.6310000884431772E-2</c:v>
                </c:pt>
                <c:pt idx="5">
                  <c:v>-1.4748971193415623E-2</c:v>
                </c:pt>
                <c:pt idx="6">
                  <c:v>-1.3327415422404353E-2</c:v>
                </c:pt>
                <c:pt idx="7">
                  <c:v>-1.2031990033551831E-2</c:v>
                </c:pt>
                <c:pt idx="8">
                  <c:v>-1.0850747480728515E-2</c:v>
                </c:pt>
                <c:pt idx="9">
                  <c:v>-9.7729765401027291E-3</c:v>
                </c:pt>
                <c:pt idx="10">
                  <c:v>-8.7890624999999931E-3</c:v>
                </c:pt>
                <c:pt idx="11">
                  <c:v>-7.8903645410681456E-3</c:v>
                </c:pt>
                <c:pt idx="12">
                  <c:v>-7.069108022970636E-3</c:v>
                </c:pt>
                <c:pt idx="13">
                  <c:v>-6.3182897196625773E-3</c:v>
                </c:pt>
                <c:pt idx="14">
                  <c:v>-5.6315943214920406E-3</c:v>
                </c:pt>
                <c:pt idx="15">
                  <c:v>-5.0033207569494653E-3</c:v>
                </c:pt>
                <c:pt idx="16">
                  <c:v>-4.4283170865227024E-3</c:v>
                </c:pt>
                <c:pt idx="17">
                  <c:v>-3.9019228913358037E-3</c:v>
                </c:pt>
                <c:pt idx="18">
                  <c:v>-3.4199182246617463E-3</c:v>
                </c:pt>
                <c:pt idx="19">
                  <c:v>-2.9784783188471289E-3</c:v>
                </c:pt>
                <c:pt idx="20">
                  <c:v>-2.5741333468813966E-3</c:v>
                </c:pt>
                <c:pt idx="21">
                  <c:v>-2.2037326294779623E-3</c:v>
                </c:pt>
                <c:pt idx="22">
                  <c:v>-1.8644127573685819E-3</c:v>
                </c:pt>
                <c:pt idx="23">
                  <c:v>-1.5535691664466007E-3</c:v>
                </c:pt>
                <c:pt idx="24">
                  <c:v>-1.2688307620317986E-3</c:v>
                </c:pt>
                <c:pt idx="25">
                  <c:v>-1.0080372392218498E-3</c:v>
                </c:pt>
                <c:pt idx="26">
                  <c:v>-7.6921879018775313E-4</c:v>
                </c:pt>
                <c:pt idx="27">
                  <c:v>-5.5057792733272733E-4</c:v>
                </c:pt>
                <c:pt idx="28">
                  <c:v>-3.5047318428949986E-4</c:v>
                </c:pt>
                <c:pt idx="29">
                  <c:v>-1.6740448547988347E-4</c:v>
                </c:pt>
                <c:pt idx="30">
                  <c:v>2.5121479338940404E-18</c:v>
                </c:pt>
                <c:pt idx="31">
                  <c:v>1.5299568256716621E-4</c:v>
                </c:pt>
                <c:pt idx="32">
                  <c:v>2.9273219773703001E-4</c:v>
                </c:pt>
                <c:pt idx="33">
                  <c:v>4.202629997519677E-4</c:v>
                </c:pt>
                <c:pt idx="34">
                  <c:v>5.3655401529250572E-4</c:v>
                </c:pt>
                <c:pt idx="35">
                  <c:v>6.4249145650413812E-4</c:v>
                </c:pt>
                <c:pt idx="36">
                  <c:v>7.3888888132995904E-4</c:v>
                </c:pt>
                <c:pt idx="37">
                  <c:v>8.2649357925746987E-4</c:v>
                </c:pt>
                <c:pt idx="38">
                  <c:v>9.0599235189133302E-4</c:v>
                </c:pt>
                <c:pt idx="39">
                  <c:v>9.780167501017515E-4</c:v>
                </c:pt>
                <c:pt idx="40">
                  <c:v>1.0431478227393811E-3</c:v>
                </c:pt>
                <c:pt idx="41">
                  <c:v>1.1019204259391316E-3</c:v>
                </c:pt>
                <c:pt idx="42">
                  <c:v>1.1548271367584936E-3</c:v>
                </c:pt>
                <c:pt idx="43">
                  <c:v>1.2023218102259782E-3</c:v>
                </c:pt>
                <c:pt idx="44">
                  <c:v>1.244822814737606E-3</c:v>
                </c:pt>
                <c:pt idx="45">
                  <c:v>1.2827159770695885E-3</c:v>
                </c:pt>
                <c:pt idx="46">
                  <c:v>1.3163572650171868E-3</c:v>
                </c:pt>
                <c:pt idx="47">
                  <c:v>1.346075232774102E-3</c:v>
                </c:pt>
                <c:pt idx="48">
                  <c:v>1.3721732515906556E-3</c:v>
                </c:pt>
                <c:pt idx="49">
                  <c:v>1.3949315459551349E-3</c:v>
                </c:pt>
                <c:pt idx="50">
                  <c:v>1.4146090534979435E-3</c:v>
                </c:pt>
                <c:pt idx="51">
                  <c:v>1.4314451249939659E-3</c:v>
                </c:pt>
                <c:pt idx="52">
                  <c:v>1.4456610792094864E-3</c:v>
                </c:pt>
                <c:pt idx="53">
                  <c:v>1.4574616258838781E-3</c:v>
                </c:pt>
                <c:pt idx="54">
                  <c:v>1.4670361688336479E-3</c:v>
                </c:pt>
                <c:pt idx="55">
                  <c:v>1.47456E-3</c:v>
                </c:pt>
                <c:pt idx="56">
                  <c:v>1.4801953942157494E-3</c:v>
                </c:pt>
                <c:pt idx="57">
                  <c:v>1.4840926135298721E-3</c:v>
                </c:pt>
                <c:pt idx="58">
                  <c:v>1.4863908290863039E-3</c:v>
                </c:pt>
                <c:pt idx="59">
                  <c:v>1.4872189677974281E-3</c:v>
                </c:pt>
                <c:pt idx="60">
                  <c:v>1.4866964903728322E-3</c:v>
                </c:pt>
                <c:pt idx="61">
                  <c:v>1.4849341066520585E-3</c:v>
                </c:pt>
                <c:pt idx="62">
                  <c:v>1.482034433639136E-3</c:v>
                </c:pt>
                <c:pt idx="63">
                  <c:v>1.4780926011401037E-3</c:v>
                </c:pt>
                <c:pt idx="64">
                  <c:v>1.4731968094568589E-3</c:v>
                </c:pt>
                <c:pt idx="65">
                  <c:v>1.4674288431864532E-3</c:v>
                </c:pt>
                <c:pt idx="66">
                  <c:v>1.4608645448097942E-3</c:v>
                </c:pt>
                <c:pt idx="67">
                  <c:v>1.4535742514236866E-3</c:v>
                </c:pt>
                <c:pt idx="68">
                  <c:v>1.4456231976715962E-3</c:v>
                </c:pt>
                <c:pt idx="69">
                  <c:v>1.4370718876582941E-3</c:v>
                </c:pt>
                <c:pt idx="70">
                  <c:v>1.4279764383887668E-3</c:v>
                </c:pt>
                <c:pt idx="71">
                  <c:v>1.4183888970499094E-3</c:v>
                </c:pt>
                <c:pt idx="72">
                  <c:v>1.4083575342523067E-3</c:v>
                </c:pt>
                <c:pt idx="73">
                  <c:v>1.3979271151667524E-3</c:v>
                </c:pt>
                <c:pt idx="74">
                  <c:v>1.3871391503243069E-3</c:v>
                </c:pt>
                <c:pt idx="75">
                  <c:v>1.3760321276979656E-3</c:v>
                </c:pt>
                <c:pt idx="76">
                  <c:v>1.3646417275469365E-3</c:v>
                </c:pt>
                <c:pt idx="77">
                  <c:v>1.3530010213798325E-3</c:v>
                </c:pt>
                <c:pt idx="78">
                  <c:v>1.341140656279537E-3</c:v>
                </c:pt>
                <c:pt idx="79">
                  <c:v>1.3290890257290726E-3</c:v>
                </c:pt>
                <c:pt idx="80">
                  <c:v>1.3168724279835388E-3</c:v>
                </c:pt>
                <c:pt idx="81">
                  <c:v>1.3045152129471818E-3</c:v>
                </c:pt>
                <c:pt idx="82">
                  <c:v>1.2920399184362173E-3</c:v>
                </c:pt>
                <c:pt idx="83">
                  <c:v>1.2794673966363748E-3</c:v>
                </c:pt>
                <c:pt idx="84">
                  <c:v>1.2668169314986868E-3</c:v>
                </c:pt>
                <c:pt idx="85">
                  <c:v>1.2541063477572209E-3</c:v>
                </c:pt>
                <c:pt idx="86">
                  <c:v>1.2413521121977485E-3</c:v>
                </c:pt>
                <c:pt idx="87">
                  <c:v>1.2285694277562635E-3</c:v>
                </c:pt>
                <c:pt idx="88">
                  <c:v>1.2157723209804577E-3</c:v>
                </c:pt>
                <c:pt idx="89">
                  <c:v>1.2029737233452478E-3</c:v>
                </c:pt>
                <c:pt idx="90">
                  <c:v>1.1901855468749993E-3</c:v>
                </c:pt>
                <c:pt idx="91">
                  <c:v>1.1774187544898061E-3</c:v>
                </c:pt>
                <c:pt idx="92">
                  <c:v>1.1646834254608099E-3</c:v>
                </c:pt>
                <c:pt idx="93">
                  <c:v>1.1519888163298779E-3</c:v>
                </c:pt>
                <c:pt idx="94">
                  <c:v>1.1393434176216427E-3</c:v>
                </c:pt>
                <c:pt idx="95">
                  <c:v>1.1267550066508846E-3</c:v>
                </c:pt>
                <c:pt idx="96">
                  <c:v>1.1142306967052019E-3</c:v>
                </c:pt>
                <c:pt idx="97">
                  <c:v>1.1017769828617319E-3</c:v>
                </c:pt>
                <c:pt idx="98">
                  <c:v>1.0893997846772149E-3</c:v>
                </c:pt>
                <c:pt idx="99">
                  <c:v>1.0771044859727806E-3</c:v>
                </c:pt>
                <c:pt idx="100">
                  <c:v>1.0648959719182984E-3</c:v>
                </c:pt>
                <c:pt idx="101">
                  <c:v>1.0527786636059606E-3</c:v>
                </c:pt>
                <c:pt idx="102">
                  <c:v>1.0407565502887472E-3</c:v>
                </c:pt>
                <c:pt idx="103">
                  <c:v>1.0288332194464918E-3</c:v>
                </c:pt>
                <c:pt idx="104">
                  <c:v>1.0170118848303786E-3</c:v>
                </c:pt>
                <c:pt idx="105">
                  <c:v>1.005295412625691E-3</c:v>
                </c:pt>
                <c:pt idx="106">
                  <c:v>9.9368634586249004E-4</c:v>
                </c:pt>
                <c:pt idx="107">
                  <c:v>9.8218692719454262E-4</c:v>
                </c:pt>
                <c:pt idx="108">
                  <c:v>9.7079912015814889E-4</c:v>
                </c:pt>
                <c:pt idx="109">
                  <c:v>9.5952462901453893E-4</c:v>
                </c:pt>
                <c:pt idx="110">
                  <c:v>9.4836491727209567E-4</c:v>
                </c:pt>
                <c:pt idx="111">
                  <c:v>9.3732122497783722E-4</c:v>
                </c:pt>
                <c:pt idx="112">
                  <c:v>9.2639458486126563E-4</c:v>
                </c:pt>
                <c:pt idx="113">
                  <c:v>9.1558583740782126E-4</c:v>
                </c:pt>
                <c:pt idx="114">
                  <c:v>9.0489564493377616E-4</c:v>
                </c:pt>
                <c:pt idx="115">
                  <c:v>8.9432450472937326E-4</c:v>
                </c:pt>
                <c:pt idx="116">
                  <c:v>8.8387276133236299E-4</c:v>
                </c:pt>
                <c:pt idx="117">
                  <c:v>8.7354061798978555E-4</c:v>
                </c:pt>
                <c:pt idx="118">
                  <c:v>8.6332814736184702E-4</c:v>
                </c:pt>
                <c:pt idx="119">
                  <c:v>8.5323530151802847E-4</c:v>
                </c:pt>
                <c:pt idx="120">
                  <c:v>8.4326192127212954E-4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5D-454C-90A0-91519311A8DF}"/>
            </c:ext>
          </c:extLst>
        </c:ser>
        <c:ser>
          <c:idx val="11"/>
          <c:order val="11"/>
          <c:tx>
            <c:strRef>
              <c:f>'force-strain'!$M$2</c:f>
              <c:strCache>
                <c:ptCount val="1"/>
                <c:pt idx="0">
                  <c:v>ol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'force-strain'!$A$3:$A$123</c:f>
              <c:numCache>
                <c:formatCode>General</c:formatCode>
                <c:ptCount val="121"/>
                <c:pt idx="0">
                  <c:v>-0.3</c:v>
                </c:pt>
                <c:pt idx="1">
                  <c:v>-0.28999999999999998</c:v>
                </c:pt>
                <c:pt idx="2">
                  <c:v>-0.27999999999999997</c:v>
                </c:pt>
                <c:pt idx="3">
                  <c:v>-0.26999999999999996</c:v>
                </c:pt>
                <c:pt idx="4">
                  <c:v>-0.25999999999999995</c:v>
                </c:pt>
                <c:pt idx="5">
                  <c:v>-0.24999999999999994</c:v>
                </c:pt>
                <c:pt idx="6">
                  <c:v>-0.23999999999999994</c:v>
                </c:pt>
                <c:pt idx="7">
                  <c:v>-0.22999999999999993</c:v>
                </c:pt>
                <c:pt idx="8">
                  <c:v>-0.21999999999999992</c:v>
                </c:pt>
                <c:pt idx="9">
                  <c:v>-0.20999999999999991</c:v>
                </c:pt>
                <c:pt idx="10">
                  <c:v>-0.1999999999999999</c:v>
                </c:pt>
                <c:pt idx="11">
                  <c:v>-0.18999999999999989</c:v>
                </c:pt>
                <c:pt idx="12">
                  <c:v>-0.17999999999999988</c:v>
                </c:pt>
                <c:pt idx="13">
                  <c:v>-0.16999999999999987</c:v>
                </c:pt>
                <c:pt idx="14">
                  <c:v>-0.15999999999999986</c:v>
                </c:pt>
                <c:pt idx="15">
                  <c:v>-0.14999999999999986</c:v>
                </c:pt>
                <c:pt idx="16">
                  <c:v>-0.13999999999999985</c:v>
                </c:pt>
                <c:pt idx="17">
                  <c:v>-0.12999999999999984</c:v>
                </c:pt>
                <c:pt idx="18">
                  <c:v>-0.11999999999999984</c:v>
                </c:pt>
                <c:pt idx="19">
                  <c:v>-0.10999999999999985</c:v>
                </c:pt>
                <c:pt idx="20">
                  <c:v>-9.9999999999999853E-2</c:v>
                </c:pt>
                <c:pt idx="21">
                  <c:v>-8.9999999999999858E-2</c:v>
                </c:pt>
                <c:pt idx="22">
                  <c:v>-7.9999999999999863E-2</c:v>
                </c:pt>
                <c:pt idx="23">
                  <c:v>-6.9999999999999868E-2</c:v>
                </c:pt>
                <c:pt idx="24">
                  <c:v>-5.9999999999999866E-2</c:v>
                </c:pt>
                <c:pt idx="25">
                  <c:v>-4.9999999999999864E-2</c:v>
                </c:pt>
                <c:pt idx="26">
                  <c:v>-3.9999999999999862E-2</c:v>
                </c:pt>
                <c:pt idx="27">
                  <c:v>-2.999999999999986E-2</c:v>
                </c:pt>
                <c:pt idx="28">
                  <c:v>-1.9999999999999858E-2</c:v>
                </c:pt>
                <c:pt idx="29">
                  <c:v>-9.999999999999858E-3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6.0000000000000005E-2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9.9999999999999992E-2</c:v>
                </c:pt>
                <c:pt idx="41">
                  <c:v>0.10999999999999999</c:v>
                </c:pt>
                <c:pt idx="42">
                  <c:v>0.11999999999999998</c:v>
                </c:pt>
                <c:pt idx="43">
                  <c:v>0.12999999999999998</c:v>
                </c:pt>
                <c:pt idx="44">
                  <c:v>0.13999999999999999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0.18000000000000002</c:v>
                </c:pt>
                <c:pt idx="49">
                  <c:v>0.19000000000000003</c:v>
                </c:pt>
                <c:pt idx="50">
                  <c:v>0.20000000000000004</c:v>
                </c:pt>
                <c:pt idx="51">
                  <c:v>0.21000000000000005</c:v>
                </c:pt>
                <c:pt idx="52">
                  <c:v>0.22000000000000006</c:v>
                </c:pt>
                <c:pt idx="53">
                  <c:v>0.23000000000000007</c:v>
                </c:pt>
                <c:pt idx="54">
                  <c:v>0.24000000000000007</c:v>
                </c:pt>
                <c:pt idx="55">
                  <c:v>0.25000000000000006</c:v>
                </c:pt>
                <c:pt idx="56">
                  <c:v>0.26000000000000006</c:v>
                </c:pt>
                <c:pt idx="57">
                  <c:v>0.27000000000000007</c:v>
                </c:pt>
                <c:pt idx="58">
                  <c:v>0.28000000000000008</c:v>
                </c:pt>
                <c:pt idx="59">
                  <c:v>0.29000000000000009</c:v>
                </c:pt>
                <c:pt idx="60">
                  <c:v>0.3000000000000001</c:v>
                </c:pt>
                <c:pt idx="61">
                  <c:v>0.31000000000000011</c:v>
                </c:pt>
                <c:pt idx="62">
                  <c:v>0.32000000000000012</c:v>
                </c:pt>
                <c:pt idx="63">
                  <c:v>0.33000000000000013</c:v>
                </c:pt>
                <c:pt idx="64">
                  <c:v>0.34000000000000014</c:v>
                </c:pt>
                <c:pt idx="65">
                  <c:v>0.35000000000000014</c:v>
                </c:pt>
                <c:pt idx="66">
                  <c:v>0.36000000000000015</c:v>
                </c:pt>
                <c:pt idx="67">
                  <c:v>0.37000000000000016</c:v>
                </c:pt>
                <c:pt idx="68">
                  <c:v>0.38000000000000017</c:v>
                </c:pt>
                <c:pt idx="69">
                  <c:v>0.39000000000000018</c:v>
                </c:pt>
                <c:pt idx="70">
                  <c:v>0.40000000000000019</c:v>
                </c:pt>
                <c:pt idx="71">
                  <c:v>0.4100000000000002</c:v>
                </c:pt>
                <c:pt idx="72">
                  <c:v>0.42000000000000021</c:v>
                </c:pt>
                <c:pt idx="73">
                  <c:v>0.43000000000000022</c:v>
                </c:pt>
                <c:pt idx="74">
                  <c:v>0.44000000000000022</c:v>
                </c:pt>
                <c:pt idx="75">
                  <c:v>0.45000000000000023</c:v>
                </c:pt>
                <c:pt idx="76">
                  <c:v>0.46000000000000024</c:v>
                </c:pt>
                <c:pt idx="77">
                  <c:v>0.47000000000000025</c:v>
                </c:pt>
                <c:pt idx="78">
                  <c:v>0.48000000000000026</c:v>
                </c:pt>
                <c:pt idx="79">
                  <c:v>0.49000000000000027</c:v>
                </c:pt>
                <c:pt idx="80">
                  <c:v>0.50000000000000022</c:v>
                </c:pt>
                <c:pt idx="81">
                  <c:v>0.51000000000000023</c:v>
                </c:pt>
                <c:pt idx="82">
                  <c:v>0.52000000000000024</c:v>
                </c:pt>
                <c:pt idx="83">
                  <c:v>0.53000000000000025</c:v>
                </c:pt>
                <c:pt idx="84">
                  <c:v>0.54000000000000026</c:v>
                </c:pt>
                <c:pt idx="85">
                  <c:v>0.55000000000000027</c:v>
                </c:pt>
                <c:pt idx="86">
                  <c:v>0.56000000000000028</c:v>
                </c:pt>
                <c:pt idx="87">
                  <c:v>0.57000000000000028</c:v>
                </c:pt>
                <c:pt idx="88">
                  <c:v>0.58000000000000029</c:v>
                </c:pt>
                <c:pt idx="89">
                  <c:v>0.5900000000000003</c:v>
                </c:pt>
                <c:pt idx="90">
                  <c:v>0.60000000000000031</c:v>
                </c:pt>
                <c:pt idx="91">
                  <c:v>0.61000000000000032</c:v>
                </c:pt>
                <c:pt idx="92">
                  <c:v>0.62000000000000033</c:v>
                </c:pt>
                <c:pt idx="93">
                  <c:v>0.63000000000000034</c:v>
                </c:pt>
                <c:pt idx="94">
                  <c:v>0.64000000000000035</c:v>
                </c:pt>
                <c:pt idx="95">
                  <c:v>0.65000000000000036</c:v>
                </c:pt>
                <c:pt idx="96">
                  <c:v>0.66000000000000036</c:v>
                </c:pt>
                <c:pt idx="97">
                  <c:v>0.67000000000000037</c:v>
                </c:pt>
                <c:pt idx="98">
                  <c:v>0.68000000000000038</c:v>
                </c:pt>
                <c:pt idx="99">
                  <c:v>0.69000000000000039</c:v>
                </c:pt>
                <c:pt idx="100">
                  <c:v>0.7000000000000004</c:v>
                </c:pt>
                <c:pt idx="101">
                  <c:v>0.71000000000000041</c:v>
                </c:pt>
                <c:pt idx="102">
                  <c:v>0.72000000000000042</c:v>
                </c:pt>
                <c:pt idx="103">
                  <c:v>0.73000000000000043</c:v>
                </c:pt>
                <c:pt idx="104">
                  <c:v>0.74000000000000044</c:v>
                </c:pt>
                <c:pt idx="105">
                  <c:v>0.75000000000000044</c:v>
                </c:pt>
                <c:pt idx="106">
                  <c:v>0.76000000000000045</c:v>
                </c:pt>
                <c:pt idx="107">
                  <c:v>0.77000000000000046</c:v>
                </c:pt>
                <c:pt idx="108">
                  <c:v>0.78000000000000047</c:v>
                </c:pt>
                <c:pt idx="109">
                  <c:v>0.79000000000000048</c:v>
                </c:pt>
                <c:pt idx="110">
                  <c:v>0.80000000000000049</c:v>
                </c:pt>
                <c:pt idx="111">
                  <c:v>0.8100000000000005</c:v>
                </c:pt>
                <c:pt idx="112">
                  <c:v>0.82000000000000051</c:v>
                </c:pt>
                <c:pt idx="113">
                  <c:v>0.83000000000000052</c:v>
                </c:pt>
                <c:pt idx="114">
                  <c:v>0.84000000000000052</c:v>
                </c:pt>
                <c:pt idx="115">
                  <c:v>0.85000000000000053</c:v>
                </c:pt>
                <c:pt idx="116">
                  <c:v>0.86000000000000054</c:v>
                </c:pt>
                <c:pt idx="117">
                  <c:v>0.87000000000000055</c:v>
                </c:pt>
                <c:pt idx="118">
                  <c:v>0.88000000000000056</c:v>
                </c:pt>
                <c:pt idx="119">
                  <c:v>0.89000000000000057</c:v>
                </c:pt>
                <c:pt idx="120">
                  <c:v>0.90000000000000058</c:v>
                </c:pt>
              </c:numCache>
            </c:numRef>
          </c:cat>
          <c:val>
            <c:numRef>
              <c:f>'force-strain'!$M$3:$M$123</c:f>
              <c:numCache>
                <c:formatCode>General</c:formatCode>
                <c:ptCount val="121"/>
                <c:pt idx="0">
                  <c:v>-3.8764458262323771</c:v>
                </c:pt>
                <c:pt idx="1">
                  <c:v>-3.287460113395634</c:v>
                </c:pt>
                <c:pt idx="2">
                  <c:v>-2.7900983597666422</c:v>
                </c:pt>
                <c:pt idx="3">
                  <c:v>-2.3694594186442757</c:v>
                </c:pt>
                <c:pt idx="4">
                  <c:v>-2.0131910368177142</c:v>
                </c:pt>
                <c:pt idx="5">
                  <c:v>-1.7110309516954829</c:v>
                </c:pt>
                <c:pt idx="6">
                  <c:v>-1.4544348328937002</c:v>
                </c:pt>
                <c:pt idx="7">
                  <c:v>-1.2362738305873009</c:v>
                </c:pt>
                <c:pt idx="8">
                  <c:v>-1.0505880729002202</c:v>
                </c:pt>
                <c:pt idx="9">
                  <c:v>-0.89238525854812623</c:v>
                </c:pt>
                <c:pt idx="10">
                  <c:v>-0.75747569402059023</c:v>
                </c:pt>
                <c:pt idx="11">
                  <c:v>-0.64233686088549713</c:v>
                </c:pt>
                <c:pt idx="12">
                  <c:v>-0.54400197131406458</c:v>
                </c:pt>
                <c:pt idx="13">
                  <c:v>-0.45996805803907054</c:v>
                </c:pt>
                <c:pt idx="14">
                  <c:v>-0.38812001005146801</c:v>
                </c:pt>
                <c:pt idx="15">
                  <c:v>-0.32666765502282785</c:v>
                </c:pt>
                <c:pt idx="16">
                  <c:v>-0.27409354076060732</c:v>
                </c:pt>
                <c:pt idx="17">
                  <c:v>-0.22910950987416465</c:v>
                </c:pt>
                <c:pt idx="18">
                  <c:v>-0.19062051688539769</c:v>
                </c:pt>
                <c:pt idx="19">
                  <c:v>-0.15769442302660883</c:v>
                </c:pt>
                <c:pt idx="20">
                  <c:v>-0.12953673491745815</c:v>
                </c:pt>
                <c:pt idx="21">
                  <c:v>-0.10546944024423531</c:v>
                </c:pt>
                <c:pt idx="22">
                  <c:v>-8.4913245217940234E-2</c:v>
                </c:pt>
                <c:pt idx="23">
                  <c:v>-6.7372641898223465E-2</c:v>
                </c:pt>
                <c:pt idx="24">
                  <c:v>-5.2423333956100077E-2</c:v>
                </c:pt>
                <c:pt idx="25">
                  <c:v>-3.9701631510443862E-2</c:v>
                </c:pt>
                <c:pt idx="26">
                  <c:v>-2.8895492830337311E-2</c:v>
                </c:pt>
                <c:pt idx="27">
                  <c:v>-1.9736945767267661E-2</c:v>
                </c:pt>
                <c:pt idx="28">
                  <c:v>-1.1995667033234521E-2</c:v>
                </c:pt>
                <c:pt idx="29">
                  <c:v>-5.4735346967358231E-3</c:v>
                </c:pt>
                <c:pt idx="30">
                  <c:v>-6.3544405434952747E-17</c:v>
                </c:pt>
                <c:pt idx="31">
                  <c:v>4.5718500023587206E-3</c:v>
                </c:pt>
                <c:pt idx="32">
                  <c:v>8.3686464564597142E-3</c:v>
                </c:pt>
                <c:pt idx="33">
                  <c:v>1.1499599407771406E-2</c:v>
                </c:pt>
                <c:pt idx="34">
                  <c:v>1.405894072937742E-2</c:v>
                </c:pt>
                <c:pt idx="35">
                  <c:v>1.6128012764893687E-2</c:v>
                </c:pt>
                <c:pt idx="36">
                  <c:v>1.77770561178697E-2</c:v>
                </c:pt>
                <c:pt idx="37">
                  <c:v>1.906674162497889E-2</c:v>
                </c:pt>
                <c:pt idx="38">
                  <c:v>2.0049484529574939E-2</c:v>
                </c:pt>
                <c:pt idx="39">
                  <c:v>2.0770572991271382E-2</c:v>
                </c:pt>
                <c:pt idx="40">
                  <c:v>2.1269138133529174E-2</c:v>
                </c:pt>
                <c:pt idx="41">
                  <c:v>2.1578988686056014E-2</c:v>
                </c:pt>
                <c:pt idx="42">
                  <c:v>2.1729329791032904E-2</c:v>
                </c:pt>
                <c:pt idx="43">
                  <c:v>2.1745382603336076E-2</c:v>
                </c:pt>
                <c:pt idx="44">
                  <c:v>2.1648918835161419E-2</c:v>
                </c:pt>
                <c:pt idx="45">
                  <c:v>2.1458722300204458E-2</c:v>
                </c:pt>
                <c:pt idx="46">
                  <c:v>2.1190987739816477E-2</c:v>
                </c:pt>
                <c:pt idx="47">
                  <c:v>2.0859665711736971E-2</c:v>
                </c:pt>
                <c:pt idx="48">
                  <c:v>2.0476761048064958E-2</c:v>
                </c:pt>
                <c:pt idx="49">
                  <c:v>2.0052591307145772E-2</c:v>
                </c:pt>
                <c:pt idx="50">
                  <c:v>1.9596010723967942E-2</c:v>
                </c:pt>
                <c:pt idx="51">
                  <c:v>1.9114604380322725E-2</c:v>
                </c:pt>
                <c:pt idx="52">
                  <c:v>1.8614856648273614E-2</c:v>
                </c:pt>
                <c:pt idx="53">
                  <c:v>1.8102297390692971E-2</c:v>
                </c:pt>
                <c:pt idx="54">
                  <c:v>1.7581628915843597E-2</c:v>
                </c:pt>
                <c:pt idx="55">
                  <c:v>1.705683626666667E-2</c:v>
                </c:pt>
                <c:pt idx="56">
                  <c:v>1.6531283069002697E-2</c:v>
                </c:pt>
                <c:pt idx="57">
                  <c:v>1.6007794857485862E-2</c:v>
                </c:pt>
                <c:pt idx="58">
                  <c:v>1.5488731535765833E-2</c:v>
                </c:pt>
                <c:pt idx="59">
                  <c:v>1.4976050402632784E-2</c:v>
                </c:pt>
                <c:pt idx="60">
                  <c:v>1.4471360982137945E-2</c:v>
                </c:pt>
                <c:pt idx="61">
                  <c:v>1.3975972729319381E-2</c:v>
                </c:pt>
                <c:pt idx="62">
                  <c:v>1.3490936539760414E-2</c:v>
                </c:pt>
                <c:pt idx="63">
                  <c:v>1.3017080867607897E-2</c:v>
                </c:pt>
                <c:pt idx="64">
                  <c:v>1.2555043150037321E-2</c:v>
                </c:pt>
                <c:pt idx="65">
                  <c:v>1.2105297144063394E-2</c:v>
                </c:pt>
                <c:pt idx="66">
                  <c:v>1.1668176702007323E-2</c:v>
                </c:pt>
                <c:pt idx="67">
                  <c:v>1.1243896443090956E-2</c:v>
                </c:pt>
                <c:pt idx="68">
                  <c:v>1.083256971903554E-2</c:v>
                </c:pt>
                <c:pt idx="69">
                  <c:v>1.0434224219916761E-2</c:v>
                </c:pt>
                <c:pt idx="70">
                  <c:v>1.0048815521768655E-2</c:v>
                </c:pt>
                <c:pt idx="71">
                  <c:v>9.6762388385954641E-3</c:v>
                </c:pt>
                <c:pt idx="72">
                  <c:v>9.3163392077350374E-3</c:v>
                </c:pt>
                <c:pt idx="73">
                  <c:v>8.9689203082234416E-3</c:v>
                </c:pt>
                <c:pt idx="74">
                  <c:v>8.6337520863434165E-3</c:v>
                </c:pt>
                <c:pt idx="75">
                  <c:v>8.3105773403832871E-3</c:v>
                </c:pt>
                <c:pt idx="76">
                  <c:v>7.9991173973463208E-3</c:v>
                </c:pt>
                <c:pt idx="77">
                  <c:v>7.6990769975517487E-3</c:v>
                </c:pt>
                <c:pt idx="78">
                  <c:v>7.4101484884278642E-3</c:v>
                </c:pt>
                <c:pt idx="79">
                  <c:v>7.1320154160307422E-3</c:v>
                </c:pt>
                <c:pt idx="80">
                  <c:v>6.864355591683741E-3</c:v>
                </c:pt>
                <c:pt idx="81">
                  <c:v>6.6068437014099243E-3</c:v>
                </c:pt>
                <c:pt idx="82">
                  <c:v>6.3591535173382705E-3</c:v>
                </c:pt>
                <c:pt idx="83">
                  <c:v>6.120959762845336E-3</c:v>
                </c:pt>
                <c:pt idx="84">
                  <c:v>5.8919396767090322E-3</c:v>
                </c:pt>
                <c:pt idx="85">
                  <c:v>5.6717743158802847E-3</c:v>
                </c:pt>
                <c:pt idx="86">
                  <c:v>5.4601496315170809E-3</c:v>
                </c:pt>
                <c:pt idx="87">
                  <c:v>5.2567573485845596E-3</c:v>
                </c:pt>
                <c:pt idx="88">
                  <c:v>5.0612956755240078E-3</c:v>
                </c:pt>
                <c:pt idx="89">
                  <c:v>4.8734698671660014E-3</c:v>
                </c:pt>
                <c:pt idx="90">
                  <c:v>4.6929926611483071E-3</c:v>
                </c:pt>
                <c:pt idx="91">
                  <c:v>4.5195846055452486E-3</c:v>
                </c:pt>
                <c:pt idx="92">
                  <c:v>4.3529742931780278E-3</c:v>
                </c:pt>
                <c:pt idx="93">
                  <c:v>4.1928985161139931E-3</c:v>
                </c:pt>
                <c:pt idx="94">
                  <c:v>4.0391023521441846E-3</c:v>
                </c:pt>
                <c:pt idx="95">
                  <c:v>3.8913391935214282E-3</c:v>
                </c:pt>
                <c:pt idx="96">
                  <c:v>3.7493707269203396E-3</c:v>
                </c:pt>
                <c:pt idx="97">
                  <c:v>3.6129668724223627E-3</c:v>
                </c:pt>
                <c:pt idx="98">
                  <c:v>3.4819056883137441E-3</c:v>
                </c:pt>
                <c:pt idx="99">
                  <c:v>3.3559732475943599E-3</c:v>
                </c:pt>
                <c:pt idx="100">
                  <c:v>3.2349634913152038E-3</c:v>
                </c:pt>
                <c:pt idx="101">
                  <c:v>3.1186780631787901E-3</c:v>
                </c:pt>
                <c:pt idx="102">
                  <c:v>3.006926129237798E-3</c:v>
                </c:pt>
                <c:pt idx="103">
                  <c:v>2.8995241860026834E-3</c:v>
                </c:pt>
                <c:pt idx="104">
                  <c:v>2.7962958598098217E-3</c:v>
                </c:pt>
                <c:pt idx="105">
                  <c:v>2.6970716998996227E-3</c:v>
                </c:pt>
                <c:pt idx="106">
                  <c:v>2.6016889673025918E-3</c:v>
                </c:pt>
                <c:pt idx="107">
                  <c:v>2.5099914213239918E-3</c:v>
                </c:pt>
                <c:pt idx="108">
                  <c:v>2.421829105149099E-3</c:v>
                </c:pt>
                <c:pt idx="109">
                  <c:v>2.3370581318568687E-3</c:v>
                </c:pt>
                <c:pt idx="110">
                  <c:v>2.2555404719253025E-3</c:v>
                </c:pt>
                <c:pt idx="111">
                  <c:v>2.1771437431338347E-3</c:v>
                </c:pt>
                <c:pt idx="112">
                  <c:v>2.1017410036130914E-3</c:v>
                </c:pt>
                <c:pt idx="113">
                  <c:v>2.0292105486577456E-3</c:v>
                </c:pt>
                <c:pt idx="114">
                  <c:v>1.9594357118014136E-3</c:v>
                </c:pt>
                <c:pt idx="115">
                  <c:v>1.8923046705513751E-3</c:v>
                </c:pt>
                <c:pt idx="116">
                  <c:v>1.8277102570934181E-3</c:v>
                </c:pt>
                <c:pt idx="117">
                  <c:v>1.7655497742017688E-3</c:v>
                </c:pt>
                <c:pt idx="118">
                  <c:v>1.7057248165241647E-3</c:v>
                </c:pt>
                <c:pt idx="119">
                  <c:v>1.648141097356503E-3</c:v>
                </c:pt>
                <c:pt idx="120">
                  <c:v>1.5927082809740097E-3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5D-454C-90A0-91519311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385903"/>
        <c:axId val="1428392559"/>
      </c:lineChart>
      <c:catAx>
        <c:axId val="142838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92559"/>
        <c:crosses val="autoZero"/>
        <c:auto val="1"/>
        <c:lblAlgn val="ctr"/>
        <c:lblOffset val="100"/>
        <c:noMultiLvlLbl val="0"/>
      </c:catAx>
      <c:valAx>
        <c:axId val="1428392559"/>
        <c:scaling>
          <c:orientation val="minMax"/>
          <c:max val="0.25"/>
          <c:min val="-2.0000000000000004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8590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173874</xdr:colOff>
      <xdr:row>2</xdr:row>
      <xdr:rowOff>34636</xdr:rowOff>
    </xdr:from>
    <xdr:to>
      <xdr:col>22</xdr:col>
      <xdr:colOff>173874</xdr:colOff>
      <xdr:row>32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3925B-7EEC-4C1A-82C7-3BCE4B5B8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32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7AF6FB-0F39-4DCE-84B7-AF8F2D5C4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394C-D22F-40A8-BDAA-C31C34050521}">
  <dimension ref="A1:H15"/>
  <sheetViews>
    <sheetView tabSelected="1" workbookViewId="0">
      <selection sqref="A1:H15"/>
    </sheetView>
  </sheetViews>
  <sheetFormatPr defaultRowHeight="14.4" x14ac:dyDescent="0.3"/>
  <sheetData>
    <row r="1" spans="1:8" x14ac:dyDescent="0.3">
      <c r="A1" s="60" t="s">
        <v>253</v>
      </c>
      <c r="B1" s="61"/>
      <c r="C1" s="61"/>
      <c r="D1" s="61"/>
      <c r="E1" s="61"/>
      <c r="F1" s="61"/>
      <c r="G1" s="61"/>
      <c r="H1" s="61"/>
    </row>
    <row r="2" spans="1:8" x14ac:dyDescent="0.3">
      <c r="A2" s="61"/>
      <c r="B2" s="61"/>
      <c r="C2" s="61"/>
      <c r="D2" s="61"/>
      <c r="E2" s="61"/>
      <c r="F2" s="61"/>
      <c r="G2" s="61"/>
      <c r="H2" s="61"/>
    </row>
    <row r="3" spans="1:8" x14ac:dyDescent="0.3">
      <c r="A3" s="61"/>
      <c r="B3" s="61"/>
      <c r="C3" s="61"/>
      <c r="D3" s="61"/>
      <c r="E3" s="61"/>
      <c r="F3" s="61"/>
      <c r="G3" s="61"/>
      <c r="H3" s="61"/>
    </row>
    <row r="4" spans="1:8" x14ac:dyDescent="0.3">
      <c r="A4" s="61"/>
      <c r="B4" s="61"/>
      <c r="C4" s="61"/>
      <c r="D4" s="61"/>
      <c r="E4" s="61"/>
      <c r="F4" s="61"/>
      <c r="G4" s="61"/>
      <c r="H4" s="61"/>
    </row>
    <row r="5" spans="1:8" x14ac:dyDescent="0.3">
      <c r="A5" s="61"/>
      <c r="B5" s="61"/>
      <c r="C5" s="61"/>
      <c r="D5" s="61"/>
      <c r="E5" s="61"/>
      <c r="F5" s="61"/>
      <c r="G5" s="61"/>
      <c r="H5" s="61"/>
    </row>
    <row r="6" spans="1:8" x14ac:dyDescent="0.3">
      <c r="A6" s="61"/>
      <c r="B6" s="61"/>
      <c r="C6" s="61"/>
      <c r="D6" s="61"/>
      <c r="E6" s="61"/>
      <c r="F6" s="61"/>
      <c r="G6" s="61"/>
      <c r="H6" s="61"/>
    </row>
    <row r="7" spans="1:8" x14ac:dyDescent="0.3">
      <c r="A7" s="61"/>
      <c r="B7" s="61"/>
      <c r="C7" s="61"/>
      <c r="D7" s="61"/>
      <c r="E7" s="61"/>
      <c r="F7" s="61"/>
      <c r="G7" s="61"/>
      <c r="H7" s="61"/>
    </row>
    <row r="8" spans="1:8" x14ac:dyDescent="0.3">
      <c r="A8" s="61"/>
      <c r="B8" s="61"/>
      <c r="C8" s="61"/>
      <c r="D8" s="61"/>
      <c r="E8" s="61"/>
      <c r="F8" s="61"/>
      <c r="G8" s="61"/>
      <c r="H8" s="61"/>
    </row>
    <row r="9" spans="1:8" x14ac:dyDescent="0.3">
      <c r="A9" s="61"/>
      <c r="B9" s="61"/>
      <c r="C9" s="61"/>
      <c r="D9" s="61"/>
      <c r="E9" s="61"/>
      <c r="F9" s="61"/>
      <c r="G9" s="61"/>
      <c r="H9" s="61"/>
    </row>
    <row r="10" spans="1:8" x14ac:dyDescent="0.3">
      <c r="A10" s="61"/>
      <c r="B10" s="61"/>
      <c r="C10" s="61"/>
      <c r="D10" s="61"/>
      <c r="E10" s="61"/>
      <c r="F10" s="61"/>
      <c r="G10" s="61"/>
      <c r="H10" s="61"/>
    </row>
    <row r="11" spans="1:8" x14ac:dyDescent="0.3">
      <c r="A11" s="61"/>
      <c r="B11" s="61"/>
      <c r="C11" s="61"/>
      <c r="D11" s="61"/>
      <c r="E11" s="61"/>
      <c r="F11" s="61"/>
      <c r="G11" s="61"/>
      <c r="H11" s="61"/>
    </row>
    <row r="12" spans="1:8" x14ac:dyDescent="0.3">
      <c r="A12" s="61"/>
      <c r="B12" s="61"/>
      <c r="C12" s="61"/>
      <c r="D12" s="61"/>
      <c r="E12" s="61"/>
      <c r="F12" s="61"/>
      <c r="G12" s="61"/>
      <c r="H12" s="61"/>
    </row>
    <row r="13" spans="1:8" x14ac:dyDescent="0.3">
      <c r="A13" s="61"/>
      <c r="B13" s="61"/>
      <c r="C13" s="61"/>
      <c r="D13" s="61"/>
      <c r="E13" s="61"/>
      <c r="F13" s="61"/>
      <c r="G13" s="61"/>
      <c r="H13" s="61"/>
    </row>
    <row r="14" spans="1:8" x14ac:dyDescent="0.3">
      <c r="A14" s="61"/>
      <c r="B14" s="61"/>
      <c r="C14" s="61"/>
      <c r="D14" s="61"/>
      <c r="E14" s="61"/>
      <c r="F14" s="61"/>
      <c r="G14" s="61"/>
      <c r="H14" s="61"/>
    </row>
    <row r="15" spans="1:8" x14ac:dyDescent="0.3">
      <c r="A15" s="61"/>
      <c r="B15" s="61"/>
      <c r="C15" s="61"/>
      <c r="D15" s="61"/>
      <c r="E15" s="61"/>
      <c r="F15" s="61"/>
      <c r="G15" s="61"/>
      <c r="H15" s="61"/>
    </row>
  </sheetData>
  <mergeCells count="1">
    <mergeCell ref="A1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467F-2BD5-41E4-AA9A-1F768B6B8A90}">
  <dimension ref="A1:R31"/>
  <sheetViews>
    <sheetView topLeftCell="B1" zoomScaleNormal="100" workbookViewId="0">
      <selection activeCell="G20" sqref="G20"/>
    </sheetView>
  </sheetViews>
  <sheetFormatPr defaultColWidth="9.21875" defaultRowHeight="14.4" x14ac:dyDescent="0.3"/>
  <cols>
    <col min="1" max="1" width="15.109375" style="1" customWidth="1"/>
    <col min="2" max="2" width="20.109375" style="1" bestFit="1" customWidth="1"/>
    <col min="3" max="4" width="9.21875" style="1"/>
    <col min="5" max="5" width="14.33203125" style="1" bestFit="1" customWidth="1"/>
    <col min="6" max="6" width="20.21875" style="1" bestFit="1" customWidth="1"/>
    <col min="7" max="7" width="13.33203125" style="1" bestFit="1" customWidth="1"/>
    <col min="8" max="8" width="13.5546875" style="1" customWidth="1"/>
    <col min="9" max="9" width="20.21875" style="1" bestFit="1" customWidth="1"/>
    <col min="10" max="10" width="12.88671875" style="1" bestFit="1" customWidth="1"/>
    <col min="11" max="11" width="13.88671875" style="1" bestFit="1" customWidth="1"/>
    <col min="12" max="12" width="20.109375" style="1" bestFit="1" customWidth="1"/>
    <col min="13" max="13" width="9.21875" style="1"/>
    <col min="14" max="14" width="11.109375" style="1" bestFit="1" customWidth="1"/>
    <col min="15" max="15" width="9.77734375" style="1" bestFit="1" customWidth="1"/>
    <col min="16" max="16384" width="9.21875" style="1"/>
  </cols>
  <sheetData>
    <row r="1" spans="1:18" x14ac:dyDescent="0.3">
      <c r="A1" s="63" t="s">
        <v>22</v>
      </c>
      <c r="B1" s="64"/>
      <c r="C1" s="65"/>
      <c r="E1" s="63" t="s">
        <v>31</v>
      </c>
      <c r="F1" s="65"/>
      <c r="H1" s="63" t="s">
        <v>4</v>
      </c>
      <c r="I1" s="65"/>
      <c r="K1" s="63" t="s">
        <v>21</v>
      </c>
      <c r="L1" s="65"/>
      <c r="N1" s="63" t="s">
        <v>11</v>
      </c>
      <c r="O1" s="65"/>
      <c r="Q1" s="62" t="s">
        <v>227</v>
      </c>
      <c r="R1" s="62"/>
    </row>
    <row r="2" spans="1:18" x14ac:dyDescent="0.3">
      <c r="A2" s="4" t="s">
        <v>16</v>
      </c>
      <c r="B2" s="2" t="s">
        <v>1</v>
      </c>
      <c r="C2" s="3" t="s">
        <v>17</v>
      </c>
      <c r="E2" s="4" t="s">
        <v>20</v>
      </c>
      <c r="F2" s="3" t="s">
        <v>1</v>
      </c>
      <c r="H2" s="4" t="s">
        <v>20</v>
      </c>
      <c r="I2" s="3" t="s">
        <v>1</v>
      </c>
      <c r="K2" s="4" t="s">
        <v>20</v>
      </c>
      <c r="L2" s="3" t="s">
        <v>1</v>
      </c>
      <c r="N2" s="4" t="s">
        <v>23</v>
      </c>
      <c r="O2" s="3" t="s">
        <v>24</v>
      </c>
      <c r="Q2" s="4" t="s">
        <v>23</v>
      </c>
      <c r="R2" s="3" t="s">
        <v>24</v>
      </c>
    </row>
    <row r="3" spans="1:18" x14ac:dyDescent="0.3">
      <c r="A3" s="4" t="s">
        <v>11</v>
      </c>
      <c r="B3" s="15">
        <v>0.76259999999999994</v>
      </c>
      <c r="C3" s="3">
        <v>48</v>
      </c>
      <c r="E3" s="4" t="s">
        <v>5</v>
      </c>
      <c r="F3" s="6">
        <v>71.44</v>
      </c>
      <c r="H3" s="4" t="s">
        <v>4</v>
      </c>
      <c r="I3" s="3">
        <v>120000</v>
      </c>
      <c r="K3" s="4" t="s">
        <v>19</v>
      </c>
      <c r="L3" s="3">
        <v>74.14</v>
      </c>
      <c r="N3" s="4" t="s">
        <v>25</v>
      </c>
      <c r="O3" s="3">
        <v>179</v>
      </c>
      <c r="Q3" s="1" t="s">
        <v>228</v>
      </c>
      <c r="R3" s="1">
        <v>50</v>
      </c>
    </row>
    <row r="4" spans="1:18" x14ac:dyDescent="0.3">
      <c r="A4" s="4" t="s">
        <v>12</v>
      </c>
      <c r="B4" s="15">
        <v>0.73</v>
      </c>
      <c r="C4" s="3">
        <v>15</v>
      </c>
      <c r="E4" s="4" t="s">
        <v>6</v>
      </c>
      <c r="F4" s="6">
        <v>29.43</v>
      </c>
      <c r="H4" s="4"/>
      <c r="I4" s="3"/>
      <c r="K4" s="4" t="s">
        <v>28</v>
      </c>
      <c r="L4" s="3">
        <v>65.13</v>
      </c>
      <c r="N4" s="4"/>
      <c r="O4" s="3"/>
      <c r="Q4" s="1" t="s">
        <v>232</v>
      </c>
      <c r="R4" s="1">
        <v>42</v>
      </c>
    </row>
    <row r="5" spans="1:18" x14ac:dyDescent="0.3">
      <c r="A5" s="4" t="s">
        <v>13</v>
      </c>
      <c r="B5" s="15">
        <v>0.79349999999999998</v>
      </c>
      <c r="C5" s="3">
        <v>11</v>
      </c>
      <c r="E5" s="4" t="s">
        <v>7</v>
      </c>
      <c r="F5" s="6">
        <v>101.98</v>
      </c>
      <c r="H5" s="4"/>
      <c r="I5" s="3"/>
      <c r="K5" s="4" t="s">
        <v>2</v>
      </c>
      <c r="L5" s="3">
        <v>66.400000000000006</v>
      </c>
      <c r="N5" s="4"/>
      <c r="O5" s="3"/>
    </row>
    <row r="6" spans="1:18" x14ac:dyDescent="0.3">
      <c r="A6" s="4" t="s">
        <v>14</v>
      </c>
      <c r="B6" s="15">
        <v>0.71850000000000003</v>
      </c>
      <c r="C6" s="3">
        <v>9</v>
      </c>
      <c r="E6" s="4" t="s">
        <v>8</v>
      </c>
      <c r="F6" s="6">
        <v>112.03</v>
      </c>
      <c r="H6" s="4"/>
      <c r="I6" s="3"/>
      <c r="K6" s="4" t="s">
        <v>3</v>
      </c>
      <c r="L6" s="3">
        <v>69.95</v>
      </c>
      <c r="N6" s="4"/>
      <c r="O6" s="3"/>
    </row>
    <row r="7" spans="1:18" x14ac:dyDescent="0.3">
      <c r="A7" s="4" t="s">
        <v>15</v>
      </c>
      <c r="B7" s="15">
        <v>0.67549999999999999</v>
      </c>
      <c r="C7" s="3">
        <v>7</v>
      </c>
      <c r="E7" s="4" t="s">
        <v>9</v>
      </c>
      <c r="F7" s="6">
        <v>50.37</v>
      </c>
      <c r="H7" s="4"/>
      <c r="I7" s="3"/>
      <c r="K7" s="4"/>
      <c r="L7" s="3"/>
      <c r="N7" s="4"/>
      <c r="O7" s="3"/>
    </row>
    <row r="8" spans="1:18" x14ac:dyDescent="0.3">
      <c r="A8" s="4" t="s">
        <v>26</v>
      </c>
      <c r="B8" s="15">
        <v>0.76259999999999994</v>
      </c>
      <c r="C8" s="3">
        <v>4</v>
      </c>
      <c r="E8" s="4" t="s">
        <v>10</v>
      </c>
      <c r="F8" s="6">
        <v>102.74</v>
      </c>
      <c r="H8" s="4"/>
      <c r="I8" s="3"/>
      <c r="K8" s="4"/>
      <c r="L8" s="3"/>
      <c r="N8" s="4"/>
      <c r="O8" s="3"/>
    </row>
    <row r="9" spans="1:18" x14ac:dyDescent="0.3">
      <c r="A9" s="4" t="s">
        <v>27</v>
      </c>
      <c r="B9" s="15">
        <v>0.81320000000000003</v>
      </c>
      <c r="C9" s="3">
        <v>4</v>
      </c>
      <c r="E9" s="4"/>
      <c r="F9" s="6"/>
      <c r="H9" s="4"/>
      <c r="I9" s="3"/>
      <c r="K9" s="4"/>
      <c r="L9" s="3"/>
      <c r="N9" s="4"/>
      <c r="O9" s="3"/>
    </row>
    <row r="10" spans="1:18" x14ac:dyDescent="0.3">
      <c r="A10" s="4"/>
      <c r="B10" s="15"/>
      <c r="C10" s="3"/>
      <c r="E10" s="4"/>
      <c r="F10" s="3"/>
      <c r="H10" s="4"/>
      <c r="I10" s="3"/>
      <c r="K10" s="4" t="s">
        <v>32</v>
      </c>
      <c r="L10" s="3">
        <f>(L3+L4)/2</f>
        <v>69.634999999999991</v>
      </c>
      <c r="N10" s="4"/>
      <c r="O10" s="3"/>
    </row>
    <row r="11" spans="1:18" ht="15" thickBot="1" x14ac:dyDescent="0.35">
      <c r="A11" s="11" t="s">
        <v>29</v>
      </c>
      <c r="B11" s="16">
        <f>(B3*C3+B4*C4+B5*C5+B6*C6+B7*C7+B8*C8+B9*C9)/C11</f>
        <v>0.7528724489795916</v>
      </c>
      <c r="C11" s="14">
        <f>SUM(C3:C10)</f>
        <v>98</v>
      </c>
      <c r="E11" s="11" t="s">
        <v>86</v>
      </c>
      <c r="F11" s="7">
        <f>AVERAGE(F3:F8)</f>
        <v>77.998333333333335</v>
      </c>
      <c r="H11" s="11" t="s">
        <v>30</v>
      </c>
      <c r="I11" s="14">
        <f>I3</f>
        <v>120000</v>
      </c>
      <c r="K11" s="11" t="s">
        <v>33</v>
      </c>
      <c r="L11" s="14">
        <f>(L5+L6)/2</f>
        <v>68.175000000000011</v>
      </c>
      <c r="N11" s="11" t="s">
        <v>34</v>
      </c>
      <c r="O11" s="14">
        <f>O3</f>
        <v>179</v>
      </c>
    </row>
    <row r="13" spans="1:18" x14ac:dyDescent="0.3">
      <c r="A13" s="1" t="s">
        <v>77</v>
      </c>
      <c r="E13" s="1" t="s">
        <v>76</v>
      </c>
      <c r="H13" s="1" t="s">
        <v>76</v>
      </c>
      <c r="K13" s="1" t="s">
        <v>77</v>
      </c>
      <c r="Q13" s="1" t="s">
        <v>226</v>
      </c>
    </row>
    <row r="14" spans="1:18" x14ac:dyDescent="0.3">
      <c r="A14" s="1" t="s">
        <v>80</v>
      </c>
      <c r="E14" s="1" t="s">
        <v>79</v>
      </c>
      <c r="H14" s="1" t="s">
        <v>78</v>
      </c>
      <c r="K14" s="1" t="s">
        <v>41</v>
      </c>
      <c r="N14" s="1" t="s">
        <v>48</v>
      </c>
      <c r="Q14" s="1" t="s">
        <v>229</v>
      </c>
    </row>
    <row r="15" spans="1:18" x14ac:dyDescent="0.3">
      <c r="A15" s="1" t="s">
        <v>44</v>
      </c>
      <c r="K15" s="1" t="s">
        <v>43</v>
      </c>
      <c r="Q15" s="1" t="s">
        <v>230</v>
      </c>
    </row>
    <row r="16" spans="1:18" ht="15" thickBot="1" x14ac:dyDescent="0.35">
      <c r="K16" s="1" t="s">
        <v>42</v>
      </c>
    </row>
    <row r="17" spans="1:17" ht="15" thickBot="1" x14ac:dyDescent="0.35">
      <c r="A17" s="8" t="s">
        <v>38</v>
      </c>
      <c r="B17" s="10" t="s">
        <v>39</v>
      </c>
      <c r="K17" s="23"/>
      <c r="Q17" s="1" t="s">
        <v>231</v>
      </c>
    </row>
    <row r="18" spans="1:17" x14ac:dyDescent="0.3">
      <c r="A18" s="4" t="s">
        <v>35</v>
      </c>
      <c r="B18" s="3">
        <f>G19</f>
        <v>15356</v>
      </c>
      <c r="E18" s="1" t="s">
        <v>146</v>
      </c>
      <c r="F18" s="8" t="s">
        <v>0</v>
      </c>
      <c r="G18" s="19" t="s">
        <v>87</v>
      </c>
      <c r="H18" s="9" t="s">
        <v>24</v>
      </c>
      <c r="I18" s="9" t="s">
        <v>40</v>
      </c>
      <c r="J18" s="21" t="s">
        <v>75</v>
      </c>
      <c r="L18" s="1">
        <v>1</v>
      </c>
      <c r="M18" s="1" t="s">
        <v>147</v>
      </c>
      <c r="N18" s="1" t="s">
        <v>148</v>
      </c>
      <c r="Q18" s="1" t="s">
        <v>233</v>
      </c>
    </row>
    <row r="19" spans="1:17" x14ac:dyDescent="0.3">
      <c r="A19" s="4" t="s">
        <v>36</v>
      </c>
      <c r="B19" s="3">
        <f>G20</f>
        <v>37</v>
      </c>
      <c r="D19" s="1">
        <v>1.5</v>
      </c>
      <c r="E19" s="44" t="s">
        <v>147</v>
      </c>
      <c r="F19" s="4" t="s">
        <v>66</v>
      </c>
      <c r="G19" s="2">
        <f>15393-G20</f>
        <v>15356</v>
      </c>
      <c r="H19" s="20">
        <f>B23*B11+B24*F11</f>
        <v>2473.5436707263711</v>
      </c>
      <c r="I19" s="15">
        <f t="shared" ref="I19:I26" si="0">H19/$H$27</f>
        <v>1.2366966888920539</v>
      </c>
      <c r="J19" s="13">
        <v>30</v>
      </c>
      <c r="L19" s="1">
        <v>2</v>
      </c>
      <c r="M19" s="1" t="s">
        <v>149</v>
      </c>
      <c r="N19" s="1" t="s">
        <v>150</v>
      </c>
      <c r="Q19" s="1" t="s">
        <v>234</v>
      </c>
    </row>
    <row r="20" spans="1:17" x14ac:dyDescent="0.3">
      <c r="A20" s="4" t="s">
        <v>46</v>
      </c>
      <c r="B20" s="3">
        <v>35</v>
      </c>
      <c r="D20" s="1">
        <v>4</v>
      </c>
      <c r="E20" s="45" t="s">
        <v>149</v>
      </c>
      <c r="F20" s="4" t="s">
        <v>67</v>
      </c>
      <c r="G20" s="2">
        <v>37</v>
      </c>
      <c r="H20" s="2">
        <f>I11</f>
        <v>120000</v>
      </c>
      <c r="I20" s="5">
        <f t="shared" si="0"/>
        <v>59.996354389598004</v>
      </c>
      <c r="J20" s="3">
        <v>80</v>
      </c>
      <c r="L20" s="1">
        <v>3</v>
      </c>
      <c r="M20" s="1" t="s">
        <v>151</v>
      </c>
      <c r="N20" s="1" t="s">
        <v>152</v>
      </c>
    </row>
    <row r="21" spans="1:17" x14ac:dyDescent="0.3">
      <c r="A21" s="4" t="s">
        <v>45</v>
      </c>
      <c r="B21" s="3">
        <v>2500</v>
      </c>
      <c r="D21" s="1">
        <v>0.6</v>
      </c>
      <c r="E21" s="46" t="s">
        <v>151</v>
      </c>
      <c r="F21" s="4" t="s">
        <v>68</v>
      </c>
      <c r="G21" s="2">
        <v>15945</v>
      </c>
      <c r="H21" s="20">
        <f>L10*2</f>
        <v>139.26999999999998</v>
      </c>
      <c r="I21" s="15">
        <f t="shared" si="0"/>
        <v>6.9630768965327605E-2</v>
      </c>
      <c r="J21" s="13">
        <v>12</v>
      </c>
      <c r="K21" s="23" t="s">
        <v>90</v>
      </c>
      <c r="L21" s="1">
        <v>4</v>
      </c>
      <c r="M21" s="1" t="s">
        <v>153</v>
      </c>
      <c r="N21" s="1" t="s">
        <v>154</v>
      </c>
    </row>
    <row r="22" spans="1:17" x14ac:dyDescent="0.3">
      <c r="A22" s="4" t="s">
        <v>47</v>
      </c>
      <c r="B22" s="3">
        <f>1/0.5</f>
        <v>2</v>
      </c>
      <c r="D22" s="1">
        <v>0.6</v>
      </c>
      <c r="E22" s="47" t="s">
        <v>153</v>
      </c>
      <c r="F22" s="4" t="s">
        <v>69</v>
      </c>
      <c r="G22" s="2">
        <v>7785</v>
      </c>
      <c r="H22" s="20">
        <f>L11*2</f>
        <v>136.35000000000002</v>
      </c>
      <c r="I22" s="15">
        <f t="shared" si="0"/>
        <v>6.8170857675180746E-2</v>
      </c>
      <c r="J22" s="13">
        <v>12</v>
      </c>
      <c r="K22" s="23" t="s">
        <v>90</v>
      </c>
      <c r="L22" s="1">
        <v>5</v>
      </c>
      <c r="M22" s="1" t="s">
        <v>155</v>
      </c>
    </row>
    <row r="23" spans="1:17" x14ac:dyDescent="0.3">
      <c r="A23" s="4" t="s">
        <v>37</v>
      </c>
      <c r="B23" s="13">
        <f>B22*2*2*(B21*B21-B19*PI()*B20*B20)/B18</f>
        <v>3181.8740885522493</v>
      </c>
      <c r="D23" s="1">
        <v>3.5</v>
      </c>
      <c r="E23" s="48" t="s">
        <v>162</v>
      </c>
      <c r="F23" s="4" t="s">
        <v>70</v>
      </c>
      <c r="G23" s="2">
        <v>3091</v>
      </c>
      <c r="H23" s="2">
        <f>O11*50</f>
        <v>8950</v>
      </c>
      <c r="I23" s="15">
        <f t="shared" si="0"/>
        <v>4.4747280982241842</v>
      </c>
      <c r="J23" s="13">
        <f>10*4.95*(2^(1/2))</f>
        <v>70.003571337468216</v>
      </c>
      <c r="L23" s="1">
        <v>6</v>
      </c>
      <c r="M23" s="1" t="s">
        <v>156</v>
      </c>
      <c r="N23" s="1" t="s">
        <v>157</v>
      </c>
    </row>
    <row r="24" spans="1:17" ht="15" thickBot="1" x14ac:dyDescent="0.35">
      <c r="A24" s="11" t="s">
        <v>85</v>
      </c>
      <c r="B24" s="14">
        <v>1</v>
      </c>
      <c r="D24" s="1">
        <v>3.5</v>
      </c>
      <c r="E24" s="49" t="s">
        <v>156</v>
      </c>
      <c r="F24" s="4" t="s">
        <v>71</v>
      </c>
      <c r="G24" s="2">
        <v>3212</v>
      </c>
      <c r="H24" s="2">
        <f>O11*50</f>
        <v>8950</v>
      </c>
      <c r="I24" s="15">
        <f t="shared" si="0"/>
        <v>4.4747280982241842</v>
      </c>
      <c r="J24" s="13">
        <f>10*4.95*(2^(1/2))</f>
        <v>70.003571337468216</v>
      </c>
      <c r="L24" s="1">
        <v>7</v>
      </c>
      <c r="M24" s="1" t="s">
        <v>158</v>
      </c>
      <c r="N24" s="1" t="s">
        <v>159</v>
      </c>
    </row>
    <row r="25" spans="1:17" x14ac:dyDescent="0.3">
      <c r="D25" s="1">
        <v>0.4</v>
      </c>
      <c r="E25" s="50" t="s">
        <v>158</v>
      </c>
      <c r="F25" s="57" t="s">
        <v>88</v>
      </c>
      <c r="G25" s="2">
        <v>7956</v>
      </c>
      <c r="H25" s="2">
        <f>5*R4</f>
        <v>210</v>
      </c>
      <c r="I25" s="15">
        <f t="shared" si="0"/>
        <v>0.1049936201817965</v>
      </c>
      <c r="J25" s="3">
        <v>8</v>
      </c>
      <c r="K25" s="23" t="s">
        <v>90</v>
      </c>
      <c r="L25" s="1">
        <v>8</v>
      </c>
      <c r="M25" s="1" t="s">
        <v>160</v>
      </c>
      <c r="N25" s="1" t="s">
        <v>161</v>
      </c>
    </row>
    <row r="26" spans="1:17" ht="15" thickBot="1" x14ac:dyDescent="0.35">
      <c r="D26" s="1">
        <v>1.2</v>
      </c>
      <c r="E26" s="51" t="s">
        <v>160</v>
      </c>
      <c r="F26" s="24" t="s">
        <v>89</v>
      </c>
      <c r="G26" s="12">
        <v>4971</v>
      </c>
      <c r="H26" s="12">
        <f>13*4*R3</f>
        <v>2600</v>
      </c>
      <c r="I26" s="16">
        <f t="shared" si="0"/>
        <v>1.2999210117746234</v>
      </c>
      <c r="J26" s="14">
        <v>24</v>
      </c>
      <c r="K26" s="23" t="s">
        <v>90</v>
      </c>
    </row>
    <row r="27" spans="1:17" ht="15" thickBot="1" x14ac:dyDescent="0.35">
      <c r="F27" s="11" t="s">
        <v>18</v>
      </c>
      <c r="G27" s="12"/>
      <c r="H27" s="22">
        <f>SUMPRODUCT(G19:G26,H19:H26)/SUM(G19:G26)</f>
        <v>2000.1215277307792</v>
      </c>
      <c r="I27" s="12">
        <f>SUMPRODUCT(G19:G26,I19:I26)/SUM(G19:G26)</f>
        <v>1</v>
      </c>
      <c r="J27" s="14"/>
    </row>
    <row r="28" spans="1:17" x14ac:dyDescent="0.3">
      <c r="A28" s="1" t="s">
        <v>81</v>
      </c>
    </row>
    <row r="29" spans="1:17" x14ac:dyDescent="0.3">
      <c r="A29" s="1" t="s">
        <v>82</v>
      </c>
    </row>
    <row r="30" spans="1:17" x14ac:dyDescent="0.3">
      <c r="A30" s="1" t="s">
        <v>83</v>
      </c>
      <c r="F30" s="1" t="s">
        <v>74</v>
      </c>
      <c r="G30" s="1">
        <f>(2500*2500-0.25*PI()*J20*J20*G20)/G19</f>
        <v>394.89565739173509</v>
      </c>
    </row>
    <row r="31" spans="1:17" x14ac:dyDescent="0.3">
      <c r="A31" s="1" t="s">
        <v>84</v>
      </c>
    </row>
  </sheetData>
  <mergeCells count="6">
    <mergeCell ref="Q1:R1"/>
    <mergeCell ref="A1:C1"/>
    <mergeCell ref="E1:F1"/>
    <mergeCell ref="H1:I1"/>
    <mergeCell ref="K1:L1"/>
    <mergeCell ref="N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F65B-BC78-468F-8E8D-12626879276E}">
  <dimension ref="A1:H13"/>
  <sheetViews>
    <sheetView workbookViewId="0">
      <selection activeCell="B11" sqref="B11"/>
    </sheetView>
  </sheetViews>
  <sheetFormatPr defaultRowHeight="14.4" x14ac:dyDescent="0.3"/>
  <cols>
    <col min="1" max="1" width="39.109375" bestFit="1" customWidth="1"/>
    <col min="2" max="2" width="12.21875" customWidth="1"/>
    <col min="3" max="3" width="11.5546875" bestFit="1" customWidth="1"/>
    <col min="4" max="4" width="27.77734375" customWidth="1"/>
    <col min="6" max="6" width="38.21875" bestFit="1" customWidth="1"/>
    <col min="7" max="7" width="8" bestFit="1" customWidth="1"/>
    <col min="8" max="8" width="6.109375" bestFit="1" customWidth="1"/>
  </cols>
  <sheetData>
    <row r="1" spans="1:8" x14ac:dyDescent="0.3">
      <c r="A1" s="17" t="s">
        <v>64</v>
      </c>
      <c r="B1" s="17" t="s">
        <v>39</v>
      </c>
      <c r="C1" s="17" t="s">
        <v>49</v>
      </c>
      <c r="D1" s="17"/>
      <c r="E1" s="1"/>
      <c r="F1" s="17"/>
      <c r="G1" s="17"/>
      <c r="H1" s="17"/>
    </row>
    <row r="2" spans="1:8" x14ac:dyDescent="0.3">
      <c r="A2" s="1" t="s">
        <v>63</v>
      </c>
      <c r="B2" s="43">
        <v>300</v>
      </c>
      <c r="C2" s="1" t="s">
        <v>50</v>
      </c>
      <c r="E2" s="1"/>
    </row>
    <row r="3" spans="1:8" x14ac:dyDescent="0.3">
      <c r="A3" s="1" t="s">
        <v>72</v>
      </c>
      <c r="B3" s="18">
        <v>1.3800000000000001E-23</v>
      </c>
      <c r="C3" s="1" t="s">
        <v>52</v>
      </c>
      <c r="E3" s="1"/>
    </row>
    <row r="4" spans="1:8" x14ac:dyDescent="0.3">
      <c r="A4" s="1" t="s">
        <v>62</v>
      </c>
      <c r="B4" s="55">
        <v>0.23</v>
      </c>
      <c r="C4" s="1"/>
      <c r="D4" s="18"/>
      <c r="E4" s="1"/>
    </row>
    <row r="5" spans="1:8" x14ac:dyDescent="0.3">
      <c r="A5" s="1" t="s">
        <v>58</v>
      </c>
      <c r="B5" s="18">
        <f>B3*B2/B4</f>
        <v>1.7999999999999999E-20</v>
      </c>
      <c r="C5" s="1" t="s">
        <v>53</v>
      </c>
      <c r="E5" s="1"/>
    </row>
    <row r="6" spans="1:8" x14ac:dyDescent="0.3">
      <c r="A6" t="s">
        <v>65</v>
      </c>
      <c r="B6" s="43">
        <v>20</v>
      </c>
      <c r="C6" t="s">
        <v>51</v>
      </c>
      <c r="E6" s="1"/>
      <c r="F6" s="1"/>
      <c r="G6" s="1"/>
      <c r="H6" s="1"/>
    </row>
    <row r="7" spans="1:8" x14ac:dyDescent="0.3">
      <c r="A7" s="1" t="s">
        <v>59</v>
      </c>
      <c r="B7" s="43">
        <f>B6/2</f>
        <v>10</v>
      </c>
      <c r="C7" s="1" t="s">
        <v>51</v>
      </c>
      <c r="E7" s="1"/>
      <c r="F7" s="1"/>
      <c r="G7" s="1"/>
      <c r="H7" s="1"/>
    </row>
    <row r="8" spans="1:8" x14ac:dyDescent="0.3">
      <c r="A8" s="1" t="s">
        <v>60</v>
      </c>
      <c r="B8" s="43">
        <f>masses!H27</f>
        <v>2000.1215277307792</v>
      </c>
      <c r="C8" s="1" t="s">
        <v>54</v>
      </c>
      <c r="E8" s="1"/>
      <c r="F8" s="1"/>
      <c r="G8" s="1"/>
      <c r="H8" s="1"/>
    </row>
    <row r="9" spans="1:8" x14ac:dyDescent="0.3">
      <c r="A9" s="1" t="s">
        <v>54</v>
      </c>
      <c r="B9" s="18">
        <v>1.6600000000000001E-24</v>
      </c>
      <c r="C9" s="1" t="s">
        <v>55</v>
      </c>
      <c r="E9" s="1"/>
      <c r="F9" s="1"/>
      <c r="G9" s="1"/>
      <c r="H9" s="1"/>
    </row>
    <row r="10" spans="1:8" x14ac:dyDescent="0.3">
      <c r="A10" s="1" t="s">
        <v>61</v>
      </c>
      <c r="B10" s="55">
        <f>B7*SQRT(B8*B9/B5)</f>
        <v>4.2948300548664156</v>
      </c>
      <c r="C10" s="1" t="s">
        <v>56</v>
      </c>
      <c r="E10" s="1"/>
      <c r="F10" s="1"/>
      <c r="G10" s="1"/>
      <c r="H10" s="1"/>
    </row>
    <row r="11" spans="1:8" x14ac:dyDescent="0.3">
      <c r="A11" s="1" t="s">
        <v>73</v>
      </c>
      <c r="B11" s="29">
        <v>1E-3</v>
      </c>
      <c r="C11" s="1" t="s">
        <v>57</v>
      </c>
    </row>
    <row r="13" spans="1:8" x14ac:dyDescent="0.3">
      <c r="A13" t="s">
        <v>248</v>
      </c>
      <c r="B13" s="18">
        <f>10^12*B5/(B7*10^-9)</f>
        <v>1.7999999999999998</v>
      </c>
      <c r="C13" t="s">
        <v>249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D67E-FA07-401A-AC81-FDAB6F314E95}">
  <dimension ref="A1:T45"/>
  <sheetViews>
    <sheetView topLeftCell="B1" zoomScale="85" zoomScaleNormal="85" workbookViewId="0">
      <selection activeCell="F39" sqref="F39:J39"/>
    </sheetView>
  </sheetViews>
  <sheetFormatPr defaultRowHeight="14.4" x14ac:dyDescent="0.3"/>
  <cols>
    <col min="1" max="1" width="6.5546875" bestFit="1" customWidth="1"/>
    <col min="2" max="2" width="9.44140625" style="1" bestFit="1" customWidth="1"/>
    <col min="5" max="5" width="13.44140625" bestFit="1" customWidth="1"/>
    <col min="6" max="7" width="9.5546875" bestFit="1" customWidth="1"/>
    <col min="8" max="8" width="10.5546875" bestFit="1" customWidth="1"/>
    <col min="10" max="10" width="9.5546875" bestFit="1" customWidth="1"/>
  </cols>
  <sheetData>
    <row r="1" spans="1:20" x14ac:dyDescent="0.3">
      <c r="A1" s="25" t="s">
        <v>97</v>
      </c>
      <c r="B1" s="25" t="s">
        <v>116</v>
      </c>
      <c r="C1" s="25" t="s">
        <v>98</v>
      </c>
      <c r="D1" s="25" t="s">
        <v>99</v>
      </c>
      <c r="E1" s="25" t="s">
        <v>100</v>
      </c>
      <c r="F1" s="25" t="s">
        <v>92</v>
      </c>
      <c r="G1" s="1" t="s">
        <v>93</v>
      </c>
      <c r="H1" s="1" t="s">
        <v>96</v>
      </c>
      <c r="I1" s="1" t="s">
        <v>101</v>
      </c>
      <c r="J1" t="s">
        <v>102</v>
      </c>
      <c r="K1" t="s">
        <v>103</v>
      </c>
    </row>
    <row r="2" spans="1:20" x14ac:dyDescent="0.3">
      <c r="A2">
        <v>1</v>
      </c>
      <c r="B2" s="1" t="s">
        <v>105</v>
      </c>
      <c r="C2">
        <v>1</v>
      </c>
      <c r="D2">
        <v>1</v>
      </c>
      <c r="E2" t="s">
        <v>104</v>
      </c>
      <c r="F2" s="34">
        <f>M6</f>
        <v>1</v>
      </c>
      <c r="G2" s="31">
        <f>M16/N26</f>
        <v>2.1213203435596424</v>
      </c>
      <c r="H2" s="55">
        <v>5.2</v>
      </c>
      <c r="I2" s="1">
        <v>4</v>
      </c>
      <c r="J2" s="33">
        <v>7.5</v>
      </c>
      <c r="K2" s="33">
        <v>0</v>
      </c>
    </row>
    <row r="3" spans="1:20" x14ac:dyDescent="0.3">
      <c r="A3">
        <v>2</v>
      </c>
      <c r="B3" s="1" t="s">
        <v>105</v>
      </c>
      <c r="C3">
        <v>1</v>
      </c>
      <c r="D3">
        <v>2</v>
      </c>
      <c r="E3" s="1" t="str">
        <f>E2</f>
        <v>fluidmembrane</v>
      </c>
      <c r="F3" s="34">
        <v>2</v>
      </c>
      <c r="G3" s="31">
        <f>N16/N26</f>
        <v>4.9497474683058327</v>
      </c>
      <c r="H3" s="58">
        <f>(H2+J6)/2</f>
        <v>10.1</v>
      </c>
      <c r="I3" s="26">
        <f>I2</f>
        <v>4</v>
      </c>
      <c r="J3" s="34">
        <f>J2</f>
        <v>7.5</v>
      </c>
      <c r="K3" s="34">
        <f>K2</f>
        <v>0</v>
      </c>
      <c r="M3" s="1"/>
    </row>
    <row r="4" spans="1:20" ht="15" thickBot="1" x14ac:dyDescent="0.35">
      <c r="M4" t="s">
        <v>109</v>
      </c>
      <c r="N4" t="s">
        <v>4</v>
      </c>
      <c r="O4" t="s">
        <v>110</v>
      </c>
      <c r="P4" t="s">
        <v>111</v>
      </c>
      <c r="Q4" t="s">
        <v>112</v>
      </c>
      <c r="R4" t="s">
        <v>113</v>
      </c>
      <c r="S4" t="s">
        <v>114</v>
      </c>
      <c r="T4" t="s">
        <v>115</v>
      </c>
    </row>
    <row r="5" spans="1:20" x14ac:dyDescent="0.3">
      <c r="A5" s="25" t="s">
        <v>97</v>
      </c>
      <c r="B5" s="25" t="s">
        <v>116</v>
      </c>
      <c r="C5" s="25" t="s">
        <v>98</v>
      </c>
      <c r="D5" s="25" t="s">
        <v>99</v>
      </c>
      <c r="E5" s="25" t="s">
        <v>100</v>
      </c>
      <c r="F5" s="25" t="s">
        <v>92</v>
      </c>
      <c r="G5" s="1" t="s">
        <v>93</v>
      </c>
      <c r="H5" s="1" t="s">
        <v>94</v>
      </c>
      <c r="I5" s="1" t="s">
        <v>95</v>
      </c>
      <c r="J5" s="1" t="s">
        <v>96</v>
      </c>
      <c r="K5" s="1"/>
      <c r="L5" s="8" t="s">
        <v>92</v>
      </c>
      <c r="M5" s="9">
        <v>1</v>
      </c>
      <c r="N5" s="9">
        <v>2</v>
      </c>
      <c r="O5" s="9">
        <v>3</v>
      </c>
      <c r="P5" s="9">
        <v>4</v>
      </c>
      <c r="Q5" s="9">
        <v>5</v>
      </c>
      <c r="R5" s="9">
        <v>6</v>
      </c>
      <c r="S5" s="9">
        <v>7</v>
      </c>
      <c r="T5" s="10">
        <v>8</v>
      </c>
    </row>
    <row r="6" spans="1:20" x14ac:dyDescent="0.3">
      <c r="A6">
        <v>3</v>
      </c>
      <c r="B6" s="1" t="s">
        <v>105</v>
      </c>
      <c r="C6">
        <v>2</v>
      </c>
      <c r="D6">
        <v>2</v>
      </c>
      <c r="E6" s="1" t="s">
        <v>91</v>
      </c>
      <c r="F6" s="31">
        <f>N7</f>
        <v>0.01</v>
      </c>
      <c r="G6" s="31">
        <f>N17/N26</f>
        <v>10.606601717798211</v>
      </c>
      <c r="H6">
        <v>4</v>
      </c>
      <c r="I6">
        <v>2</v>
      </c>
      <c r="J6" s="56">
        <f>N17*1</f>
        <v>15</v>
      </c>
      <c r="L6" s="4">
        <v>1</v>
      </c>
      <c r="M6" s="2">
        <v>1</v>
      </c>
      <c r="N6" s="2">
        <v>1</v>
      </c>
      <c r="O6" s="52">
        <v>0.01</v>
      </c>
      <c r="P6" s="2">
        <f>O6*2</f>
        <v>0.02</v>
      </c>
      <c r="Q6" s="41">
        <v>0.01</v>
      </c>
      <c r="R6" s="41">
        <v>0.01</v>
      </c>
      <c r="S6" s="41">
        <v>0.05</v>
      </c>
      <c r="T6" s="54">
        <v>0.05</v>
      </c>
    </row>
    <row r="7" spans="1:20" x14ac:dyDescent="0.3">
      <c r="A7">
        <v>4</v>
      </c>
      <c r="B7" s="1" t="s">
        <v>105</v>
      </c>
      <c r="C7" s="1">
        <v>3</v>
      </c>
      <c r="D7" s="1">
        <v>3</v>
      </c>
      <c r="E7" s="26" t="str">
        <f>E6</f>
        <v>mie/cut</v>
      </c>
      <c r="F7" s="31">
        <f>O8</f>
        <v>0.02</v>
      </c>
      <c r="G7" s="31">
        <f>O18/O26</f>
        <v>1.0482965576835586</v>
      </c>
      <c r="H7">
        <v>9</v>
      </c>
      <c r="I7">
        <v>6</v>
      </c>
      <c r="J7" s="56">
        <f>O18*1.6</f>
        <v>1.92</v>
      </c>
      <c r="L7" s="4">
        <v>2</v>
      </c>
      <c r="M7" s="27"/>
      <c r="N7" s="2">
        <v>0.01</v>
      </c>
      <c r="O7" s="2">
        <v>0.01</v>
      </c>
      <c r="P7" s="30">
        <f>O7</f>
        <v>0.01</v>
      </c>
      <c r="Q7" s="30">
        <f>O7</f>
        <v>0.01</v>
      </c>
      <c r="R7" s="30">
        <f>P7</f>
        <v>0.01</v>
      </c>
      <c r="S7" s="30">
        <f>SQRT(N7*S12)</f>
        <v>1.4142135623730951E-2</v>
      </c>
      <c r="T7" s="37">
        <f>SQRT(N7*T13)</f>
        <v>3.1622776601683791E-2</v>
      </c>
    </row>
    <row r="8" spans="1:20" x14ac:dyDescent="0.3">
      <c r="A8" s="1">
        <v>5</v>
      </c>
      <c r="B8" s="1" t="s">
        <v>105</v>
      </c>
      <c r="C8">
        <v>4</v>
      </c>
      <c r="D8">
        <v>4</v>
      </c>
      <c r="E8" s="26" t="str">
        <f t="shared" ref="E8:E39" si="0">E7</f>
        <v>mie/cut</v>
      </c>
      <c r="F8" s="31">
        <f>P9</f>
        <v>0.02</v>
      </c>
      <c r="G8" s="31">
        <f>P19/O26</f>
        <v>1.0482965576835586</v>
      </c>
      <c r="H8" s="26">
        <f>H7</f>
        <v>9</v>
      </c>
      <c r="I8" s="26">
        <f>I7</f>
        <v>6</v>
      </c>
      <c r="J8" s="56">
        <f>P19*1.6</f>
        <v>1.92</v>
      </c>
      <c r="L8" s="4">
        <v>3</v>
      </c>
      <c r="M8" s="27"/>
      <c r="N8" s="27"/>
      <c r="O8" s="2">
        <v>0.02</v>
      </c>
      <c r="P8" s="30">
        <f>SQRT(O8*P9)</f>
        <v>0.02</v>
      </c>
      <c r="Q8" s="30">
        <f>SQRT(O8*Q10)</f>
        <v>0.02</v>
      </c>
      <c r="R8" s="30">
        <f>SQRT(O8*R11)</f>
        <v>4.4721359549995794E-2</v>
      </c>
      <c r="S8" s="30">
        <f>SQRT(O8*S12)</f>
        <v>0.02</v>
      </c>
      <c r="T8" s="37">
        <f>SQRT(O8*T13)</f>
        <v>4.4721359549995794E-2</v>
      </c>
    </row>
    <row r="9" spans="1:20" x14ac:dyDescent="0.3">
      <c r="A9" s="1">
        <v>6</v>
      </c>
      <c r="B9" s="1" t="s">
        <v>105</v>
      </c>
      <c r="C9">
        <v>3</v>
      </c>
      <c r="D9">
        <v>4</v>
      </c>
      <c r="E9" s="26" t="str">
        <f t="shared" si="0"/>
        <v>mie/cut</v>
      </c>
      <c r="F9" s="31">
        <f>P8</f>
        <v>0.02</v>
      </c>
      <c r="G9" s="31">
        <f>P18/O26</f>
        <v>1.0482965576835586</v>
      </c>
      <c r="H9" s="36">
        <f>H8</f>
        <v>9</v>
      </c>
      <c r="I9" s="36">
        <f>I8</f>
        <v>6</v>
      </c>
      <c r="J9" s="56">
        <f>P18*1.6</f>
        <v>1.92</v>
      </c>
      <c r="L9" s="4">
        <v>4</v>
      </c>
      <c r="M9" s="27"/>
      <c r="N9" s="27"/>
      <c r="O9" s="27"/>
      <c r="P9" s="30">
        <f>O8</f>
        <v>0.02</v>
      </c>
      <c r="Q9" s="30">
        <f>SQRT(P9*Q10)</f>
        <v>0.02</v>
      </c>
      <c r="R9" s="30">
        <f>SQRT(P9*R11)</f>
        <v>4.4721359549995794E-2</v>
      </c>
      <c r="S9" s="30">
        <f>SQRT(P9*S12)</f>
        <v>0.02</v>
      </c>
      <c r="T9" s="37">
        <f>SQRT(P9*T13)</f>
        <v>4.4721359549995794E-2</v>
      </c>
    </row>
    <row r="10" spans="1:20" x14ac:dyDescent="0.3">
      <c r="A10" s="1">
        <v>7</v>
      </c>
      <c r="B10" s="1" t="s">
        <v>105</v>
      </c>
      <c r="C10">
        <v>2</v>
      </c>
      <c r="D10">
        <v>3</v>
      </c>
      <c r="E10" s="26" t="str">
        <f t="shared" si="0"/>
        <v>mie/cut</v>
      </c>
      <c r="F10" s="31">
        <f>O7</f>
        <v>0.01</v>
      </c>
      <c r="G10" s="31">
        <f>O17/O26</f>
        <v>2.6207413942088964</v>
      </c>
      <c r="H10" s="36">
        <v>9</v>
      </c>
      <c r="I10" s="36">
        <v>6</v>
      </c>
      <c r="J10" s="56">
        <f>O17*1.4</f>
        <v>4.1999999999999993</v>
      </c>
      <c r="L10" s="4">
        <v>5</v>
      </c>
      <c r="M10" s="27"/>
      <c r="N10" s="27"/>
      <c r="O10" s="27"/>
      <c r="P10" s="27"/>
      <c r="Q10" s="2">
        <f>R11/5</f>
        <v>0.02</v>
      </c>
      <c r="R10" s="30">
        <f>SQRT(Q10*R11)</f>
        <v>4.4721359549995794E-2</v>
      </c>
      <c r="S10" s="30">
        <f>SQRT(Q10*S12)</f>
        <v>0.02</v>
      </c>
      <c r="T10" s="37">
        <f>SQRT(Q10*T13)</f>
        <v>4.4721359549995794E-2</v>
      </c>
    </row>
    <row r="11" spans="1:20" x14ac:dyDescent="0.3">
      <c r="A11" s="1">
        <v>8</v>
      </c>
      <c r="B11" s="1" t="s">
        <v>105</v>
      </c>
      <c r="C11">
        <v>2</v>
      </c>
      <c r="D11">
        <v>4</v>
      </c>
      <c r="E11" s="26" t="str">
        <f t="shared" si="0"/>
        <v>mie/cut</v>
      </c>
      <c r="F11" s="31">
        <f>P7</f>
        <v>0.01</v>
      </c>
      <c r="G11" s="31">
        <f>P17/O26</f>
        <v>2.6207413942088964</v>
      </c>
      <c r="H11" s="36">
        <f t="shared" ref="H11:H13" si="1">H10</f>
        <v>9</v>
      </c>
      <c r="I11" s="36">
        <f t="shared" ref="I11:I13" si="2">I10</f>
        <v>6</v>
      </c>
      <c r="J11" s="56">
        <f>P17*1.4</f>
        <v>4.1999999999999993</v>
      </c>
      <c r="L11" s="4">
        <v>6</v>
      </c>
      <c r="M11" s="27"/>
      <c r="N11" s="27"/>
      <c r="O11" s="27"/>
      <c r="P11" s="27"/>
      <c r="Q11" s="27"/>
      <c r="R11" s="2">
        <v>0.1</v>
      </c>
      <c r="S11" s="30">
        <f>SQRT(R11*S12)</f>
        <v>4.4721359549995794E-2</v>
      </c>
      <c r="T11" s="37">
        <f>SQRT(S11*T12)</f>
        <v>4.4721359549995794E-2</v>
      </c>
    </row>
    <row r="12" spans="1:20" x14ac:dyDescent="0.3">
      <c r="A12" s="1">
        <v>9</v>
      </c>
      <c r="B12" s="1" t="s">
        <v>105</v>
      </c>
      <c r="C12">
        <v>1</v>
      </c>
      <c r="D12">
        <v>3</v>
      </c>
      <c r="E12" s="26" t="str">
        <f t="shared" si="0"/>
        <v>mie/cut</v>
      </c>
      <c r="F12" s="31">
        <f>O6</f>
        <v>0.01</v>
      </c>
      <c r="G12" s="31">
        <f>O16/O26</f>
        <v>2.6207413942088964</v>
      </c>
      <c r="H12" s="36">
        <f t="shared" si="1"/>
        <v>9</v>
      </c>
      <c r="I12" s="36">
        <f t="shared" si="2"/>
        <v>6</v>
      </c>
      <c r="J12" s="56">
        <f>O16*1.4</f>
        <v>4.1999999999999993</v>
      </c>
      <c r="L12" s="4">
        <v>7</v>
      </c>
      <c r="M12" s="27"/>
      <c r="N12" s="27"/>
      <c r="O12" s="27"/>
      <c r="P12" s="27"/>
      <c r="Q12" s="27"/>
      <c r="R12" s="27"/>
      <c r="S12" s="2">
        <v>0.02</v>
      </c>
      <c r="T12" s="37">
        <f>SQRT(S12*T13)</f>
        <v>4.4721359549995794E-2</v>
      </c>
    </row>
    <row r="13" spans="1:20" ht="15" thickBot="1" x14ac:dyDescent="0.35">
      <c r="A13" s="1">
        <v>10</v>
      </c>
      <c r="B13" s="1" t="s">
        <v>105</v>
      </c>
      <c r="C13">
        <v>1</v>
      </c>
      <c r="D13">
        <v>4</v>
      </c>
      <c r="E13" s="26" t="str">
        <f t="shared" si="0"/>
        <v>mie/cut</v>
      </c>
      <c r="F13" s="31">
        <f>P6</f>
        <v>0.02</v>
      </c>
      <c r="G13" s="31">
        <f>P16/O26</f>
        <v>2.6207413942088964</v>
      </c>
      <c r="H13" s="36">
        <f t="shared" si="1"/>
        <v>9</v>
      </c>
      <c r="I13" s="36">
        <f t="shared" si="2"/>
        <v>6</v>
      </c>
      <c r="J13" s="56">
        <f>P16*1.4</f>
        <v>4.1999999999999993</v>
      </c>
      <c r="L13" s="11">
        <v>8</v>
      </c>
      <c r="M13" s="28"/>
      <c r="N13" s="28"/>
      <c r="O13" s="28"/>
      <c r="P13" s="28"/>
      <c r="Q13" s="28"/>
      <c r="R13" s="28"/>
      <c r="S13" s="28"/>
      <c r="T13" s="14">
        <v>0.1</v>
      </c>
    </row>
    <row r="14" spans="1:20" ht="15" thickBot="1" x14ac:dyDescent="0.35">
      <c r="A14" s="1">
        <v>11</v>
      </c>
      <c r="B14" s="1" t="s">
        <v>105</v>
      </c>
      <c r="C14">
        <v>5</v>
      </c>
      <c r="D14">
        <v>5</v>
      </c>
      <c r="E14" s="26" t="str">
        <f t="shared" si="0"/>
        <v>mie/cut</v>
      </c>
      <c r="F14" s="31">
        <f>Q10</f>
        <v>0.02</v>
      </c>
      <c r="G14" s="31">
        <f>Q20/N26</f>
        <v>4.9497474683058327</v>
      </c>
      <c r="H14" s="26">
        <v>4</v>
      </c>
      <c r="I14" s="26">
        <v>2</v>
      </c>
      <c r="J14" s="56">
        <f>Q20*1</f>
        <v>7</v>
      </c>
    </row>
    <row r="15" spans="1:20" x14ac:dyDescent="0.3">
      <c r="A15" s="1">
        <v>12</v>
      </c>
      <c r="B15" s="1" t="s">
        <v>105</v>
      </c>
      <c r="C15">
        <v>6</v>
      </c>
      <c r="D15">
        <v>6</v>
      </c>
      <c r="E15" s="26" t="str">
        <f t="shared" si="0"/>
        <v>mie/cut</v>
      </c>
      <c r="F15" s="31">
        <f>R11</f>
        <v>0.1</v>
      </c>
      <c r="G15" s="31">
        <f>R21/N26</f>
        <v>4.9497474683058327</v>
      </c>
      <c r="H15" s="26">
        <f>H14</f>
        <v>4</v>
      </c>
      <c r="I15" s="36">
        <f>I14</f>
        <v>2</v>
      </c>
      <c r="J15" s="56">
        <f>R21*1.6</f>
        <v>11.200000000000001</v>
      </c>
      <c r="L15" s="8" t="s">
        <v>106</v>
      </c>
      <c r="M15" s="9">
        <v>1</v>
      </c>
      <c r="N15" s="9">
        <v>2</v>
      </c>
      <c r="O15" s="9">
        <v>3</v>
      </c>
      <c r="P15" s="9">
        <v>4</v>
      </c>
      <c r="Q15" s="9">
        <v>5</v>
      </c>
      <c r="R15" s="9">
        <v>6</v>
      </c>
      <c r="S15" s="9">
        <v>7</v>
      </c>
      <c r="T15" s="10">
        <v>8</v>
      </c>
    </row>
    <row r="16" spans="1:20" x14ac:dyDescent="0.3">
      <c r="A16" s="1">
        <v>13</v>
      </c>
      <c r="B16" s="1" t="s">
        <v>105</v>
      </c>
      <c r="C16">
        <v>5</v>
      </c>
      <c r="D16">
        <v>6</v>
      </c>
      <c r="E16" s="26" t="str">
        <f t="shared" si="0"/>
        <v>mie/cut</v>
      </c>
      <c r="F16" s="31">
        <f>R10</f>
        <v>4.4721359549995794E-2</v>
      </c>
      <c r="G16" s="31">
        <f>R20/N26</f>
        <v>4.9497474683058327</v>
      </c>
      <c r="H16" s="36">
        <f>H15</f>
        <v>4</v>
      </c>
      <c r="I16" s="36">
        <f>I15</f>
        <v>2</v>
      </c>
      <c r="J16" s="56">
        <f>R20*1.3</f>
        <v>9.1</v>
      </c>
      <c r="L16" s="4">
        <v>1</v>
      </c>
      <c r="M16" s="2">
        <v>3</v>
      </c>
      <c r="N16" s="41">
        <v>7</v>
      </c>
      <c r="O16" s="41">
        <v>3</v>
      </c>
      <c r="P16" s="30">
        <f>O16</f>
        <v>3</v>
      </c>
      <c r="Q16" s="30">
        <f>(M16+Q20)/2</f>
        <v>5</v>
      </c>
      <c r="R16" s="30">
        <f>(M16+R21)/2</f>
        <v>5</v>
      </c>
      <c r="S16" s="41">
        <v>5.4</v>
      </c>
      <c r="T16" s="54">
        <v>5.4</v>
      </c>
    </row>
    <row r="17" spans="1:20" x14ac:dyDescent="0.3">
      <c r="A17" s="1">
        <v>14</v>
      </c>
      <c r="B17" s="1" t="s">
        <v>105</v>
      </c>
      <c r="C17">
        <v>4</v>
      </c>
      <c r="D17">
        <v>5</v>
      </c>
      <c r="E17" s="26" t="str">
        <f t="shared" si="0"/>
        <v>mie/cut</v>
      </c>
      <c r="F17" s="31">
        <f>Q9</f>
        <v>0.02</v>
      </c>
      <c r="G17" s="31">
        <f>Q19/O26</f>
        <v>3.5816799054188251</v>
      </c>
      <c r="H17" s="26">
        <v>9</v>
      </c>
      <c r="I17" s="26">
        <v>6</v>
      </c>
      <c r="J17" s="56">
        <f>Q19*1</f>
        <v>4.0999999999999996</v>
      </c>
      <c r="L17" s="4">
        <v>2</v>
      </c>
      <c r="M17" s="27"/>
      <c r="N17" s="2">
        <v>15</v>
      </c>
      <c r="O17" s="41">
        <v>3</v>
      </c>
      <c r="P17" s="30">
        <f>O17</f>
        <v>3</v>
      </c>
      <c r="Q17" s="30">
        <f>(N17+Q20)/2</f>
        <v>11</v>
      </c>
      <c r="R17" s="30">
        <f>(N17+R21)/2</f>
        <v>11</v>
      </c>
      <c r="S17" s="30">
        <f>(N17+S22)/2</f>
        <v>7.9</v>
      </c>
      <c r="T17" s="37">
        <f>(N17+T23)/2</f>
        <v>8.6999999999999993</v>
      </c>
    </row>
    <row r="18" spans="1:20" x14ac:dyDescent="0.3">
      <c r="A18" s="1">
        <v>15</v>
      </c>
      <c r="B18" s="1" t="s">
        <v>105</v>
      </c>
      <c r="C18">
        <v>4</v>
      </c>
      <c r="D18">
        <v>6</v>
      </c>
      <c r="E18" s="26" t="str">
        <f t="shared" si="0"/>
        <v>mie/cut</v>
      </c>
      <c r="F18" s="31">
        <f>R9</f>
        <v>4.4721359549995794E-2</v>
      </c>
      <c r="G18" s="31">
        <f>R19/O26</f>
        <v>3.5816799054188251</v>
      </c>
      <c r="H18" s="36">
        <f t="shared" ref="H18:H20" si="3">H17</f>
        <v>9</v>
      </c>
      <c r="I18" s="36">
        <f t="shared" ref="I18:I20" si="4">I17</f>
        <v>6</v>
      </c>
      <c r="J18" s="56">
        <f>R19*1.4</f>
        <v>5.7399999999999993</v>
      </c>
      <c r="L18" s="4">
        <v>3</v>
      </c>
      <c r="M18" s="27"/>
      <c r="N18" s="27"/>
      <c r="O18" s="2">
        <v>1.2</v>
      </c>
      <c r="P18" s="30">
        <f>(O18+P19)/2</f>
        <v>1.2</v>
      </c>
      <c r="Q18" s="30">
        <f>(O18+Q20)/2</f>
        <v>4.0999999999999996</v>
      </c>
      <c r="R18" s="30">
        <f>(O18+R21)/2</f>
        <v>4.0999999999999996</v>
      </c>
      <c r="S18" s="30">
        <f>(O18+S22)/2</f>
        <v>1</v>
      </c>
      <c r="T18" s="37">
        <f>(O18+T23)/2</f>
        <v>1.7999999999999998</v>
      </c>
    </row>
    <row r="19" spans="1:20" x14ac:dyDescent="0.3">
      <c r="A19" s="1">
        <v>16</v>
      </c>
      <c r="B19" s="1" t="s">
        <v>105</v>
      </c>
      <c r="C19">
        <v>3</v>
      </c>
      <c r="D19">
        <v>5</v>
      </c>
      <c r="E19" s="26" t="str">
        <f t="shared" si="0"/>
        <v>mie/cut</v>
      </c>
      <c r="F19" s="31">
        <f>Q8</f>
        <v>0.02</v>
      </c>
      <c r="G19" s="31">
        <f>Q18/O26</f>
        <v>3.5816799054188251</v>
      </c>
      <c r="H19" s="36">
        <f t="shared" si="3"/>
        <v>9</v>
      </c>
      <c r="I19" s="36">
        <f t="shared" si="4"/>
        <v>6</v>
      </c>
      <c r="J19" s="56">
        <f>Q18*1</f>
        <v>4.0999999999999996</v>
      </c>
      <c r="L19" s="4">
        <v>4</v>
      </c>
      <c r="M19" s="27"/>
      <c r="N19" s="27"/>
      <c r="O19" s="27"/>
      <c r="P19" s="30">
        <f>O18</f>
        <v>1.2</v>
      </c>
      <c r="Q19" s="30">
        <f>(P19+Q20)/2</f>
        <v>4.0999999999999996</v>
      </c>
      <c r="R19" s="30">
        <f>(P19+R21)/2</f>
        <v>4.0999999999999996</v>
      </c>
      <c r="S19" s="30">
        <f>(P19+S22)/2</f>
        <v>1</v>
      </c>
      <c r="T19" s="37">
        <f>(P19+T23)/2</f>
        <v>1.7999999999999998</v>
      </c>
    </row>
    <row r="20" spans="1:20" x14ac:dyDescent="0.3">
      <c r="A20" s="1">
        <v>17</v>
      </c>
      <c r="B20" s="1" t="s">
        <v>105</v>
      </c>
      <c r="C20">
        <v>3</v>
      </c>
      <c r="D20">
        <v>6</v>
      </c>
      <c r="E20" s="26" t="str">
        <f t="shared" si="0"/>
        <v>mie/cut</v>
      </c>
      <c r="F20" s="31">
        <f>R8</f>
        <v>4.4721359549995794E-2</v>
      </c>
      <c r="G20" s="31">
        <f>R18/O26</f>
        <v>3.5816799054188251</v>
      </c>
      <c r="H20" s="36">
        <f t="shared" si="3"/>
        <v>9</v>
      </c>
      <c r="I20" s="36">
        <f t="shared" si="4"/>
        <v>6</v>
      </c>
      <c r="J20" s="56">
        <f>R18*1.4</f>
        <v>5.7399999999999993</v>
      </c>
      <c r="L20" s="4">
        <v>5</v>
      </c>
      <c r="M20" s="27"/>
      <c r="N20" s="27"/>
      <c r="O20" s="27"/>
      <c r="P20" s="27"/>
      <c r="Q20" s="2">
        <v>7</v>
      </c>
      <c r="R20" s="30">
        <f>(Q20+R21)/2</f>
        <v>7</v>
      </c>
      <c r="S20" s="30">
        <f>(Q20+S22)/2</f>
        <v>3.9</v>
      </c>
      <c r="T20" s="37">
        <f>(Q20+T23)/2</f>
        <v>4.7</v>
      </c>
    </row>
    <row r="21" spans="1:20" x14ac:dyDescent="0.3">
      <c r="A21" s="1">
        <v>18</v>
      </c>
      <c r="B21" s="1" t="s">
        <v>105</v>
      </c>
      <c r="C21">
        <v>2</v>
      </c>
      <c r="D21">
        <v>5</v>
      </c>
      <c r="E21" s="26" t="str">
        <f t="shared" si="0"/>
        <v>mie/cut</v>
      </c>
      <c r="F21" s="31">
        <f>Q7</f>
        <v>0.01</v>
      </c>
      <c r="G21" s="31">
        <f>Q17/N26</f>
        <v>7.7781745930520225</v>
      </c>
      <c r="H21" s="26">
        <v>4</v>
      </c>
      <c r="I21" s="26">
        <v>2</v>
      </c>
      <c r="J21" s="56">
        <f>Q17*1</f>
        <v>11</v>
      </c>
      <c r="L21" s="4">
        <v>6</v>
      </c>
      <c r="M21" s="27"/>
      <c r="N21" s="27"/>
      <c r="O21" s="27"/>
      <c r="P21" s="27"/>
      <c r="Q21" s="27"/>
      <c r="R21" s="30">
        <f>Q20</f>
        <v>7</v>
      </c>
      <c r="S21" s="30">
        <f>(R21+S22)/2</f>
        <v>3.9</v>
      </c>
      <c r="T21" s="37">
        <f>(R21+T23)/2</f>
        <v>4.7</v>
      </c>
    </row>
    <row r="22" spans="1:20" x14ac:dyDescent="0.3">
      <c r="A22" s="1">
        <v>19</v>
      </c>
      <c r="B22" s="1" t="s">
        <v>105</v>
      </c>
      <c r="C22">
        <v>2</v>
      </c>
      <c r="D22">
        <v>6</v>
      </c>
      <c r="E22" s="26" t="str">
        <f t="shared" si="0"/>
        <v>mie/cut</v>
      </c>
      <c r="F22" s="31">
        <f>R7</f>
        <v>0.01</v>
      </c>
      <c r="G22" s="31">
        <f>R17/N26</f>
        <v>7.7781745930520225</v>
      </c>
      <c r="H22" s="26">
        <f>H21</f>
        <v>4</v>
      </c>
      <c r="I22" s="26">
        <f>I21</f>
        <v>2</v>
      </c>
      <c r="J22" s="56">
        <f>R17*1.2</f>
        <v>13.2</v>
      </c>
      <c r="L22" s="4">
        <v>7</v>
      </c>
      <c r="M22" s="27"/>
      <c r="N22" s="27"/>
      <c r="O22" s="27"/>
      <c r="P22" s="27"/>
      <c r="Q22" s="27"/>
      <c r="R22" s="27"/>
      <c r="S22" s="2">
        <v>0.8</v>
      </c>
      <c r="T22" s="37">
        <f>(S22+T23)/2</f>
        <v>1.6</v>
      </c>
    </row>
    <row r="23" spans="1:20" ht="15" thickBot="1" x14ac:dyDescent="0.35">
      <c r="A23" s="1">
        <v>20</v>
      </c>
      <c r="B23" s="1" t="s">
        <v>105</v>
      </c>
      <c r="C23">
        <v>1</v>
      </c>
      <c r="D23">
        <v>5</v>
      </c>
      <c r="E23" s="26" t="str">
        <f t="shared" si="0"/>
        <v>mie/cut</v>
      </c>
      <c r="F23" s="31">
        <f>Q6</f>
        <v>0.01</v>
      </c>
      <c r="G23" s="31">
        <f>Q16/N26</f>
        <v>3.5355339059327373</v>
      </c>
      <c r="H23" s="26">
        <f t="shared" ref="H23:H24" si="5">H22</f>
        <v>4</v>
      </c>
      <c r="I23" s="26">
        <f t="shared" ref="I23:I24" si="6">I22</f>
        <v>2</v>
      </c>
      <c r="J23" s="56">
        <f>Q16*1</f>
        <v>5</v>
      </c>
      <c r="L23" s="11">
        <v>8</v>
      </c>
      <c r="M23" s="28"/>
      <c r="N23" s="28"/>
      <c r="O23" s="28"/>
      <c r="P23" s="28"/>
      <c r="Q23" s="28"/>
      <c r="R23" s="28"/>
      <c r="S23" s="28"/>
      <c r="T23" s="14">
        <v>2.4</v>
      </c>
    </row>
    <row r="24" spans="1:20" ht="15" thickBot="1" x14ac:dyDescent="0.35">
      <c r="A24" s="1">
        <v>21</v>
      </c>
      <c r="B24" s="1" t="s">
        <v>105</v>
      </c>
      <c r="C24">
        <v>1</v>
      </c>
      <c r="D24">
        <v>6</v>
      </c>
      <c r="E24" s="26" t="str">
        <f t="shared" si="0"/>
        <v>mie/cut</v>
      </c>
      <c r="F24" s="31">
        <f>R6</f>
        <v>0.01</v>
      </c>
      <c r="G24" s="31">
        <f>R16/N26</f>
        <v>3.5355339059327373</v>
      </c>
      <c r="H24" s="26">
        <f t="shared" si="5"/>
        <v>4</v>
      </c>
      <c r="I24" s="26">
        <f t="shared" si="6"/>
        <v>2</v>
      </c>
      <c r="J24" s="56">
        <f>R16*1.4</f>
        <v>7</v>
      </c>
    </row>
    <row r="25" spans="1:20" x14ac:dyDescent="0.3">
      <c r="A25" s="1">
        <v>22</v>
      </c>
      <c r="B25" s="1" t="s">
        <v>105</v>
      </c>
      <c r="C25">
        <v>7</v>
      </c>
      <c r="D25">
        <v>7</v>
      </c>
      <c r="E25" s="26" t="str">
        <f t="shared" si="0"/>
        <v>mie/cut</v>
      </c>
      <c r="F25" s="31">
        <f>S12</f>
        <v>0.02</v>
      </c>
      <c r="G25" s="31">
        <f>S22/O26</f>
        <v>0.69886437178903915</v>
      </c>
      <c r="H25" s="26">
        <v>9</v>
      </c>
      <c r="I25" s="26">
        <v>6</v>
      </c>
      <c r="J25" s="56">
        <f>S22*1.4</f>
        <v>1.1199999999999999</v>
      </c>
      <c r="M25" s="8"/>
      <c r="N25" s="38" t="s">
        <v>107</v>
      </c>
      <c r="O25" s="39" t="s">
        <v>108</v>
      </c>
    </row>
    <row r="26" spans="1:20" ht="15" thickBot="1" x14ac:dyDescent="0.35">
      <c r="A26" s="1">
        <v>23</v>
      </c>
      <c r="B26" s="1" t="s">
        <v>105</v>
      </c>
      <c r="C26">
        <v>8</v>
      </c>
      <c r="D26">
        <v>8</v>
      </c>
      <c r="E26" s="26" t="str">
        <f t="shared" si="0"/>
        <v>mie/cut</v>
      </c>
      <c r="F26" s="31">
        <f>T13</f>
        <v>0.1</v>
      </c>
      <c r="G26" s="31">
        <f>T23/O26</f>
        <v>2.0965931153671171</v>
      </c>
      <c r="H26" s="26">
        <f>H25</f>
        <v>9</v>
      </c>
      <c r="I26" s="26">
        <f>I25</f>
        <v>6</v>
      </c>
      <c r="J26" s="56">
        <f>T23*1</f>
        <v>2.4</v>
      </c>
      <c r="M26" s="11" t="s">
        <v>117</v>
      </c>
      <c r="N26" s="16">
        <f>(4/2)^(1/(4-2))</f>
        <v>1.4142135623730951</v>
      </c>
      <c r="O26" s="40">
        <f>(9/6)^(1/(9-6))</f>
        <v>1.1447142425533319</v>
      </c>
    </row>
    <row r="27" spans="1:20" ht="15" thickBot="1" x14ac:dyDescent="0.35">
      <c r="A27" s="1">
        <v>24</v>
      </c>
      <c r="B27" s="1" t="s">
        <v>105</v>
      </c>
      <c r="C27">
        <v>7</v>
      </c>
      <c r="D27">
        <v>8</v>
      </c>
      <c r="E27" s="26" t="str">
        <f t="shared" si="0"/>
        <v>mie/cut</v>
      </c>
      <c r="F27" s="31">
        <f>T12</f>
        <v>4.4721359549995794E-2</v>
      </c>
      <c r="G27" s="31">
        <f>T22/O26</f>
        <v>1.3977287435780783</v>
      </c>
      <c r="H27" s="26">
        <f t="shared" ref="H27:H39" si="7">H26</f>
        <v>9</v>
      </c>
      <c r="I27" s="26">
        <f t="shared" ref="I27:I39" si="8">I26</f>
        <v>6</v>
      </c>
      <c r="J27" s="56">
        <f>T22*1</f>
        <v>1.6</v>
      </c>
    </row>
    <row r="28" spans="1:20" x14ac:dyDescent="0.3">
      <c r="A28" s="1">
        <v>25</v>
      </c>
      <c r="B28" s="1" t="s">
        <v>105</v>
      </c>
      <c r="C28">
        <v>6</v>
      </c>
      <c r="D28">
        <v>7</v>
      </c>
      <c r="E28" s="26" t="str">
        <f t="shared" si="0"/>
        <v>mie/cut</v>
      </c>
      <c r="F28" s="31">
        <f>S11</f>
        <v>4.4721359549995794E-2</v>
      </c>
      <c r="G28" s="31">
        <f>S21/O26</f>
        <v>3.4069638124715653</v>
      </c>
      <c r="H28" s="26">
        <f t="shared" si="7"/>
        <v>9</v>
      </c>
      <c r="I28" s="26">
        <f t="shared" si="8"/>
        <v>6</v>
      </c>
      <c r="J28" s="56">
        <f>S21*1</f>
        <v>3.9</v>
      </c>
      <c r="L28" s="8" t="s">
        <v>97</v>
      </c>
      <c r="M28" s="9">
        <v>1</v>
      </c>
      <c r="N28" s="9">
        <v>2</v>
      </c>
      <c r="O28" s="9">
        <v>3</v>
      </c>
      <c r="P28" s="9">
        <v>4</v>
      </c>
      <c r="Q28" s="9">
        <v>5</v>
      </c>
      <c r="R28" s="9">
        <v>6</v>
      </c>
      <c r="S28" s="9">
        <v>7</v>
      </c>
      <c r="T28" s="10">
        <v>8</v>
      </c>
    </row>
    <row r="29" spans="1:20" x14ac:dyDescent="0.3">
      <c r="A29" s="1">
        <v>26</v>
      </c>
      <c r="B29" s="1" t="s">
        <v>105</v>
      </c>
      <c r="C29">
        <v>6</v>
      </c>
      <c r="D29">
        <v>8</v>
      </c>
      <c r="E29" s="26" t="str">
        <f t="shared" si="0"/>
        <v>mie/cut</v>
      </c>
      <c r="F29" s="31">
        <f>T11</f>
        <v>4.4721359549995794E-2</v>
      </c>
      <c r="G29" s="31">
        <f>T21/O26</f>
        <v>4.1058281842606048</v>
      </c>
      <c r="H29" s="26">
        <f t="shared" si="7"/>
        <v>9</v>
      </c>
      <c r="I29" s="26">
        <f t="shared" si="8"/>
        <v>6</v>
      </c>
      <c r="J29" s="56">
        <f>T21*1</f>
        <v>4.7</v>
      </c>
      <c r="L29" s="4">
        <v>1</v>
      </c>
      <c r="M29">
        <v>1</v>
      </c>
      <c r="N29">
        <v>2</v>
      </c>
      <c r="O29">
        <v>9</v>
      </c>
      <c r="P29">
        <v>10</v>
      </c>
      <c r="Q29">
        <v>20</v>
      </c>
      <c r="R29" s="2">
        <v>21</v>
      </c>
      <c r="S29" s="23">
        <v>35</v>
      </c>
      <c r="T29" s="3">
        <v>36</v>
      </c>
    </row>
    <row r="30" spans="1:20" x14ac:dyDescent="0.3">
      <c r="A30" s="1">
        <v>27</v>
      </c>
      <c r="B30" s="1" t="s">
        <v>105</v>
      </c>
      <c r="C30">
        <v>5</v>
      </c>
      <c r="D30">
        <v>7</v>
      </c>
      <c r="E30" s="26" t="str">
        <f t="shared" si="0"/>
        <v>mie/cut</v>
      </c>
      <c r="F30" s="31">
        <f>S10</f>
        <v>0.02</v>
      </c>
      <c r="G30" s="31">
        <f>S20/O26</f>
        <v>3.4069638124715653</v>
      </c>
      <c r="H30" s="26">
        <f t="shared" si="7"/>
        <v>9</v>
      </c>
      <c r="I30" s="26">
        <f t="shared" si="8"/>
        <v>6</v>
      </c>
      <c r="J30" s="56">
        <f>S20*1</f>
        <v>3.9</v>
      </c>
      <c r="L30" s="4">
        <v>2</v>
      </c>
      <c r="M30" s="27"/>
      <c r="N30">
        <v>3</v>
      </c>
      <c r="O30">
        <v>7</v>
      </c>
      <c r="P30">
        <v>8</v>
      </c>
      <c r="Q30" s="2">
        <v>18</v>
      </c>
      <c r="R30" s="23">
        <v>19</v>
      </c>
      <c r="S30" s="23">
        <v>33</v>
      </c>
      <c r="T30" s="3">
        <v>34</v>
      </c>
    </row>
    <row r="31" spans="1:20" x14ac:dyDescent="0.3">
      <c r="A31" s="1">
        <v>28</v>
      </c>
      <c r="B31" s="1" t="s">
        <v>105</v>
      </c>
      <c r="C31">
        <v>5</v>
      </c>
      <c r="D31">
        <v>8</v>
      </c>
      <c r="E31" s="26" t="str">
        <f t="shared" si="0"/>
        <v>mie/cut</v>
      </c>
      <c r="F31" s="31">
        <f>T10</f>
        <v>4.4721359549995794E-2</v>
      </c>
      <c r="G31" s="31">
        <f>T20/O26</f>
        <v>4.1058281842606048</v>
      </c>
      <c r="H31" s="26">
        <f t="shared" si="7"/>
        <v>9</v>
      </c>
      <c r="I31" s="26">
        <f t="shared" si="8"/>
        <v>6</v>
      </c>
      <c r="J31" s="56">
        <f>T20*1</f>
        <v>4.7</v>
      </c>
      <c r="L31" s="4">
        <v>3</v>
      </c>
      <c r="M31" s="27"/>
      <c r="N31" s="27"/>
      <c r="O31">
        <v>4</v>
      </c>
      <c r="P31">
        <v>6</v>
      </c>
      <c r="Q31">
        <v>16</v>
      </c>
      <c r="R31" s="2">
        <v>17</v>
      </c>
      <c r="S31" s="23">
        <v>31</v>
      </c>
      <c r="T31" s="3">
        <v>32</v>
      </c>
    </row>
    <row r="32" spans="1:20" x14ac:dyDescent="0.3">
      <c r="A32" s="1">
        <v>29</v>
      </c>
      <c r="B32" s="1" t="s">
        <v>105</v>
      </c>
      <c r="C32" s="1">
        <v>4</v>
      </c>
      <c r="D32" s="1">
        <v>7</v>
      </c>
      <c r="E32" s="26" t="str">
        <f t="shared" si="0"/>
        <v>mie/cut</v>
      </c>
      <c r="F32" s="31">
        <f>S9</f>
        <v>0.02</v>
      </c>
      <c r="G32" s="31">
        <f>S19/O26</f>
        <v>0.87358046473629891</v>
      </c>
      <c r="H32" s="26">
        <f t="shared" si="7"/>
        <v>9</v>
      </c>
      <c r="I32" s="26">
        <f t="shared" si="8"/>
        <v>6</v>
      </c>
      <c r="J32" s="56">
        <f>S19*1</f>
        <v>1</v>
      </c>
      <c r="L32" s="4">
        <v>4</v>
      </c>
      <c r="M32" s="27"/>
      <c r="N32" s="27"/>
      <c r="O32" s="27"/>
      <c r="P32">
        <v>5</v>
      </c>
      <c r="Q32">
        <v>14</v>
      </c>
      <c r="R32" s="2">
        <v>15</v>
      </c>
      <c r="S32" s="23">
        <v>29</v>
      </c>
      <c r="T32" s="3">
        <v>30</v>
      </c>
    </row>
    <row r="33" spans="1:20" x14ac:dyDescent="0.3">
      <c r="A33" s="1">
        <v>30</v>
      </c>
      <c r="B33" s="1" t="s">
        <v>105</v>
      </c>
      <c r="C33" s="1">
        <v>4</v>
      </c>
      <c r="D33" s="1">
        <v>8</v>
      </c>
      <c r="E33" s="26" t="str">
        <f t="shared" si="0"/>
        <v>mie/cut</v>
      </c>
      <c r="F33" s="31">
        <f>T9</f>
        <v>4.4721359549995794E-2</v>
      </c>
      <c r="G33" s="31">
        <f>T19/O26</f>
        <v>1.5724448365253378</v>
      </c>
      <c r="H33" s="26">
        <f t="shared" si="7"/>
        <v>9</v>
      </c>
      <c r="I33" s="26">
        <f t="shared" si="8"/>
        <v>6</v>
      </c>
      <c r="J33" s="56">
        <f>T19*1</f>
        <v>1.7999999999999998</v>
      </c>
      <c r="L33" s="4">
        <v>5</v>
      </c>
      <c r="M33" s="27"/>
      <c r="N33" s="27"/>
      <c r="O33" s="27"/>
      <c r="P33" s="27"/>
      <c r="Q33" s="2">
        <v>11</v>
      </c>
      <c r="R33" s="2">
        <v>13</v>
      </c>
      <c r="S33" s="2">
        <v>27</v>
      </c>
      <c r="T33" s="3">
        <v>28</v>
      </c>
    </row>
    <row r="34" spans="1:20" x14ac:dyDescent="0.3">
      <c r="A34" s="1">
        <v>31</v>
      </c>
      <c r="B34" s="1" t="s">
        <v>105</v>
      </c>
      <c r="C34" s="1">
        <v>3</v>
      </c>
      <c r="D34" s="1">
        <v>7</v>
      </c>
      <c r="E34" s="26" t="str">
        <f t="shared" si="0"/>
        <v>mie/cut</v>
      </c>
      <c r="F34" s="31">
        <f>S8</f>
        <v>0.02</v>
      </c>
      <c r="G34" s="31">
        <f>S18/O26</f>
        <v>0.87358046473629891</v>
      </c>
      <c r="H34" s="26">
        <f t="shared" si="7"/>
        <v>9</v>
      </c>
      <c r="I34" s="26">
        <f t="shared" si="8"/>
        <v>6</v>
      </c>
      <c r="J34" s="56">
        <f>S18*1</f>
        <v>1</v>
      </c>
      <c r="L34" s="4">
        <v>6</v>
      </c>
      <c r="M34" s="27"/>
      <c r="N34" s="27"/>
      <c r="O34" s="27"/>
      <c r="P34" s="27"/>
      <c r="Q34" s="27"/>
      <c r="R34" s="2">
        <v>12</v>
      </c>
      <c r="S34" s="2">
        <v>25</v>
      </c>
      <c r="T34" s="3">
        <v>26</v>
      </c>
    </row>
    <row r="35" spans="1:20" x14ac:dyDescent="0.3">
      <c r="A35" s="1">
        <v>32</v>
      </c>
      <c r="B35" s="1" t="s">
        <v>105</v>
      </c>
      <c r="C35" s="1">
        <v>3</v>
      </c>
      <c r="D35" s="1">
        <v>8</v>
      </c>
      <c r="E35" s="26" t="str">
        <f t="shared" si="0"/>
        <v>mie/cut</v>
      </c>
      <c r="F35" s="31">
        <f>T8</f>
        <v>4.4721359549995794E-2</v>
      </c>
      <c r="G35" s="31">
        <f>T18/O26</f>
        <v>1.5724448365253378</v>
      </c>
      <c r="H35" s="26">
        <f t="shared" si="7"/>
        <v>9</v>
      </c>
      <c r="I35" s="26">
        <f t="shared" si="8"/>
        <v>6</v>
      </c>
      <c r="J35" s="56">
        <f>T18*1</f>
        <v>1.7999999999999998</v>
      </c>
      <c r="L35" s="4">
        <v>7</v>
      </c>
      <c r="M35" s="27"/>
      <c r="N35" s="27"/>
      <c r="O35" s="27"/>
      <c r="P35" s="27"/>
      <c r="Q35" s="27"/>
      <c r="R35" s="27"/>
      <c r="S35" s="2">
        <v>22</v>
      </c>
      <c r="T35" s="3">
        <v>24</v>
      </c>
    </row>
    <row r="36" spans="1:20" ht="15" thickBot="1" x14ac:dyDescent="0.35">
      <c r="A36" s="1">
        <v>33</v>
      </c>
      <c r="B36" s="1" t="s">
        <v>105</v>
      </c>
      <c r="C36" s="1">
        <v>2</v>
      </c>
      <c r="D36" s="1">
        <v>7</v>
      </c>
      <c r="E36" s="26" t="str">
        <f t="shared" si="0"/>
        <v>mie/cut</v>
      </c>
      <c r="F36" s="31">
        <f>S7</f>
        <v>1.4142135623730951E-2</v>
      </c>
      <c r="G36" s="31">
        <f>S17/O26</f>
        <v>6.901285671416761</v>
      </c>
      <c r="H36" s="26">
        <f t="shared" si="7"/>
        <v>9</v>
      </c>
      <c r="I36" s="26">
        <f t="shared" si="8"/>
        <v>6</v>
      </c>
      <c r="J36" s="56">
        <f>S17*1</f>
        <v>7.9</v>
      </c>
      <c r="L36" s="11">
        <v>8</v>
      </c>
      <c r="M36" s="28"/>
      <c r="N36" s="28"/>
      <c r="O36" s="28"/>
      <c r="P36" s="28"/>
      <c r="Q36" s="28"/>
      <c r="R36" s="28"/>
      <c r="S36" s="28"/>
      <c r="T36" s="14">
        <v>23</v>
      </c>
    </row>
    <row r="37" spans="1:20" x14ac:dyDescent="0.3">
      <c r="A37" s="1">
        <v>34</v>
      </c>
      <c r="B37" s="1" t="s">
        <v>105</v>
      </c>
      <c r="C37" s="1">
        <v>2</v>
      </c>
      <c r="D37" s="1">
        <v>8</v>
      </c>
      <c r="E37" s="26" t="str">
        <f t="shared" si="0"/>
        <v>mie/cut</v>
      </c>
      <c r="F37" s="31">
        <f>T7</f>
        <v>3.1622776601683791E-2</v>
      </c>
      <c r="G37" s="31">
        <f>T17/O26</f>
        <v>7.6001500432057991</v>
      </c>
      <c r="H37" s="26">
        <f t="shared" si="7"/>
        <v>9</v>
      </c>
      <c r="I37" s="26">
        <f t="shared" si="8"/>
        <v>6</v>
      </c>
      <c r="J37" s="56">
        <f>T17*1</f>
        <v>8.6999999999999993</v>
      </c>
    </row>
    <row r="38" spans="1:20" x14ac:dyDescent="0.3">
      <c r="A38" s="1">
        <v>35</v>
      </c>
      <c r="B38" s="1" t="s">
        <v>105</v>
      </c>
      <c r="C38" s="1">
        <v>1</v>
      </c>
      <c r="D38" s="1">
        <v>7</v>
      </c>
      <c r="E38" s="26" t="str">
        <f t="shared" si="0"/>
        <v>mie/cut</v>
      </c>
      <c r="F38" s="31">
        <f>S6</f>
        <v>0.05</v>
      </c>
      <c r="G38" s="31">
        <f>S16/O26</f>
        <v>4.7173345095760144</v>
      </c>
      <c r="H38" s="26">
        <f t="shared" si="7"/>
        <v>9</v>
      </c>
      <c r="I38" s="26">
        <f t="shared" si="8"/>
        <v>6</v>
      </c>
      <c r="J38" s="56">
        <f>S16*1.1</f>
        <v>5.9400000000000013</v>
      </c>
    </row>
    <row r="39" spans="1:20" x14ac:dyDescent="0.3">
      <c r="A39" s="1">
        <v>36</v>
      </c>
      <c r="B39" s="1" t="s">
        <v>105</v>
      </c>
      <c r="C39" s="1">
        <v>1</v>
      </c>
      <c r="D39" s="1">
        <v>8</v>
      </c>
      <c r="E39" s="26" t="str">
        <f t="shared" si="0"/>
        <v>mie/cut</v>
      </c>
      <c r="F39" s="31">
        <f>T6</f>
        <v>0.05</v>
      </c>
      <c r="G39" s="31">
        <f>T16/O26</f>
        <v>4.7173345095760144</v>
      </c>
      <c r="H39" s="26">
        <f t="shared" si="7"/>
        <v>9</v>
      </c>
      <c r="I39" s="26">
        <f t="shared" si="8"/>
        <v>6</v>
      </c>
      <c r="J39" s="56">
        <f>T16*1.1</f>
        <v>5.9400000000000013</v>
      </c>
    </row>
    <row r="41" spans="1:20" x14ac:dyDescent="0.3">
      <c r="A41" s="25"/>
      <c r="B41" s="25" t="s">
        <v>220</v>
      </c>
      <c r="C41" s="25" t="s">
        <v>98</v>
      </c>
      <c r="D41" s="25" t="s">
        <v>99</v>
      </c>
      <c r="E41" s="25" t="s">
        <v>100</v>
      </c>
      <c r="F41" s="25" t="s">
        <v>92</v>
      </c>
      <c r="G41" s="1" t="s">
        <v>93</v>
      </c>
      <c r="H41" s="1" t="s">
        <v>224</v>
      </c>
      <c r="I41" s="1" t="s">
        <v>223</v>
      </c>
      <c r="J41" s="1" t="s">
        <v>96</v>
      </c>
      <c r="K41" t="s">
        <v>120</v>
      </c>
      <c r="L41" t="s">
        <v>225</v>
      </c>
    </row>
    <row r="42" spans="1:20" x14ac:dyDescent="0.3">
      <c r="B42" s="1" t="s">
        <v>214</v>
      </c>
      <c r="C42" t="s">
        <v>219</v>
      </c>
      <c r="D42" t="s">
        <v>219</v>
      </c>
      <c r="E42" t="s">
        <v>91</v>
      </c>
      <c r="F42" s="32">
        <f>F7</f>
        <v>0.02</v>
      </c>
      <c r="G42" s="32">
        <f t="shared" ref="G42:I42" si="9">G7</f>
        <v>1.0482965576835586</v>
      </c>
      <c r="H42" s="43">
        <f t="shared" si="9"/>
        <v>9</v>
      </c>
      <c r="I42" s="43">
        <f t="shared" si="9"/>
        <v>6</v>
      </c>
      <c r="J42" s="55">
        <f>J7</f>
        <v>1.92</v>
      </c>
      <c r="K42" s="55">
        <f>P18</f>
        <v>1.2</v>
      </c>
      <c r="L42" s="55">
        <f>(H42/(H42-I42))*(H42/I42)^(I42/(H42-I42))</f>
        <v>6.75</v>
      </c>
    </row>
    <row r="43" spans="1:20" x14ac:dyDescent="0.3">
      <c r="B43" s="1" t="s">
        <v>215</v>
      </c>
      <c r="C43" t="s">
        <v>221</v>
      </c>
      <c r="D43" t="s">
        <v>219</v>
      </c>
      <c r="E43" s="1" t="s">
        <v>91</v>
      </c>
      <c r="F43" s="32">
        <f>F12</f>
        <v>0.01</v>
      </c>
      <c r="G43" s="32">
        <f t="shared" ref="G43:J43" si="10">G12</f>
        <v>2.6207413942088964</v>
      </c>
      <c r="H43" s="43">
        <f t="shared" si="10"/>
        <v>9</v>
      </c>
      <c r="I43" s="43">
        <f t="shared" si="10"/>
        <v>6</v>
      </c>
      <c r="J43" s="55">
        <f t="shared" si="10"/>
        <v>4.1999999999999993</v>
      </c>
      <c r="K43" s="55">
        <f>O16</f>
        <v>3</v>
      </c>
      <c r="L43" s="55">
        <f t="shared" ref="L43:L45" si="11">(H43/(H43-I43))*(H43/I43)^(I43/(H43-I43))</f>
        <v>6.75</v>
      </c>
    </row>
    <row r="44" spans="1:20" x14ac:dyDescent="0.3">
      <c r="B44" s="1" t="s">
        <v>216</v>
      </c>
      <c r="C44">
        <v>1</v>
      </c>
      <c r="D44">
        <v>6</v>
      </c>
      <c r="E44" s="1" t="s">
        <v>91</v>
      </c>
      <c r="F44" s="32">
        <f>F24</f>
        <v>0.01</v>
      </c>
      <c r="G44" s="32">
        <f t="shared" ref="G44:J44" si="12">G24</f>
        <v>3.5355339059327373</v>
      </c>
      <c r="H44" s="43">
        <f t="shared" si="12"/>
        <v>4</v>
      </c>
      <c r="I44" s="43">
        <f t="shared" si="12"/>
        <v>2</v>
      </c>
      <c r="J44" s="55">
        <f t="shared" si="12"/>
        <v>7</v>
      </c>
      <c r="K44" s="55">
        <f>R16</f>
        <v>5</v>
      </c>
      <c r="L44" s="55">
        <f t="shared" si="11"/>
        <v>4</v>
      </c>
    </row>
    <row r="45" spans="1:20" x14ac:dyDescent="0.3">
      <c r="B45" s="1" t="s">
        <v>217</v>
      </c>
      <c r="C45">
        <v>1</v>
      </c>
      <c r="D45" t="s">
        <v>222</v>
      </c>
      <c r="E45" s="1" t="s">
        <v>91</v>
      </c>
      <c r="F45" s="32">
        <f>AVERAGE(F38:F39)</f>
        <v>0.05</v>
      </c>
      <c r="G45" s="32">
        <f>G38</f>
        <v>4.7173345095760144</v>
      </c>
      <c r="H45" s="43">
        <f t="shared" ref="H45:J45" si="13">H38</f>
        <v>9</v>
      </c>
      <c r="I45" s="43">
        <f t="shared" si="13"/>
        <v>6</v>
      </c>
      <c r="J45" s="55">
        <f t="shared" si="13"/>
        <v>5.9400000000000013</v>
      </c>
      <c r="K45" s="55">
        <f>S16</f>
        <v>5.4</v>
      </c>
      <c r="L45" s="55">
        <f t="shared" si="11"/>
        <v>6.75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8EF6-1A3A-45B2-9706-D28025A2DDBF}">
  <dimension ref="A1:S19"/>
  <sheetViews>
    <sheetView workbookViewId="0">
      <selection activeCell="I20" sqref="I20"/>
    </sheetView>
  </sheetViews>
  <sheetFormatPr defaultRowHeight="14.4" x14ac:dyDescent="0.3"/>
  <cols>
    <col min="1" max="1" width="6.5546875" bestFit="1" customWidth="1"/>
    <col min="2" max="2" width="10.44140625" bestFit="1" customWidth="1"/>
    <col min="5" max="5" width="9.6640625" bestFit="1" customWidth="1"/>
    <col min="6" max="7" width="12.33203125" bestFit="1" customWidth="1"/>
    <col min="8" max="8" width="9.5546875" bestFit="1" customWidth="1"/>
    <col min="16" max="16" width="6.5546875" bestFit="1" customWidth="1"/>
    <col min="17" max="17" width="10.88671875" bestFit="1" customWidth="1"/>
  </cols>
  <sheetData>
    <row r="1" spans="1:19" ht="15" thickBot="1" x14ac:dyDescent="0.35">
      <c r="A1" s="25" t="s">
        <v>97</v>
      </c>
      <c r="B1" s="25" t="s">
        <v>116</v>
      </c>
      <c r="C1" s="25" t="s">
        <v>121</v>
      </c>
      <c r="D1" s="25" t="s">
        <v>100</v>
      </c>
      <c r="E1" s="25" t="s">
        <v>50</v>
      </c>
      <c r="F1" s="25" t="s">
        <v>120</v>
      </c>
      <c r="G1" s="1"/>
      <c r="H1" s="1"/>
      <c r="I1" s="1"/>
      <c r="O1" s="2"/>
      <c r="P1" s="2"/>
      <c r="Q1" s="2"/>
      <c r="R1" s="2"/>
      <c r="S1" s="2"/>
    </row>
    <row r="2" spans="1:19" x14ac:dyDescent="0.3">
      <c r="A2">
        <v>1</v>
      </c>
      <c r="B2" t="s">
        <v>118</v>
      </c>
      <c r="C2">
        <v>1</v>
      </c>
      <c r="D2" t="s">
        <v>119</v>
      </c>
      <c r="E2" s="29">
        <v>75</v>
      </c>
      <c r="F2" s="29">
        <v>2</v>
      </c>
      <c r="G2" t="s">
        <v>140</v>
      </c>
      <c r="O2" s="2"/>
      <c r="P2" s="8" t="s">
        <v>97</v>
      </c>
      <c r="Q2" s="10" t="s">
        <v>135</v>
      </c>
      <c r="R2" s="2"/>
      <c r="S2" s="2"/>
    </row>
    <row r="3" spans="1:19" x14ac:dyDescent="0.3">
      <c r="A3">
        <v>2</v>
      </c>
      <c r="B3" s="1" t="s">
        <v>118</v>
      </c>
      <c r="C3">
        <v>2</v>
      </c>
      <c r="D3" s="26" t="s">
        <v>119</v>
      </c>
      <c r="E3" s="35">
        <f>$E$2</f>
        <v>75</v>
      </c>
      <c r="F3" s="29">
        <v>1</v>
      </c>
      <c r="G3" t="s">
        <v>141</v>
      </c>
      <c r="O3" s="2"/>
      <c r="P3" s="4">
        <v>1</v>
      </c>
      <c r="Q3" s="3" t="s">
        <v>122</v>
      </c>
      <c r="R3" s="2"/>
      <c r="S3" s="2"/>
    </row>
    <row r="4" spans="1:19" x14ac:dyDescent="0.3">
      <c r="A4">
        <v>3</v>
      </c>
      <c r="B4" s="1" t="s">
        <v>118</v>
      </c>
      <c r="C4">
        <v>3</v>
      </c>
      <c r="D4" s="26" t="s">
        <v>119</v>
      </c>
      <c r="E4" s="35">
        <f>$E$2</f>
        <v>75</v>
      </c>
      <c r="F4" s="29">
        <v>1.2</v>
      </c>
      <c r="G4" t="s">
        <v>142</v>
      </c>
      <c r="O4" s="2"/>
      <c r="P4" s="4">
        <v>2</v>
      </c>
      <c r="Q4" s="3" t="s">
        <v>124</v>
      </c>
      <c r="R4" s="2"/>
      <c r="S4" s="2"/>
    </row>
    <row r="5" spans="1:19" x14ac:dyDescent="0.3">
      <c r="O5" s="2"/>
      <c r="P5" s="4">
        <v>3</v>
      </c>
      <c r="Q5" s="3" t="s">
        <v>125</v>
      </c>
      <c r="R5" s="2"/>
      <c r="S5" s="2"/>
    </row>
    <row r="6" spans="1:19" x14ac:dyDescent="0.3">
      <c r="A6" s="25" t="s">
        <v>97</v>
      </c>
      <c r="B6" s="25" t="s">
        <v>116</v>
      </c>
      <c r="C6" s="25" t="s">
        <v>121</v>
      </c>
      <c r="D6" s="25" t="s">
        <v>100</v>
      </c>
      <c r="E6" s="25" t="s">
        <v>50</v>
      </c>
      <c r="F6" s="25" t="s">
        <v>129</v>
      </c>
      <c r="G6" s="25" t="s">
        <v>92</v>
      </c>
      <c r="H6" s="25" t="s">
        <v>93</v>
      </c>
      <c r="K6" t="s">
        <v>120</v>
      </c>
      <c r="O6" s="2"/>
      <c r="P6" s="4">
        <v>4</v>
      </c>
      <c r="Q6" s="3" t="s">
        <v>123</v>
      </c>
      <c r="R6" s="2"/>
      <c r="S6" s="2"/>
    </row>
    <row r="7" spans="1:19" x14ac:dyDescent="0.3">
      <c r="A7" s="1">
        <v>4</v>
      </c>
      <c r="B7" s="1" t="s">
        <v>118</v>
      </c>
      <c r="C7" s="1">
        <v>4</v>
      </c>
      <c r="D7" s="1" t="s">
        <v>128</v>
      </c>
      <c r="E7" s="29">
        <f>30*0.23/(7*7)</f>
        <v>0.14081632653061224</v>
      </c>
      <c r="F7" s="29">
        <f>1.6*7</f>
        <v>11.200000000000001</v>
      </c>
      <c r="G7" s="29">
        <f>1*0.23</f>
        <v>0.23</v>
      </c>
      <c r="H7" s="29">
        <f>1*7</f>
        <v>7</v>
      </c>
      <c r="I7" t="s">
        <v>143</v>
      </c>
      <c r="K7">
        <v>6.7549999999999999</v>
      </c>
      <c r="O7" s="2"/>
      <c r="P7" s="4">
        <v>5</v>
      </c>
      <c r="Q7" s="3" t="s">
        <v>126</v>
      </c>
      <c r="R7" s="2"/>
      <c r="S7" s="2"/>
    </row>
    <row r="8" spans="1:19" x14ac:dyDescent="0.3">
      <c r="O8" s="2"/>
      <c r="P8" s="4">
        <v>6</v>
      </c>
      <c r="Q8" s="3" t="s">
        <v>177</v>
      </c>
      <c r="R8" s="2"/>
      <c r="S8" s="2"/>
    </row>
    <row r="9" spans="1:19" x14ac:dyDescent="0.3">
      <c r="A9" s="25" t="s">
        <v>97</v>
      </c>
      <c r="B9" s="25" t="s">
        <v>116</v>
      </c>
      <c r="C9" s="25" t="s">
        <v>121</v>
      </c>
      <c r="D9" s="25" t="s">
        <v>100</v>
      </c>
      <c r="E9" s="25" t="s">
        <v>131</v>
      </c>
      <c r="F9" s="25" t="s">
        <v>132</v>
      </c>
      <c r="G9" s="25" t="s">
        <v>120</v>
      </c>
      <c r="H9" s="25"/>
      <c r="J9" s="25" t="s">
        <v>50</v>
      </c>
      <c r="O9" s="2"/>
      <c r="P9" s="4">
        <v>7</v>
      </c>
      <c r="Q9" s="3" t="s">
        <v>178</v>
      </c>
      <c r="R9" s="2"/>
      <c r="S9" s="2"/>
    </row>
    <row r="10" spans="1:19" ht="15" thickBot="1" x14ac:dyDescent="0.35">
      <c r="A10" s="1">
        <v>5</v>
      </c>
      <c r="B10" s="1" t="s">
        <v>118</v>
      </c>
      <c r="C10" s="1">
        <v>5</v>
      </c>
      <c r="D10" s="1" t="s">
        <v>130</v>
      </c>
      <c r="E10" s="42">
        <v>0.2</v>
      </c>
      <c r="F10" s="35">
        <f>SQRT(J10/(2*E10))</f>
        <v>3.1622776601683795</v>
      </c>
      <c r="G10" s="29">
        <v>1.2</v>
      </c>
      <c r="H10" s="1" t="s">
        <v>144</v>
      </c>
      <c r="J10" s="42">
        <v>4</v>
      </c>
      <c r="O10" s="2"/>
      <c r="P10" s="11">
        <v>8</v>
      </c>
      <c r="Q10" s="14" t="s">
        <v>127</v>
      </c>
      <c r="R10" s="2"/>
      <c r="S10" s="2"/>
    </row>
    <row r="11" spans="1:19" x14ac:dyDescent="0.3">
      <c r="A11" s="1">
        <v>6</v>
      </c>
      <c r="B11" s="1" t="s">
        <v>118</v>
      </c>
      <c r="C11" s="1">
        <v>6</v>
      </c>
      <c r="D11" s="26" t="str">
        <f>D10</f>
        <v>morse</v>
      </c>
      <c r="E11" s="42">
        <v>0.2</v>
      </c>
      <c r="F11" s="35">
        <f>SQRT(J11/(2*E11))</f>
        <v>1.2247448713915889</v>
      </c>
      <c r="G11" s="29">
        <v>3</v>
      </c>
      <c r="H11" t="s">
        <v>175</v>
      </c>
      <c r="J11" s="42">
        <v>0.6</v>
      </c>
      <c r="O11" s="2"/>
      <c r="P11" s="2"/>
      <c r="Q11" s="2"/>
      <c r="R11" s="2"/>
      <c r="S11" s="2"/>
    </row>
    <row r="12" spans="1:19" x14ac:dyDescent="0.3">
      <c r="A12">
        <v>7</v>
      </c>
      <c r="B12" s="1" t="s">
        <v>118</v>
      </c>
      <c r="C12">
        <v>7</v>
      </c>
      <c r="D12" s="26" t="str">
        <f>D11</f>
        <v>morse</v>
      </c>
      <c r="E12" s="42">
        <v>0.2</v>
      </c>
      <c r="F12" s="35">
        <f>SQRT(J12/(2*E12))</f>
        <v>0.70710678118654757</v>
      </c>
      <c r="G12" s="29">
        <v>5</v>
      </c>
      <c r="H12" t="s">
        <v>176</v>
      </c>
      <c r="J12" s="42">
        <v>0.2</v>
      </c>
    </row>
    <row r="13" spans="1:19" s="1" customFormat="1" x14ac:dyDescent="0.3">
      <c r="A13" s="1">
        <v>8</v>
      </c>
      <c r="B13" s="1" t="s">
        <v>118</v>
      </c>
      <c r="C13" s="1">
        <v>8</v>
      </c>
      <c r="D13" s="26" t="str">
        <f>D12</f>
        <v>morse</v>
      </c>
      <c r="E13" s="42">
        <v>0.75</v>
      </c>
      <c r="F13" s="35">
        <f>SQRT(J13/(2*E13))</f>
        <v>0.70710678118654757</v>
      </c>
      <c r="G13" s="29">
        <v>5.4</v>
      </c>
      <c r="H13" s="1" t="s">
        <v>145</v>
      </c>
      <c r="J13" s="42">
        <v>0.75</v>
      </c>
    </row>
    <row r="15" spans="1:19" ht="15" thickBot="1" x14ac:dyDescent="0.35">
      <c r="A15" s="25" t="s">
        <v>97</v>
      </c>
      <c r="B15" s="25" t="s">
        <v>116</v>
      </c>
      <c r="C15" s="25" t="s">
        <v>121</v>
      </c>
      <c r="D15" s="25" t="s">
        <v>50</v>
      </c>
      <c r="E15" s="25" t="s">
        <v>103</v>
      </c>
      <c r="J15" t="s">
        <v>137</v>
      </c>
    </row>
    <row r="16" spans="1:19" x14ac:dyDescent="0.3">
      <c r="A16" s="1">
        <v>1</v>
      </c>
      <c r="B16" s="1" t="s">
        <v>136</v>
      </c>
      <c r="C16" s="1">
        <v>1</v>
      </c>
      <c r="D16" s="29">
        <f>J16*0.23/F2</f>
        <v>6.3250000000000002</v>
      </c>
      <c r="E16" s="29">
        <v>180</v>
      </c>
      <c r="F16" s="1" t="s">
        <v>140</v>
      </c>
      <c r="J16" s="43">
        <v>55</v>
      </c>
      <c r="K16" t="s">
        <v>139</v>
      </c>
      <c r="P16" s="8" t="s">
        <v>97</v>
      </c>
      <c r="Q16" s="10" t="s">
        <v>135</v>
      </c>
    </row>
    <row r="17" spans="1:17" x14ac:dyDescent="0.3">
      <c r="A17">
        <v>2</v>
      </c>
      <c r="B17" s="1" t="s">
        <v>136</v>
      </c>
      <c r="C17">
        <v>2</v>
      </c>
      <c r="D17" s="29">
        <f>J17*0.23/F3</f>
        <v>64.17</v>
      </c>
      <c r="E17" s="35">
        <f>E16</f>
        <v>180</v>
      </c>
      <c r="F17" s="1" t="s">
        <v>141</v>
      </c>
      <c r="J17" s="43">
        <v>279</v>
      </c>
      <c r="K17" t="s">
        <v>138</v>
      </c>
      <c r="P17" s="4">
        <v>1</v>
      </c>
      <c r="Q17" s="3" t="s">
        <v>122</v>
      </c>
    </row>
    <row r="18" spans="1:17" x14ac:dyDescent="0.3">
      <c r="A18">
        <v>3</v>
      </c>
      <c r="B18" s="1" t="s">
        <v>136</v>
      </c>
      <c r="C18">
        <v>3</v>
      </c>
      <c r="D18" s="29">
        <f>J18*0.23/F4</f>
        <v>231.3416666666667</v>
      </c>
      <c r="E18" s="35">
        <f>E17</f>
        <v>180</v>
      </c>
      <c r="F18" s="1" t="s">
        <v>142</v>
      </c>
      <c r="J18" s="43">
        <v>1207</v>
      </c>
      <c r="K18" t="s">
        <v>138</v>
      </c>
      <c r="P18" s="4">
        <v>2</v>
      </c>
      <c r="Q18" s="3" t="s">
        <v>124</v>
      </c>
    </row>
    <row r="19" spans="1:17" ht="15" thickBot="1" x14ac:dyDescent="0.35">
      <c r="P19" s="11">
        <v>3</v>
      </c>
      <c r="Q19" s="14" t="s">
        <v>125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637B-476B-4006-96E2-F2F448B82748}">
  <dimension ref="A1:U43"/>
  <sheetViews>
    <sheetView workbookViewId="0">
      <selection activeCell="P9" sqref="P9"/>
    </sheetView>
  </sheetViews>
  <sheetFormatPr defaultRowHeight="14.4" x14ac:dyDescent="0.3"/>
  <cols>
    <col min="1" max="1" width="6.5546875" style="1" bestFit="1" customWidth="1"/>
    <col min="2" max="2" width="5.6640625" style="1" bestFit="1" customWidth="1"/>
    <col min="3" max="3" width="8.88671875" style="1"/>
    <col min="4" max="4" width="11.109375" style="1" bestFit="1" customWidth="1"/>
    <col min="5" max="5" width="5" style="1" bestFit="1" customWidth="1"/>
    <col min="6" max="6" width="4.88671875" style="1" bestFit="1" customWidth="1"/>
    <col min="7" max="7" width="6.5546875" style="1" bestFit="1" customWidth="1"/>
    <col min="8" max="8" width="4.88671875" style="1" bestFit="1" customWidth="1"/>
    <col min="9" max="10" width="9.5546875" style="1" bestFit="1" customWidth="1"/>
    <col min="11" max="11" width="12.21875" style="1" bestFit="1" customWidth="1"/>
    <col min="12" max="12" width="8.88671875" style="1"/>
    <col min="13" max="13" width="9.77734375" style="1" bestFit="1" customWidth="1"/>
    <col min="14" max="15" width="8.88671875" style="1"/>
    <col min="16" max="16" width="6.5546875" style="1" bestFit="1" customWidth="1"/>
    <col min="17" max="17" width="10.88671875" style="1" bestFit="1" customWidth="1"/>
    <col min="18" max="16384" width="8.88671875" style="1"/>
  </cols>
  <sheetData>
    <row r="1" spans="1:21" x14ac:dyDescent="0.3">
      <c r="A1" s="25" t="s">
        <v>97</v>
      </c>
      <c r="B1" s="25" t="s">
        <v>116</v>
      </c>
      <c r="C1" s="25" t="s">
        <v>169</v>
      </c>
      <c r="D1" s="25" t="s">
        <v>100</v>
      </c>
      <c r="E1" s="25" t="s">
        <v>165</v>
      </c>
      <c r="F1" s="25" t="s">
        <v>121</v>
      </c>
      <c r="G1" s="25" t="s">
        <v>134</v>
      </c>
      <c r="I1" s="1" t="s">
        <v>251</v>
      </c>
      <c r="N1"/>
      <c r="O1"/>
      <c r="P1"/>
      <c r="Q1"/>
      <c r="R1"/>
      <c r="S1"/>
      <c r="T1"/>
    </row>
    <row r="2" spans="1:21" x14ac:dyDescent="0.3">
      <c r="A2" s="1">
        <v>1</v>
      </c>
      <c r="B2" s="1" t="s">
        <v>163</v>
      </c>
      <c r="C2" s="1" t="s">
        <v>166</v>
      </c>
      <c r="D2" s="1" t="s">
        <v>164</v>
      </c>
      <c r="E2">
        <v>200</v>
      </c>
      <c r="F2" s="26">
        <f>O4</f>
        <v>5</v>
      </c>
      <c r="G2" s="35">
        <f>Q4</f>
        <v>1.7999999999999998</v>
      </c>
      <c r="I2" s="1">
        <f>E2*units!$B$11</f>
        <v>0.2</v>
      </c>
      <c r="N2"/>
      <c r="O2"/>
      <c r="P2">
        <v>1.1000000000000001</v>
      </c>
      <c r="Q2">
        <v>1.5</v>
      </c>
      <c r="R2"/>
      <c r="T2"/>
    </row>
    <row r="3" spans="1:21" x14ac:dyDescent="0.3">
      <c r="A3" s="1">
        <v>2</v>
      </c>
      <c r="B3" s="26" t="s">
        <v>163</v>
      </c>
      <c r="C3" s="1" t="s">
        <v>173</v>
      </c>
      <c r="D3" s="26" t="s">
        <v>164</v>
      </c>
      <c r="E3" s="26">
        <f>$E$2</f>
        <v>200</v>
      </c>
      <c r="F3" s="26">
        <f>O5</f>
        <v>6</v>
      </c>
      <c r="G3" s="35">
        <f>Q5</f>
        <v>4.5</v>
      </c>
      <c r="I3" s="1">
        <f>E3*units!$B$11</f>
        <v>0.2</v>
      </c>
      <c r="O3" t="s">
        <v>121</v>
      </c>
      <c r="P3" s="25" t="s">
        <v>133</v>
      </c>
      <c r="Q3" s="25" t="s">
        <v>134</v>
      </c>
      <c r="R3"/>
      <c r="T3"/>
    </row>
    <row r="4" spans="1:21" x14ac:dyDescent="0.3">
      <c r="A4" s="1">
        <v>3</v>
      </c>
      <c r="B4" s="26" t="s">
        <v>163</v>
      </c>
      <c r="C4" s="1" t="s">
        <v>174</v>
      </c>
      <c r="D4" s="26" t="s">
        <v>164</v>
      </c>
      <c r="E4" s="26">
        <f t="shared" ref="E4:E5" si="0">$E$2</f>
        <v>200</v>
      </c>
      <c r="F4" s="26">
        <f>O6</f>
        <v>7</v>
      </c>
      <c r="G4" s="35">
        <f>Q6</f>
        <v>10</v>
      </c>
      <c r="I4" s="1">
        <f>E4*units!$B$11</f>
        <v>0.2</v>
      </c>
      <c r="O4">
        <v>5</v>
      </c>
      <c r="P4" s="35">
        <f>bonded!G10*$P$2</f>
        <v>1.32</v>
      </c>
      <c r="Q4" s="35">
        <f>bonded!G10*$R$4</f>
        <v>1.7999999999999998</v>
      </c>
      <c r="R4">
        <v>1.5</v>
      </c>
      <c r="T4"/>
    </row>
    <row r="5" spans="1:21" x14ac:dyDescent="0.3">
      <c r="A5" s="1">
        <v>4</v>
      </c>
      <c r="B5" s="26" t="s">
        <v>163</v>
      </c>
      <c r="C5" s="1" t="s">
        <v>167</v>
      </c>
      <c r="D5" s="26" t="s">
        <v>164</v>
      </c>
      <c r="E5" s="26">
        <f t="shared" si="0"/>
        <v>200</v>
      </c>
      <c r="F5" s="26">
        <f>O7</f>
        <v>8</v>
      </c>
      <c r="G5" s="35">
        <f>Q7</f>
        <v>10.8</v>
      </c>
      <c r="I5" s="1">
        <f>E5*units!$B$11</f>
        <v>0.2</v>
      </c>
      <c r="O5">
        <v>6</v>
      </c>
      <c r="P5" s="35">
        <f>bonded!G11*$P$2</f>
        <v>3.3000000000000003</v>
      </c>
      <c r="Q5" s="35">
        <f>bonded!G11*$R$5</f>
        <v>4.5</v>
      </c>
      <c r="R5">
        <v>1.5</v>
      </c>
      <c r="T5"/>
    </row>
    <row r="6" spans="1:21" x14ac:dyDescent="0.3">
      <c r="O6">
        <v>7</v>
      </c>
      <c r="P6" s="35">
        <f>bonded!G12*$P$2</f>
        <v>5.5</v>
      </c>
      <c r="Q6" s="35">
        <f>bonded!G12*$R$6</f>
        <v>10</v>
      </c>
      <c r="R6">
        <v>2</v>
      </c>
      <c r="T6"/>
    </row>
    <row r="7" spans="1:21" x14ac:dyDescent="0.3">
      <c r="A7" s="25" t="s">
        <v>97</v>
      </c>
      <c r="B7" s="25" t="s">
        <v>116</v>
      </c>
      <c r="C7" s="25" t="s">
        <v>169</v>
      </c>
      <c r="D7" s="25" t="s">
        <v>100</v>
      </c>
      <c r="E7" s="25" t="s">
        <v>165</v>
      </c>
      <c r="F7" s="25" t="s">
        <v>171</v>
      </c>
      <c r="G7" s="25" t="s">
        <v>133</v>
      </c>
      <c r="H7" s="25" t="s">
        <v>121</v>
      </c>
      <c r="I7" s="25" t="s">
        <v>179</v>
      </c>
      <c r="J7" s="25" t="s">
        <v>181</v>
      </c>
      <c r="K7" s="25" t="s">
        <v>183</v>
      </c>
      <c r="M7" s="1" t="s">
        <v>203</v>
      </c>
      <c r="O7" s="1">
        <v>8</v>
      </c>
      <c r="P7" s="35">
        <f>bonded!G13*$P$2</f>
        <v>5.9400000000000013</v>
      </c>
      <c r="Q7" s="35">
        <f>bonded!G13*$R$7</f>
        <v>10.8</v>
      </c>
      <c r="R7">
        <v>2</v>
      </c>
      <c r="T7" t="s">
        <v>205</v>
      </c>
      <c r="U7" t="s">
        <v>204</v>
      </c>
    </row>
    <row r="8" spans="1:21" x14ac:dyDescent="0.3">
      <c r="A8">
        <v>1</v>
      </c>
      <c r="B8" t="s">
        <v>163</v>
      </c>
      <c r="C8" t="s">
        <v>168</v>
      </c>
      <c r="D8" t="s">
        <v>170</v>
      </c>
      <c r="E8">
        <v>1000</v>
      </c>
      <c r="F8" s="26" t="s">
        <v>172</v>
      </c>
      <c r="G8" s="35">
        <f>P4</f>
        <v>1.32</v>
      </c>
      <c r="H8" s="26">
        <f>O4</f>
        <v>5</v>
      </c>
      <c r="I8" s="53" t="s">
        <v>180</v>
      </c>
      <c r="J8" s="53" t="s">
        <v>182</v>
      </c>
      <c r="K8" s="1" t="s">
        <v>250</v>
      </c>
      <c r="M8" s="1">
        <f>pair!J7</f>
        <v>1.92</v>
      </c>
      <c r="R8"/>
      <c r="S8"/>
      <c r="T8" s="29">
        <f t="shared" ref="T8:T16" si="1">G8/$P$2</f>
        <v>1.2</v>
      </c>
      <c r="U8" s="1">
        <f>pair!O18</f>
        <v>1.2</v>
      </c>
    </row>
    <row r="9" spans="1:21" x14ac:dyDescent="0.3">
      <c r="A9">
        <v>2</v>
      </c>
      <c r="B9" s="26" t="s">
        <v>163</v>
      </c>
      <c r="C9" s="1" t="s">
        <v>184</v>
      </c>
      <c r="D9" s="26" t="s">
        <v>170</v>
      </c>
      <c r="E9" s="26">
        <f>$E$8</f>
        <v>1000</v>
      </c>
      <c r="F9" s="26" t="s">
        <v>185</v>
      </c>
      <c r="G9" s="35">
        <f>P4</f>
        <v>1.32</v>
      </c>
      <c r="H9" s="26">
        <f>O4</f>
        <v>5</v>
      </c>
      <c r="I9" s="53" t="s">
        <v>186</v>
      </c>
      <c r="J9" s="53" t="s">
        <v>187</v>
      </c>
      <c r="K9" s="26" t="str">
        <f>$K$8</f>
        <v>prob 0.02 221</v>
      </c>
      <c r="M9" s="1">
        <f>pair!J8</f>
        <v>1.92</v>
      </c>
      <c r="N9"/>
      <c r="O9"/>
      <c r="P9"/>
      <c r="Q9"/>
      <c r="R9"/>
      <c r="S9"/>
      <c r="T9" s="29">
        <f t="shared" si="1"/>
        <v>1.2</v>
      </c>
      <c r="U9" s="1">
        <f>pair!P19</f>
        <v>1.2</v>
      </c>
    </row>
    <row r="10" spans="1:21" x14ac:dyDescent="0.3">
      <c r="A10">
        <v>3</v>
      </c>
      <c r="B10" s="26" t="s">
        <v>163</v>
      </c>
      <c r="C10" s="1" t="s">
        <v>188</v>
      </c>
      <c r="D10" s="26" t="s">
        <v>170</v>
      </c>
      <c r="E10" s="26">
        <f t="shared" ref="E10:E16" si="2">$E$8</f>
        <v>1000</v>
      </c>
      <c r="F10" s="26" t="s">
        <v>206</v>
      </c>
      <c r="G10" s="35">
        <f>P5</f>
        <v>3.3000000000000003</v>
      </c>
      <c r="H10" s="26">
        <f>O5</f>
        <v>6</v>
      </c>
      <c r="I10" s="26" t="s">
        <v>195</v>
      </c>
      <c r="J10" s="26" t="s">
        <v>196</v>
      </c>
      <c r="K10" s="26" t="str">
        <f t="shared" ref="K10:K16" si="3">$K$8</f>
        <v>prob 0.02 221</v>
      </c>
      <c r="L10"/>
      <c r="M10" s="25">
        <f>pair!J12</f>
        <v>4.1999999999999993</v>
      </c>
      <c r="N10"/>
      <c r="O10"/>
      <c r="P10"/>
      <c r="Q10"/>
      <c r="R10"/>
      <c r="S10"/>
      <c r="T10" s="29">
        <f t="shared" si="1"/>
        <v>3</v>
      </c>
      <c r="U10" s="1">
        <f>pair!O16</f>
        <v>3</v>
      </c>
    </row>
    <row r="11" spans="1:21" x14ac:dyDescent="0.3">
      <c r="A11" s="1">
        <v>4</v>
      </c>
      <c r="B11" s="26" t="s">
        <v>163</v>
      </c>
      <c r="C11" s="1" t="s">
        <v>189</v>
      </c>
      <c r="D11" s="26" t="s">
        <v>170</v>
      </c>
      <c r="E11" s="26">
        <f t="shared" si="2"/>
        <v>1000</v>
      </c>
      <c r="F11" s="26" t="s">
        <v>207</v>
      </c>
      <c r="G11" s="35">
        <f>P5</f>
        <v>3.3000000000000003</v>
      </c>
      <c r="H11" s="26">
        <f>O5</f>
        <v>6</v>
      </c>
      <c r="I11" s="53" t="s">
        <v>201</v>
      </c>
      <c r="J11" s="53" t="s">
        <v>196</v>
      </c>
      <c r="K11" s="26" t="str">
        <f t="shared" si="3"/>
        <v>prob 0.02 221</v>
      </c>
      <c r="L11"/>
      <c r="M11" s="29">
        <f>pair!J10</f>
        <v>4.1999999999999993</v>
      </c>
      <c r="N11"/>
      <c r="O11"/>
      <c r="P11"/>
      <c r="Q11"/>
      <c r="R11"/>
      <c r="S11"/>
      <c r="T11" s="29">
        <f t="shared" si="1"/>
        <v>3</v>
      </c>
      <c r="U11" s="1">
        <f>pair!O17</f>
        <v>3</v>
      </c>
    </row>
    <row r="12" spans="1:21" x14ac:dyDescent="0.3">
      <c r="A12" s="1">
        <v>5</v>
      </c>
      <c r="B12" s="26" t="s">
        <v>163</v>
      </c>
      <c r="C12" s="1" t="s">
        <v>190</v>
      </c>
      <c r="D12" s="26" t="s">
        <v>170</v>
      </c>
      <c r="E12" s="26">
        <f t="shared" si="2"/>
        <v>1000</v>
      </c>
      <c r="F12" s="26" t="s">
        <v>208</v>
      </c>
      <c r="G12" s="35">
        <f>P5</f>
        <v>3.3000000000000003</v>
      </c>
      <c r="H12" s="26">
        <f>O5</f>
        <v>6</v>
      </c>
      <c r="I12" s="26" t="s">
        <v>195</v>
      </c>
      <c r="J12" s="26" t="s">
        <v>197</v>
      </c>
      <c r="K12" s="26" t="str">
        <f t="shared" si="3"/>
        <v>prob 0.02 221</v>
      </c>
      <c r="L12"/>
      <c r="M12" s="29">
        <f>pair!J13</f>
        <v>4.1999999999999993</v>
      </c>
      <c r="N12"/>
      <c r="O12"/>
      <c r="P12"/>
      <c r="Q12"/>
      <c r="R12"/>
      <c r="S12"/>
      <c r="T12" s="29">
        <f t="shared" si="1"/>
        <v>3</v>
      </c>
      <c r="U12" s="1">
        <f>pair!P16</f>
        <v>3</v>
      </c>
    </row>
    <row r="13" spans="1:21" x14ac:dyDescent="0.3">
      <c r="A13" s="1">
        <v>6</v>
      </c>
      <c r="B13" s="26" t="s">
        <v>163</v>
      </c>
      <c r="C13" s="1" t="s">
        <v>191</v>
      </c>
      <c r="D13" s="26" t="s">
        <v>170</v>
      </c>
      <c r="E13" s="26">
        <f t="shared" si="2"/>
        <v>1000</v>
      </c>
      <c r="F13" s="26" t="s">
        <v>209</v>
      </c>
      <c r="G13" s="35">
        <f>P5</f>
        <v>3.3000000000000003</v>
      </c>
      <c r="H13" s="26">
        <f>O5</f>
        <v>6</v>
      </c>
      <c r="I13" s="53" t="s">
        <v>202</v>
      </c>
      <c r="J13" s="53" t="s">
        <v>197</v>
      </c>
      <c r="K13" s="26" t="str">
        <f t="shared" si="3"/>
        <v>prob 0.02 221</v>
      </c>
      <c r="L13"/>
      <c r="M13" s="42">
        <f>pair!J11</f>
        <v>4.1999999999999993</v>
      </c>
      <c r="N13"/>
      <c r="O13"/>
      <c r="P13"/>
      <c r="Q13"/>
      <c r="R13"/>
      <c r="S13"/>
      <c r="T13" s="29">
        <f t="shared" si="1"/>
        <v>3</v>
      </c>
      <c r="U13" s="1">
        <f>pair!P17</f>
        <v>3</v>
      </c>
    </row>
    <row r="14" spans="1:21" x14ac:dyDescent="0.3">
      <c r="A14" s="1">
        <v>7</v>
      </c>
      <c r="B14" s="26" t="s">
        <v>163</v>
      </c>
      <c r="C14" s="1" t="s">
        <v>192</v>
      </c>
      <c r="D14" s="26" t="s">
        <v>170</v>
      </c>
      <c r="E14" s="26">
        <f t="shared" si="2"/>
        <v>1000</v>
      </c>
      <c r="F14" s="26" t="s">
        <v>210</v>
      </c>
      <c r="G14" s="35">
        <f>P6</f>
        <v>5.5</v>
      </c>
      <c r="H14" s="26">
        <f>O6</f>
        <v>7</v>
      </c>
      <c r="I14" s="26" t="s">
        <v>195</v>
      </c>
      <c r="J14" s="26" t="s">
        <v>198</v>
      </c>
      <c r="K14" s="26" t="str">
        <f t="shared" si="3"/>
        <v>prob 0.02 221</v>
      </c>
      <c r="L14"/>
      <c r="M14" s="1">
        <f>pair!J24</f>
        <v>7</v>
      </c>
      <c r="N14"/>
      <c r="O14"/>
      <c r="P14"/>
      <c r="Q14"/>
      <c r="R14"/>
      <c r="S14"/>
      <c r="T14" s="29">
        <f t="shared" si="1"/>
        <v>5</v>
      </c>
      <c r="U14" s="1">
        <f>pair!R16</f>
        <v>5</v>
      </c>
    </row>
    <row r="15" spans="1:21" x14ac:dyDescent="0.3">
      <c r="A15" s="1">
        <v>8</v>
      </c>
      <c r="B15" s="26" t="s">
        <v>163</v>
      </c>
      <c r="C15" s="1" t="s">
        <v>193</v>
      </c>
      <c r="D15" s="26" t="s">
        <v>170</v>
      </c>
      <c r="E15" s="26">
        <f t="shared" si="2"/>
        <v>1000</v>
      </c>
      <c r="F15" s="26" t="s">
        <v>211</v>
      </c>
      <c r="G15" s="35">
        <f>P7</f>
        <v>5.9400000000000013</v>
      </c>
      <c r="H15" s="26">
        <f>O7</f>
        <v>8</v>
      </c>
      <c r="I15" s="26" t="s">
        <v>195</v>
      </c>
      <c r="J15" s="26" t="s">
        <v>199</v>
      </c>
      <c r="K15" s="26" t="str">
        <f t="shared" si="3"/>
        <v>prob 0.02 221</v>
      </c>
      <c r="L15"/>
      <c r="M15" s="1">
        <f>pair!J38</f>
        <v>5.9400000000000013</v>
      </c>
      <c r="N15"/>
      <c r="O15"/>
      <c r="P15"/>
      <c r="Q15"/>
      <c r="R15"/>
      <c r="S15"/>
      <c r="T15" s="29">
        <f t="shared" si="1"/>
        <v>5.4</v>
      </c>
      <c r="U15" s="1">
        <f>pair!S16</f>
        <v>5.4</v>
      </c>
    </row>
    <row r="16" spans="1:21" x14ac:dyDescent="0.3">
      <c r="A16" s="1">
        <v>9</v>
      </c>
      <c r="B16" s="26" t="s">
        <v>163</v>
      </c>
      <c r="C16" s="1" t="s">
        <v>194</v>
      </c>
      <c r="D16" s="26" t="s">
        <v>170</v>
      </c>
      <c r="E16" s="26">
        <f t="shared" si="2"/>
        <v>1000</v>
      </c>
      <c r="F16" s="26" t="s">
        <v>212</v>
      </c>
      <c r="G16" s="35">
        <f>P7</f>
        <v>5.9400000000000013</v>
      </c>
      <c r="H16" s="26">
        <f>O7</f>
        <v>8</v>
      </c>
      <c r="I16" s="26" t="s">
        <v>195</v>
      </c>
      <c r="J16" s="26" t="s">
        <v>200</v>
      </c>
      <c r="K16" s="26" t="str">
        <f t="shared" si="3"/>
        <v>prob 0.02 221</v>
      </c>
      <c r="L16"/>
      <c r="M16" s="1">
        <f>pair!J39</f>
        <v>5.9400000000000013</v>
      </c>
      <c r="N16"/>
      <c r="O16"/>
      <c r="P16"/>
      <c r="Q16"/>
      <c r="R16"/>
      <c r="S16"/>
      <c r="T16" s="29">
        <f t="shared" si="1"/>
        <v>5.4</v>
      </c>
      <c r="U16" s="1">
        <f>pair!T16</f>
        <v>5.4</v>
      </c>
    </row>
    <row r="17" spans="1:20" x14ac:dyDescent="0.3">
      <c r="A17"/>
      <c r="B17"/>
      <c r="C17"/>
      <c r="D17"/>
      <c r="E17"/>
      <c r="F17"/>
      <c r="G17"/>
      <c r="H17"/>
      <c r="I17"/>
      <c r="J17"/>
      <c r="K17"/>
      <c r="L17"/>
      <c r="N17"/>
      <c r="O17"/>
      <c r="P17"/>
      <c r="Q17"/>
      <c r="R17"/>
      <c r="S17"/>
      <c r="T17"/>
    </row>
    <row r="18" spans="1:20" x14ac:dyDescent="0.3">
      <c r="A18"/>
      <c r="B18"/>
      <c r="C18"/>
      <c r="D18"/>
      <c r="E18"/>
      <c r="F18"/>
      <c r="G18"/>
      <c r="H18"/>
      <c r="I18"/>
      <c r="J18"/>
      <c r="K18"/>
      <c r="L18"/>
      <c r="N18"/>
      <c r="O18"/>
      <c r="P18"/>
      <c r="Q18"/>
      <c r="R18"/>
      <c r="S18"/>
      <c r="T18"/>
    </row>
    <row r="19" spans="1:20" x14ac:dyDescent="0.3">
      <c r="A19"/>
      <c r="B19"/>
      <c r="C19"/>
      <c r="D19"/>
      <c r="E19"/>
      <c r="F19"/>
      <c r="G19"/>
      <c r="H19"/>
      <c r="I19"/>
      <c r="J19"/>
      <c r="K19"/>
      <c r="L19"/>
      <c r="N19"/>
      <c r="O19"/>
      <c r="P19"/>
      <c r="Q19"/>
      <c r="R19"/>
      <c r="S19"/>
      <c r="T19"/>
    </row>
    <row r="20" spans="1:20" x14ac:dyDescent="0.3">
      <c r="A20"/>
      <c r="B20"/>
      <c r="C20"/>
      <c r="D20"/>
      <c r="E20"/>
      <c r="F20"/>
      <c r="G20"/>
      <c r="H20"/>
      <c r="I20"/>
      <c r="J20"/>
      <c r="K20"/>
      <c r="L20"/>
      <c r="N20"/>
      <c r="O20"/>
      <c r="P20"/>
      <c r="Q20"/>
      <c r="R20"/>
      <c r="S20"/>
      <c r="T20"/>
    </row>
    <row r="21" spans="1:20" x14ac:dyDescent="0.3">
      <c r="A21"/>
      <c r="B21"/>
      <c r="C21"/>
      <c r="D21"/>
      <c r="E21"/>
      <c r="F21"/>
      <c r="G21"/>
      <c r="H21"/>
      <c r="I21"/>
      <c r="J21"/>
      <c r="K21"/>
      <c r="L21"/>
      <c r="N21"/>
      <c r="O21"/>
      <c r="P21"/>
      <c r="Q21"/>
      <c r="R21"/>
      <c r="S21"/>
      <c r="T21"/>
    </row>
    <row r="22" spans="1:20" x14ac:dyDescent="0.3">
      <c r="A22"/>
      <c r="B22"/>
      <c r="C22"/>
      <c r="D22"/>
      <c r="E22"/>
      <c r="F22"/>
      <c r="G22"/>
      <c r="H22"/>
      <c r="I22"/>
      <c r="J22"/>
      <c r="K22"/>
      <c r="L22"/>
      <c r="N22"/>
      <c r="O22"/>
      <c r="P22"/>
      <c r="Q22"/>
      <c r="R22"/>
      <c r="S22"/>
      <c r="T22"/>
    </row>
    <row r="23" spans="1:20" x14ac:dyDescent="0.3">
      <c r="A23"/>
      <c r="B23"/>
      <c r="C23"/>
      <c r="D23"/>
      <c r="E23"/>
      <c r="F23"/>
      <c r="G23"/>
      <c r="H23"/>
      <c r="I23"/>
      <c r="J23"/>
      <c r="K23"/>
      <c r="L23"/>
      <c r="N23"/>
      <c r="O23"/>
      <c r="P23"/>
      <c r="Q23"/>
      <c r="R23"/>
      <c r="S23"/>
      <c r="T23"/>
    </row>
    <row r="24" spans="1:20" x14ac:dyDescent="0.3">
      <c r="A24"/>
      <c r="B24"/>
      <c r="C24"/>
      <c r="D24"/>
      <c r="E24"/>
      <c r="F24"/>
      <c r="G24"/>
      <c r="H24"/>
      <c r="I24"/>
      <c r="J24"/>
      <c r="K24"/>
      <c r="L24"/>
      <c r="N24"/>
      <c r="O24"/>
      <c r="P24"/>
      <c r="Q24"/>
      <c r="R24"/>
      <c r="S24"/>
      <c r="T24"/>
    </row>
    <row r="25" spans="1:20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20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20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20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20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20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20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20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3">
      <c r="A43"/>
      <c r="B43"/>
      <c r="C43"/>
      <c r="D43"/>
      <c r="E43"/>
      <c r="F43"/>
      <c r="G43"/>
      <c r="H43"/>
      <c r="I43"/>
      <c r="J43"/>
      <c r="K43"/>
      <c r="L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7FD7-DEB7-405E-AE97-15C979842898}">
  <dimension ref="A1:M222"/>
  <sheetViews>
    <sheetView topLeftCell="M1" zoomScaleNormal="100" workbookViewId="0">
      <selection activeCell="AH15" sqref="AH15:AH19"/>
    </sheetView>
  </sheetViews>
  <sheetFormatPr defaultRowHeight="14.4" x14ac:dyDescent="0.3"/>
  <cols>
    <col min="1" max="1" width="10.109375" bestFit="1" customWidth="1"/>
    <col min="7" max="7" width="10" bestFit="1" customWidth="1"/>
  </cols>
  <sheetData>
    <row r="1" spans="1:13" x14ac:dyDescent="0.3">
      <c r="B1" s="62" t="s">
        <v>218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3">
      <c r="A2" t="s">
        <v>213</v>
      </c>
      <c r="B2" t="s">
        <v>21</v>
      </c>
      <c r="C2" t="s">
        <v>114</v>
      </c>
      <c r="D2" t="s">
        <v>115</v>
      </c>
      <c r="E2" t="s">
        <v>11</v>
      </c>
      <c r="F2" t="s">
        <v>126</v>
      </c>
      <c r="G2" t="s">
        <v>177</v>
      </c>
      <c r="H2" t="s">
        <v>178</v>
      </c>
      <c r="I2" t="s">
        <v>127</v>
      </c>
      <c r="J2" s="1" t="s">
        <v>214</v>
      </c>
      <c r="K2" s="1" t="s">
        <v>215</v>
      </c>
      <c r="L2" s="1" t="s">
        <v>216</v>
      </c>
      <c r="M2" s="1" t="s">
        <v>217</v>
      </c>
    </row>
    <row r="3" spans="1:13" x14ac:dyDescent="0.3">
      <c r="A3">
        <v>-0.3</v>
      </c>
      <c r="B3">
        <f>bonded!$E$2*bonded!$F$2*A3</f>
        <v>-45</v>
      </c>
      <c r="C3" s="1">
        <f>bonded!$E$3*bonded!$F$3*A3</f>
        <v>-22.5</v>
      </c>
      <c r="D3" s="1">
        <f>bonded!$E$4*bonded!$F$4*A3</f>
        <v>-27</v>
      </c>
      <c r="E3">
        <f>(bonded!$E$7*((bonded!$K$7*(A3+1))/(1-((bonded!$K$7*(A3+1))/bonded!$F$7)^2)))+24*(bonded!$G$7/bonded!$H$7)*((bonded!$H$7/(bonded!$K$7*(A3+1)))^7-2*(bonded!$H$7/(bonded!$K$7*(A3+1)))^13)</f>
        <v>-245.56947002896695</v>
      </c>
      <c r="F3">
        <f>2*bonded!$F$10*bonded!$E$10*(EXP(-bonded!$F$10*bonded!$G$10*A3)-EXP(-2*bonded!$F$10*bonded!$G$10*A3))</f>
        <v>-8.3787736661690886</v>
      </c>
      <c r="G3" s="1">
        <f>2*bonded!$F$11*bonded!$E$11*(EXP(-bonded!$F$11*bonded!$G$11*A3)-EXP(-2*bonded!$F$11*bonded!$G$11*A3))</f>
        <v>-2.9663775386905278</v>
      </c>
      <c r="H3">
        <f>2*bonded!$F$12*bonded!$E$12*(EXP(-bonded!$F$12*bonded!$G$12*A3)-EXP(-2*bonded!$F$12*bonded!$G$12*A3))</f>
        <v>-1.5425867047312281</v>
      </c>
      <c r="I3">
        <f>2*bonded!$F$13*bonded!$E$13*(EXP(-bonded!$F$13*bonded!$G$13*A3)-EXP(-2*bonded!$F$13*bonded!$G$13*A3))</f>
        <v>-7.1499319435075774</v>
      </c>
      <c r="J3">
        <f>pair!$L$42*(pair!$F$42/pair!$G$42)*(pair!$I$42*(pair!$G$42/(pair!$K$42*(A3+1)))^(pair!$I$42+1)-pair!$H$42*(pair!$G$42/(pair!$K$42*(A3+1)))^(pair!$H$42+1))</f>
        <v>-6.9776024872182703</v>
      </c>
      <c r="K3">
        <f>pair!$L$43*(pair!$F$43/pair!$G$43)*(pair!$I$43*(pair!$G$43/(pair!$K$43*(A3+1)))^(pair!$I$43+1)-pair!$H$43*(pair!$G$43/(pair!$K$43*(A3+1)))^(pair!$H$43+1))</f>
        <v>-1.3955204974436561</v>
      </c>
      <c r="L3">
        <f>pair!$L$44*(pair!$F$44/pair!$G$44)*(pair!$I$44*(pair!$G$44/(pair!$K$44*(A3+1)))^(pair!$I$44+1)-pair!$H$44*(pair!$G$44/(pair!$K$44*(A3+1)))^(pair!$H$44+1))</f>
        <v>-2.4275599452609015E-2</v>
      </c>
      <c r="M3">
        <f>pair!$L$45*(pair!$F$45/pair!$G$45)*(pair!$I$45*(pair!$G$45/(pair!$K$45*(A3+1)))^(pair!$I$45+1)-pair!$H$45*(pair!$G$45/(pair!$K$45*(A3+1)))^(pair!$H$45+1))</f>
        <v>-3.8764458262323771</v>
      </c>
    </row>
    <row r="4" spans="1:13" x14ac:dyDescent="0.3">
      <c r="A4">
        <f>A3+0.01</f>
        <v>-0.28999999999999998</v>
      </c>
      <c r="B4" s="1">
        <f>bonded!$E$2*bonded!$F$2*A4</f>
        <v>-43.5</v>
      </c>
      <c r="C4" s="1">
        <f>bonded!$E$3*bonded!$F$3*A4</f>
        <v>-21.75</v>
      </c>
      <c r="D4" s="1">
        <f>bonded!$E$4*bonded!$F$4*A4</f>
        <v>-26.099999999999998</v>
      </c>
      <c r="E4" s="1">
        <f>(bonded!$E$7*((bonded!$K$7*(A4+1))/(1-((bonded!$K$7*(A4+1))/bonded!$F$7)^2)))+24*(bonded!$G$7/bonded!$H$7)*((bonded!$H$7/(bonded!$K$7*(A4+1)))^7-2*(bonded!$H$7/(bonded!$K$7*(A4+1)))^13)</f>
        <v>-203.15535539682656</v>
      </c>
      <c r="F4" s="1">
        <f>2*bonded!$F$10*bonded!$E$10*(EXP(-bonded!$F$10*bonded!$G$10*A4)-EXP(-2*bonded!$F$10*bonded!$G$10*A4))</f>
        <v>-7.6248361238957036</v>
      </c>
      <c r="G4" s="1">
        <f>2*bonded!$F$11*bonded!$E$11*(EXP(-bonded!$F$11*bonded!$G$11*A4)-EXP(-2*bonded!$F$11*bonded!$G$11*A4))</f>
        <v>-2.7049162155818096</v>
      </c>
      <c r="H4" s="1">
        <f>2*bonded!$F$12*bonded!$E$12*(EXP(-bonded!$F$12*bonded!$G$12*A4)-EXP(-2*bonded!$F$12*bonded!$G$12*A4))</f>
        <v>-1.4098841407684577</v>
      </c>
      <c r="I4" s="1">
        <f>2*bonded!$F$13*bonded!$E$13*(EXP(-bonded!$F$13*bonded!$G$13*A4)-EXP(-2*bonded!$F$13*bonded!$G$13*A4))</f>
        <v>-6.5039844668945967</v>
      </c>
      <c r="J4" s="1">
        <f>pair!$L$42*(pair!$F$42/pair!$G$42)*(pair!$I$42*(pair!$G$42/(pair!$K$42*(A4+1)))^(pair!$I$42+1)-pair!$H$42*(pair!$G$42/(pair!$K$42*(A4+1)))^(pair!$H$42+1))</f>
        <v>-5.9174282041121264</v>
      </c>
      <c r="K4" s="1">
        <f>pair!$L$43*(pair!$F$43/pair!$G$43)*(pair!$I$43*(pair!$G$43/(pair!$K$43*(A4+1)))^(pair!$I$43+1)-pair!$H$43*(pair!$G$43/(pair!$K$43*(A4+1)))^(pair!$H$43+1))</f>
        <v>-1.1834856408224252</v>
      </c>
      <c r="L4" s="1">
        <f>pair!$L$44*(pair!$F$44/pair!$G$44)*(pair!$I$44*(pair!$G$44/(pair!$K$44*(A4+1)))^(pair!$I$44+1)-pair!$H$44*(pair!$G$44/(pair!$K$44*(A4+1)))^(pair!$H$44+1))</f>
        <v>-2.1988335339967548E-2</v>
      </c>
      <c r="M4" s="1">
        <f>pair!$L$45*(pair!$F$45/pair!$G$45)*(pair!$I$45*(pair!$G$45/(pair!$K$45*(A4+1)))^(pair!$I$45+1)-pair!$H$45*(pair!$G$45/(pair!$K$45*(A4+1)))^(pair!$H$45+1))</f>
        <v>-3.287460113395634</v>
      </c>
    </row>
    <row r="5" spans="1:13" x14ac:dyDescent="0.3">
      <c r="A5" s="1">
        <f t="shared" ref="A5:A68" si="0">A4+0.01</f>
        <v>-0.27999999999999997</v>
      </c>
      <c r="B5" s="1">
        <f>bonded!$E$2*bonded!$F$2*A5</f>
        <v>-41.999999999999993</v>
      </c>
      <c r="C5" s="1">
        <f>bonded!$E$3*bonded!$F$3*A5</f>
        <v>-20.999999999999996</v>
      </c>
      <c r="D5" s="1">
        <f>bonded!$E$4*bonded!$F$4*A5</f>
        <v>-25.199999999999996</v>
      </c>
      <c r="E5" s="1">
        <f>(bonded!$E$7*((bonded!$K$7*(A5+1))/(1-((bonded!$K$7*(A5+1))/bonded!$F$7)^2)))+24*(bonded!$G$7/bonded!$H$7)*((bonded!$H$7/(bonded!$K$7*(A5+1)))^7-2*(bonded!$H$7/(bonded!$K$7*(A5+1)))^13)</f>
        <v>-168.41430934948355</v>
      </c>
      <c r="F5" s="1">
        <f>2*bonded!$F$10*bonded!$E$10*(EXP(-bonded!$F$10*bonded!$G$10*A5)-EXP(-2*bonded!$F$10*bonded!$G$10*A5))</f>
        <v>-6.9312723518823924</v>
      </c>
      <c r="G5" s="1">
        <f>2*bonded!$F$11*bonded!$E$11*(EXP(-bonded!$F$11*bonded!$G$11*A5)-EXP(-2*bonded!$F$11*bonded!$G$11*A5))</f>
        <v>-2.4638298099241172</v>
      </c>
      <c r="H5" s="1">
        <f>2*bonded!$F$12*bonded!$E$12*(EXP(-bonded!$F$12*bonded!$G$12*A5)-EXP(-2*bonded!$F$12*bonded!$G$12*A5))</f>
        <v>-1.2871925380859472</v>
      </c>
      <c r="I5" s="1">
        <f>2*bonded!$F$13*bonded!$E$13*(EXP(-bonded!$F$13*bonded!$G$13*A5)-EXP(-2*bonded!$F$13*bonded!$G$13*A5))</f>
        <v>-5.9100350319819484</v>
      </c>
      <c r="J5" s="1">
        <f>pair!$L$42*(pair!$F$42/pair!$G$42)*(pair!$I$42*(pair!$G$42/(pair!$K$42*(A5+1)))^(pair!$I$42+1)-pair!$H$42*(pair!$G$42/(pair!$K$42*(A5+1)))^(pair!$H$42+1))</f>
        <v>-5.0221770475799454</v>
      </c>
      <c r="K5" s="1">
        <f>pair!$L$43*(pair!$F$43/pair!$G$43)*(pair!$I$43*(pair!$G$43/(pair!$K$43*(A5+1)))^(pair!$I$43+1)-pair!$H$43*(pair!$G$43/(pair!$K$43*(A5+1)))^(pair!$H$43+1))</f>
        <v>-1.0044354095159891</v>
      </c>
      <c r="L5" s="1">
        <f>pair!$L$44*(pair!$F$44/pair!$G$44)*(pair!$I$44*(pair!$G$44/(pair!$K$44*(A5+1)))^(pair!$I$44+1)-pair!$H$44*(pair!$G$44/(pair!$K$44*(A5+1)))^(pair!$H$44+1))</f>
        <v>-1.9911958712255932E-2</v>
      </c>
      <c r="M5" s="1">
        <f>pair!$L$45*(pair!$F$45/pair!$G$45)*(pair!$I$45*(pair!$G$45/(pair!$K$45*(A5+1)))^(pair!$I$45+1)-pair!$H$45*(pair!$G$45/(pair!$K$45*(A5+1)))^(pair!$H$45+1))</f>
        <v>-2.7900983597666422</v>
      </c>
    </row>
    <row r="6" spans="1:13" x14ac:dyDescent="0.3">
      <c r="A6" s="1">
        <f t="shared" si="0"/>
        <v>-0.26999999999999996</v>
      </c>
      <c r="B6" s="1">
        <f>bonded!$E$2*bonded!$F$2*A6</f>
        <v>-40.499999999999993</v>
      </c>
      <c r="C6" s="1">
        <f>bonded!$E$3*bonded!$F$3*A6</f>
        <v>-20.249999999999996</v>
      </c>
      <c r="D6" s="1">
        <f>bonded!$E$4*bonded!$F$4*A6</f>
        <v>-24.299999999999997</v>
      </c>
      <c r="E6" s="1">
        <f>(bonded!$E$7*((bonded!$K$7*(A6+1))/(1-((bonded!$K$7*(A6+1))/bonded!$F$7)^2)))+24*(bonded!$G$7/bonded!$H$7)*((bonded!$H$7/(bonded!$K$7*(A6+1)))^7-2*(bonded!$H$7/(bonded!$K$7*(A6+1)))^13)</f>
        <v>-139.88467845086208</v>
      </c>
      <c r="F6" s="1">
        <f>2*bonded!$F$10*bonded!$E$10*(EXP(-bonded!$F$10*bonded!$G$10*A6)-EXP(-2*bonded!$F$10*bonded!$G$10*A6))</f>
        <v>-6.2934735764500767</v>
      </c>
      <c r="G6" s="1">
        <f>2*bonded!$F$11*bonded!$E$11*(EXP(-bonded!$F$11*bonded!$G$11*A6)-EXP(-2*bonded!$F$11*bonded!$G$11*A6))</f>
        <v>-2.2416080093009088</v>
      </c>
      <c r="H6" s="1">
        <f>2*bonded!$F$12*bonded!$E$12*(EXP(-bonded!$F$12*bonded!$G$12*A6)-EXP(-2*bonded!$F$12*bonded!$G$12*A6))</f>
        <v>-1.1737954081399034</v>
      </c>
      <c r="I6" s="1">
        <f>2*bonded!$F$13*bonded!$E$13*(EXP(-bonded!$F$13*bonded!$G$13*A6)-EXP(-2*bonded!$F$13*bonded!$G$13*A6))</f>
        <v>-5.3640917344926358</v>
      </c>
      <c r="J6" s="1">
        <f>pair!$L$42*(pair!$F$42/pair!$G$42)*(pair!$I$42*(pair!$G$42/(pair!$K$42*(A6+1)))^(pair!$I$42+1)-pair!$H$42*(pair!$G$42/(pair!$K$42*(A6+1)))^(pair!$H$42+1))</f>
        <v>-4.2650269535596861</v>
      </c>
      <c r="K6" s="1">
        <f>pair!$L$43*(pair!$F$43/pair!$G$43)*(pair!$I$43*(pair!$G$43/(pair!$K$43*(A6+1)))^(pair!$I$43+1)-pair!$H$43*(pair!$G$43/(pair!$K$43*(A6+1)))^(pair!$H$43+1))</f>
        <v>-0.85300539071193715</v>
      </c>
      <c r="L6" s="1">
        <f>pair!$L$44*(pair!$F$44/pair!$G$44)*(pair!$I$44*(pair!$G$44/(pair!$K$44*(A6+1)))^(pair!$I$44+1)-pair!$H$44*(pair!$G$44/(pair!$K$44*(A6+1)))^(pair!$H$44+1))</f>
        <v>-1.8025426679029309E-2</v>
      </c>
      <c r="M6" s="1">
        <f>pair!$L$45*(pair!$F$45/pair!$G$45)*(pair!$I$45*(pair!$G$45/(pair!$K$45*(A6+1)))^(pair!$I$45+1)-pair!$H$45*(pair!$G$45/(pair!$K$45*(A6+1)))^(pair!$H$45+1))</f>
        <v>-2.3694594186442757</v>
      </c>
    </row>
    <row r="7" spans="1:13" x14ac:dyDescent="0.3">
      <c r="A7" s="1">
        <f t="shared" si="0"/>
        <v>-0.25999999999999995</v>
      </c>
      <c r="B7" s="1">
        <f>bonded!$E$2*bonded!$F$2*A7</f>
        <v>-38.999999999999993</v>
      </c>
      <c r="C7" s="1">
        <f>bonded!$E$3*bonded!$F$3*A7</f>
        <v>-19.499999999999996</v>
      </c>
      <c r="D7" s="1">
        <f>bonded!$E$4*bonded!$F$4*A7</f>
        <v>-23.399999999999995</v>
      </c>
      <c r="E7" s="1">
        <f>(bonded!$E$7*((bonded!$K$7*(A7+1))/(1-((bonded!$K$7*(A7+1))/bonded!$F$7)^2)))+24*(bonded!$G$7/bonded!$H$7)*((bonded!$H$7/(bonded!$K$7*(A7+1)))^7-2*(bonded!$H$7/(bonded!$K$7*(A7+1)))^13)</f>
        <v>-116.39729751971242</v>
      </c>
      <c r="F7" s="1">
        <f>2*bonded!$F$10*bonded!$E$10*(EXP(-bonded!$F$10*bonded!$G$10*A7)-EXP(-2*bonded!$F$10*bonded!$G$10*A7))</f>
        <v>-5.7071751704915821</v>
      </c>
      <c r="G7" s="1">
        <f>2*bonded!$F$11*bonded!$E$11*(EXP(-bonded!$F$11*bonded!$G$11*A7)-EXP(-2*bonded!$F$11*bonded!$G$11*A7))</f>
        <v>-2.0368499146690535</v>
      </c>
      <c r="H7" s="1">
        <f>2*bonded!$F$12*bonded!$E$12*(EXP(-bonded!$F$12*bonded!$G$12*A7)-EXP(-2*bonded!$F$12*bonded!$G$12*A7))</f>
        <v>-1.0690263242737306</v>
      </c>
      <c r="I7" s="1">
        <f>2*bonded!$F$13*bonded!$E$13*(EXP(-bonded!$F$13*bonded!$G$13*A7)-EXP(-2*bonded!$F$13*bonded!$G$13*A7))</f>
        <v>-4.8624624955930145</v>
      </c>
      <c r="J7" s="1">
        <f>pair!$L$42*(pair!$F$42/pair!$G$42)*(pair!$I$42*(pair!$G$42/(pair!$K$42*(A7+1)))^(pair!$I$42+1)-pair!$H$42*(pair!$G$42/(pair!$K$42*(A7+1)))^(pair!$H$42+1))</f>
        <v>-3.6237438662718762</v>
      </c>
      <c r="K7" s="1">
        <f>pair!$L$43*(pair!$F$43/pair!$G$43)*(pair!$I$43*(pair!$G$43/(pair!$K$43*(A7+1)))^(pair!$I$43+1)-pair!$H$43*(pair!$G$43/(pair!$K$43*(A7+1)))^(pair!$H$43+1))</f>
        <v>-0.72474877325437725</v>
      </c>
      <c r="L7" s="1">
        <f>pair!$L$44*(pair!$F$44/pair!$G$44)*(pair!$I$44*(pair!$G$44/(pair!$K$44*(A7+1)))^(pair!$I$44+1)-pair!$H$44*(pair!$G$44/(pair!$K$44*(A7+1)))^(pair!$H$44+1))</f>
        <v>-1.6310000884431772E-2</v>
      </c>
      <c r="M7" s="1">
        <f>pair!$L$45*(pair!$F$45/pair!$G$45)*(pair!$I$45*(pair!$G$45/(pair!$K$45*(A7+1)))^(pair!$I$45+1)-pair!$H$45*(pair!$G$45/(pair!$K$45*(A7+1)))^(pair!$H$45+1))</f>
        <v>-2.0131910368177142</v>
      </c>
    </row>
    <row r="8" spans="1:13" x14ac:dyDescent="0.3">
      <c r="A8" s="1">
        <f t="shared" si="0"/>
        <v>-0.24999999999999994</v>
      </c>
      <c r="B8" s="1">
        <f>bonded!$E$2*bonded!$F$2*A8</f>
        <v>-37.499999999999993</v>
      </c>
      <c r="C8" s="1">
        <f>bonded!$E$3*bonded!$F$3*A8</f>
        <v>-18.749999999999996</v>
      </c>
      <c r="D8" s="1">
        <f>bonded!$E$4*bonded!$F$4*A8</f>
        <v>-22.499999999999996</v>
      </c>
      <c r="E8" s="1">
        <f>(bonded!$E$7*((bonded!$K$7*(A8+1))/(1-((bonded!$K$7*(A8+1))/bonded!$F$7)^2)))+24*(bonded!$G$7/bonded!$H$7)*((bonded!$H$7/(bonded!$K$7*(A8+1)))^7-2*(bonded!$H$7/(bonded!$K$7*(A8+1)))^13)</f>
        <v>-97.014160845234557</v>
      </c>
      <c r="F8" s="1">
        <f>2*bonded!$F$10*bonded!$E$10*(EXP(-bonded!$F$10*bonded!$G$10*A8)-EXP(-2*bonded!$F$10*bonded!$G$10*A8))</f>
        <v>-5.1684312289595038</v>
      </c>
      <c r="G8" s="1">
        <f>2*bonded!$F$11*bonded!$E$11*(EXP(-bonded!$F$11*bonded!$G$11*A8)-EXP(-2*bonded!$F$11*bonded!$G$11*A8))</f>
        <v>-1.8482562015811039</v>
      </c>
      <c r="H8" s="1">
        <f>2*bonded!$F$12*bonded!$E$12*(EXP(-bonded!$F$12*bonded!$G$12*A8)-EXP(-2*bonded!$F$12*bonded!$G$12*A8))</f>
        <v>-0.97226546417730586</v>
      </c>
      <c r="I8" s="1">
        <f>2*bonded!$F$13*bonded!$E$13*(EXP(-bonded!$F$13*bonded!$G$13*A8)-EXP(-2*bonded!$F$13*bonded!$G$13*A8))</f>
        <v>-4.4017327805246369</v>
      </c>
      <c r="J8" s="1">
        <f>pair!$L$42*(pair!$F$42/pair!$G$42)*(pair!$I$42*(pair!$G$42/(pair!$K$42*(A8+1)))^(pair!$I$42+1)-pair!$H$42*(pair!$G$42/(pair!$K$42*(A8+1)))^(pair!$H$42+1))</f>
        <v>-3.0798557130518702</v>
      </c>
      <c r="K8" s="1">
        <f>pair!$L$43*(pair!$F$43/pair!$G$43)*(pair!$I$43*(pair!$G$43/(pair!$K$43*(A8+1)))^(pair!$I$43+1)-pair!$H$43*(pair!$G$43/(pair!$K$43*(A8+1)))^(pair!$H$43+1))</f>
        <v>-0.615971142610374</v>
      </c>
      <c r="L8" s="1">
        <f>pair!$L$44*(pair!$F$44/pair!$G$44)*(pair!$I$44*(pair!$G$44/(pair!$K$44*(A8+1)))^(pair!$I$44+1)-pair!$H$44*(pair!$G$44/(pair!$K$44*(A8+1)))^(pair!$H$44+1))</f>
        <v>-1.4748971193415623E-2</v>
      </c>
      <c r="M8" s="1">
        <f>pair!$L$45*(pair!$F$45/pair!$G$45)*(pair!$I$45*(pair!$G$45/(pair!$K$45*(A8+1)))^(pair!$I$45+1)-pair!$H$45*(pair!$G$45/(pair!$K$45*(A8+1)))^(pair!$H$45+1))</f>
        <v>-1.7110309516954829</v>
      </c>
    </row>
    <row r="9" spans="1:13" x14ac:dyDescent="0.3">
      <c r="A9" s="1">
        <f t="shared" si="0"/>
        <v>-0.23999999999999994</v>
      </c>
      <c r="B9" s="1">
        <f>bonded!$E$2*bonded!$F$2*A9</f>
        <v>-35.999999999999993</v>
      </c>
      <c r="C9" s="1">
        <f>bonded!$E$3*bonded!$F$3*A9</f>
        <v>-17.999999999999996</v>
      </c>
      <c r="D9" s="1">
        <f>bonded!$E$4*bonded!$F$4*A9</f>
        <v>-21.599999999999994</v>
      </c>
      <c r="E9" s="1">
        <f>(bonded!$E$7*((bonded!$K$7*(A9+1))/(1-((bonded!$K$7*(A9+1))/bonded!$F$7)^2)))+24*(bonded!$G$7/bonded!$H$7)*((bonded!$H$7/(bonded!$K$7*(A9+1)))^7-2*(bonded!$H$7/(bonded!$K$7*(A9+1)))^13)</f>
        <v>-80.980531150663168</v>
      </c>
      <c r="F9" s="1">
        <f>2*bonded!$F$10*bonded!$E$10*(EXP(-bonded!$F$10*bonded!$G$10*A9)-EXP(-2*bonded!$F$10*bonded!$G$10*A9))</f>
        <v>-4.6735910126682914</v>
      </c>
      <c r="G9" s="1">
        <f>2*bonded!$F$11*bonded!$E$11*(EXP(-bonded!$F$11*bonded!$G$11*A9)-EXP(-2*bonded!$F$11*bonded!$G$11*A9))</f>
        <v>-1.6746218399163697</v>
      </c>
      <c r="H9" s="1">
        <f>2*bonded!$F$12*bonded!$E$12*(EXP(-bonded!$F$12*bonded!$G$12*A9)-EXP(-2*bonded!$F$12*bonded!$G$12*A9))</f>
        <v>-0.88293638977321476</v>
      </c>
      <c r="I9" s="1">
        <f>2*bonded!$F$13*bonded!$E$13*(EXP(-bonded!$F$13*bonded!$G$13*A9)-EXP(-2*bonded!$F$13*bonded!$G$13*A9))</f>
        <v>-3.9787449643344921</v>
      </c>
      <c r="J9" s="1">
        <f>pair!$L$42*(pair!$F$42/pair!$G$42)*(pair!$I$42*(pair!$G$42/(pair!$K$42*(A9+1)))^(pair!$I$42+1)-pair!$H$42*(pair!$G$42/(pair!$K$42*(A9+1)))^(pair!$H$42+1))</f>
        <v>-2.6179826992086612</v>
      </c>
      <c r="K9" s="1">
        <f>pair!$L$43*(pair!$F$43/pair!$G$43)*(pair!$I$43*(pair!$G$43/(pair!$K$43*(A9+1)))^(pair!$I$43+1)-pair!$H$43*(pair!$G$43/(pair!$K$43*(A9+1)))^(pair!$H$43+1))</f>
        <v>-0.52359653984173116</v>
      </c>
      <c r="L9" s="1">
        <f>pair!$L$44*(pair!$F$44/pair!$G$44)*(pair!$I$44*(pair!$G$44/(pair!$K$44*(A9+1)))^(pair!$I$44+1)-pair!$H$44*(pair!$G$44/(pair!$K$44*(A9+1)))^(pair!$H$44+1))</f>
        <v>-1.3327415422404353E-2</v>
      </c>
      <c r="M9" s="1">
        <f>pair!$L$45*(pair!$F$45/pair!$G$45)*(pair!$I$45*(pair!$G$45/(pair!$K$45*(A9+1)))^(pair!$I$45+1)-pair!$H$45*(pair!$G$45/(pair!$K$45*(A9+1)))^(pair!$H$45+1))</f>
        <v>-1.4544348328937002</v>
      </c>
    </row>
    <row r="10" spans="1:13" x14ac:dyDescent="0.3">
      <c r="A10" s="1">
        <f t="shared" si="0"/>
        <v>-0.22999999999999993</v>
      </c>
      <c r="B10" s="1">
        <f>bonded!$E$2*bonded!$F$2*A10</f>
        <v>-34.499999999999986</v>
      </c>
      <c r="C10" s="1">
        <f>bonded!$E$3*bonded!$F$3*A10</f>
        <v>-17.249999999999993</v>
      </c>
      <c r="D10" s="1">
        <f>bonded!$E$4*bonded!$F$4*A10</f>
        <v>-20.699999999999992</v>
      </c>
      <c r="E10" s="1">
        <f>(bonded!$E$7*((bonded!$K$7*(A10+1))/(1-((bonded!$K$7*(A10+1))/bonded!$F$7)^2)))+24*(bonded!$G$7/bonded!$H$7)*((bonded!$H$7/(bonded!$K$7*(A10+1)))^7-2*(bonded!$H$7/(bonded!$K$7*(A10+1)))^13)</f>
        <v>-67.687417578806347</v>
      </c>
      <c r="F10" s="1">
        <f>2*bonded!$F$10*bonded!$E$10*(EXP(-bonded!$F$10*bonded!$G$10*A10)-EXP(-2*bonded!$F$10*bonded!$G$10*A10))</f>
        <v>-4.2192771234853037</v>
      </c>
      <c r="G10" s="1">
        <f>2*bonded!$F$11*bonded!$E$11*(EXP(-bonded!$F$11*bonded!$G$11*A10)-EXP(-2*bonded!$F$11*bonded!$G$11*A10))</f>
        <v>-1.5148293324375268</v>
      </c>
      <c r="H10" s="1">
        <f>2*bonded!$F$12*bonded!$E$12*(EXP(-bonded!$F$12*bonded!$G$12*A10)-EXP(-2*bonded!$F$12*bonded!$G$12*A10))</f>
        <v>-0.80050304827301944</v>
      </c>
      <c r="I10" s="1">
        <f>2*bonded!$F$13*bonded!$E$13*(EXP(-bonded!$F$13*bonded!$G$13*A10)-EXP(-2*bonded!$F$13*bonded!$G$13*A10))</f>
        <v>-3.5905792232692844</v>
      </c>
      <c r="J10" s="1">
        <f>pair!$L$42*(pair!$F$42/pair!$G$42)*(pair!$I$42*(pair!$G$42/(pair!$K$42*(A10+1)))^(pair!$I$42+1)-pair!$H$42*(pair!$G$42/(pair!$K$42*(A10+1)))^(pair!$H$42+1))</f>
        <v>-2.2252928950571422</v>
      </c>
      <c r="K10" s="1">
        <f>pair!$L$43*(pair!$F$43/pair!$G$43)*(pair!$I$43*(pair!$G$43/(pair!$K$43*(A10+1)))^(pair!$I$43+1)-pair!$H$43*(pair!$G$43/(pair!$K$43*(A10+1)))^(pair!$H$43+1))</f>
        <v>-0.44505857901142842</v>
      </c>
      <c r="L10" s="1">
        <f>pair!$L$44*(pair!$F$44/pair!$G$44)*(pair!$I$44*(pair!$G$44/(pair!$K$44*(A10+1)))^(pair!$I$44+1)-pair!$H$44*(pair!$G$44/(pair!$K$44*(A10+1)))^(pair!$H$44+1))</f>
        <v>-1.2031990033551831E-2</v>
      </c>
      <c r="M10" s="1">
        <f>pair!$L$45*(pair!$F$45/pair!$G$45)*(pair!$I$45*(pair!$G$45/(pair!$K$45*(A10+1)))^(pair!$I$45+1)-pair!$H$45*(pair!$G$45/(pair!$K$45*(A10+1)))^(pair!$H$45+1))</f>
        <v>-1.2362738305873009</v>
      </c>
    </row>
    <row r="11" spans="1:13" x14ac:dyDescent="0.3">
      <c r="A11" s="1">
        <f t="shared" si="0"/>
        <v>-0.21999999999999992</v>
      </c>
      <c r="B11" s="1">
        <f>bonded!$E$2*bonded!$F$2*A11</f>
        <v>-32.999999999999986</v>
      </c>
      <c r="C11" s="1">
        <f>bonded!$E$3*bonded!$F$3*A11</f>
        <v>-16.499999999999993</v>
      </c>
      <c r="D11" s="1">
        <f>bonded!$E$4*bonded!$F$4*A11</f>
        <v>-19.799999999999994</v>
      </c>
      <c r="E11" s="1">
        <f>(bonded!$E$7*((bonded!$K$7*(A11+1))/(1-((bonded!$K$7*(A11+1))/bonded!$F$7)^2)))+24*(bonded!$G$7/bonded!$H$7)*((bonded!$H$7/(bonded!$K$7*(A11+1)))^7-2*(bonded!$H$7/(bonded!$K$7*(A11+1)))^13)</f>
        <v>-56.642082585937658</v>
      </c>
      <c r="F11" s="1">
        <f>2*bonded!$F$10*bonded!$E$10*(EXP(-bonded!$F$10*bonded!$G$10*A11)-EXP(-2*bonded!$F$10*bonded!$G$10*A11))</f>
        <v>-3.8023652840069668</v>
      </c>
      <c r="G11" s="1">
        <f>2*bonded!$F$11*bonded!$E$11*(EXP(-bonded!$F$11*bonded!$G$11*A11)-EXP(-2*bonded!$F$11*bonded!$G$11*A11))</f>
        <v>-1.367842435305217</v>
      </c>
      <c r="H11" s="1">
        <f>2*bonded!$F$12*bonded!$E$12*(EXP(-bonded!$F$12*bonded!$G$12*A11)-EXP(-2*bonded!$F$12*bonded!$G$12*A11))</f>
        <v>-0.7244669792581292</v>
      </c>
      <c r="I11" s="1">
        <f>2*bonded!$F$13*bonded!$E$13*(EXP(-bonded!$F$13*bonded!$G$13*A11)-EXP(-2*bonded!$F$13*bonded!$G$13*A11))</f>
        <v>-3.2345358393402477</v>
      </c>
      <c r="J11" s="1">
        <f>pair!$L$42*(pair!$F$42/pair!$G$42)*(pair!$I$42*(pair!$G$42/(pair!$K$42*(A11+1)))^(pair!$I$42+1)-pair!$H$42*(pair!$G$42/(pair!$K$42*(A11+1)))^(pair!$H$42+1))</f>
        <v>-1.8910585312203971</v>
      </c>
      <c r="K11" s="1">
        <f>pair!$L$43*(pair!$F$43/pair!$G$43)*(pair!$I$43*(pair!$G$43/(pair!$K$43*(A11+1)))^(pair!$I$43+1)-pair!$H$43*(pair!$G$43/(pair!$K$43*(A11+1)))^(pair!$H$43+1))</f>
        <v>-0.3782117062440794</v>
      </c>
      <c r="L11" s="1">
        <f>pair!$L$44*(pair!$F$44/pair!$G$44)*(pair!$I$44*(pair!$G$44/(pair!$K$44*(A11+1)))^(pair!$I$44+1)-pair!$H$44*(pair!$G$44/(pair!$K$44*(A11+1)))^(pair!$H$44+1))</f>
        <v>-1.0850747480728515E-2</v>
      </c>
      <c r="M11" s="1">
        <f>pair!$L$45*(pair!$F$45/pair!$G$45)*(pair!$I$45*(pair!$G$45/(pair!$K$45*(A11+1)))^(pair!$I$45+1)-pair!$H$45*(pair!$G$45/(pair!$K$45*(A11+1)))^(pair!$H$45+1))</f>
        <v>-1.0505880729002202</v>
      </c>
    </row>
    <row r="12" spans="1:13" x14ac:dyDescent="0.3">
      <c r="A12" s="1">
        <f t="shared" si="0"/>
        <v>-0.20999999999999991</v>
      </c>
      <c r="B12" s="1">
        <f>bonded!$E$2*bonded!$F$2*A12</f>
        <v>-31.499999999999986</v>
      </c>
      <c r="C12" s="1">
        <f>bonded!$E$3*bonded!$F$3*A12</f>
        <v>-15.749999999999993</v>
      </c>
      <c r="D12" s="1">
        <f>bonded!$E$4*bonded!$F$4*A12</f>
        <v>-18.899999999999991</v>
      </c>
      <c r="E12" s="1">
        <f>(bonded!$E$7*((bonded!$K$7*(A12+1))/(1-((bonded!$K$7*(A12+1))/bonded!$F$7)^2)))+24*(bonded!$G$7/bonded!$H$7)*((bonded!$H$7/(bonded!$K$7*(A12+1)))^7-2*(bonded!$H$7/(bonded!$K$7*(A12+1)))^13)</f>
        <v>-47.444786784558552</v>
      </c>
      <c r="F12" s="1">
        <f>2*bonded!$F$10*bonded!$E$10*(EXP(-bonded!$F$10*bonded!$G$10*A12)-EXP(-2*bonded!$F$10*bonded!$G$10*A12))</f>
        <v>-3.4199656041045672</v>
      </c>
      <c r="G12" s="1">
        <f>2*bonded!$F$11*bonded!$E$11*(EXP(-bonded!$F$11*bonded!$G$11*A12)-EXP(-2*bonded!$F$11*bonded!$G$11*A12))</f>
        <v>-1.2327003262990042</v>
      </c>
      <c r="H12" s="1">
        <f>2*bonded!$F$12*bonded!$E$12*(EXP(-bonded!$F$12*bonded!$G$12*A12)-EXP(-2*bonded!$F$12*bonded!$G$12*A12))</f>
        <v>-0.65436471367543103</v>
      </c>
      <c r="I12" s="1">
        <f>2*bonded!$F$13*bonded!$E$13*(EXP(-bonded!$F$13*bonded!$G$13*A12)-EXP(-2*bonded!$F$13*bonded!$G$13*A12))</f>
        <v>-2.9081188138479668</v>
      </c>
      <c r="J12" s="1">
        <f>pair!$L$42*(pair!$F$42/pair!$G$42)*(pair!$I$42*(pair!$G$42/(pair!$K$42*(A12+1)))^(pair!$I$42+1)-pair!$H$42*(pair!$G$42/(pair!$K$42*(A12+1)))^(pair!$H$42+1))</f>
        <v>-1.6062934653866279</v>
      </c>
      <c r="K12" s="1">
        <f>pair!$L$43*(pair!$F$43/pair!$G$43)*(pair!$I$43*(pair!$G$43/(pair!$K$43*(A12+1)))^(pair!$I$43+1)-pair!$H$43*(pair!$G$43/(pair!$K$43*(A12+1)))^(pair!$H$43+1))</f>
        <v>-0.32125869307732552</v>
      </c>
      <c r="L12" s="1">
        <f>pair!$L$44*(pair!$F$44/pair!$G$44)*(pair!$I$44*(pair!$G$44/(pair!$K$44*(A12+1)))^(pair!$I$44+1)-pair!$H$44*(pair!$G$44/(pair!$K$44*(A12+1)))^(pair!$H$44+1))</f>
        <v>-9.7729765401027291E-3</v>
      </c>
      <c r="M12" s="1">
        <f>pair!$L$45*(pair!$F$45/pair!$G$45)*(pair!$I$45*(pair!$G$45/(pair!$K$45*(A12+1)))^(pair!$I$45+1)-pair!$H$45*(pair!$G$45/(pair!$K$45*(A12+1)))^(pair!$H$45+1))</f>
        <v>-0.89238525854812623</v>
      </c>
    </row>
    <row r="13" spans="1:13" x14ac:dyDescent="0.3">
      <c r="A13" s="1">
        <f t="shared" si="0"/>
        <v>-0.1999999999999999</v>
      </c>
      <c r="B13" s="1">
        <f>bonded!$E$2*bonded!$F$2*A13</f>
        <v>-29.999999999999986</v>
      </c>
      <c r="C13" s="1">
        <f>bonded!$E$3*bonded!$F$3*A13</f>
        <v>-14.999999999999993</v>
      </c>
      <c r="D13" s="1">
        <f>bonded!$E$4*bonded!$F$4*A13</f>
        <v>-17.999999999999989</v>
      </c>
      <c r="E13" s="1">
        <f>(bonded!$E$7*((bonded!$K$7*(A13+1))/(1-((bonded!$K$7*(A13+1))/bonded!$F$7)^2)))+24*(bonded!$G$7/bonded!$H$7)*((bonded!$H$7/(bonded!$K$7*(A13+1)))^7-2*(bonded!$H$7/(bonded!$K$7*(A13+1)))^13)</f>
        <v>-39.77039622887866</v>
      </c>
      <c r="F13" s="1">
        <f>2*bonded!$F$10*bonded!$E$10*(EXP(-bonded!$F$10*bonded!$G$10*A13)-EXP(-2*bonded!$F$10*bonded!$G$10*A13))</f>
        <v>-3.0694052253333468</v>
      </c>
      <c r="G13" s="1">
        <f>2*bonded!$F$11*bonded!$E$11*(EXP(-bonded!$F$11*bonded!$G$11*A13)-EXP(-2*bonded!$F$11*bonded!$G$11*A13))</f>
        <v>-1.1085121889236036</v>
      </c>
      <c r="H13" s="1">
        <f>2*bonded!$F$12*bonded!$E$12*(EXP(-bonded!$F$12*bonded!$G$12*A13)-EXP(-2*bonded!$F$12*bonded!$G$12*A13))</f>
        <v>-0.58976535160263366</v>
      </c>
      <c r="I13" s="1">
        <f>2*bonded!$F$13*bonded!$E$13*(EXP(-bonded!$F$13*bonded!$G$13*A13)-EXP(-2*bonded!$F$13*bonded!$G$13*A13))</f>
        <v>-2.6090206933302573</v>
      </c>
      <c r="J13" s="1">
        <f>pair!$L$42*(pair!$F$42/pair!$G$42)*(pair!$I$42*(pair!$G$42/(pair!$K$42*(A13+1)))^(pair!$I$42+1)-pair!$H$42*(pair!$G$42/(pair!$K$42*(A13+1)))^(pair!$H$42+1))</f>
        <v>-1.363456249237059</v>
      </c>
      <c r="K13" s="1">
        <f>pair!$L$43*(pair!$F$43/pair!$G$43)*(pair!$I$43*(pair!$G$43/(pair!$K$43*(A13+1)))^(pair!$I$43+1)-pair!$H$43*(pair!$G$43/(pair!$K$43*(A13+1)))^(pair!$H$43+1))</f>
        <v>-0.27269124984741111</v>
      </c>
      <c r="L13" s="1">
        <f>pair!$L$44*(pair!$F$44/pair!$G$44)*(pair!$I$44*(pair!$G$44/(pair!$K$44*(A13+1)))^(pair!$I$44+1)-pair!$H$44*(pair!$G$44/(pair!$K$44*(A13+1)))^(pair!$H$44+1))</f>
        <v>-8.7890624999999931E-3</v>
      </c>
      <c r="M13" s="1">
        <f>pair!$L$45*(pair!$F$45/pair!$G$45)*(pair!$I$45*(pair!$G$45/(pair!$K$45*(A13+1)))^(pair!$I$45+1)-pair!$H$45*(pair!$G$45/(pair!$K$45*(A13+1)))^(pair!$H$45+1))</f>
        <v>-0.75747569402059023</v>
      </c>
    </row>
    <row r="14" spans="1:13" x14ac:dyDescent="0.3">
      <c r="A14" s="1">
        <f t="shared" si="0"/>
        <v>-0.18999999999999989</v>
      </c>
      <c r="B14" s="1">
        <f>bonded!$E$2*bonded!$F$2*A14</f>
        <v>-28.499999999999982</v>
      </c>
      <c r="C14" s="1">
        <f>bonded!$E$3*bonded!$F$3*A14</f>
        <v>-14.249999999999991</v>
      </c>
      <c r="D14" s="1">
        <f>bonded!$E$4*bonded!$F$4*A14</f>
        <v>-17.099999999999991</v>
      </c>
      <c r="E14" s="1">
        <f>(bonded!$E$7*((bonded!$K$7*(A14+1))/(1-((bonded!$K$7*(A14+1))/bonded!$F$7)^2)))+24*(bonded!$G$7/bonded!$H$7)*((bonded!$H$7/(bonded!$K$7*(A14+1)))^7-2*(bonded!$H$7/(bonded!$K$7*(A14+1)))^13)</f>
        <v>-33.353792091769726</v>
      </c>
      <c r="F14" s="1">
        <f>2*bonded!$F$10*bonded!$E$10*(EXP(-bonded!$F$10*bonded!$G$10*A14)-EXP(-2*bonded!$F$10*bonded!$G$10*A14))</f>
        <v>-2.7482122421779351</v>
      </c>
      <c r="G14" s="1">
        <f>2*bonded!$F$11*bonded!$E$11*(EXP(-bonded!$F$11*bonded!$G$11*A14)-EXP(-2*bonded!$F$11*bonded!$G$11*A14))</f>
        <v>-0.99445218283744063</v>
      </c>
      <c r="H14" s="1">
        <f>2*bonded!$F$12*bonded!$E$12*(EXP(-bonded!$F$12*bonded!$G$12*A14)-EXP(-2*bonded!$F$12*bonded!$G$12*A14))</f>
        <v>-0.53026830653719736</v>
      </c>
      <c r="I14" s="1">
        <f>2*bonded!$F$13*bonded!$E$13*(EXP(-bonded!$F$13*bonded!$G$13*A14)-EXP(-2*bonded!$F$13*bonded!$G$13*A14))</f>
        <v>-2.3351085185050766</v>
      </c>
      <c r="J14" s="1">
        <f>pair!$L$42*(pair!$F$42/pair!$G$42)*(pair!$I$42*(pair!$G$42/(pair!$K$42*(A14+1)))^(pair!$I$42+1)-pair!$H$42*(pair!$G$42/(pair!$K$42*(A14+1)))^(pair!$H$42+1))</f>
        <v>-1.1562063495938952</v>
      </c>
      <c r="K14" s="1">
        <f>pair!$L$43*(pair!$F$43/pair!$G$43)*(pair!$I$43*(pair!$G$43/(pair!$K$43*(A14+1)))^(pair!$I$43+1)-pair!$H$43*(pair!$G$43/(pair!$K$43*(A14+1)))^(pair!$H$43+1))</f>
        <v>-0.23124126991877833</v>
      </c>
      <c r="L14" s="1">
        <f>pair!$L$44*(pair!$F$44/pair!$G$44)*(pair!$I$44*(pair!$G$44/(pair!$K$44*(A14+1)))^(pair!$I$44+1)-pair!$H$44*(pair!$G$44/(pair!$K$44*(A14+1)))^(pair!$H$44+1))</f>
        <v>-7.8903645410681456E-3</v>
      </c>
      <c r="M14" s="1">
        <f>pair!$L$45*(pair!$F$45/pair!$G$45)*(pair!$I$45*(pair!$G$45/(pair!$K$45*(A14+1)))^(pair!$I$45+1)-pair!$H$45*(pair!$G$45/(pair!$K$45*(A14+1)))^(pair!$H$45+1))</f>
        <v>-0.64233686088549713</v>
      </c>
    </row>
    <row r="15" spans="1:13" x14ac:dyDescent="0.3">
      <c r="A15" s="1">
        <f t="shared" si="0"/>
        <v>-0.17999999999999988</v>
      </c>
      <c r="B15" s="1">
        <f>bonded!$E$2*bonded!$F$2*A15</f>
        <v>-26.999999999999982</v>
      </c>
      <c r="C15" s="1">
        <f>bonded!$E$3*bonded!$F$3*A15</f>
        <v>-13.499999999999991</v>
      </c>
      <c r="D15" s="1">
        <f>bonded!$E$4*bonded!$F$4*A15</f>
        <v>-16.199999999999989</v>
      </c>
      <c r="E15" s="1">
        <f>(bonded!$E$7*((bonded!$K$7*(A15+1))/(1-((bonded!$K$7*(A15+1))/bonded!$F$7)^2)))+24*(bonded!$G$7/bonded!$H$7)*((bonded!$H$7/(bonded!$K$7*(A15+1)))^7-2*(bonded!$H$7/(bonded!$K$7*(A15+1)))^13)</f>
        <v>-27.978263061623423</v>
      </c>
      <c r="F15" s="1">
        <f>2*bonded!$F$10*bonded!$E$10*(EXP(-bonded!$F$10*bonded!$G$10*A15)-EXP(-2*bonded!$F$10*bonded!$G$10*A15))</f>
        <v>-2.4541008065029026</v>
      </c>
      <c r="G15" s="1">
        <f>2*bonded!$F$11*bonded!$E$11*(EXP(-bonded!$F$11*bonded!$G$11*A15)-EXP(-2*bonded!$F$11*bonded!$G$11*A15))</f>
        <v>-0.88975477313865858</v>
      </c>
      <c r="H15" s="1">
        <f>2*bonded!$F$12*bonded!$E$12*(EXP(-bonded!$F$12*bonded!$G$12*A15)-EXP(-2*bonded!$F$12*bonded!$G$12*A15))</f>
        <v>-0.47550120480018016</v>
      </c>
      <c r="I15" s="1">
        <f>2*bonded!$F$13*bonded!$E$13*(EXP(-bonded!$F$13*bonded!$G$13*A15)-EXP(-2*bonded!$F$13*bonded!$G$13*A15))</f>
        <v>-2.0844108133662531</v>
      </c>
      <c r="J15" s="1">
        <f>pair!$L$42*(pair!$F$42/pair!$G$42)*(pair!$I$42*(pair!$G$42/(pair!$K$42*(A15+1)))^(pair!$I$42+1)-pair!$H$42*(pair!$G$42/(pair!$K$42*(A15+1)))^(pair!$H$42+1))</f>
        <v>-0.97920354836531653</v>
      </c>
      <c r="K15" s="1">
        <f>pair!$L$43*(pair!$F$43/pair!$G$43)*(pair!$I$43*(pair!$G$43/(pair!$K$43*(A15+1)))^(pair!$I$43+1)-pair!$H$43*(pair!$G$43/(pair!$K$43*(A15+1)))^(pair!$H$43+1))</f>
        <v>-0.1958407096730633</v>
      </c>
      <c r="L15" s="1">
        <f>pair!$L$44*(pair!$F$44/pair!$G$44)*(pair!$I$44*(pair!$G$44/(pair!$K$44*(A15+1)))^(pair!$I$44+1)-pair!$H$44*(pair!$G$44/(pair!$K$44*(A15+1)))^(pair!$H$44+1))</f>
        <v>-7.069108022970636E-3</v>
      </c>
      <c r="M15" s="1">
        <f>pair!$L$45*(pair!$F$45/pair!$G$45)*(pair!$I$45*(pair!$G$45/(pair!$K$45*(A15+1)))^(pair!$I$45+1)-pair!$H$45*(pair!$G$45/(pair!$K$45*(A15+1)))^(pair!$H$45+1))</f>
        <v>-0.54400197131406458</v>
      </c>
    </row>
    <row r="16" spans="1:13" x14ac:dyDescent="0.3">
      <c r="A16" s="1">
        <f t="shared" si="0"/>
        <v>-0.16999999999999987</v>
      </c>
      <c r="B16" s="1">
        <f>bonded!$E$2*bonded!$F$2*A16</f>
        <v>-25.499999999999982</v>
      </c>
      <c r="C16" s="1">
        <f>bonded!$E$3*bonded!$F$3*A16</f>
        <v>-12.749999999999991</v>
      </c>
      <c r="D16" s="1">
        <f>bonded!$E$4*bonded!$F$4*A16</f>
        <v>-15.299999999999988</v>
      </c>
      <c r="E16" s="1">
        <f>(bonded!$E$7*((bonded!$K$7*(A16+1))/(1-((bonded!$K$7*(A16+1))/bonded!$F$7)^2)))+24*(bonded!$G$7/bonded!$H$7)*((bonded!$H$7/(bonded!$K$7*(A16+1)))^7-2*(bonded!$H$7/(bonded!$K$7*(A16+1)))^13)</f>
        <v>-23.466244595231348</v>
      </c>
      <c r="F16" s="1">
        <f>2*bonded!$F$10*bonded!$E$10*(EXP(-bonded!$F$10*bonded!$G$10*A16)-EXP(-2*bonded!$F$10*bonded!$G$10*A16))</f>
        <v>-2.1849573284320085</v>
      </c>
      <c r="G16" s="1">
        <f>2*bonded!$F$11*bonded!$E$11*(EXP(-bonded!$F$11*bonded!$G$11*A16)-EXP(-2*bonded!$F$11*bonded!$G$11*A16))</f>
        <v>-0.79371039299294732</v>
      </c>
      <c r="H16" s="1">
        <f>2*bonded!$F$12*bonded!$E$12*(EXP(-bonded!$F$12*bonded!$G$12*A16)-EXP(-2*bonded!$F$12*bonded!$G$12*A16))</f>
        <v>-0.42511792942659954</v>
      </c>
      <c r="I16" s="1">
        <f>2*bonded!$F$13*bonded!$E$13*(EXP(-bonded!$F$13*bonded!$G$13*A16)-EXP(-2*bonded!$F$13*bonded!$G$13*A16))</f>
        <v>-1.8551055376910568</v>
      </c>
      <c r="J16" s="1">
        <f>pair!$L$42*(pair!$F$42/pair!$G$42)*(pair!$I$42*(pair!$G$42/(pair!$K$42*(A16+1)))^(pair!$I$42+1)-pair!$H$42*(pair!$G$42/(pair!$K$42*(A16+1)))^(pair!$H$42+1))</f>
        <v>-0.82794250447032725</v>
      </c>
      <c r="K16" s="1">
        <f>pair!$L$43*(pair!$F$43/pair!$G$43)*(pair!$I$43*(pair!$G$43/(pair!$K$43*(A16+1)))^(pair!$I$43+1)-pair!$H$43*(pair!$G$43/(pair!$K$43*(A16+1)))^(pair!$H$43+1))</f>
        <v>-0.16558850089406543</v>
      </c>
      <c r="L16" s="1">
        <f>pair!$L$44*(pair!$F$44/pair!$G$44)*(pair!$I$44*(pair!$G$44/(pair!$K$44*(A16+1)))^(pair!$I$44+1)-pair!$H$44*(pair!$G$44/(pair!$K$44*(A16+1)))^(pair!$H$44+1))</f>
        <v>-6.3182897196625773E-3</v>
      </c>
      <c r="M16" s="1">
        <f>pair!$L$45*(pair!$F$45/pair!$G$45)*(pair!$I$45*(pair!$G$45/(pair!$K$45*(A16+1)))^(pair!$I$45+1)-pair!$H$45*(pair!$G$45/(pair!$K$45*(A16+1)))^(pair!$H$45+1))</f>
        <v>-0.45996805803907054</v>
      </c>
    </row>
    <row r="17" spans="1:13" x14ac:dyDescent="0.3">
      <c r="A17" s="1">
        <f t="shared" si="0"/>
        <v>-0.15999999999999986</v>
      </c>
      <c r="B17" s="1">
        <f>bonded!$E$2*bonded!$F$2*A17</f>
        <v>-23.999999999999979</v>
      </c>
      <c r="C17" s="1">
        <f>bonded!$E$3*bonded!$F$3*A17</f>
        <v>-11.999999999999989</v>
      </c>
      <c r="D17" s="1">
        <f>bonded!$E$4*bonded!$F$4*A17</f>
        <v>-14.399999999999988</v>
      </c>
      <c r="E17" s="1">
        <f>(bonded!$E$7*((bonded!$K$7*(A17+1))/(1-((bonded!$K$7*(A17+1))/bonded!$F$7)^2)))+24*(bonded!$G$7/bonded!$H$7)*((bonded!$H$7/(bonded!$K$7*(A17+1)))^7-2*(bonded!$H$7/(bonded!$K$7*(A17+1)))^13)</f>
        <v>-19.671910187923242</v>
      </c>
      <c r="F17" s="1">
        <f>2*bonded!$F$10*bonded!$E$10*(EXP(-bonded!$F$10*bonded!$G$10*A17)-EXP(-2*bonded!$F$10*bonded!$G$10*A17))</f>
        <v>-1.9388276932330222</v>
      </c>
      <c r="G17" s="1">
        <f>2*bonded!$F$11*bonded!$E$11*(EXP(-bonded!$F$11*bonded!$G$11*A17)-EXP(-2*bonded!$F$11*bonded!$G$11*A17))</f>
        <v>-0.70566141589863207</v>
      </c>
      <c r="H17" s="1">
        <f>2*bonded!$F$12*bonded!$E$12*(EXP(-bonded!$F$12*bonded!$G$12*A17)-EXP(-2*bonded!$F$12*bonded!$G$12*A17))</f>
        <v>-0.37879679864083904</v>
      </c>
      <c r="I17" s="1">
        <f>2*bonded!$F$13*bonded!$E$13*(EXP(-bonded!$F$13*bonded!$G$13*A17)-EXP(-2*bonded!$F$13*bonded!$G$13*A17))</f>
        <v>-1.6455089318708551</v>
      </c>
      <c r="J17" s="1">
        <f>pair!$L$42*(pair!$F$42/pair!$G$42)*(pair!$I$42*(pair!$G$42/(pair!$K$42*(A17+1)))^(pair!$I$42+1)-pair!$H$42*(pair!$G$42/(pair!$K$42*(A17+1)))^(pair!$H$42+1))</f>
        <v>-0.69861601809264262</v>
      </c>
      <c r="K17" s="1">
        <f>pair!$L$43*(pair!$F$43/pair!$G$43)*(pair!$I$43*(pair!$G$43/(pair!$K$43*(A17+1)))^(pair!$I$43+1)-pair!$H$43*(pair!$G$43/(pair!$K$43*(A17+1)))^(pair!$H$43+1))</f>
        <v>-0.13972320361852805</v>
      </c>
      <c r="L17" s="1">
        <f>pair!$L$44*(pair!$F$44/pair!$G$44)*(pair!$I$44*(pair!$G$44/(pair!$K$44*(A17+1)))^(pair!$I$44+1)-pair!$H$44*(pair!$G$44/(pair!$K$44*(A17+1)))^(pair!$H$44+1))</f>
        <v>-5.6315943214920406E-3</v>
      </c>
      <c r="M17" s="1">
        <f>pair!$L$45*(pair!$F$45/pair!$G$45)*(pair!$I$45*(pair!$G$45/(pair!$K$45*(A17+1)))^(pair!$I$45+1)-pair!$H$45*(pair!$G$45/(pair!$K$45*(A17+1)))^(pair!$H$45+1))</f>
        <v>-0.38812001005146801</v>
      </c>
    </row>
    <row r="18" spans="1:13" x14ac:dyDescent="0.3">
      <c r="A18" s="1">
        <f t="shared" si="0"/>
        <v>-0.14999999999999986</v>
      </c>
      <c r="B18" s="1">
        <f>bonded!$E$2*bonded!$F$2*A18</f>
        <v>-22.499999999999979</v>
      </c>
      <c r="C18" s="1">
        <f>bonded!$E$3*bonded!$F$3*A18</f>
        <v>-11.249999999999989</v>
      </c>
      <c r="D18" s="1">
        <f>bonded!$E$4*bonded!$F$4*A18</f>
        <v>-13.499999999999988</v>
      </c>
      <c r="E18" s="1">
        <f>(bonded!$E$7*((bonded!$K$7*(A18+1))/(1-((bonded!$K$7*(A18+1))/bonded!$F$7)^2)))+24*(bonded!$G$7/bonded!$H$7)*((bonded!$H$7/(bonded!$K$7*(A18+1)))^7-2*(bonded!$H$7/(bonded!$K$7*(A18+1)))^13)</f>
        <v>-16.475228379528541</v>
      </c>
      <c r="F18" s="1">
        <f>2*bonded!$F$10*bonded!$E$10*(EXP(-bonded!$F$10*bonded!$G$10*A18)-EXP(-2*bonded!$F$10*bonded!$G$10*A18))</f>
        <v>-1.7139054196736341</v>
      </c>
      <c r="G18" s="1">
        <f>2*bonded!$F$11*bonded!$E$11*(EXP(-bonded!$F$11*bonded!$G$11*A18)-EXP(-2*bonded!$F$11*bonded!$G$11*A18))</f>
        <v>-0.62499841556705449</v>
      </c>
      <c r="H18" s="1">
        <f>2*bonded!$F$12*bonded!$E$12*(EXP(-bonded!$F$12*bonded!$G$12*A18)-EXP(-2*bonded!$F$12*bonded!$G$12*A18))</f>
        <v>-0.33623886969289729</v>
      </c>
      <c r="I18" s="1">
        <f>2*bonded!$F$13*bonded!$E$13*(EXP(-bonded!$F$13*bonded!$G$13*A18)-EXP(-2*bonded!$F$13*bonded!$G$13*A18))</f>
        <v>-1.4540651882123934</v>
      </c>
      <c r="J18" s="1">
        <f>pair!$L$42*(pair!$F$42/pair!$G$42)*(pair!$I$42*(pair!$G$42/(pair!$K$42*(A18+1)))^(pair!$I$42+1)-pair!$H$42*(pair!$G$42/(pair!$K$42*(A18+1)))^(pair!$H$42+1))</f>
        <v>-0.5880017790410903</v>
      </c>
      <c r="K18" s="1">
        <f>pair!$L$43*(pair!$F$43/pair!$G$43)*(pair!$I$43*(pair!$G$43/(pair!$K$43*(A18+1)))^(pair!$I$43+1)-pair!$H$43*(pair!$G$43/(pair!$K$43*(A18+1)))^(pair!$H$43+1))</f>
        <v>-0.11760035580821807</v>
      </c>
      <c r="L18" s="1">
        <f>pair!$L$44*(pair!$F$44/pair!$G$44)*(pair!$I$44*(pair!$G$44/(pair!$K$44*(A18+1)))^(pair!$I$44+1)-pair!$H$44*(pair!$G$44/(pair!$K$44*(A18+1)))^(pair!$H$44+1))</f>
        <v>-5.0033207569494653E-3</v>
      </c>
      <c r="M18" s="1">
        <f>pair!$L$45*(pair!$F$45/pair!$G$45)*(pair!$I$45*(pair!$G$45/(pair!$K$45*(A18+1)))^(pair!$I$45+1)-pair!$H$45*(pair!$G$45/(pair!$K$45*(A18+1)))^(pair!$H$45+1))</f>
        <v>-0.32666765502282785</v>
      </c>
    </row>
    <row r="19" spans="1:13" x14ac:dyDescent="0.3">
      <c r="A19" s="1">
        <f t="shared" si="0"/>
        <v>-0.13999999999999985</v>
      </c>
      <c r="B19" s="1">
        <f>bonded!$E$2*bonded!$F$2*A19</f>
        <v>-20.999999999999979</v>
      </c>
      <c r="C19" s="1">
        <f>bonded!$E$3*bonded!$F$3*A19</f>
        <v>-10.499999999999989</v>
      </c>
      <c r="D19" s="1">
        <f>bonded!$E$4*bonded!$F$4*A19</f>
        <v>-12.599999999999985</v>
      </c>
      <c r="E19" s="1">
        <f>(bonded!$E$7*((bonded!$K$7*(A19+1))/(1-((bonded!$K$7*(A19+1))/bonded!$F$7)^2)))+24*(bonded!$G$7/bonded!$H$7)*((bonded!$H$7/(bonded!$K$7*(A19+1)))^7-2*(bonded!$H$7/(bonded!$K$7*(A19+1)))^13)</f>
        <v>-13.777183047904128</v>
      </c>
      <c r="F19" s="1">
        <f>2*bonded!$F$10*bonded!$E$10*(EXP(-bonded!$F$10*bonded!$G$10*A19)-EXP(-2*bonded!$F$10*bonded!$G$10*A19))</f>
        <v>-1.5085206907717552</v>
      </c>
      <c r="G19" s="1">
        <f>2*bonded!$F$11*bonded!$E$11*(EXP(-bonded!$F$11*bonded!$G$11*A19)-EXP(-2*bonded!$F$11*bonded!$G$11*A19))</f>
        <v>-0.55115669295957603</v>
      </c>
      <c r="H19" s="1">
        <f>2*bonded!$F$12*bonded!$E$12*(EXP(-bonded!$F$12*bonded!$G$12*A19)-EXP(-2*bonded!$F$12*bonded!$G$12*A19))</f>
        <v>-0.29716635946225872</v>
      </c>
      <c r="I19" s="1">
        <f>2*bonded!$F$13*bonded!$E$13*(EXP(-bonded!$F$13*bonded!$G$13*A19)-EXP(-2*bonded!$F$13*bonded!$G$13*A19))</f>
        <v>-1.2793368877081857</v>
      </c>
      <c r="J19" s="1">
        <f>pair!$L$42*(pair!$F$42/pair!$G$42)*(pair!$I$42*(pair!$G$42/(pair!$K$42*(A19+1)))^(pair!$I$42+1)-pair!$H$42*(pair!$G$42/(pair!$K$42*(A19+1)))^(pair!$H$42+1))</f>
        <v>-0.49336837336909328</v>
      </c>
      <c r="K19" s="1">
        <f>pair!$L$43*(pair!$F$43/pair!$G$43)*(pair!$I$43*(pair!$G$43/(pair!$K$43*(A19+1)))^(pair!$I$43+1)-pair!$H$43*(pair!$G$43/(pair!$K$43*(A19+1)))^(pair!$H$43+1))</f>
        <v>-9.8673674673818657E-2</v>
      </c>
      <c r="L19" s="1">
        <f>pair!$L$44*(pair!$F$44/pair!$G$44)*(pair!$I$44*(pair!$G$44/(pair!$K$44*(A19+1)))^(pair!$I$44+1)-pair!$H$44*(pair!$G$44/(pair!$K$44*(A19+1)))^(pair!$H$44+1))</f>
        <v>-4.4283170865227024E-3</v>
      </c>
      <c r="M19" s="1">
        <f>pair!$L$45*(pair!$F$45/pair!$G$45)*(pair!$I$45*(pair!$G$45/(pair!$K$45*(A19+1)))^(pair!$I$45+1)-pair!$H$45*(pair!$G$45/(pair!$K$45*(A19+1)))^(pair!$H$45+1))</f>
        <v>-0.27409354076060732</v>
      </c>
    </row>
    <row r="20" spans="1:13" x14ac:dyDescent="0.3">
      <c r="A20" s="1">
        <f t="shared" si="0"/>
        <v>-0.12999999999999984</v>
      </c>
      <c r="B20" s="1">
        <f>bonded!$E$2*bonded!$F$2*A20</f>
        <v>-19.499999999999975</v>
      </c>
      <c r="C20" s="1">
        <f>bonded!$E$3*bonded!$F$3*A20</f>
        <v>-9.7499999999999876</v>
      </c>
      <c r="D20" s="1">
        <f>bonded!$E$4*bonded!$F$4*A20</f>
        <v>-11.699999999999985</v>
      </c>
      <c r="E20" s="1">
        <f>(bonded!$E$7*((bonded!$K$7*(A20+1))/(1-((bonded!$K$7*(A20+1))/bonded!$F$7)^2)))+24*(bonded!$G$7/bonded!$H$7)*((bonded!$H$7/(bonded!$K$7*(A20+1)))^7-2*(bonded!$H$7/(bonded!$K$7*(A20+1)))^13)</f>
        <v>-11.49591948478189</v>
      </c>
      <c r="F20" s="1">
        <f>2*bonded!$F$10*bonded!$E$10*(EXP(-bonded!$F$10*bonded!$G$10*A20)-EXP(-2*bonded!$F$10*bonded!$G$10*A20))</f>
        <v>-1.3211301929220383</v>
      </c>
      <c r="G20" s="1">
        <f>2*bonded!$F$11*bonded!$E$11*(EXP(-bonded!$F$11*bonded!$G$11*A20)-EXP(-2*bonded!$F$11*bonded!$G$11*A20))</f>
        <v>-0.48361305147495698</v>
      </c>
      <c r="H20" s="1">
        <f>2*bonded!$F$12*bonded!$E$12*(EXP(-bonded!$F$12*bonded!$G$12*A20)-EXP(-2*bonded!$F$12*bonded!$G$12*A20))</f>
        <v>-0.26132117382403086</v>
      </c>
      <c r="I20" s="1">
        <f>2*bonded!$F$13*bonded!$E$13*(EXP(-bonded!$F$13*bonded!$G$13*A20)-EXP(-2*bonded!$F$13*bonded!$G$13*A20))</f>
        <v>-1.1199961457684098</v>
      </c>
      <c r="J20" s="1">
        <f>pair!$L$42*(pair!$F$42/pair!$G$42)*(pair!$I$42*(pair!$G$42/(pair!$K$42*(A20+1)))^(pair!$I$42+1)-pair!$H$42*(pair!$G$42/(pair!$K$42*(A20+1)))^(pair!$H$42+1))</f>
        <v>-0.41239711777349647</v>
      </c>
      <c r="K20" s="1">
        <f>pair!$L$43*(pair!$F$43/pair!$G$43)*(pair!$I$43*(pair!$G$43/(pair!$K$43*(A20+1)))^(pair!$I$43+1)-pair!$H$43*(pair!$G$43/(pair!$K$43*(A20+1)))^(pair!$H$43+1))</f>
        <v>-8.2479423554699297E-2</v>
      </c>
      <c r="L20" s="1">
        <f>pair!$L$44*(pair!$F$44/pair!$G$44)*(pair!$I$44*(pair!$G$44/(pair!$K$44*(A20+1)))^(pair!$I$44+1)-pair!$H$44*(pair!$G$44/(pair!$K$44*(A20+1)))^(pair!$H$44+1))</f>
        <v>-3.9019228913358037E-3</v>
      </c>
      <c r="M20" s="1">
        <f>pair!$L$45*(pair!$F$45/pair!$G$45)*(pair!$I$45*(pair!$G$45/(pair!$K$45*(A20+1)))^(pair!$I$45+1)-pair!$H$45*(pair!$G$45/(pair!$K$45*(A20+1)))^(pair!$H$45+1))</f>
        <v>-0.22910950987416465</v>
      </c>
    </row>
    <row r="21" spans="1:13" x14ac:dyDescent="0.3">
      <c r="A21" s="1">
        <f t="shared" si="0"/>
        <v>-0.11999999999999984</v>
      </c>
      <c r="B21" s="1">
        <f>bonded!$E$2*bonded!$F$2*A21</f>
        <v>-17.999999999999975</v>
      </c>
      <c r="C21" s="1">
        <f>bonded!$E$3*bonded!$F$3*A21</f>
        <v>-8.9999999999999876</v>
      </c>
      <c r="D21" s="1">
        <f>bonded!$E$4*bonded!$F$4*A21</f>
        <v>-10.799999999999986</v>
      </c>
      <c r="E21" s="1">
        <f>(bonded!$E$7*((bonded!$K$7*(A21+1))/(1-((bonded!$K$7*(A21+1))/bonded!$F$7)^2)))+24*(bonded!$G$7/bonded!$H$7)*((bonded!$H$7/(bonded!$K$7*(A21+1)))^7-2*(bonded!$H$7/(bonded!$K$7*(A21+1)))^13)</f>
        <v>-9.5636292119531259</v>
      </c>
      <c r="F21" s="1">
        <f>2*bonded!$F$10*bonded!$E$10*(EXP(-bonded!$F$10*bonded!$G$10*A21)-EXP(-2*bonded!$F$10*bonded!$G$10*A21))</f>
        <v>-1.150307704068942</v>
      </c>
      <c r="G21" s="1">
        <f>2*bonded!$F$11*bonded!$E$11*(EXP(-bonded!$F$11*bonded!$G$11*A21)-EXP(-2*bonded!$F$11*bonded!$G$11*A21))</f>
        <v>-0.42188280263026484</v>
      </c>
      <c r="H21" s="1">
        <f>2*bonded!$F$12*bonded!$E$12*(EXP(-bonded!$F$12*bonded!$G$12*A21)-EXP(-2*bonded!$F$12*bonded!$G$12*A21))</f>
        <v>-0.22846353831967622</v>
      </c>
      <c r="I21" s="1">
        <f>2*bonded!$F$13*bonded!$E$13*(EXP(-bonded!$F$13*bonded!$G$13*A21)-EXP(-2*bonded!$F$13*bonded!$G$13*A21))</f>
        <v>-0.97481641456992341</v>
      </c>
      <c r="J21" s="1">
        <f>pair!$L$42*(pair!$F$42/pair!$G$42)*(pair!$I$42*(pair!$G$42/(pair!$K$42*(A21+1)))^(pair!$I$42+1)-pair!$H$42*(pair!$G$42/(pair!$K$42*(A21+1)))^(pair!$H$42+1))</f>
        <v>-0.34311693039371538</v>
      </c>
      <c r="K21" s="1">
        <f>pair!$L$43*(pair!$F$43/pair!$G$43)*(pair!$I$43*(pair!$G$43/(pair!$K$43*(A21+1)))^(pair!$I$43+1)-pair!$H$43*(pair!$G$43/(pair!$K$43*(A21+1)))^(pair!$H$43+1))</f>
        <v>-6.8623386078742979E-2</v>
      </c>
      <c r="L21" s="1">
        <f>pair!$L$44*(pair!$F$44/pair!$G$44)*(pair!$I$44*(pair!$G$44/(pair!$K$44*(A21+1)))^(pair!$I$44+1)-pair!$H$44*(pair!$G$44/(pair!$K$44*(A21+1)))^(pair!$H$44+1))</f>
        <v>-3.4199182246617463E-3</v>
      </c>
      <c r="M21" s="1">
        <f>pair!$L$45*(pair!$F$45/pair!$G$45)*(pair!$I$45*(pair!$G$45/(pair!$K$45*(A21+1)))^(pair!$I$45+1)-pair!$H$45*(pair!$G$45/(pair!$K$45*(A21+1)))^(pair!$H$45+1))</f>
        <v>-0.19062051688539769</v>
      </c>
    </row>
    <row r="22" spans="1:13" x14ac:dyDescent="0.3">
      <c r="A22" s="1">
        <f t="shared" si="0"/>
        <v>-0.10999999999999985</v>
      </c>
      <c r="B22" s="1">
        <f>bonded!$E$2*bonded!$F$2*A22</f>
        <v>-16.499999999999979</v>
      </c>
      <c r="C22" s="1">
        <f>bonded!$E$3*bonded!$F$3*A22</f>
        <v>-8.2499999999999893</v>
      </c>
      <c r="D22" s="1">
        <f>bonded!$E$4*bonded!$F$4*A22</f>
        <v>-9.8999999999999861</v>
      </c>
      <c r="E22" s="1">
        <f>(bonded!$E$7*((bonded!$K$7*(A22+1))/(1-((bonded!$K$7*(A22+1))/bonded!$F$7)^2)))+24*(bonded!$G$7/bonded!$H$7)*((bonded!$H$7/(bonded!$K$7*(A22+1)))^7-2*(bonded!$H$7/(bonded!$K$7*(A22+1)))^13)</f>
        <v>-7.9240258247950068</v>
      </c>
      <c r="F22" s="1">
        <f>2*bonded!$F$10*bonded!$E$10*(EXP(-bonded!$F$10*bonded!$G$10*A22)-EXP(-2*bonded!$F$10*bonded!$G$10*A22))</f>
        <v>-0.9947353759420493</v>
      </c>
      <c r="G22" s="1">
        <f>2*bonded!$F$11*bonded!$E$11*(EXP(-bonded!$F$11*bonded!$G$11*A22)-EXP(-2*bonded!$F$11*bonded!$G$11*A22))</f>
        <v>-0.3655169858321794</v>
      </c>
      <c r="H22" s="1">
        <f>2*bonded!$F$12*bonded!$E$12*(EXP(-bonded!$F$12*bonded!$G$12*A22)-EXP(-2*bonded!$F$12*bonded!$G$12*A22))</f>
        <v>-0.19837072318493201</v>
      </c>
      <c r="I22" s="1">
        <f>2*bonded!$F$13*bonded!$E$13*(EXP(-bonded!$F$13*bonded!$G$13*A22)-EXP(-2*bonded!$F$13*bonded!$G$13*A22))</f>
        <v>-0.84266489353475982</v>
      </c>
      <c r="J22" s="1">
        <f>pair!$L$42*(pair!$F$42/pair!$G$42)*(pair!$I$42*(pair!$G$42/(pair!$K$42*(A22+1)))^(pair!$I$42+1)-pair!$H$42*(pair!$G$42/(pair!$K$42*(A22+1)))^(pair!$H$42+1))</f>
        <v>-0.28384996144789593</v>
      </c>
      <c r="K22" s="1">
        <f>pair!$L$43*(pair!$F$43/pair!$G$43)*(pair!$I$43*(pair!$G$43/(pair!$K$43*(A22+1)))^(pair!$I$43+1)-pair!$H$43*(pair!$G$43/(pair!$K$43*(A22+1)))^(pair!$H$43+1))</f>
        <v>-5.6769992289579026E-2</v>
      </c>
      <c r="L22" s="1">
        <f>pair!$L$44*(pair!$F$44/pair!$G$44)*(pair!$I$44*(pair!$G$44/(pair!$K$44*(A22+1)))^(pair!$I$44+1)-pair!$H$44*(pair!$G$44/(pair!$K$44*(A22+1)))^(pair!$H$44+1))</f>
        <v>-2.9784783188471289E-3</v>
      </c>
      <c r="M22" s="1">
        <f>pair!$L$45*(pair!$F$45/pair!$G$45)*(pair!$I$45*(pair!$G$45/(pair!$K$45*(A22+1)))^(pair!$I$45+1)-pair!$H$45*(pair!$G$45/(pair!$K$45*(A22+1)))^(pair!$H$45+1))</f>
        <v>-0.15769442302660883</v>
      </c>
    </row>
    <row r="23" spans="1:13" x14ac:dyDescent="0.3">
      <c r="A23" s="1">
        <f t="shared" si="0"/>
        <v>-9.9999999999999853E-2</v>
      </c>
      <c r="B23" s="1">
        <f>bonded!$E$2*bonded!$F$2*A23</f>
        <v>-14.999999999999979</v>
      </c>
      <c r="C23" s="1">
        <f>bonded!$E$3*bonded!$F$3*A23</f>
        <v>-7.4999999999999893</v>
      </c>
      <c r="D23" s="1">
        <f>bonded!$E$4*bonded!$F$4*A23</f>
        <v>-8.9999999999999876</v>
      </c>
      <c r="E23" s="1">
        <f>(bonded!$E$7*((bonded!$K$7*(A23+1))/(1-((bonded!$K$7*(A23+1))/bonded!$F$7)^2)))+24*(bonded!$G$7/bonded!$H$7)*((bonded!$H$7/(bonded!$K$7*(A23+1)))^7-2*(bonded!$H$7/(bonded!$K$7*(A23+1)))^13)</f>
        <v>-6.5302948908348668</v>
      </c>
      <c r="F23" s="1">
        <f>2*bonded!$F$10*bonded!$E$10*(EXP(-bonded!$F$10*bonded!$G$10*A23)-EXP(-2*bonded!$F$10*bonded!$G$10*A23))</f>
        <v>-0.85319565939689679</v>
      </c>
      <c r="G23" s="1">
        <f>2*bonded!$F$11*bonded!$E$11*(EXP(-bonded!$F$11*bonded!$G$11*A23)-EXP(-2*bonded!$F$11*bonded!$G$11*A23))</f>
        <v>-0.31409978700033714</v>
      </c>
      <c r="H23" s="1">
        <f>2*bonded!$F$12*bonded!$E$12*(EXP(-bonded!$F$12*bonded!$G$12*A23)-EXP(-2*bonded!$F$12*bonded!$G$12*A23))</f>
        <v>-0.17083585626288733</v>
      </c>
      <c r="I23" s="1">
        <f>2*bonded!$F$13*bonded!$E$13*(EXP(-bonded!$F$13*bonded!$G$13*A23)-EXP(-2*bonded!$F$13*bonded!$G$13*A23))</f>
        <v>-0.72249550302337162</v>
      </c>
      <c r="J23" s="1">
        <f>pair!$L$42*(pair!$F$42/pair!$G$42)*(pair!$I$42*(pair!$G$42/(pair!$K$42*(A23+1)))^(pair!$I$42+1)-pair!$H$42*(pair!$G$42/(pair!$K$42*(A23+1)))^(pair!$H$42+1))</f>
        <v>-0.23316612285142474</v>
      </c>
      <c r="K23" s="1">
        <f>pair!$L$43*(pair!$F$43/pair!$G$43)*(pair!$I$43*(pair!$G$43/(pair!$K$43*(A23+1)))^(pair!$I$43+1)-pair!$H$43*(pair!$G$43/(pair!$K$43*(A23+1)))^(pair!$H$43+1))</f>
        <v>-4.6633224570284945E-2</v>
      </c>
      <c r="L23" s="1">
        <f>pair!$L$44*(pair!$F$44/pair!$G$44)*(pair!$I$44*(pair!$G$44/(pair!$K$44*(A23+1)))^(pair!$I$44+1)-pair!$H$44*(pair!$G$44/(pair!$K$44*(A23+1)))^(pair!$H$44+1))</f>
        <v>-2.5741333468813966E-3</v>
      </c>
      <c r="M23" s="1">
        <f>pair!$L$45*(pair!$F$45/pair!$G$45)*(pair!$I$45*(pair!$G$45/(pair!$K$45*(A23+1)))^(pair!$I$45+1)-pair!$H$45*(pair!$G$45/(pair!$K$45*(A23+1)))^(pair!$H$45+1))</f>
        <v>-0.12953673491745815</v>
      </c>
    </row>
    <row r="24" spans="1:13" x14ac:dyDescent="0.3">
      <c r="A24" s="1">
        <f t="shared" si="0"/>
        <v>-8.9999999999999858E-2</v>
      </c>
      <c r="B24" s="1">
        <f>bonded!$E$2*bonded!$F$2*A24</f>
        <v>-13.499999999999979</v>
      </c>
      <c r="C24" s="1">
        <f>bonded!$E$3*bonded!$F$3*A24</f>
        <v>-6.7499999999999893</v>
      </c>
      <c r="D24" s="1">
        <f>bonded!$E$4*bonded!$F$4*A24</f>
        <v>-8.0999999999999872</v>
      </c>
      <c r="E24" s="1">
        <f>(bonded!$E$7*((bonded!$K$7*(A24+1))/(1-((bonded!$K$7*(A24+1))/bonded!$F$7)^2)))+24*(bonded!$G$7/bonded!$H$7)*((bonded!$H$7/(bonded!$K$7*(A24+1)))^7-2*(bonded!$H$7/(bonded!$K$7*(A24+1)))^13)</f>
        <v>-5.3434250272250488</v>
      </c>
      <c r="F24" s="1">
        <f>2*bonded!$F$10*bonded!$E$10*(EXP(-bonded!$F$10*bonded!$G$10*A24)-EXP(-2*bonded!$F$10*bonded!$G$10*A24))</f>
        <v>-0.72456382563734711</v>
      </c>
      <c r="G24" s="1">
        <f>2*bonded!$F$11*bonded!$E$11*(EXP(-bonded!$F$11*bonded!$G$11*A24)-EXP(-2*bonded!$F$11*bonded!$G$11*A24))</f>
        <v>-0.26724614188651874</v>
      </c>
      <c r="H24" s="1">
        <f>2*bonded!$F$12*bonded!$E$12*(EXP(-bonded!$F$12*bonded!$G$12*A24)-EXP(-2*bonded!$F$12*bonded!$G$12*A24))</f>
        <v>-0.14566681777308416</v>
      </c>
      <c r="I24" s="1">
        <f>2*bonded!$F$13*bonded!$E$13*(EXP(-bonded!$F$13*bonded!$G$13*A24)-EXP(-2*bonded!$F$13*bonded!$G$13*A24))</f>
        <v>-0.61334237963781413</v>
      </c>
      <c r="J24" s="1">
        <f>pair!$L$42*(pair!$F$42/pair!$G$42)*(pair!$I$42*(pair!$G$42/(pair!$K$42*(A24+1)))^(pair!$I$42+1)-pair!$H$42*(pair!$G$42/(pair!$K$42*(A24+1)))^(pair!$H$42+1))</f>
        <v>-0.18984499243962363</v>
      </c>
      <c r="K24" s="1">
        <f>pair!$L$43*(pair!$F$43/pair!$G$43)*(pair!$I$43*(pair!$G$43/(pair!$K$43*(A24+1)))^(pair!$I$43+1)-pair!$H$43*(pair!$G$43/(pair!$K$43*(A24+1)))^(pair!$H$43+1))</f>
        <v>-3.7968998487924725E-2</v>
      </c>
      <c r="L24" s="1">
        <f>pair!$L$44*(pair!$F$44/pair!$G$44)*(pair!$I$44*(pair!$G$44/(pair!$K$44*(A24+1)))^(pair!$I$44+1)-pair!$H$44*(pair!$G$44/(pair!$K$44*(A24+1)))^(pair!$H$44+1))</f>
        <v>-2.2037326294779623E-3</v>
      </c>
      <c r="M24" s="1">
        <f>pair!$L$45*(pair!$F$45/pair!$G$45)*(pair!$I$45*(pair!$G$45/(pair!$K$45*(A24+1)))^(pair!$I$45+1)-pair!$H$45*(pair!$G$45/(pair!$K$45*(A24+1)))^(pair!$H$45+1))</f>
        <v>-0.10546944024423531</v>
      </c>
    </row>
    <row r="25" spans="1:13" x14ac:dyDescent="0.3">
      <c r="A25" s="1">
        <f t="shared" si="0"/>
        <v>-7.9999999999999863E-2</v>
      </c>
      <c r="B25" s="1">
        <f>bonded!$E$2*bonded!$F$2*A25</f>
        <v>-11.999999999999979</v>
      </c>
      <c r="C25" s="1">
        <f>bonded!$E$3*bonded!$F$3*A25</f>
        <v>-5.9999999999999893</v>
      </c>
      <c r="D25" s="1">
        <f>bonded!$E$4*bonded!$F$4*A25</f>
        <v>-7.1999999999999877</v>
      </c>
      <c r="E25" s="1">
        <f>(bonded!$E$7*((bonded!$K$7*(A25+1))/(1-((bonded!$K$7*(A25+1))/bonded!$F$7)^2)))+24*(bonded!$G$7/bonded!$H$7)*((bonded!$H$7/(bonded!$K$7*(A25+1)))^7-2*(bonded!$H$7/(bonded!$K$7*(A25+1)))^13)</f>
        <v>-4.3308462213234868</v>
      </c>
      <c r="F25" s="1">
        <f>2*bonded!$F$10*bonded!$E$10*(EXP(-bonded!$F$10*bonded!$G$10*A25)-EXP(-2*bonded!$F$10*bonded!$G$10*A25))</f>
        <v>-0.60780103955525266</v>
      </c>
      <c r="G25" s="1">
        <f>2*bonded!$F$11*bonded!$E$11*(EXP(-bonded!$F$11*bonded!$G$11*A25)-EXP(-2*bonded!$F$11*bonded!$G$11*A25))</f>
        <v>-0.22459951093888864</v>
      </c>
      <c r="H25" s="1">
        <f>2*bonded!$F$12*bonded!$E$12*(EXP(-bonded!$F$12*bonded!$G$12*A25)-EXP(-2*bonded!$F$12*bonded!$G$12*A25))</f>
        <v>-0.12268521132012766</v>
      </c>
      <c r="I25" s="1">
        <f>2*bonded!$F$13*bonded!$E$13*(EXP(-bonded!$F$13*bonded!$G$13*A25)-EXP(-2*bonded!$F$13*bonded!$G$13*A25))</f>
        <v>-0.51431385459630319</v>
      </c>
      <c r="J25" s="1">
        <f>pair!$L$42*(pair!$F$42/pair!$G$42)*(pair!$I$42*(pair!$G$42/(pair!$K$42*(A25+1)))^(pair!$I$42+1)-pair!$H$42*(pair!$G$42/(pair!$K$42*(A25+1)))^(pair!$H$42+1))</f>
        <v>-0.15284384139229212</v>
      </c>
      <c r="K25" s="1">
        <f>pair!$L$43*(pair!$F$43/pair!$G$43)*(pair!$I$43*(pair!$G$43/(pair!$K$43*(A25+1)))^(pair!$I$43+1)-pair!$H$43*(pair!$G$43/(pair!$K$43*(A25+1)))^(pair!$H$43+1))</f>
        <v>-3.0568768278458357E-2</v>
      </c>
      <c r="L25" s="1">
        <f>pair!$L$44*(pair!$F$44/pair!$G$44)*(pair!$I$44*(pair!$G$44/(pair!$K$44*(A25+1)))^(pair!$I$44+1)-pair!$H$44*(pair!$G$44/(pair!$K$44*(A25+1)))^(pair!$H$44+1))</f>
        <v>-1.8644127573685819E-3</v>
      </c>
      <c r="M25" s="1">
        <f>pair!$L$45*(pair!$F$45/pair!$G$45)*(pair!$I$45*(pair!$G$45/(pair!$K$45*(A25+1)))^(pair!$I$45+1)-pair!$H$45*(pair!$G$45/(pair!$K$45*(A25+1)))^(pair!$H$45+1))</f>
        <v>-8.4913245217940234E-2</v>
      </c>
    </row>
    <row r="26" spans="1:13" x14ac:dyDescent="0.3">
      <c r="A26" s="1">
        <f t="shared" si="0"/>
        <v>-6.9999999999999868E-2</v>
      </c>
      <c r="B26" s="1">
        <f>bonded!$E$2*bonded!$F$2*A26</f>
        <v>-10.49999999999998</v>
      </c>
      <c r="C26" s="1">
        <f>bonded!$E$3*bonded!$F$3*A26</f>
        <v>-5.2499999999999902</v>
      </c>
      <c r="D26" s="1">
        <f>bonded!$E$4*bonded!$F$4*A26</f>
        <v>-6.2999999999999883</v>
      </c>
      <c r="E26" s="1">
        <f>(bonded!$E$7*((bonded!$K$7*(A26+1))/(1-((bonded!$K$7*(A26+1))/bonded!$F$7)^2)))+24*(bonded!$G$7/bonded!$H$7)*((bonded!$H$7/(bonded!$K$7*(A26+1)))^7-2*(bonded!$H$7/(bonded!$K$7*(A26+1)))^13)</f>
        <v>-3.4653163866363146</v>
      </c>
      <c r="F26" s="1">
        <f>2*bonded!$F$10*bonded!$E$10*(EXP(-bonded!$F$10*bonded!$G$10*A26)-EXP(-2*bonded!$F$10*bonded!$G$10*A26))</f>
        <v>-0.50194794462963344</v>
      </c>
      <c r="G26" s="1">
        <f>2*bonded!$F$11*bonded!$E$11*(EXP(-bonded!$F$11*bonded!$G$11*A26)-EXP(-2*bonded!$F$11*bonded!$G$11*A26))</f>
        <v>-0.18582981349456987</v>
      </c>
      <c r="H26" s="1">
        <f>2*bonded!$F$12*bonded!$E$12*(EXP(-bonded!$F$12*bonded!$G$12*A26)-EXP(-2*bonded!$F$12*bonded!$G$12*A26))</f>
        <v>-0.10172540590970268</v>
      </c>
      <c r="I26" s="1">
        <f>2*bonded!$F$13*bonded!$E$13*(EXP(-bonded!$F$13*bonded!$G$13*A26)-EXP(-2*bonded!$F$13*bonded!$G$13*A26))</f>
        <v>-0.42458687948114926</v>
      </c>
      <c r="J26" s="1">
        <f>pair!$L$42*(pair!$F$42/pair!$G$42)*(pair!$I$42*(pair!$G$42/(pair!$K$42*(A26+1)))^(pair!$I$42+1)-pair!$H$42*(pair!$G$42/(pair!$K$42*(A26+1)))^(pair!$H$42+1))</f>
        <v>-0.12127075541680228</v>
      </c>
      <c r="K26" s="1">
        <f>pair!$L$43*(pair!$F$43/pair!$G$43)*(pair!$I$43*(pair!$G$43/(pair!$K$43*(A26+1)))^(pair!$I$43+1)-pair!$H$43*(pair!$G$43/(pair!$K$43*(A26+1)))^(pair!$H$43+1))</f>
        <v>-2.42541510833604E-2</v>
      </c>
      <c r="L26" s="1">
        <f>pair!$L$44*(pair!$F$44/pair!$G$44)*(pair!$I$44*(pair!$G$44/(pair!$K$44*(A26+1)))^(pair!$I$44+1)-pair!$H$44*(pair!$G$44/(pair!$K$44*(A26+1)))^(pair!$H$44+1))</f>
        <v>-1.5535691664466007E-3</v>
      </c>
      <c r="M26" s="1">
        <f>pair!$L$45*(pair!$F$45/pair!$G$45)*(pair!$I$45*(pair!$G$45/(pair!$K$45*(A26+1)))^(pair!$I$45+1)-pair!$H$45*(pair!$G$45/(pair!$K$45*(A26+1)))^(pair!$H$45+1))</f>
        <v>-6.7372641898223465E-2</v>
      </c>
    </row>
    <row r="27" spans="1:13" x14ac:dyDescent="0.3">
      <c r="A27" s="1">
        <f t="shared" si="0"/>
        <v>-5.9999999999999866E-2</v>
      </c>
      <c r="B27" s="1">
        <f>bonded!$E$2*bonded!$F$2*A27</f>
        <v>-8.9999999999999805</v>
      </c>
      <c r="C27" s="1">
        <f>bonded!$E$3*bonded!$F$3*A27</f>
        <v>-4.4999999999999902</v>
      </c>
      <c r="D27" s="1">
        <f>bonded!$E$4*bonded!$F$4*A27</f>
        <v>-5.3999999999999879</v>
      </c>
      <c r="E27" s="1">
        <f>(bonded!$E$7*((bonded!$K$7*(A27+1))/(1-((bonded!$K$7*(A27+1))/bonded!$F$7)^2)))+24*(bonded!$G$7/bonded!$H$7)*((bonded!$H$7/(bonded!$K$7*(A27+1)))^7-2*(bonded!$H$7/(bonded!$K$7*(A27+1)))^13)</f>
        <v>-2.7240089433136472</v>
      </c>
      <c r="F27" s="1">
        <f>2*bonded!$F$10*bonded!$E$10*(EXP(-bonded!$F$10*bonded!$G$10*A27)-EXP(-2*bonded!$F$10*bonded!$G$10*A27))</f>
        <v>-0.40611872179949238</v>
      </c>
      <c r="G27" s="1">
        <f>2*bonded!$F$11*bonded!$E$11*(EXP(-bonded!$F$11*bonded!$G$11*A27)-EXP(-2*bonded!$F$11*bonded!$G$11*A27))</f>
        <v>-0.15063150995165631</v>
      </c>
      <c r="H27" s="1">
        <f>2*bonded!$F$12*bonded!$E$12*(EXP(-bonded!$F$12*bonded!$G$12*A27)-EXP(-2*bonded!$F$12*bonded!$G$12*A27))</f>
        <v>-8.2633644098037334E-2</v>
      </c>
      <c r="I27" s="1">
        <f>2*bonded!$F$13*bonded!$E$13*(EXP(-bonded!$F$13*bonded!$G$13*A27)-EXP(-2*bonded!$F$13*bonded!$G$13*A27))</f>
        <v>-0.34340186629349234</v>
      </c>
      <c r="J27" s="1">
        <f>pair!$L$42*(pair!$F$42/pair!$G$42)*(pair!$I$42*(pair!$G$42/(pair!$K$42*(A27+1)))^(pair!$I$42+1)-pair!$H$42*(pair!$G$42/(pair!$K$42*(A27+1)))^(pair!$H$42+1))</f>
        <v>-9.4362001120980171E-2</v>
      </c>
      <c r="K27" s="1">
        <f>pair!$L$43*(pair!$F$43/pair!$G$43)*(pair!$I$43*(pair!$G$43/(pair!$K$43*(A27+1)))^(pair!$I$43+1)-pair!$H$43*(pair!$G$43/(pair!$K$43*(A27+1)))^(pair!$H$43+1))</f>
        <v>-1.8872400224196034E-2</v>
      </c>
      <c r="L27" s="1">
        <f>pair!$L$44*(pair!$F$44/pair!$G$44)*(pair!$I$44*(pair!$G$44/(pair!$K$44*(A27+1)))^(pair!$I$44+1)-pair!$H$44*(pair!$G$44/(pair!$K$44*(A27+1)))^(pair!$H$44+1))</f>
        <v>-1.2688307620317986E-3</v>
      </c>
      <c r="M27" s="1">
        <f>pair!$L$45*(pair!$F$45/pair!$G$45)*(pair!$I$45*(pair!$G$45/(pair!$K$45*(A27+1)))^(pair!$I$45+1)-pair!$H$45*(pair!$G$45/(pair!$K$45*(A27+1)))^(pair!$H$45+1))</f>
        <v>-5.2423333956100077E-2</v>
      </c>
    </row>
    <row r="28" spans="1:13" x14ac:dyDescent="0.3">
      <c r="A28" s="1">
        <f t="shared" si="0"/>
        <v>-4.9999999999999864E-2</v>
      </c>
      <c r="B28" s="1">
        <f>bonded!$E$2*bonded!$F$2*A28</f>
        <v>-7.4999999999999796</v>
      </c>
      <c r="C28" s="1">
        <f>bonded!$E$3*bonded!$F$3*A28</f>
        <v>-3.7499999999999898</v>
      </c>
      <c r="D28" s="1">
        <f>bonded!$E$4*bonded!$F$4*A28</f>
        <v>-4.4999999999999876</v>
      </c>
      <c r="E28" s="1">
        <f>(bonded!$E$7*((bonded!$K$7*(A28+1))/(1-((bonded!$K$7*(A28+1))/bonded!$F$7)^2)))+24*(bonded!$G$7/bonded!$H$7)*((bonded!$H$7/(bonded!$K$7*(A28+1)))^7-2*(bonded!$H$7/(bonded!$K$7*(A28+1)))^13)</f>
        <v>-2.0877635590952881</v>
      </c>
      <c r="F28" s="1">
        <f>2*bonded!$F$10*bonded!$E$10*(EXP(-bonded!$F$10*bonded!$G$10*A28)-EXP(-2*bonded!$F$10*bonded!$G$10*A28))</f>
        <v>-0.319495587478759</v>
      </c>
      <c r="G28" s="1">
        <f>2*bonded!$F$11*bonded!$E$11*(EXP(-bonded!$F$11*bonded!$G$11*A28)-EXP(-2*bonded!$F$11*bonded!$G$11*A28))</f>
        <v>-0.11872182137801103</v>
      </c>
      <c r="H28" s="1">
        <f>2*bonded!$F$12*bonded!$E$12*(EXP(-bonded!$F$12*bonded!$G$12*A28)-EXP(-2*bonded!$F$12*bonded!$G$12*A28))</f>
        <v>-6.526721173450438E-2</v>
      </c>
      <c r="I28" s="1">
        <f>2*bonded!$F$13*bonded!$E$13*(EXP(-bonded!$F$13*bonded!$G$13*A28)-EXP(-2*bonded!$F$13*bonded!$G$13*A28))</f>
        <v>-0.27005791118597627</v>
      </c>
      <c r="J28" s="1">
        <f>pair!$L$42*(pair!$F$42/pair!$G$42)*(pair!$I$42*(pair!$G$42/(pair!$K$42*(A28+1)))^(pair!$I$42+1)-pair!$H$42*(pair!$G$42/(pair!$K$42*(A28+1)))^(pair!$H$42+1))</f>
        <v>-7.1462936718798969E-2</v>
      </c>
      <c r="K28" s="1">
        <f>pair!$L$43*(pair!$F$43/pair!$G$43)*(pair!$I$43*(pair!$G$43/(pair!$K$43*(A28+1)))^(pair!$I$43+1)-pair!$H$43*(pair!$G$43/(pair!$K$43*(A28+1)))^(pair!$H$43+1))</f>
        <v>-1.4292587343759794E-2</v>
      </c>
      <c r="L28" s="1">
        <f>pair!$L$44*(pair!$F$44/pair!$G$44)*(pair!$I$44*(pair!$G$44/(pair!$K$44*(A28+1)))^(pair!$I$44+1)-pair!$H$44*(pair!$G$44/(pair!$K$44*(A28+1)))^(pair!$H$44+1))</f>
        <v>-1.0080372392218498E-3</v>
      </c>
      <c r="M28" s="1">
        <f>pair!$L$45*(pair!$F$45/pair!$G$45)*(pair!$I$45*(pair!$G$45/(pair!$K$45*(A28+1)))^(pair!$I$45+1)-pair!$H$45*(pair!$G$45/(pair!$K$45*(A28+1)))^(pair!$H$45+1))</f>
        <v>-3.9701631510443862E-2</v>
      </c>
    </row>
    <row r="29" spans="1:13" x14ac:dyDescent="0.3">
      <c r="A29" s="1">
        <f t="shared" si="0"/>
        <v>-3.9999999999999862E-2</v>
      </c>
      <c r="B29" s="1">
        <f>bonded!$E$2*bonded!$F$2*A29</f>
        <v>-5.9999999999999796</v>
      </c>
      <c r="C29" s="1">
        <f>bonded!$E$3*bonded!$F$3*A29</f>
        <v>-2.9999999999999898</v>
      </c>
      <c r="D29" s="1">
        <f>bonded!$E$4*bonded!$F$4*A29</f>
        <v>-3.5999999999999877</v>
      </c>
      <c r="E29" s="1">
        <f>(bonded!$E$7*((bonded!$K$7*(A29+1))/(1-((bonded!$K$7*(A29+1))/bonded!$F$7)^2)))+24*(bonded!$G$7/bonded!$H$7)*((bonded!$H$7/(bonded!$K$7*(A29+1)))^7-2*(bonded!$H$7/(bonded!$K$7*(A29+1)))^13)</f>
        <v>-1.5404696107422451</v>
      </c>
      <c r="F29" s="1">
        <f>2*bonded!$F$10*bonded!$E$10*(EXP(-bonded!$F$10*bonded!$G$10*A29)-EXP(-2*bonded!$F$10*bonded!$G$10*A29))</f>
        <v>-0.2413236984346428</v>
      </c>
      <c r="G29" s="1">
        <f>2*bonded!$F$11*bonded!$E$11*(EXP(-bonded!$F$11*bonded!$G$11*A29)-EXP(-2*bonded!$F$11*bonded!$G$11*A29))</f>
        <v>-8.9839076763253436E-2</v>
      </c>
      <c r="H29" s="1">
        <f>2*bonded!$F$12*bonded!$E$12*(EXP(-bonded!$F$12*bonded!$G$12*A29)-EXP(-2*bonded!$F$12*bonded!$G$12*A29))</f>
        <v>-4.949366506789861E-2</v>
      </c>
      <c r="I29" s="1">
        <f>2*bonded!$F$13*bonded!$E$13*(EXP(-bonded!$F$13*bonded!$G$13*A29)-EXP(-2*bonded!$F$13*bonded!$G$13*A29))</f>
        <v>-0.20390837350273264</v>
      </c>
      <c r="J29" s="1">
        <f>pair!$L$42*(pair!$F$42/pair!$G$42)*(pair!$I$42*(pair!$G$42/(pair!$K$42*(A29+1)))^(pair!$I$42+1)-pair!$H$42*(pair!$G$42/(pair!$K$42*(A29+1)))^(pair!$H$42+1))</f>
        <v>-5.2011887094607009E-2</v>
      </c>
      <c r="K29" s="1">
        <f>pair!$L$43*(pair!$F$43/pair!$G$43)*(pair!$I$43*(pair!$G$43/(pair!$K$43*(A29+1)))^(pair!$I$43+1)-pair!$H$43*(pair!$G$43/(pair!$K$43*(A29+1)))^(pair!$H$43+1))</f>
        <v>-1.0402377418921275E-2</v>
      </c>
      <c r="L29" s="1">
        <f>pair!$L$44*(pair!$F$44/pair!$G$44)*(pair!$I$44*(pair!$G$44/(pair!$K$44*(A29+1)))^(pair!$I$44+1)-pair!$H$44*(pair!$G$44/(pair!$K$44*(A29+1)))^(pair!$H$44+1))</f>
        <v>-7.6921879018775313E-4</v>
      </c>
      <c r="M29" s="1">
        <f>pair!$L$45*(pair!$F$45/pair!$G$45)*(pair!$I$45*(pair!$G$45/(pair!$K$45*(A29+1)))^(pair!$I$45+1)-pair!$H$45*(pair!$G$45/(pair!$K$45*(A29+1)))^(pair!$H$45+1))</f>
        <v>-2.8895492830337311E-2</v>
      </c>
    </row>
    <row r="30" spans="1:13" x14ac:dyDescent="0.3">
      <c r="A30" s="1">
        <f t="shared" si="0"/>
        <v>-2.999999999999986E-2</v>
      </c>
      <c r="B30" s="1">
        <f>bonded!$E$2*bonded!$F$2*A30</f>
        <v>-4.4999999999999787</v>
      </c>
      <c r="C30" s="1">
        <f>bonded!$E$3*bonded!$F$3*A30</f>
        <v>-2.2499999999999893</v>
      </c>
      <c r="D30" s="1">
        <f>bonded!$E$4*bonded!$F$4*A30</f>
        <v>-2.6999999999999873</v>
      </c>
      <c r="E30" s="1">
        <f>(bonded!$E$7*((bonded!$K$7*(A30+1))/(1-((bonded!$K$7*(A30+1))/bonded!$F$7)^2)))+24*(bonded!$G$7/bonded!$H$7)*((bonded!$H$7/(bonded!$K$7*(A30+1)))^7-2*(bonded!$H$7/(bonded!$K$7*(A30+1)))^13)</f>
        <v>-1.0685578376197218</v>
      </c>
      <c r="F30" s="1">
        <f>2*bonded!$F$10*bonded!$E$10*(EXP(-bonded!$F$10*bonded!$G$10*A30)-EXP(-2*bonded!$F$10*bonded!$G$10*A30))</f>
        <v>-0.17090643361665264</v>
      </c>
      <c r="G30" s="1">
        <f>2*bonded!$F$11*bonded!$E$11*(EXP(-bonded!$F$11*bonded!$G$11*A30)-EXP(-2*bonded!$F$11*bonded!$G$11*A30))</f>
        <v>-6.3741178816230357E-2</v>
      </c>
      <c r="H30" s="1">
        <f>2*bonded!$F$12*bonded!$E$12*(EXP(-bonded!$F$12*bonded!$G$12*A30)-EXP(-2*bonded!$F$12*bonded!$G$12*A30))</f>
        <v>-3.5190111276521677E-2</v>
      </c>
      <c r="I30" s="1">
        <f>2*bonded!$F$13*bonded!$E$13*(EXP(-bonded!$F$13*bonded!$G$13*A30)-EXP(-2*bonded!$F$13*bonded!$G$13*A30))</f>
        <v>-0.1443567838480016</v>
      </c>
      <c r="J30" s="1">
        <f>pair!$L$42*(pair!$F$42/pair!$G$42)*(pair!$I$42*(pair!$G$42/(pair!$K$42*(A30+1)))^(pair!$I$42+1)-pair!$H$42*(pair!$G$42/(pair!$K$42*(A30+1)))^(pair!$H$42+1))</f>
        <v>-3.55265023810818E-2</v>
      </c>
      <c r="K30" s="1">
        <f>pair!$L$43*(pair!$F$43/pair!$G$43)*(pair!$I$43*(pair!$G$43/(pair!$K$43*(A30+1)))^(pair!$I$43+1)-pair!$H$43*(pair!$G$43/(pair!$K$43*(A30+1)))^(pair!$H$43+1))</f>
        <v>-7.1053004762163261E-3</v>
      </c>
      <c r="L30" s="1">
        <f>pair!$L$44*(pair!$F$44/pair!$G$44)*(pair!$I$44*(pair!$G$44/(pair!$K$44*(A30+1)))^(pair!$I$44+1)-pair!$H$44*(pair!$G$44/(pair!$K$44*(A30+1)))^(pair!$H$44+1))</f>
        <v>-5.5057792733272733E-4</v>
      </c>
      <c r="M30" s="1">
        <f>pair!$L$45*(pair!$F$45/pair!$G$45)*(pair!$I$45*(pair!$G$45/(pair!$K$45*(A30+1)))^(pair!$I$45+1)-pair!$H$45*(pair!$G$45/(pair!$K$45*(A30+1)))^(pair!$H$45+1))</f>
        <v>-1.9736945767267661E-2</v>
      </c>
    </row>
    <row r="31" spans="1:13" x14ac:dyDescent="0.3">
      <c r="A31" s="1">
        <f t="shared" si="0"/>
        <v>-1.9999999999999858E-2</v>
      </c>
      <c r="B31" s="1">
        <f>bonded!$E$2*bonded!$F$2*A31</f>
        <v>-2.9999999999999787</v>
      </c>
      <c r="C31" s="1">
        <f>bonded!$E$3*bonded!$F$3*A31</f>
        <v>-1.4999999999999893</v>
      </c>
      <c r="D31" s="1">
        <f>bonded!$E$4*bonded!$F$4*A31</f>
        <v>-1.7999999999999872</v>
      </c>
      <c r="E31" s="1">
        <f>(bonded!$E$7*((bonded!$K$7*(A31+1))/(1-((bonded!$K$7*(A31+1))/bonded!$F$7)^2)))+24*(bonded!$G$7/bonded!$H$7)*((bonded!$H$7/(bonded!$K$7*(A31+1)))^7-2*(bonded!$H$7/(bonded!$K$7*(A31+1)))^13)</f>
        <v>-0.66058037774947898</v>
      </c>
      <c r="F31" s="1">
        <f>2*bonded!$F$10*bonded!$E$10*(EXP(-bonded!$F$10*bonded!$G$10*A31)-EXP(-2*bonded!$F$10*bonded!$G$10*A31))</f>
        <v>-0.1076010252163134</v>
      </c>
      <c r="G31" s="1">
        <f>2*bonded!$F$11*bonded!$E$11*(EXP(-bonded!$F$11*bonded!$G$11*A31)-EXP(-2*bonded!$F$11*bonded!$G$11*A31))</f>
        <v>-4.0204179856804384E-2</v>
      </c>
      <c r="H31" s="1">
        <f>2*bonded!$F$12*bonded!$E$12*(EXP(-bonded!$F$12*bonded!$G$12*A31)-EXP(-2*bonded!$F$12*bonded!$G$12*A31))</f>
        <v>-2.2242538751999295E-2</v>
      </c>
      <c r="I31" s="1">
        <f>2*bonded!$F$13*bonded!$E$13*(EXP(-bonded!$F$13*bonded!$G$13*A31)-EXP(-2*bonded!$F$13*bonded!$G$13*A31))</f>
        <v>-9.0853056842652283E-2</v>
      </c>
      <c r="J31" s="1">
        <f>pair!$L$42*(pair!$F$42/pair!$G$42)*(pair!$I$42*(pair!$G$42/(pair!$K$42*(A31+1)))^(pair!$I$42+1)-pair!$H$42*(pair!$G$42/(pair!$K$42*(A31+1)))^(pair!$H$42+1))</f>
        <v>-2.1592200659821915E-2</v>
      </c>
      <c r="K31" s="1">
        <f>pair!$L$43*(pair!$F$43/pair!$G$43)*(pair!$I$43*(pair!$G$43/(pair!$K$43*(A31+1)))^(pair!$I$43+1)-pair!$H$43*(pair!$G$43/(pair!$K$43*(A31+1)))^(pair!$H$43+1))</f>
        <v>-4.3184401319643828E-3</v>
      </c>
      <c r="L31" s="1">
        <f>pair!$L$44*(pair!$F$44/pair!$G$44)*(pair!$I$44*(pair!$G$44/(pair!$K$44*(A31+1)))^(pair!$I$44+1)-pair!$H$44*(pair!$G$44/(pair!$K$44*(A31+1)))^(pair!$H$44+1))</f>
        <v>-3.5047318428949986E-4</v>
      </c>
      <c r="M31" s="1">
        <f>pair!$L$45*(pair!$F$45/pair!$G$45)*(pair!$I$45*(pair!$G$45/(pair!$K$45*(A31+1)))^(pair!$I$45+1)-pair!$H$45*(pair!$G$45/(pair!$K$45*(A31+1)))^(pair!$H$45+1))</f>
        <v>-1.1995667033234521E-2</v>
      </c>
    </row>
    <row r="32" spans="1:13" x14ac:dyDescent="0.3">
      <c r="A32" s="1">
        <f t="shared" si="0"/>
        <v>-9.999999999999858E-3</v>
      </c>
      <c r="B32" s="1">
        <f>bonded!$E$2*bonded!$F$2*A32</f>
        <v>-1.4999999999999787</v>
      </c>
      <c r="C32" s="1">
        <f>bonded!$E$3*bonded!$F$3*A32</f>
        <v>-0.74999999999998934</v>
      </c>
      <c r="D32" s="1">
        <f>bonded!$E$4*bonded!$F$4*A32</f>
        <v>-0.89999999999998725</v>
      </c>
      <c r="E32" s="1">
        <f>(bonded!$E$7*((bonded!$K$7*(A32+1))/(1-((bonded!$K$7*(A32+1))/bonded!$F$7)^2)))+24*(bonded!$G$7/bonded!$H$7)*((bonded!$H$7/(bonded!$K$7*(A32+1)))^7-2*(bonded!$H$7/(bonded!$K$7*(A32+1)))^13)</f>
        <v>-0.30686315197941738</v>
      </c>
      <c r="F32" s="1">
        <f>2*bonded!$F$10*bonded!$E$10*(EXP(-bonded!$F$10*bonded!$G$10*A32)-EXP(-2*bonded!$F$10*bonded!$G$10*A32))</f>
        <v>-5.0814513269898075E-2</v>
      </c>
      <c r="G32" s="1">
        <f>2*bonded!$F$11*bonded!$E$11*(EXP(-bonded!$F$11*bonded!$G$11*A32)-EXP(-2*bonded!$F$11*bonded!$G$11*A32))</f>
        <v>-1.902095995142692E-2</v>
      </c>
      <c r="H32" s="1">
        <f>2*bonded!$F$12*bonded!$E$12*(EXP(-bonded!$F$12*bonded!$G$12*A32)-EXP(-2*bonded!$F$12*bonded!$G$12*A32))</f>
        <v>-1.0545193718101717E-2</v>
      </c>
      <c r="I32" s="1">
        <f>2*bonded!$F$13*bonded!$E$13*(EXP(-bonded!$F$13*bonded!$G$13*A32)-EXP(-2*bonded!$F$13*bonded!$G$13*A32))</f>
        <v>-4.2889986023082173E-2</v>
      </c>
      <c r="J32" s="1">
        <f>pair!$L$42*(pair!$F$42/pair!$G$42)*(pair!$I$42*(pair!$G$42/(pair!$K$42*(A32+1)))^(pair!$I$42+1)-pair!$H$42*(pair!$G$42/(pair!$K$42*(A32+1)))^(pair!$H$42+1))</f>
        <v>-9.8523624541243127E-3</v>
      </c>
      <c r="K32" s="1">
        <f>pair!$L$43*(pair!$F$43/pair!$G$43)*(pair!$I$43*(pair!$G$43/(pair!$K$43*(A32+1)))^(pair!$I$43+1)-pair!$H$43*(pair!$G$43/(pair!$K$43*(A32+1)))^(pair!$H$43+1))</f>
        <v>-1.9704724908248968E-3</v>
      </c>
      <c r="L32" s="1">
        <f>pair!$L$44*(pair!$F$44/pair!$G$44)*(pair!$I$44*(pair!$G$44/(pair!$K$44*(A32+1)))^(pair!$I$44+1)-pair!$H$44*(pair!$G$44/(pair!$K$44*(A32+1)))^(pair!$H$44+1))</f>
        <v>-1.6740448547988347E-4</v>
      </c>
      <c r="M32" s="1">
        <f>pair!$L$45*(pair!$F$45/pair!$G$45)*(pair!$I$45*(pair!$G$45/(pair!$K$45*(A32+1)))^(pair!$I$45+1)-pair!$H$45*(pair!$G$45/(pair!$K$45*(A32+1)))^(pair!$H$45+1))</f>
        <v>-5.4735346967358231E-3</v>
      </c>
    </row>
    <row r="33" spans="1:13" x14ac:dyDescent="0.3">
      <c r="A33" s="1">
        <v>0</v>
      </c>
      <c r="B33" s="1">
        <f>bonded!$E$2*bonded!$F$2*A33</f>
        <v>0</v>
      </c>
      <c r="C33" s="1">
        <f>bonded!$E$3*bonded!$F$3*A33</f>
        <v>0</v>
      </c>
      <c r="D33" s="1">
        <f>bonded!$E$4*bonded!$F$4*A33</f>
        <v>0</v>
      </c>
      <c r="E33" s="1">
        <f>(bonded!$E$7*((bonded!$K$7*(A33+1))/(1-((bonded!$K$7*(A33+1))/bonded!$F$7)^2)))+24*(bonded!$G$7/bonded!$H$7)*((bonded!$H$7/(bonded!$K$7*(A33+1)))^7-2*(bonded!$H$7/(bonded!$K$7*(A33+1)))^13)</f>
        <v>7.8241050177951799E-4</v>
      </c>
      <c r="F33" s="1">
        <f>2*bonded!$F$10*bonded!$E$10*(EXP(-bonded!$F$10*bonded!$G$10*A33)-EXP(-2*bonded!$F$10*bonded!$G$10*A33))</f>
        <v>0</v>
      </c>
      <c r="G33" s="1">
        <f>2*bonded!$F$11*bonded!$E$11*(EXP(-bonded!$F$11*bonded!$G$11*A33)-EXP(-2*bonded!$F$11*bonded!$G$11*A33))</f>
        <v>0</v>
      </c>
      <c r="H33" s="1">
        <f>2*bonded!$F$12*bonded!$E$12*(EXP(-bonded!$F$12*bonded!$G$12*A33)-EXP(-2*bonded!$F$12*bonded!$G$12*A33))</f>
        <v>0</v>
      </c>
      <c r="I33" s="1">
        <f>2*bonded!$F$13*bonded!$E$13*(EXP(-bonded!$F$13*bonded!$G$13*A33)-EXP(-2*bonded!$F$13*bonded!$G$13*A33))</f>
        <v>0</v>
      </c>
      <c r="J33" s="1">
        <f>pair!$L$42*(pair!$F$42/pair!$G$42)*(pair!$I$42*(pair!$G$42/(pair!$K$42*(A33+1)))^(pair!$I$42+1)-pair!$H$42*(pair!$G$42/(pair!$K$42*(A33+1)))^(pair!$H$42+1))</f>
        <v>5.718996489145749E-17</v>
      </c>
      <c r="K33" s="1">
        <f>pair!$L$43*(pair!$F$43/pair!$G$43)*(pair!$I$43*(pair!$G$43/(pair!$K$43*(A33+1)))^(pair!$I$43+1)-pair!$H$43*(pair!$G$43/(pair!$K$43*(A33+1)))^(pair!$H$43+1))</f>
        <v>1.1437992978291498E-17</v>
      </c>
      <c r="L33" s="1">
        <f>pair!$L$44*(pair!$F$44/pair!$G$44)*(pair!$I$44*(pair!$G$44/(pair!$K$44*(A33+1)))^(pair!$I$44+1)-pair!$H$44*(pair!$G$44/(pair!$K$44*(A33+1)))^(pair!$H$44+1))</f>
        <v>2.5121479338940404E-18</v>
      </c>
      <c r="M33" s="1">
        <f>pair!$L$45*(pair!$F$45/pair!$G$45)*(pair!$I$45*(pair!$G$45/(pair!$K$45*(A33+1)))^(pair!$I$45+1)-pair!$H$45*(pair!$G$45/(pair!$K$45*(A33+1)))^(pair!$H$45+1))</f>
        <v>-6.3544405434952747E-17</v>
      </c>
    </row>
    <row r="34" spans="1:13" x14ac:dyDescent="0.3">
      <c r="A34" s="1">
        <f t="shared" si="0"/>
        <v>0.01</v>
      </c>
      <c r="B34" s="1">
        <f>bonded!$E$2*bonded!$F$2*A34</f>
        <v>1.5</v>
      </c>
      <c r="C34" s="1">
        <f>bonded!$E$3*bonded!$F$3*A34</f>
        <v>0.75</v>
      </c>
      <c r="D34" s="1">
        <f>bonded!$E$4*bonded!$F$4*A34</f>
        <v>0.9</v>
      </c>
      <c r="E34" s="1">
        <f>(bonded!$E$7*((bonded!$K$7*(A34+1))/(1-((bonded!$K$7*(A34+1))/bonded!$F$7)^2)))+24*(bonded!$G$7/bonded!$H$7)*((bonded!$H$7/(bonded!$K$7*(A34+1)))^7-2*(bonded!$H$7/(bonded!$K$7*(A34+1)))^13)</f>
        <v>0.26929887865627622</v>
      </c>
      <c r="F34" s="1">
        <f>2*bonded!$F$10*bonded!$E$10*(EXP(-bonded!$F$10*bonded!$G$10*A34)-EXP(-2*bonded!$F$10*bonded!$G$10*A34))</f>
        <v>4.5346818162605079E-2</v>
      </c>
      <c r="G34" s="1">
        <f>2*bonded!$F$11*bonded!$E$11*(EXP(-bonded!$F$11*bonded!$G$11*A34)-EXP(-2*bonded!$F$11*bonded!$G$11*A34))</f>
        <v>1.703575700005491E-2</v>
      </c>
      <c r="H34" s="1">
        <f>2*bonded!$F$12*bonded!$E$12*(EXP(-bonded!$F$12*bonded!$G$12*A34)-EXP(-2*bonded!$F$12*bonded!$G$12*A34))</f>
        <v>9.4839810224657869E-3</v>
      </c>
      <c r="I34" s="1">
        <f>2*bonded!$F$13*bonded!$E$13*(EXP(-bonded!$F$13*bonded!$G$13*A34)-EXP(-2*bonded!$F$13*bonded!$G$13*A34))</f>
        <v>3.8247839464855438E-2</v>
      </c>
      <c r="J34" s="1">
        <f>pair!$L$42*(pair!$F$42/pair!$G$42)*(pair!$I$42*(pair!$G$42/(pair!$K$42*(A34+1)))^(pair!$I$42+1)-pair!$H$42*(pair!$G$42/(pair!$K$42*(A34+1)))^(pair!$H$42+1))</f>
        <v>8.2293300042456993E-3</v>
      </c>
      <c r="K34" s="1">
        <f>pair!$L$43*(pair!$F$43/pair!$G$43)*(pair!$I$43*(pair!$G$43/(pair!$K$43*(A34+1)))^(pair!$I$43+1)-pair!$H$43*(pair!$G$43/(pair!$K$43*(A34+1)))^(pair!$H$43+1))</f>
        <v>1.6458660008491399E-3</v>
      </c>
      <c r="L34" s="1">
        <f>pair!$L$44*(pair!$F$44/pair!$G$44)*(pair!$I$44*(pair!$G$44/(pair!$K$44*(A34+1)))^(pair!$I$44+1)-pair!$H$44*(pair!$G$44/(pair!$K$44*(A34+1)))^(pair!$H$44+1))</f>
        <v>1.5299568256716621E-4</v>
      </c>
      <c r="M34" s="1">
        <f>pair!$L$45*(pair!$F$45/pair!$G$45)*(pair!$I$45*(pair!$G$45/(pair!$K$45*(A34+1)))^(pair!$I$45+1)-pair!$H$45*(pair!$G$45/(pair!$K$45*(A34+1)))^(pair!$H$45+1))</f>
        <v>4.5718500023587206E-3</v>
      </c>
    </row>
    <row r="35" spans="1:13" x14ac:dyDescent="0.3">
      <c r="A35" s="1">
        <f t="shared" si="0"/>
        <v>0.02</v>
      </c>
      <c r="B35" s="1">
        <f>bonded!$E$2*bonded!$F$2*A35</f>
        <v>3</v>
      </c>
      <c r="C35" s="1">
        <f>bonded!$E$3*bonded!$F$3*A35</f>
        <v>1.5</v>
      </c>
      <c r="D35" s="1">
        <f>bonded!$E$4*bonded!$F$4*A35</f>
        <v>1.8</v>
      </c>
      <c r="E35" s="1">
        <f>(bonded!$E$7*((bonded!$K$7*(A35+1))/(1-((bonded!$K$7*(A35+1))/bonded!$F$7)^2)))+24*(bonded!$G$7/bonded!$H$7)*((bonded!$H$7/(bonded!$K$7*(A35+1)))^7-2*(bonded!$H$7/(bonded!$K$7*(A35+1)))^13)</f>
        <v>0.5045821712548535</v>
      </c>
      <c r="F35" s="1">
        <f>2*bonded!$F$10*bonded!$E$10*(EXP(-bonded!$F$10*bonded!$G$10*A35)-EXP(-2*bonded!$F$10*bonded!$G$10*A35))</f>
        <v>8.569086131751813E-2</v>
      </c>
      <c r="G35" s="1">
        <f>2*bonded!$F$11*bonded!$E$11*(EXP(-bonded!$F$11*bonded!$G$11*A35)-EXP(-2*bonded!$F$11*bonded!$G$11*A35))</f>
        <v>3.2249962804966205E-2</v>
      </c>
      <c r="H35" s="1">
        <f>2*bonded!$F$12*bonded!$E$12*(EXP(-bonded!$F$12*bonded!$G$12*A35)-EXP(-2*bonded!$F$12*bonded!$G$12*A35))</f>
        <v>1.7991053040694503E-2</v>
      </c>
      <c r="I35" s="1">
        <f>2*bonded!$F$13*bonded!$E$13*(EXP(-bonded!$F$13*bonded!$G$13*A35)-EXP(-2*bonded!$F$13*bonded!$G$13*A35))</f>
        <v>7.2250615378916277E-2</v>
      </c>
      <c r="J35" s="1">
        <f>pair!$L$42*(pair!$F$42/pair!$G$42)*(pair!$I$42*(pair!$G$42/(pair!$K$42*(A35+1)))^(pair!$I$42+1)-pair!$H$42*(pair!$G$42/(pair!$K$42*(A35+1)))^(pair!$H$42+1))</f>
        <v>1.5063563621627489E-2</v>
      </c>
      <c r="K35" s="1">
        <f>pair!$L$43*(pair!$F$43/pair!$G$43)*(pair!$I$43*(pair!$G$43/(pair!$K$43*(A35+1)))^(pair!$I$43+1)-pair!$H$43*(pair!$G$43/(pair!$K$43*(A35+1)))^(pair!$H$43+1))</f>
        <v>3.0127127243255378E-3</v>
      </c>
      <c r="L35" s="1">
        <f>pair!$L$44*(pair!$F$44/pair!$G$44)*(pair!$I$44*(pair!$G$44/(pair!$K$44*(A35+1)))^(pair!$I$44+1)-pair!$H$44*(pair!$G$44/(pair!$K$44*(A35+1)))^(pair!$H$44+1))</f>
        <v>2.9273219773703001E-4</v>
      </c>
      <c r="M35" s="1">
        <f>pair!$L$45*(pair!$F$45/pair!$G$45)*(pair!$I$45*(pair!$G$45/(pair!$K$45*(A35+1)))^(pair!$I$45+1)-pair!$H$45*(pair!$G$45/(pair!$K$45*(A35+1)))^(pair!$H$45+1))</f>
        <v>8.3686464564597142E-3</v>
      </c>
    </row>
    <row r="36" spans="1:13" x14ac:dyDescent="0.3">
      <c r="A36" s="1">
        <f t="shared" si="0"/>
        <v>0.03</v>
      </c>
      <c r="B36" s="1">
        <f>bonded!$E$2*bonded!$F$2*A36</f>
        <v>4.5</v>
      </c>
      <c r="C36" s="1">
        <f>bonded!$E$3*bonded!$F$3*A36</f>
        <v>2.25</v>
      </c>
      <c r="D36" s="1">
        <f>bonded!$E$4*bonded!$F$4*A36</f>
        <v>2.6999999999999997</v>
      </c>
      <c r="E36" s="1">
        <f>(bonded!$E$7*((bonded!$K$7*(A36+1))/(1-((bonded!$K$7*(A36+1))/bonded!$F$7)^2)))+24*(bonded!$G$7/bonded!$H$7)*((bonded!$H$7/(bonded!$K$7*(A36+1)))^7-2*(bonded!$H$7/(bonded!$K$7*(A36+1)))^13)</f>
        <v>0.7116477844579544</v>
      </c>
      <c r="F36" s="1">
        <f>2*bonded!$F$10*bonded!$E$10*(EXP(-bonded!$F$10*bonded!$G$10*A36)-EXP(-2*bonded!$F$10*bonded!$G$10*A36))</f>
        <v>0.12146063853505341</v>
      </c>
      <c r="G36" s="1">
        <f>2*bonded!$F$11*bonded!$E$11*(EXP(-bonded!$F$11*bonded!$G$11*A36)-EXP(-2*bonded!$F$11*bonded!$G$11*A36))</f>
        <v>4.5793844736025609E-2</v>
      </c>
      <c r="H36" s="1">
        <f>2*bonded!$F$12*bonded!$E$12*(EXP(-bonded!$F$12*bonded!$G$12*A36)-EXP(-2*bonded!$F$12*bonded!$G$12*A36))</f>
        <v>2.5599352596274588E-2</v>
      </c>
      <c r="I36" s="1">
        <f>2*bonded!$F$13*bonded!$E$13*(EXP(-bonded!$F$13*bonded!$G$13*A36)-EXP(-2*bonded!$F$13*bonded!$G$13*A36))</f>
        <v>0.10237412602880357</v>
      </c>
      <c r="J36" s="1">
        <f>pair!$L$42*(pair!$F$42/pair!$G$42)*(pair!$I$42*(pair!$G$42/(pair!$K$42*(A36+1)))^(pair!$I$42+1)-pair!$H$42*(pair!$G$42/(pair!$K$42*(A36+1)))^(pair!$H$42+1))</f>
        <v>2.0699278933988624E-2</v>
      </c>
      <c r="K36" s="1">
        <f>pair!$L$43*(pair!$F$43/pair!$G$43)*(pair!$I$43*(pair!$G$43/(pair!$K$43*(A36+1)))^(pair!$I$43+1)-pair!$H$43*(pair!$G$43/(pair!$K$43*(A36+1)))^(pair!$H$43+1))</f>
        <v>4.1398557867977246E-3</v>
      </c>
      <c r="L36" s="1">
        <f>pair!$L$44*(pair!$F$44/pair!$G$44)*(pair!$I$44*(pair!$G$44/(pair!$K$44*(A36+1)))^(pair!$I$44+1)-pair!$H$44*(pair!$G$44/(pair!$K$44*(A36+1)))^(pair!$H$44+1))</f>
        <v>4.202629997519677E-4</v>
      </c>
      <c r="M36" s="1">
        <f>pair!$L$45*(pair!$F$45/pair!$G$45)*(pair!$I$45*(pair!$G$45/(pair!$K$45*(A36+1)))^(pair!$I$45+1)-pair!$H$45*(pair!$G$45/(pair!$K$45*(A36+1)))^(pair!$H$45+1))</f>
        <v>1.1499599407771406E-2</v>
      </c>
    </row>
    <row r="37" spans="1:13" x14ac:dyDescent="0.3">
      <c r="A37" s="1">
        <f t="shared" si="0"/>
        <v>0.04</v>
      </c>
      <c r="B37" s="1">
        <f>bonded!$E$2*bonded!$F$2*A37</f>
        <v>6</v>
      </c>
      <c r="C37" s="1">
        <f>bonded!$E$3*bonded!$F$3*A37</f>
        <v>3</v>
      </c>
      <c r="D37" s="1">
        <f>bonded!$E$4*bonded!$F$4*A37</f>
        <v>3.6</v>
      </c>
      <c r="E37" s="1">
        <f>(bonded!$E$7*((bonded!$K$7*(A37+1))/(1-((bonded!$K$7*(A37+1))/bonded!$F$7)^2)))+24*(bonded!$G$7/bonded!$H$7)*((bonded!$H$7/(bonded!$K$7*(A37+1)))^7-2*(bonded!$H$7/(bonded!$K$7*(A37+1)))^13)</f>
        <v>0.894769645954961</v>
      </c>
      <c r="F37" s="1">
        <f>2*bonded!$F$10*bonded!$E$10*(EXP(-bonded!$F$10*bonded!$G$10*A37)-EXP(-2*bonded!$F$10*bonded!$G$10*A37))</f>
        <v>0.15305099955010376</v>
      </c>
      <c r="G37" s="1">
        <f>2*bonded!$F$11*bonded!$E$11*(EXP(-bonded!$F$11*bonded!$G$11*A37)-EXP(-2*bonded!$F$11*bonded!$G$11*A37))</f>
        <v>5.7807115880561033E-2</v>
      </c>
      <c r="H37" s="1">
        <f>2*bonded!$F$12*bonded!$E$12*(EXP(-bonded!$F$12*bonded!$G$12*A37)-EXP(-2*bonded!$F$12*bonded!$G$12*A37))</f>
        <v>3.2381284410456491E-2</v>
      </c>
      <c r="I37" s="1">
        <f>2*bonded!$F$13*bonded!$E$13*(EXP(-bonded!$F$13*bonded!$G$13*A37)-EXP(-2*bonded!$F$13*bonded!$G$13*A37))</f>
        <v>0.12895526344844313</v>
      </c>
      <c r="J37" s="1">
        <f>pair!$L$42*(pair!$F$42/pair!$G$42)*(pair!$I$42*(pair!$G$42/(pair!$K$42*(A37+1)))^(pair!$I$42+1)-pair!$H$42*(pair!$G$42/(pair!$K$42*(A37+1)))^(pair!$H$42+1))</f>
        <v>2.5306093312879335E-2</v>
      </c>
      <c r="K37" s="1">
        <f>pair!$L$43*(pair!$F$43/pair!$G$43)*(pair!$I$43*(pair!$G$43/(pair!$K$43*(A37+1)))^(pair!$I$43+1)-pair!$H$43*(pair!$G$43/(pair!$K$43*(A37+1)))^(pair!$H$43+1))</f>
        <v>5.0612186625758667E-3</v>
      </c>
      <c r="L37" s="1">
        <f>pair!$L$44*(pair!$F$44/pair!$G$44)*(pair!$I$44*(pair!$G$44/(pair!$K$44*(A37+1)))^(pair!$I$44+1)-pair!$H$44*(pair!$G$44/(pair!$K$44*(A37+1)))^(pair!$H$44+1))</f>
        <v>5.3655401529250572E-4</v>
      </c>
      <c r="M37" s="1">
        <f>pair!$L$45*(pair!$F$45/pair!$G$45)*(pair!$I$45*(pair!$G$45/(pair!$K$45*(A37+1)))^(pair!$I$45+1)-pair!$H$45*(pair!$G$45/(pair!$K$45*(A37+1)))^(pair!$H$45+1))</f>
        <v>1.405894072937742E-2</v>
      </c>
    </row>
    <row r="38" spans="1:13" x14ac:dyDescent="0.3">
      <c r="A38" s="1">
        <f t="shared" si="0"/>
        <v>0.05</v>
      </c>
      <c r="B38" s="1">
        <f>bonded!$E$2*bonded!$F$2*A38</f>
        <v>7.5</v>
      </c>
      <c r="C38" s="1">
        <f>bonded!$E$3*bonded!$F$3*A38</f>
        <v>3.75</v>
      </c>
      <c r="D38" s="1">
        <f>bonded!$E$4*bonded!$F$4*A38</f>
        <v>4.5</v>
      </c>
      <c r="E38" s="1">
        <f>(bonded!$E$7*((bonded!$K$7*(A38+1))/(1-((bonded!$K$7*(A38+1))/bonded!$F$7)^2)))+24*(bonded!$G$7/bonded!$H$7)*((bonded!$H$7/(bonded!$K$7*(A38+1)))^7-2*(bonded!$H$7/(bonded!$K$7*(A38+1)))^13)</f>
        <v>1.0575963085774371</v>
      </c>
      <c r="F38" s="1">
        <f>2*bonded!$F$10*bonded!$E$10*(EXP(-bonded!$F$10*bonded!$G$10*A38)-EXP(-2*bonded!$F$10*bonded!$G$10*A38))</f>
        <v>0.18082568197345419</v>
      </c>
      <c r="G38" s="1">
        <f>2*bonded!$F$11*bonded!$E$11*(EXP(-bonded!$F$11*bonded!$G$11*A38)-EXP(-2*bonded!$F$11*bonded!$G$11*A38))</f>
        <v>6.841881972560826E-2</v>
      </c>
      <c r="H38" s="1">
        <f>2*bonded!$F$12*bonded!$E$12*(EXP(-bonded!$F$12*bonded!$G$12*A38)-EXP(-2*bonded!$F$12*bonded!$G$12*A38))</f>
        <v>3.8403926497312252E-2</v>
      </c>
      <c r="I38" s="1">
        <f>2*bonded!$F$13*bonded!$E$13*(EXP(-bonded!$F$13*bonded!$G$13*A38)-EXP(-2*bonded!$F$13*bonded!$G$13*A38))</f>
        <v>0.15230421407918665</v>
      </c>
      <c r="J38" s="1">
        <f>pair!$L$42*(pair!$F$42/pair!$G$42)*(pair!$I$42*(pair!$G$42/(pair!$K$42*(A38+1)))^(pair!$I$42+1)-pair!$H$42*(pair!$G$42/(pair!$K$42*(A38+1)))^(pair!$H$42+1))</f>
        <v>2.9030422976808645E-2</v>
      </c>
      <c r="K38" s="1">
        <f>pair!$L$43*(pair!$F$43/pair!$G$43)*(pair!$I$43*(pair!$G$43/(pair!$K$43*(A38+1)))^(pair!$I$43+1)-pair!$H$43*(pair!$G$43/(pair!$K$43*(A38+1)))^(pair!$H$43+1))</f>
        <v>5.8060845953617464E-3</v>
      </c>
      <c r="L38" s="1">
        <f>pair!$L$44*(pair!$F$44/pair!$G$44)*(pair!$I$44*(pair!$G$44/(pair!$K$44*(A38+1)))^(pair!$I$44+1)-pair!$H$44*(pair!$G$44/(pair!$K$44*(A38+1)))^(pair!$H$44+1))</f>
        <v>6.4249145650413812E-4</v>
      </c>
      <c r="M38" s="1">
        <f>pair!$L$45*(pair!$F$45/pair!$G$45)*(pair!$I$45*(pair!$G$45/(pair!$K$45*(A38+1)))^(pair!$I$45+1)-pair!$H$45*(pair!$G$45/(pair!$K$45*(A38+1)))^(pair!$H$45+1))</f>
        <v>1.6128012764893687E-2</v>
      </c>
    </row>
    <row r="39" spans="1:13" x14ac:dyDescent="0.3">
      <c r="A39" s="1">
        <f t="shared" si="0"/>
        <v>6.0000000000000005E-2</v>
      </c>
      <c r="B39" s="1">
        <f>bonded!$E$2*bonded!$F$2*A39</f>
        <v>9</v>
      </c>
      <c r="C39" s="1">
        <f>bonded!$E$3*bonded!$F$3*A39</f>
        <v>4.5</v>
      </c>
      <c r="D39" s="1">
        <f>bonded!$E$4*bonded!$F$4*A39</f>
        <v>5.4</v>
      </c>
      <c r="E39" s="1">
        <f>(bonded!$E$7*((bonded!$K$7*(A39+1))/(1-((bonded!$K$7*(A39+1))/bonded!$F$7)^2)))+24*(bonded!$G$7/bonded!$H$7)*((bonded!$H$7/(bonded!$K$7*(A39+1)))^7-2*(bonded!$H$7/(bonded!$K$7*(A39+1)))^13)</f>
        <v>1.203248353396464</v>
      </c>
      <c r="F39" s="1">
        <f>2*bonded!$F$10*bonded!$E$10*(EXP(-bonded!$F$10*bonded!$G$10*A39)-EXP(-2*bonded!$F$10*bonded!$G$10*A39))</f>
        <v>0.20511966909094681</v>
      </c>
      <c r="G39" s="1">
        <f>2*bonded!$F$11*bonded!$E$11*(EXP(-bonded!$F$11*bonded!$G$11*A39)-EXP(-2*bonded!$F$11*bonded!$G$11*A39))</f>
        <v>7.7748113908659752E-2</v>
      </c>
      <c r="H39" s="1">
        <f>2*bonded!$F$12*bonded!$E$12*(EXP(-bonded!$F$12*bonded!$G$12*A39)-EXP(-2*bonded!$F$12*bonded!$G$12*A39))</f>
        <v>4.3729407140671875E-2</v>
      </c>
      <c r="I39" s="1">
        <f>2*bonded!$F$13*bonded!$E$13*(EXP(-bonded!$F$13*bonded!$G$13*A39)-EXP(-2*bonded!$F$13*bonded!$G$13*A39))</f>
        <v>0.17270649480502467</v>
      </c>
      <c r="J39" s="1">
        <f>pair!$L$42*(pair!$F$42/pair!$G$42)*(pair!$I$42*(pair!$G$42/(pair!$K$42*(A39+1)))^(pair!$I$42+1)-pair!$H$42*(pair!$G$42/(pair!$K$42*(A39+1)))^(pair!$H$42+1))</f>
        <v>3.1998701012165467E-2</v>
      </c>
      <c r="K39" s="1">
        <f>pair!$L$43*(pair!$F$43/pair!$G$43)*(pair!$I$43*(pair!$G$43/(pair!$K$43*(A39+1)))^(pair!$I$43+1)-pair!$H$43*(pair!$G$43/(pair!$K$43*(A39+1)))^(pair!$H$43+1))</f>
        <v>6.399740202433093E-3</v>
      </c>
      <c r="L39" s="1">
        <f>pair!$L$44*(pair!$F$44/pair!$G$44)*(pair!$I$44*(pair!$G$44/(pair!$K$44*(A39+1)))^(pair!$I$44+1)-pair!$H$44*(pair!$G$44/(pair!$K$44*(A39+1)))^(pair!$H$44+1))</f>
        <v>7.3888888132995904E-4</v>
      </c>
      <c r="M39" s="1">
        <f>pair!$L$45*(pair!$F$45/pair!$G$45)*(pair!$I$45*(pair!$G$45/(pair!$K$45*(A39+1)))^(pair!$I$45+1)-pair!$H$45*(pair!$G$45/(pair!$K$45*(A39+1)))^(pair!$H$45+1))</f>
        <v>1.77770561178697E-2</v>
      </c>
    </row>
    <row r="40" spans="1:13" x14ac:dyDescent="0.3">
      <c r="A40" s="1">
        <f t="shared" si="0"/>
        <v>7.0000000000000007E-2</v>
      </c>
      <c r="B40" s="1">
        <f>bonded!$E$2*bonded!$F$2*A40</f>
        <v>10.500000000000002</v>
      </c>
      <c r="C40" s="1">
        <f>bonded!$E$3*bonded!$F$3*A40</f>
        <v>5.2500000000000009</v>
      </c>
      <c r="D40" s="1">
        <f>bonded!$E$4*bonded!$F$4*A40</f>
        <v>6.3000000000000007</v>
      </c>
      <c r="E40" s="1">
        <f>(bonded!$E$7*((bonded!$K$7*(A40+1))/(1-((bonded!$K$7*(A40+1))/bonded!$F$7)^2)))+24*(bonded!$G$7/bonded!$H$7)*((bonded!$H$7/(bonded!$K$7*(A40+1)))^7-2*(bonded!$H$7/(bonded!$K$7*(A40+1)))^13)</f>
        <v>1.3344001863112618</v>
      </c>
      <c r="F40" s="1">
        <f>2*bonded!$F$10*bonded!$E$10*(EXP(-bonded!$F$10*bonded!$G$10*A40)-EXP(-2*bonded!$F$10*bonded!$G$10*A40))</f>
        <v>0.22624137221478047</v>
      </c>
      <c r="G40" s="1">
        <f>2*bonded!$F$11*bonded!$E$11*(EXP(-bonded!$F$11*bonded!$G$11*A40)-EXP(-2*bonded!$F$11*bonded!$G$11*A40))</f>
        <v>8.5904997436574301E-2</v>
      </c>
      <c r="H40" s="1">
        <f>2*bonded!$F$12*bonded!$E$12*(EXP(-bonded!$F$12*bonded!$G$12*A40)-EXP(-2*bonded!$F$12*bonded!$G$12*A40))</f>
        <v>4.8415255672320107E-2</v>
      </c>
      <c r="I40" s="1">
        <f>2*bonded!$F$13*bonded!$E$13*(EXP(-bonded!$F$13*bonded!$G$13*A40)-EXP(-2*bonded!$F$13*bonded!$G$13*A40))</f>
        <v>0.19042483657258716</v>
      </c>
      <c r="J40" s="1">
        <f>pair!$L$42*(pair!$F$42/pair!$G$42)*(pair!$I$42*(pair!$G$42/(pair!$K$42*(A40+1)))^(pair!$I$42+1)-pair!$H$42*(pair!$G$42/(pair!$K$42*(A40+1)))^(pair!$H$42+1))</f>
        <v>3.4320134924962012E-2</v>
      </c>
      <c r="K40" s="1">
        <f>pair!$L$43*(pair!$F$43/pair!$G$43)*(pair!$I$43*(pair!$G$43/(pair!$K$43*(A40+1)))^(pair!$I$43+1)-pair!$H$43*(pair!$G$43/(pair!$K$43*(A40+1)))^(pair!$H$43+1))</f>
        <v>6.8640269849924024E-3</v>
      </c>
      <c r="L40" s="1">
        <f>pair!$L$44*(pair!$F$44/pair!$G$44)*(pair!$I$44*(pair!$G$44/(pair!$K$44*(A40+1)))^(pair!$I$44+1)-pair!$H$44*(pair!$G$44/(pair!$K$44*(A40+1)))^(pair!$H$44+1))</f>
        <v>8.2649357925746987E-4</v>
      </c>
      <c r="M40" s="1">
        <f>pair!$L$45*(pair!$F$45/pair!$G$45)*(pair!$I$45*(pair!$G$45/(pair!$K$45*(A40+1)))^(pair!$I$45+1)-pair!$H$45*(pair!$G$45/(pair!$K$45*(A40+1)))^(pair!$H$45+1))</f>
        <v>1.906674162497889E-2</v>
      </c>
    </row>
    <row r="41" spans="1:13" x14ac:dyDescent="0.3">
      <c r="A41" s="1">
        <f t="shared" si="0"/>
        <v>0.08</v>
      </c>
      <c r="B41" s="1">
        <f>bonded!$E$2*bonded!$F$2*A41</f>
        <v>12</v>
      </c>
      <c r="C41" s="1">
        <f>bonded!$E$3*bonded!$F$3*A41</f>
        <v>6</v>
      </c>
      <c r="D41" s="1">
        <f>bonded!$E$4*bonded!$F$4*A41</f>
        <v>7.2</v>
      </c>
      <c r="E41" s="1">
        <f>(bonded!$E$7*((bonded!$K$7*(A41+1))/(1-((bonded!$K$7*(A41+1))/bonded!$F$7)^2)))+24*(bonded!$G$7/bonded!$H$7)*((bonded!$H$7/(bonded!$K$7*(A41+1)))^7-2*(bonded!$H$7/(bonded!$K$7*(A41+1)))^13)</f>
        <v>1.45334885277276</v>
      </c>
      <c r="F41" s="1">
        <f>2*bonded!$F$10*bonded!$E$10*(EXP(-bonded!$F$10*bonded!$G$10*A41)-EXP(-2*bonded!$F$10*bonded!$G$10*A41))</f>
        <v>0.24447465052613232</v>
      </c>
      <c r="G41" s="1">
        <f>2*bonded!$F$11*bonded!$E$11*(EXP(-bonded!$F$11*bonded!$G$11*A41)-EXP(-2*bonded!$F$11*bonded!$G$11*A41))</f>
        <v>9.2990985414106095E-2</v>
      </c>
      <c r="H41" s="1">
        <f>2*bonded!$F$12*bonded!$E$12*(EXP(-bonded!$F$12*bonded!$G$12*A41)-EXP(-2*bonded!$F$12*bonded!$G$12*A41))</f>
        <v>5.2514728856090598E-2</v>
      </c>
      <c r="I41" s="1">
        <f>2*bonded!$F$13*bonded!$E$13*(EXP(-bonded!$F$13*bonded!$G$13*A41)-EXP(-2*bonded!$F$13*bonded!$G$13*A41))</f>
        <v>0.20570092690395134</v>
      </c>
      <c r="J41" s="1">
        <f>pair!$L$42*(pair!$F$42/pair!$G$42)*(pair!$I$42*(pair!$G$42/(pair!$K$42*(A41+1)))^(pair!$I$42+1)-pair!$H$42*(pair!$G$42/(pair!$K$42*(A41+1)))^(pair!$H$42+1))</f>
        <v>3.6089072153234876E-2</v>
      </c>
      <c r="K41" s="1">
        <f>pair!$L$43*(pair!$F$43/pair!$G$43)*(pair!$I$43*(pair!$G$43/(pair!$K$43*(A41+1)))^(pair!$I$43+1)-pair!$H$43*(pair!$G$43/(pair!$K$43*(A41+1)))^(pair!$H$43+1))</f>
        <v>7.217814430646975E-3</v>
      </c>
      <c r="L41" s="1">
        <f>pair!$L$44*(pair!$F$44/pair!$G$44)*(pair!$I$44*(pair!$G$44/(pair!$K$44*(A41+1)))^(pair!$I$44+1)-pair!$H$44*(pair!$G$44/(pair!$K$44*(A41+1)))^(pair!$H$44+1))</f>
        <v>9.0599235189133302E-4</v>
      </c>
      <c r="M41" s="1">
        <f>pair!$L$45*(pair!$F$45/pair!$G$45)*(pair!$I$45*(pair!$G$45/(pair!$K$45*(A41+1)))^(pair!$I$45+1)-pair!$H$45*(pair!$G$45/(pair!$K$45*(A41+1)))^(pair!$H$45+1))</f>
        <v>2.0049484529574939E-2</v>
      </c>
    </row>
    <row r="42" spans="1:13" x14ac:dyDescent="0.3">
      <c r="A42" s="1">
        <f t="shared" si="0"/>
        <v>0.09</v>
      </c>
      <c r="B42" s="1">
        <f>bonded!$E$2*bonded!$F$2*A42</f>
        <v>13.5</v>
      </c>
      <c r="C42" s="1">
        <f>bonded!$E$3*bonded!$F$3*A42</f>
        <v>6.75</v>
      </c>
      <c r="D42" s="1">
        <f>bonded!$E$4*bonded!$F$4*A42</f>
        <v>8.1</v>
      </c>
      <c r="E42" s="1">
        <f>(bonded!$E$7*((bonded!$K$7*(A42+1))/(1-((bonded!$K$7*(A42+1))/bonded!$F$7)^2)))+24*(bonded!$G$7/bonded!$H$7)*((bonded!$H$7/(bonded!$K$7*(A42+1)))^7-2*(bonded!$H$7/(bonded!$K$7*(A42+1)))^13)</f>
        <v>1.5620720383496915</v>
      </c>
      <c r="F42" s="1">
        <f>2*bonded!$F$10*bonded!$E$10*(EXP(-bonded!$F$10*bonded!$G$10*A42)-EXP(-2*bonded!$F$10*bonded!$G$10*A42))</f>
        <v>0.26008068039828491</v>
      </c>
      <c r="G42" s="1">
        <f>2*bonded!$F$11*bonded!$E$11*(EXP(-bonded!$F$11*bonded!$G$11*A42)-EXP(-2*bonded!$F$11*bonded!$G$11*A42))</f>
        <v>9.9099735035869121E-2</v>
      </c>
      <c r="H42" s="1">
        <f>2*bonded!$F$12*bonded!$E$12*(EXP(-bonded!$F$12*bonded!$G$12*A42)-EXP(-2*bonded!$F$12*bonded!$G$12*A42))</f>
        <v>5.6077114558734646E-2</v>
      </c>
      <c r="I42" s="1">
        <f>2*bonded!$F$13*bonded!$E$13*(EXP(-bonded!$F$13*bonded!$G$13*A42)-EXP(-2*bonded!$F$13*bonded!$G$13*A42))</f>
        <v>0.21875702177505332</v>
      </c>
      <c r="J42" s="1">
        <f>pair!$L$42*(pair!$F$42/pair!$G$42)*(pair!$I$42*(pair!$G$42/(pair!$K$42*(A42+1)))^(pair!$I$42+1)-pair!$H$42*(pair!$G$42/(pair!$K$42*(A42+1)))^(pair!$H$42+1))</f>
        <v>3.7387031384288484E-2</v>
      </c>
      <c r="K42" s="1">
        <f>pair!$L$43*(pair!$F$43/pair!$G$43)*(pair!$I$43*(pair!$G$43/(pair!$K$43*(A42+1)))^(pair!$I$43+1)-pair!$H$43*(pair!$G$43/(pair!$K$43*(A42+1)))^(pair!$H$43+1))</f>
        <v>7.4774062768576963E-3</v>
      </c>
      <c r="L42" s="1">
        <f>pair!$L$44*(pair!$F$44/pair!$G$44)*(pair!$I$44*(pair!$G$44/(pair!$K$44*(A42+1)))^(pair!$I$44+1)-pair!$H$44*(pair!$G$44/(pair!$K$44*(A42+1)))^(pair!$H$44+1))</f>
        <v>9.780167501017515E-4</v>
      </c>
      <c r="M42" s="1">
        <f>pair!$L$45*(pair!$F$45/pair!$G$45)*(pair!$I$45*(pair!$G$45/(pair!$K$45*(A42+1)))^(pair!$I$45+1)-pair!$H$45*(pair!$G$45/(pair!$K$45*(A42+1)))^(pair!$H$45+1))</f>
        <v>2.0770572991271382E-2</v>
      </c>
    </row>
    <row r="43" spans="1:13" x14ac:dyDescent="0.3">
      <c r="A43" s="1">
        <f t="shared" si="0"/>
        <v>9.9999999999999992E-2</v>
      </c>
      <c r="B43" s="1">
        <f>bonded!$E$2*bonded!$F$2*A43</f>
        <v>14.999999999999998</v>
      </c>
      <c r="C43" s="1">
        <f>bonded!$E$3*bonded!$F$3*A43</f>
        <v>7.4999999999999991</v>
      </c>
      <c r="D43" s="1">
        <f>bonded!$E$4*bonded!$F$4*A43</f>
        <v>9</v>
      </c>
      <c r="E43" s="1">
        <f>(bonded!$E$7*((bonded!$K$7*(A43+1))/(1-((bonded!$K$7*(A43+1))/bonded!$F$7)^2)))+24*(bonded!$G$7/bonded!$H$7)*((bonded!$H$7/(bonded!$K$7*(A43+1)))^7-2*(bonded!$H$7/(bonded!$K$7*(A43+1)))^13)</f>
        <v>1.6622770489266028</v>
      </c>
      <c r="F43" s="1">
        <f>2*bonded!$F$10*bonded!$E$10*(EXP(-bonded!$F$10*bonded!$G$10*A43)-EXP(-2*bonded!$F$10*bonded!$G$10*A43))</f>
        <v>0.27329968530901733</v>
      </c>
      <c r="G43" s="1">
        <f>2*bonded!$F$11*bonded!$E$11*(EXP(-bonded!$F$11*bonded!$G$11*A43)-EXP(-2*bonded!$F$11*bonded!$G$11*A43))</f>
        <v>0.10431762632833677</v>
      </c>
      <c r="H43" s="1">
        <f>2*bonded!$F$12*bonded!$E$12*(EXP(-bonded!$F$12*bonded!$G$12*A43)-EXP(-2*bonded!$F$12*bonded!$G$12*A43))</f>
        <v>5.9148014273151271E-2</v>
      </c>
      <c r="I43" s="1">
        <f>2*bonded!$F$13*bonded!$E$13*(EXP(-bonded!$F$13*bonded!$G$13*A43)-EXP(-2*bonded!$F$13*bonded!$G$13*A43))</f>
        <v>0.22979743655881743</v>
      </c>
      <c r="J43" s="1">
        <f>pair!$L$42*(pair!$F$42/pair!$G$42)*(pair!$I$42*(pair!$G$42/(pair!$K$42*(A43+1)))^(pair!$I$42+1)-pair!$H$42*(pair!$G$42/(pair!$K$42*(A43+1)))^(pair!$H$42+1))</f>
        <v>3.828444864035252E-2</v>
      </c>
      <c r="K43" s="1">
        <f>pair!$L$43*(pair!$F$43/pair!$G$43)*(pair!$I$43*(pair!$G$43/(pair!$K$43*(A43+1)))^(pair!$I$43+1)-pair!$H$43*(pair!$G$43/(pair!$K$43*(A43+1)))^(pair!$H$43+1))</f>
        <v>7.6568897280705041E-3</v>
      </c>
      <c r="L43" s="1">
        <f>pair!$L$44*(pair!$F$44/pair!$G$44)*(pair!$I$44*(pair!$G$44/(pair!$K$44*(A43+1)))^(pair!$I$44+1)-pair!$H$44*(pair!$G$44/(pair!$K$44*(A43+1)))^(pair!$H$44+1))</f>
        <v>1.0431478227393811E-3</v>
      </c>
      <c r="M43" s="1">
        <f>pair!$L$45*(pair!$F$45/pair!$G$45)*(pair!$I$45*(pair!$G$45/(pair!$K$45*(A43+1)))^(pair!$I$45+1)-pair!$H$45*(pair!$G$45/(pair!$K$45*(A43+1)))^(pair!$H$45+1))</f>
        <v>2.1269138133529174E-2</v>
      </c>
    </row>
    <row r="44" spans="1:13" x14ac:dyDescent="0.3">
      <c r="A44" s="1">
        <f t="shared" si="0"/>
        <v>0.10999999999999999</v>
      </c>
      <c r="B44" s="1">
        <f>bonded!$E$2*bonded!$F$2*A44</f>
        <v>16.499999999999996</v>
      </c>
      <c r="C44" s="1">
        <f>bonded!$E$3*bonded!$F$3*A44</f>
        <v>8.2499999999999982</v>
      </c>
      <c r="D44" s="1">
        <f>bonded!$E$4*bonded!$F$4*A44</f>
        <v>9.8999999999999986</v>
      </c>
      <c r="E44" s="1">
        <f>(bonded!$E$7*((bonded!$K$7*(A44+1))/(1-((bonded!$K$7*(A44+1))/bonded!$F$7)^2)))+24*(bonded!$G$7/bonded!$H$7)*((bonded!$H$7/(bonded!$K$7*(A44+1)))^7-2*(bonded!$H$7/(bonded!$K$7*(A44+1)))^13)</f>
        <v>1.7554422578322024</v>
      </c>
      <c r="F44" s="1">
        <f>2*bonded!$F$10*bonded!$E$10*(EXP(-bonded!$F$10*bonded!$G$10*A44)-EXP(-2*bonded!$F$10*bonded!$G$10*A44))</f>
        <v>0.28435253663511628</v>
      </c>
      <c r="G44" s="1">
        <f>2*bonded!$F$11*bonded!$E$11*(EXP(-bonded!$F$11*bonded!$G$11*A44)-EXP(-2*bonded!$F$11*bonded!$G$11*A44))</f>
        <v>0.10872430088024118</v>
      </c>
      <c r="H44" s="1">
        <f>2*bonded!$F$12*bonded!$E$12*(EXP(-bonded!$F$12*bonded!$G$12*A44)-EXP(-2*bonded!$F$12*bonded!$G$12*A44))</f>
        <v>6.1769605952165289E-2</v>
      </c>
      <c r="I44" s="1">
        <f>2*bonded!$F$13*bonded!$E$13*(EXP(-bonded!$F$13*bonded!$G$13*A44)-EXP(-2*bonded!$F$13*bonded!$G$13*A44))</f>
        <v>0.23900992501546889</v>
      </c>
      <c r="J44" s="1">
        <f>pair!$L$42*(pair!$F$42/pair!$G$42)*(pair!$I$42*(pair!$G$42/(pair!$K$42*(A44+1)))^(pair!$I$42+1)-pair!$H$42*(pair!$G$42/(pair!$K$42*(A44+1)))^(pair!$H$42+1))</f>
        <v>3.8842179634900838E-2</v>
      </c>
      <c r="K44" s="1">
        <f>pair!$L$43*(pair!$F$43/pair!$G$43)*(pair!$I$43*(pair!$G$43/(pair!$K$43*(A44+1)))^(pair!$I$43+1)-pair!$H$43*(pair!$G$43/(pair!$K$43*(A44+1)))^(pair!$H$43+1))</f>
        <v>7.7684359269801677E-3</v>
      </c>
      <c r="L44" s="1">
        <f>pair!$L$44*(pair!$F$44/pair!$G$44)*(pair!$I$44*(pair!$G$44/(pair!$K$44*(A44+1)))^(pair!$I$44+1)-pair!$H$44*(pair!$G$44/(pair!$K$44*(A44+1)))^(pair!$H$44+1))</f>
        <v>1.1019204259391316E-3</v>
      </c>
      <c r="M44" s="1">
        <f>pair!$L$45*(pair!$F$45/pair!$G$45)*(pair!$I$45*(pair!$G$45/(pair!$K$45*(A44+1)))^(pair!$I$45+1)-pair!$H$45*(pair!$G$45/(pair!$K$45*(A44+1)))^(pair!$H$45+1))</f>
        <v>2.1578988686056014E-2</v>
      </c>
    </row>
    <row r="45" spans="1:13" x14ac:dyDescent="0.3">
      <c r="A45" s="1">
        <f t="shared" si="0"/>
        <v>0.11999999999999998</v>
      </c>
      <c r="B45" s="1">
        <f>bonded!$E$2*bonded!$F$2*A45</f>
        <v>17.999999999999996</v>
      </c>
      <c r="C45" s="1">
        <f>bonded!$E$3*bonded!$F$3*A45</f>
        <v>8.9999999999999982</v>
      </c>
      <c r="D45" s="1">
        <f>bonded!$E$4*bonded!$F$4*A45</f>
        <v>10.799999999999999</v>
      </c>
      <c r="E45" s="1">
        <f>(bonded!$E$7*((bonded!$K$7*(A45+1))/(1-((bonded!$K$7*(A45+1))/bonded!$F$7)^2)))+24*(bonded!$G$7/bonded!$H$7)*((bonded!$H$7/(bonded!$K$7*(A45+1)))^7-2*(bonded!$H$7/(bonded!$K$7*(A45+1)))^13)</f>
        <v>1.8428522555858802</v>
      </c>
      <c r="F45" s="1">
        <f>2*bonded!$F$10*bonded!$E$10*(EXP(-bonded!$F$10*bonded!$G$10*A45)-EXP(-2*bonded!$F$10*bonded!$G$10*A45))</f>
        <v>0.29344223486572146</v>
      </c>
      <c r="G45" s="1">
        <f>2*bonded!$F$11*bonded!$E$11*(EXP(-bonded!$F$11*bonded!$G$11*A45)-EXP(-2*bonded!$F$11*bonded!$G$11*A45))</f>
        <v>0.1123931615691276</v>
      </c>
      <c r="H45" s="1">
        <f>2*bonded!$F$12*bonded!$E$12*(EXP(-bonded!$F$12*bonded!$G$12*A45)-EXP(-2*bonded!$F$12*bonded!$G$12*A45))</f>
        <v>6.3980888510988085E-2</v>
      </c>
      <c r="I45" s="1">
        <f>2*bonded!$F$13*bonded!$E$13*(EXP(-bonded!$F$13*bonded!$G$13*A45)-EXP(-2*bonded!$F$13*bonded!$G$13*A45))</f>
        <v>0.24656695464866027</v>
      </c>
      <c r="J45" s="1">
        <f>pair!$L$42*(pair!$F$42/pair!$G$42)*(pair!$I$42*(pair!$G$42/(pair!$K$42*(A45+1)))^(pair!$I$42+1)-pair!$H$42*(pair!$G$42/(pair!$K$42*(A45+1)))^(pair!$H$42+1))</f>
        <v>3.9112793623859235E-2</v>
      </c>
      <c r="K45" s="1">
        <f>pair!$L$43*(pair!$F$43/pair!$G$43)*(pair!$I$43*(pair!$G$43/(pair!$K$43*(A45+1)))^(pair!$I$43+1)-pair!$H$43*(pair!$G$43/(pair!$K$43*(A45+1)))^(pair!$H$43+1))</f>
        <v>7.822558724771847E-3</v>
      </c>
      <c r="L45" s="1">
        <f>pair!$L$44*(pair!$F$44/pair!$G$44)*(pair!$I$44*(pair!$G$44/(pair!$K$44*(A45+1)))^(pair!$I$44+1)-pair!$H$44*(pair!$G$44/(pair!$K$44*(A45+1)))^(pair!$H$44+1))</f>
        <v>1.1548271367584936E-3</v>
      </c>
      <c r="M45" s="1">
        <f>pair!$L$45*(pair!$F$45/pair!$G$45)*(pair!$I$45*(pair!$G$45/(pair!$K$45*(A45+1)))^(pair!$I$45+1)-pair!$H$45*(pair!$G$45/(pair!$K$45*(A45+1)))^(pair!$H$45+1))</f>
        <v>2.1729329791032904E-2</v>
      </c>
    </row>
    <row r="46" spans="1:13" x14ac:dyDescent="0.3">
      <c r="A46" s="1">
        <f t="shared" si="0"/>
        <v>0.12999999999999998</v>
      </c>
      <c r="B46" s="1">
        <f>bonded!$E$2*bonded!$F$2*A46</f>
        <v>19.499999999999996</v>
      </c>
      <c r="C46" s="1">
        <f>bonded!$E$3*bonded!$F$3*A46</f>
        <v>9.7499999999999982</v>
      </c>
      <c r="D46" s="1">
        <f>bonded!$E$4*bonded!$F$4*A46</f>
        <v>11.699999999999998</v>
      </c>
      <c r="E46" s="1">
        <f>(bonded!$E$7*((bonded!$K$7*(A46+1))/(1-((bonded!$K$7*(A46+1))/bonded!$F$7)^2)))+24*(bonded!$G$7/bonded!$H$7)*((bonded!$H$7/(bonded!$K$7*(A46+1)))^7-2*(bonded!$H$7/(bonded!$K$7*(A46+1)))^13)</f>
        <v>1.9256277311042782</v>
      </c>
      <c r="F46" s="1">
        <f>2*bonded!$F$10*bonded!$E$10*(EXP(-bonded!$F$10*bonded!$G$10*A46)-EXP(-2*bonded!$F$10*bonded!$G$10*A46))</f>
        <v>0.30075528007050123</v>
      </c>
      <c r="G46" s="1">
        <f>2*bonded!$F$11*bonded!$E$11*(EXP(-bonded!$F$11*bonded!$G$11*A46)-EXP(-2*bonded!$F$11*bonded!$G$11*A46))</f>
        <v>0.11539183607759559</v>
      </c>
      <c r="H46" s="1">
        <f>2*bonded!$F$12*bonded!$E$12*(EXP(-bonded!$F$12*bonded!$G$12*A46)-EXP(-2*bonded!$F$12*bonded!$G$12*A46))</f>
        <v>6.5817909263293381E-2</v>
      </c>
      <c r="I46" s="1">
        <f>2*bonded!$F$13*bonded!$E$13*(EXP(-bonded!$F$13*bonded!$G$13*A46)-EXP(-2*bonded!$F$13*bonded!$G$13*A46))</f>
        <v>0.25262688613115009</v>
      </c>
      <c r="J46" s="1">
        <f>pair!$L$42*(pair!$F$42/pair!$G$42)*(pair!$I$42*(pair!$G$42/(pair!$K$42*(A46+1)))^(pair!$I$42+1)-pair!$H$42*(pair!$G$42/(pair!$K$42*(A46+1)))^(pair!$H$42+1))</f>
        <v>3.9141688686004955E-2</v>
      </c>
      <c r="K46" s="1">
        <f>pair!$L$43*(pair!$F$43/pair!$G$43)*(pair!$I$43*(pair!$G$43/(pair!$K$43*(A46+1)))^(pair!$I$43+1)-pair!$H$43*(pair!$G$43/(pair!$K$43*(A46+1)))^(pair!$H$43+1))</f>
        <v>7.8283377372009907E-3</v>
      </c>
      <c r="L46" s="1">
        <f>pair!$L$44*(pair!$F$44/pair!$G$44)*(pair!$I$44*(pair!$G$44/(pair!$K$44*(A46+1)))^(pair!$I$44+1)-pair!$H$44*(pair!$G$44/(pair!$K$44*(A46+1)))^(pair!$H$44+1))</f>
        <v>1.2023218102259782E-3</v>
      </c>
      <c r="M46" s="1">
        <f>pair!$L$45*(pair!$F$45/pair!$G$45)*(pair!$I$45*(pair!$G$45/(pair!$K$45*(A46+1)))^(pair!$I$45+1)-pair!$H$45*(pair!$G$45/(pair!$K$45*(A46+1)))^(pair!$H$45+1))</f>
        <v>2.1745382603336076E-2</v>
      </c>
    </row>
    <row r="47" spans="1:13" x14ac:dyDescent="0.3">
      <c r="A47" s="1">
        <f t="shared" si="0"/>
        <v>0.13999999999999999</v>
      </c>
      <c r="B47" s="1">
        <f>bonded!$E$2*bonded!$F$2*A47</f>
        <v>20.999999999999996</v>
      </c>
      <c r="C47" s="1">
        <f>bonded!$E$3*bonded!$F$3*A47</f>
        <v>10.499999999999998</v>
      </c>
      <c r="D47" s="1">
        <f>bonded!$E$4*bonded!$F$4*A47</f>
        <v>12.599999999999998</v>
      </c>
      <c r="E47" s="1">
        <f>(bonded!$E$7*((bonded!$K$7*(A47+1))/(1-((bonded!$K$7*(A47+1))/bonded!$F$7)^2)))+24*(bonded!$G$7/bonded!$H$7)*((bonded!$H$7/(bonded!$K$7*(A47+1)))^7-2*(bonded!$H$7/(bonded!$K$7*(A47+1)))^13)</f>
        <v>2.0047509429604058</v>
      </c>
      <c r="F47" s="1">
        <f>2*bonded!$F$10*bonded!$E$10*(EXP(-bonded!$F$10*bonded!$G$10*A47)-EXP(-2*bonded!$F$10*bonded!$G$10*A47))</f>
        <v>0.30646293980927614</v>
      </c>
      <c r="G47" s="1">
        <f>2*bonded!$F$11*bonded!$E$11*(EXP(-bonded!$F$11*bonded!$G$11*A47)-EXP(-2*bonded!$F$11*bonded!$G$11*A47))</f>
        <v>0.11778260679375024</v>
      </c>
      <c r="H47" s="1">
        <f>2*bonded!$F$12*bonded!$E$12*(EXP(-bonded!$F$12*bonded!$G$12*A47)-EXP(-2*bonded!$F$12*bonded!$G$12*A47))</f>
        <v>6.7313975469017032E-2</v>
      </c>
      <c r="I47" s="1">
        <f>2*bonded!$F$13*bonded!$E$13*(EXP(-bonded!$F$13*bonded!$G$13*A47)-EXP(-2*bonded!$F$13*bonded!$G$13*A47))</f>
        <v>0.25733506393420508</v>
      </c>
      <c r="J47" s="1">
        <f>pair!$L$42*(pair!$F$42/pair!$G$42)*(pair!$I$42*(pair!$G$42/(pair!$K$42*(A47+1)))^(pair!$I$42+1)-pair!$H$42*(pair!$G$42/(pair!$K$42*(A47+1)))^(pair!$H$42+1))</f>
        <v>3.8968053903290577E-2</v>
      </c>
      <c r="K47" s="1">
        <f>pair!$L$43*(pair!$F$43/pair!$G$43)*(pair!$I$43*(pair!$G$43/(pair!$K$43*(A47+1)))^(pair!$I$43+1)-pair!$H$43*(pair!$G$43/(pair!$K$43*(A47+1)))^(pair!$H$43+1))</f>
        <v>7.7936107806581122E-3</v>
      </c>
      <c r="L47" s="1">
        <f>pair!$L$44*(pair!$F$44/pair!$G$44)*(pair!$I$44*(pair!$G$44/(pair!$K$44*(A47+1)))^(pair!$I$44+1)-pair!$H$44*(pair!$G$44/(pair!$K$44*(A47+1)))^(pair!$H$44+1))</f>
        <v>1.244822814737606E-3</v>
      </c>
      <c r="M47" s="1">
        <f>pair!$L$45*(pair!$F$45/pair!$G$45)*(pair!$I$45*(pair!$G$45/(pair!$K$45*(A47+1)))^(pair!$I$45+1)-pair!$H$45*(pair!$G$45/(pair!$K$45*(A47+1)))^(pair!$H$45+1))</f>
        <v>2.1648918835161419E-2</v>
      </c>
    </row>
    <row r="48" spans="1:13" x14ac:dyDescent="0.3">
      <c r="A48" s="1">
        <f t="shared" si="0"/>
        <v>0.15</v>
      </c>
      <c r="B48" s="1">
        <f>bonded!$E$2*bonded!$F$2*A48</f>
        <v>22.5</v>
      </c>
      <c r="C48" s="1">
        <f>bonded!$E$3*bonded!$F$3*A48</f>
        <v>11.25</v>
      </c>
      <c r="D48" s="1">
        <f>bonded!$E$4*bonded!$F$4*A48</f>
        <v>13.5</v>
      </c>
      <c r="E48" s="1">
        <f>(bonded!$E$7*((bonded!$K$7*(A48+1))/(1-((bonded!$K$7*(A48+1))/bonded!$F$7)^2)))+24*(bonded!$G$7/bonded!$H$7)*((bonded!$H$7/(bonded!$K$7*(A48+1)))^7-2*(bonded!$H$7/(bonded!$K$7*(A48+1)))^13)</f>
        <v>2.0810874990290724</v>
      </c>
      <c r="F48" s="1">
        <f>2*bonded!$F$10*bonded!$E$10*(EXP(-bonded!$F$10*bonded!$G$10*A48)-EXP(-2*bonded!$F$10*bonded!$G$10*A48))</f>
        <v>0.31072242206793199</v>
      </c>
      <c r="G48" s="1">
        <f>2*bonded!$F$11*bonded!$E$11*(EXP(-bonded!$F$11*bonded!$G$11*A48)-EXP(-2*bonded!$F$11*bonded!$G$11*A48))</f>
        <v>0.11962280950551805</v>
      </c>
      <c r="H48" s="1">
        <f>2*bonded!$F$12*bonded!$E$12*(EXP(-bonded!$F$12*bonded!$G$12*A48)-EXP(-2*bonded!$F$12*bonded!$G$12*A48))</f>
        <v>6.8499851091109121E-2</v>
      </c>
      <c r="I48" s="1">
        <f>2*bonded!$F$13*bonded!$E$13*(EXP(-bonded!$F$13*bonded!$G$13*A48)-EXP(-2*bonded!$F$13*bonded!$G$13*A48))</f>
        <v>0.26082482476733443</v>
      </c>
      <c r="J48" s="1">
        <f>pair!$L$42*(pair!$F$42/pair!$G$42)*(pair!$I$42*(pair!$G$42/(pair!$K$42*(A48+1)))^(pair!$I$42+1)-pair!$H$42*(pair!$G$42/(pair!$K$42*(A48+1)))^(pair!$H$42+1))</f>
        <v>3.8625700140368022E-2</v>
      </c>
      <c r="K48" s="1">
        <f>pair!$L$43*(pair!$F$43/pair!$G$43)*(pair!$I$43*(pair!$G$43/(pair!$K$43*(A48+1)))^(pair!$I$43+1)-pair!$H$43*(pair!$G$43/(pair!$K$43*(A48+1)))^(pair!$H$43+1))</f>
        <v>7.7251400280736035E-3</v>
      </c>
      <c r="L48" s="1">
        <f>pair!$L$44*(pair!$F$44/pair!$G$44)*(pair!$I$44*(pair!$G$44/(pair!$K$44*(A48+1)))^(pair!$I$44+1)-pair!$H$44*(pair!$G$44/(pair!$K$44*(A48+1)))^(pair!$H$44+1))</f>
        <v>1.2827159770695885E-3</v>
      </c>
      <c r="M48" s="1">
        <f>pair!$L$45*(pair!$F$45/pair!$G$45)*(pair!$I$45*(pair!$G$45/(pair!$K$45*(A48+1)))^(pair!$I$45+1)-pair!$H$45*(pair!$G$45/(pair!$K$45*(A48+1)))^(pair!$H$45+1))</f>
        <v>2.1458722300204458E-2</v>
      </c>
    </row>
    <row r="49" spans="1:13" x14ac:dyDescent="0.3">
      <c r="A49" s="1">
        <f t="shared" si="0"/>
        <v>0.16</v>
      </c>
      <c r="B49" s="1">
        <f>bonded!$E$2*bonded!$F$2*A49</f>
        <v>24</v>
      </c>
      <c r="C49" s="1">
        <f>bonded!$E$3*bonded!$F$3*A49</f>
        <v>12</v>
      </c>
      <c r="D49" s="1">
        <f>bonded!$E$4*bonded!$F$4*A49</f>
        <v>14.4</v>
      </c>
      <c r="E49" s="1">
        <f>(bonded!$E$7*((bonded!$K$7*(A49+1))/(1-((bonded!$K$7*(A49+1))/bonded!$F$7)^2)))+24*(bonded!$G$7/bonded!$H$7)*((bonded!$H$7/(bonded!$K$7*(A49+1)))^7-2*(bonded!$H$7/(bonded!$K$7*(A49+1)))^13)</f>
        <v>2.1554050472369517</v>
      </c>
      <c r="F49" s="1">
        <f>2*bonded!$F$10*bonded!$E$10*(EXP(-bonded!$F$10*bonded!$G$10*A49)-EXP(-2*bonded!$F$10*bonded!$G$10*A49))</f>
        <v>0.31367796024779154</v>
      </c>
      <c r="G49" s="1">
        <f>2*bonded!$F$11*bonded!$E$11*(EXP(-bonded!$F$11*bonded!$G$11*A49)-EXP(-2*bonded!$F$11*bonded!$G$11*A49))</f>
        <v>0.12096520312675038</v>
      </c>
      <c r="H49" s="1">
        <f>2*bonded!$F$12*bonded!$E$12*(EXP(-bonded!$F$12*bonded!$G$12*A49)-EXP(-2*bonded!$F$12*bonded!$G$12*A49))</f>
        <v>6.9403939783125923E-2</v>
      </c>
      <c r="I49" s="1">
        <f>2*bonded!$F$13*bonded!$E$13*(EXP(-bonded!$F$13*bonded!$G$13*A49)-EXP(-2*bonded!$F$13*bonded!$G$13*A49))</f>
        <v>0.26321842994629302</v>
      </c>
      <c r="J49" s="1">
        <f>pair!$L$42*(pair!$F$42/pair!$G$42)*(pair!$I$42*(pair!$G$42/(pair!$K$42*(A49+1)))^(pair!$I$42+1)-pair!$H$42*(pair!$G$42/(pair!$K$42*(A49+1)))^(pair!$H$42+1))</f>
        <v>3.8143777931669669E-2</v>
      </c>
      <c r="K49" s="1">
        <f>pair!$L$43*(pair!$F$43/pair!$G$43)*(pair!$I$43*(pair!$G$43/(pair!$K$43*(A49+1)))^(pair!$I$43+1)-pair!$H$43*(pair!$G$43/(pair!$K$43*(A49+1)))^(pair!$H$43+1))</f>
        <v>7.6287555863339337E-3</v>
      </c>
      <c r="L49" s="1">
        <f>pair!$L$44*(pair!$F$44/pair!$G$44)*(pair!$I$44*(pair!$G$44/(pair!$K$44*(A49+1)))^(pair!$I$44+1)-pair!$H$44*(pair!$G$44/(pair!$K$44*(A49+1)))^(pair!$H$44+1))</f>
        <v>1.3163572650171868E-3</v>
      </c>
      <c r="M49" s="1">
        <f>pair!$L$45*(pair!$F$45/pair!$G$45)*(pair!$I$45*(pair!$G$45/(pair!$K$45*(A49+1)))^(pair!$I$45+1)-pair!$H$45*(pair!$G$45/(pair!$K$45*(A49+1)))^(pair!$H$45+1))</f>
        <v>2.1190987739816477E-2</v>
      </c>
    </row>
    <row r="50" spans="1:13" x14ac:dyDescent="0.3">
      <c r="A50" s="1">
        <f t="shared" si="0"/>
        <v>0.17</v>
      </c>
      <c r="B50" s="1">
        <f>bonded!$E$2*bonded!$F$2*A50</f>
        <v>25.500000000000004</v>
      </c>
      <c r="C50" s="1">
        <f>bonded!$E$3*bonded!$F$3*A50</f>
        <v>12.750000000000002</v>
      </c>
      <c r="D50" s="1">
        <f>bonded!$E$4*bonded!$F$4*A50</f>
        <v>15.3</v>
      </c>
      <c r="E50" s="1">
        <f>(bonded!$E$7*((bonded!$K$7*(A50+1))/(1-((bonded!$K$7*(A50+1))/bonded!$F$7)^2)))+24*(bonded!$G$7/bonded!$H$7)*((bonded!$H$7/(bonded!$K$7*(A50+1)))^7-2*(bonded!$H$7/(bonded!$K$7*(A50+1)))^13)</f>
        <v>2.2283893848308676</v>
      </c>
      <c r="F50" s="1">
        <f>2*bonded!$F$10*bonded!$E$10*(EXP(-bonded!$F$10*bonded!$G$10*A50)-EXP(-2*bonded!$F$10*bonded!$G$10*A50))</f>
        <v>0.31546181671882872</v>
      </c>
      <c r="G50" s="1">
        <f>2*bonded!$F$11*bonded!$E$11*(EXP(-bonded!$F$11*bonded!$G$11*A50)-EXP(-2*bonded!$F$11*bonded!$G$11*A50))</f>
        <v>0.12185831253350678</v>
      </c>
      <c r="H50" s="1">
        <f>2*bonded!$F$12*bonded!$E$12*(EXP(-bonded!$F$12*bonded!$G$12*A50)-EXP(-2*bonded!$F$12*bonded!$G$12*A50))</f>
        <v>7.00524550593635E-2</v>
      </c>
      <c r="I50" s="1">
        <f>2*bonded!$F$13*bonded!$E$13*(EXP(-bonded!$F$13*bonded!$G$13*A50)-EXP(-2*bonded!$F$13*bonded!$G$13*A50))</f>
        <v>0.26462792735466834</v>
      </c>
      <c r="J50" s="1">
        <f>pair!$L$42*(pair!$F$42/pair!$G$42)*(pair!$I$42*(pair!$G$42/(pair!$K$42*(A50+1)))^(pair!$I$42+1)-pair!$H$42*(pair!$G$42/(pair!$K$42*(A50+1)))^(pair!$H$42+1))</f>
        <v>3.7547398281126527E-2</v>
      </c>
      <c r="K50" s="1">
        <f>pair!$L$43*(pair!$F$43/pair!$G$43)*(pair!$I$43*(pair!$G$43/(pair!$K$43*(A50+1)))^(pair!$I$43+1)-pair!$H$43*(pair!$G$43/(pair!$K$43*(A50+1)))^(pair!$H$43+1))</f>
        <v>7.5094796562253053E-3</v>
      </c>
      <c r="L50" s="1">
        <f>pair!$L$44*(pair!$F$44/pair!$G$44)*(pair!$I$44*(pair!$G$44/(pair!$K$44*(A50+1)))^(pair!$I$44+1)-pair!$H$44*(pair!$G$44/(pair!$K$44*(A50+1)))^(pair!$H$44+1))</f>
        <v>1.346075232774102E-3</v>
      </c>
      <c r="M50" s="1">
        <f>pair!$L$45*(pair!$F$45/pair!$G$45)*(pair!$I$45*(pair!$G$45/(pair!$K$45*(A50+1)))^(pair!$I$45+1)-pair!$H$45*(pair!$G$45/(pair!$K$45*(A50+1)))^(pair!$H$45+1))</f>
        <v>2.0859665711736971E-2</v>
      </c>
    </row>
    <row r="51" spans="1:13" x14ac:dyDescent="0.3">
      <c r="A51" s="1">
        <f t="shared" si="0"/>
        <v>0.18000000000000002</v>
      </c>
      <c r="B51" s="1">
        <f>bonded!$E$2*bonded!$F$2*A51</f>
        <v>27.000000000000004</v>
      </c>
      <c r="C51" s="1">
        <f>bonded!$E$3*bonded!$F$3*A51</f>
        <v>13.500000000000002</v>
      </c>
      <c r="D51" s="1">
        <f>bonded!$E$4*bonded!$F$4*A51</f>
        <v>16.200000000000003</v>
      </c>
      <c r="E51" s="1">
        <f>(bonded!$E$7*((bonded!$K$7*(A51+1))/(1-((bonded!$K$7*(A51+1))/bonded!$F$7)^2)))+24*(bonded!$G$7/bonded!$H$7)*((bonded!$H$7/(bonded!$K$7*(A51+1)))^7-2*(bonded!$H$7/(bonded!$K$7*(A51+1)))^13)</f>
        <v>2.3006584150741651</v>
      </c>
      <c r="F51" s="1">
        <f>2*bonded!$F$10*bonded!$E$10*(EXP(-bonded!$F$10*bonded!$G$10*A51)-EXP(-2*bonded!$F$10*bonded!$G$10*A51))</f>
        <v>0.31619521096821002</v>
      </c>
      <c r="G51" s="1">
        <f>2*bonded!$F$11*bonded!$E$11*(EXP(-bonded!$F$11*bonded!$G$11*A51)-EXP(-2*bonded!$F$11*bonded!$G$11*A51))</f>
        <v>0.12234674644071933</v>
      </c>
      <c r="H51" s="1">
        <f>2*bonded!$F$12*bonded!$E$12*(EXP(-bonded!$F$12*bonded!$G$12*A51)-EXP(-2*bonded!$F$12*bonded!$G$12*A51))</f>
        <v>7.0469578533857921E-2</v>
      </c>
      <c r="I51" s="1">
        <f>2*bonded!$F$13*bonded!$E$13*(EXP(-bonded!$F$13*bonded!$G$13*A51)-EXP(-2*bonded!$F$13*bonded!$G$13*A51))</f>
        <v>0.26515594824512034</v>
      </c>
      <c r="J51" s="1">
        <f>pair!$L$42*(pair!$F$42/pair!$G$42)*(pair!$I$42*(pair!$G$42/(pair!$K$42*(A51+1)))^(pair!$I$42+1)-pair!$H$42*(pair!$G$42/(pair!$K$42*(A51+1)))^(pair!$H$42+1))</f>
        <v>3.6858169886516925E-2</v>
      </c>
      <c r="K51" s="1">
        <f>pair!$L$43*(pair!$F$43/pair!$G$43)*(pair!$I$43*(pair!$G$43/(pair!$K$43*(A51+1)))^(pair!$I$43+1)-pair!$H$43*(pair!$G$43/(pair!$K$43*(A51+1)))^(pair!$H$43+1))</f>
        <v>7.3716339773033848E-3</v>
      </c>
      <c r="L51" s="1">
        <f>pair!$L$44*(pair!$F$44/pair!$G$44)*(pair!$I$44*(pair!$G$44/(pair!$K$44*(A51+1)))^(pair!$I$44+1)-pair!$H$44*(pair!$G$44/(pair!$K$44*(A51+1)))^(pair!$H$44+1))</f>
        <v>1.3721732515906556E-3</v>
      </c>
      <c r="M51" s="1">
        <f>pair!$L$45*(pair!$F$45/pair!$G$45)*(pair!$I$45*(pair!$G$45/(pair!$K$45*(A51+1)))^(pair!$I$45+1)-pair!$H$45*(pair!$G$45/(pair!$K$45*(A51+1)))^(pair!$H$45+1))</f>
        <v>2.0476761048064958E-2</v>
      </c>
    </row>
    <row r="52" spans="1:13" x14ac:dyDescent="0.3">
      <c r="A52" s="1">
        <f t="shared" si="0"/>
        <v>0.19000000000000003</v>
      </c>
      <c r="B52" s="1">
        <f>bonded!$E$2*bonded!$F$2*A52</f>
        <v>28.500000000000004</v>
      </c>
      <c r="C52" s="1">
        <f>bonded!$E$3*bonded!$F$3*A52</f>
        <v>14.250000000000002</v>
      </c>
      <c r="D52" s="1">
        <f>bonded!$E$4*bonded!$F$4*A52</f>
        <v>17.100000000000001</v>
      </c>
      <c r="E52" s="1">
        <f>(bonded!$E$7*((bonded!$K$7*(A52+1))/(1-((bonded!$K$7*(A52+1))/bonded!$F$7)^2)))+24*(bonded!$G$7/bonded!$H$7)*((bonded!$H$7/(bonded!$K$7*(A52+1)))^7-2*(bonded!$H$7/(bonded!$K$7*(A52+1)))^13)</f>
        <v>2.3727743157376531</v>
      </c>
      <c r="F52" s="1">
        <f>2*bonded!$F$10*bonded!$E$10*(EXP(-bonded!$F$10*bonded!$G$10*A52)-EXP(-2*bonded!$F$10*bonded!$G$10*A52))</f>
        <v>0.31598917793186188</v>
      </c>
      <c r="G52" s="1">
        <f>2*bonded!$F$11*bonded!$E$11*(EXP(-bonded!$F$11*bonded!$G$11*A52)-EXP(-2*bonded!$F$11*bonded!$G$11*A52))</f>
        <v>0.1224714921117819</v>
      </c>
      <c r="H52" s="1">
        <f>2*bonded!$F$12*bonded!$E$12*(EXP(-bonded!$F$12*bonded!$G$12*A52)-EXP(-2*bonded!$F$12*bonded!$G$12*A52))</f>
        <v>7.0677607053676678E-2</v>
      </c>
      <c r="I52" s="1">
        <f>2*bonded!$F$13*bonded!$E$13*(EXP(-bonded!$F$13*bonded!$G$13*A52)-EXP(-2*bonded!$F$13*bonded!$G$13*A52))</f>
        <v>0.2648964437380264</v>
      </c>
      <c r="J52" s="1">
        <f>pair!$L$42*(pair!$F$42/pair!$G$42)*(pair!$I$42*(pair!$G$42/(pair!$K$42*(A52+1)))^(pair!$I$42+1)-pair!$H$42*(pair!$G$42/(pair!$K$42*(A52+1)))^(pair!$H$42+1))</f>
        <v>3.6094664352862384E-2</v>
      </c>
      <c r="K52" s="1">
        <f>pair!$L$43*(pair!$F$43/pair!$G$43)*(pair!$I$43*(pair!$G$43/(pair!$K$43*(A52+1)))^(pair!$I$43+1)-pair!$H$43*(pair!$G$43/(pair!$K$43*(A52+1)))^(pair!$H$43+1))</f>
        <v>7.2189328705724769E-3</v>
      </c>
      <c r="L52" s="1">
        <f>pair!$L$44*(pair!$F$44/pair!$G$44)*(pair!$I$44*(pair!$G$44/(pair!$K$44*(A52+1)))^(pair!$I$44+1)-pair!$H$44*(pair!$G$44/(pair!$K$44*(A52+1)))^(pair!$H$44+1))</f>
        <v>1.3949315459551349E-3</v>
      </c>
      <c r="M52" s="1">
        <f>pair!$L$45*(pair!$F$45/pair!$G$45)*(pair!$I$45*(pair!$G$45/(pair!$K$45*(A52+1)))^(pair!$I$45+1)-pair!$H$45*(pair!$G$45/(pair!$K$45*(A52+1)))^(pair!$H$45+1))</f>
        <v>2.0052591307145772E-2</v>
      </c>
    </row>
    <row r="53" spans="1:13" x14ac:dyDescent="0.3">
      <c r="A53" s="1">
        <f t="shared" si="0"/>
        <v>0.20000000000000004</v>
      </c>
      <c r="B53" s="1">
        <f>bonded!$E$2*bonded!$F$2*A53</f>
        <v>30.000000000000007</v>
      </c>
      <c r="C53" s="1">
        <f>bonded!$E$3*bonded!$F$3*A53</f>
        <v>15.000000000000004</v>
      </c>
      <c r="D53" s="1">
        <f>bonded!$E$4*bonded!$F$4*A53</f>
        <v>18.000000000000004</v>
      </c>
      <c r="E53" s="1">
        <f>(bonded!$E$7*((bonded!$K$7*(A53+1))/(1-((bonded!$K$7*(A53+1))/bonded!$F$7)^2)))+24*(bonded!$G$7/bonded!$H$7)*((bonded!$H$7/(bonded!$K$7*(A53+1)))^7-2*(bonded!$H$7/(bonded!$K$7*(A53+1)))^13)</f>
        <v>2.4452542308751646</v>
      </c>
      <c r="F53" s="1">
        <f>2*bonded!$F$10*bonded!$E$10*(EXP(-bonded!$F$10*bonded!$G$10*A53)-EXP(-2*bonded!$F$10*bonded!$G$10*A53))</f>
        <v>0.31494536168552989</v>
      </c>
      <c r="G53" s="1">
        <f>2*bonded!$F$11*bonded!$E$11*(EXP(-bonded!$F$11*bonded!$G$11*A53)-EXP(-2*bonded!$F$11*bonded!$G$11*A53))</f>
        <v>0.12227018856573363</v>
      </c>
      <c r="H53" s="1">
        <f>2*bonded!$F$12*bonded!$E$12*(EXP(-bonded!$F$12*bonded!$G$12*A53)-EXP(-2*bonded!$F$12*bonded!$G$12*A53))</f>
        <v>7.0697089495195722E-2</v>
      </c>
      <c r="I53" s="1">
        <f>2*bonded!$F$13*bonded!$E$13*(EXP(-bonded!$F$13*bonded!$G$13*A53)-EXP(-2*bonded!$F$13*bonded!$G$13*A53))</f>
        <v>0.26393536551561531</v>
      </c>
      <c r="J53" s="1">
        <f>pair!$L$42*(pair!$F$42/pair!$G$42)*(pair!$I$42*(pair!$G$42/(pair!$K$42*(A53+1)))^(pair!$I$42+1)-pair!$H$42*(pair!$G$42/(pair!$K$42*(A53+1)))^(pair!$H$42+1))</f>
        <v>3.5272819303142307E-2</v>
      </c>
      <c r="K53" s="1">
        <f>pair!$L$43*(pair!$F$43/pair!$G$43)*(pair!$I$43*(pair!$G$43/(pair!$K$43*(A53+1)))^(pair!$I$43+1)-pair!$H$43*(pair!$G$43/(pair!$K$43*(A53+1)))^(pair!$H$43+1))</f>
        <v>7.0545638606284607E-3</v>
      </c>
      <c r="L53" s="1">
        <f>pair!$L$44*(pair!$F$44/pair!$G$44)*(pair!$I$44*(pair!$G$44/(pair!$K$44*(A53+1)))^(pair!$I$44+1)-pair!$H$44*(pair!$G$44/(pair!$K$44*(A53+1)))^(pair!$H$44+1))</f>
        <v>1.4146090534979435E-3</v>
      </c>
      <c r="M53" s="1">
        <f>pair!$L$45*(pair!$F$45/pair!$G$45)*(pair!$I$45*(pair!$G$45/(pair!$K$45*(A53+1)))^(pair!$I$45+1)-pair!$H$45*(pair!$G$45/(pair!$K$45*(A53+1)))^(pair!$H$45+1))</f>
        <v>1.9596010723967942E-2</v>
      </c>
    </row>
    <row r="54" spans="1:13" x14ac:dyDescent="0.3">
      <c r="A54" s="1">
        <f t="shared" si="0"/>
        <v>0.21000000000000005</v>
      </c>
      <c r="B54" s="1">
        <f>bonded!$E$2*bonded!$F$2*A54</f>
        <v>31.500000000000007</v>
      </c>
      <c r="C54" s="1">
        <f>bonded!$E$3*bonded!$F$3*A54</f>
        <v>15.750000000000004</v>
      </c>
      <c r="D54" s="1">
        <f>bonded!$E$4*bonded!$F$4*A54</f>
        <v>18.900000000000006</v>
      </c>
      <c r="E54" s="1">
        <f>(bonded!$E$7*((bonded!$K$7*(A54+1))/(1-((bonded!$K$7*(A54+1))/bonded!$F$7)^2)))+24*(bonded!$G$7/bonded!$H$7)*((bonded!$H$7/(bonded!$K$7*(A54+1)))^7-2*(bonded!$H$7/(bonded!$K$7*(A54+1)))^13)</f>
        <v>2.5185797543226887</v>
      </c>
      <c r="F54" s="1">
        <f>2*bonded!$F$10*bonded!$E$10*(EXP(-bonded!$F$10*bonded!$G$10*A54)-EXP(-2*bonded!$F$10*bonded!$G$10*A54))</f>
        <v>0.31315674929071469</v>
      </c>
      <c r="G54" s="1">
        <f>2*bonded!$F$11*bonded!$E$11*(EXP(-bonded!$F$11*bonded!$G$11*A54)-EXP(-2*bonded!$F$11*bonded!$G$11*A54))</f>
        <v>0.12177737982792566</v>
      </c>
      <c r="H54" s="1">
        <f>2*bonded!$F$12*bonded!$E$12*(EXP(-bonded!$F$12*bonded!$G$12*A54)-EXP(-2*bonded!$F$12*bonded!$G$12*A54))</f>
        <v>7.0546953939214327E-2</v>
      </c>
      <c r="I54" s="1">
        <f>2*bonded!$F$13*bonded!$E$13*(EXP(-bonded!$F$13*bonded!$G$13*A54)-EXP(-2*bonded!$F$13*bonded!$G$13*A54))</f>
        <v>0.26235129487654502</v>
      </c>
      <c r="J54" s="1">
        <f>pair!$L$42*(pair!$F$42/pair!$G$42)*(pair!$I$42*(pair!$G$42/(pair!$K$42*(A54+1)))^(pair!$I$42+1)-pair!$H$42*(pair!$G$42/(pair!$K$42*(A54+1)))^(pair!$H$42+1))</f>
        <v>3.4406287884580881E-2</v>
      </c>
      <c r="K54" s="1">
        <f>pair!$L$43*(pair!$F$43/pair!$G$43)*(pair!$I$43*(pair!$G$43/(pair!$K$43*(A54+1)))^(pair!$I$43+1)-pair!$H$43*(pair!$G$43/(pair!$K$43*(A54+1)))^(pair!$H$43+1))</f>
        <v>6.8812575769161763E-3</v>
      </c>
      <c r="L54" s="1">
        <f>pair!$L$44*(pair!$F$44/pair!$G$44)*(pair!$I$44*(pair!$G$44/(pair!$K$44*(A54+1)))^(pair!$I$44+1)-pair!$H$44*(pair!$G$44/(pair!$K$44*(A54+1)))^(pair!$H$44+1))</f>
        <v>1.4314451249939659E-3</v>
      </c>
      <c r="M54" s="1">
        <f>pair!$L$45*(pair!$F$45/pair!$G$45)*(pair!$I$45*(pair!$G$45/(pair!$K$45*(A54+1)))^(pair!$I$45+1)-pair!$H$45*(pair!$G$45/(pair!$K$45*(A54+1)))^(pair!$H$45+1))</f>
        <v>1.9114604380322725E-2</v>
      </c>
    </row>
    <row r="55" spans="1:13" x14ac:dyDescent="0.3">
      <c r="A55" s="1">
        <f t="shared" si="0"/>
        <v>0.22000000000000006</v>
      </c>
      <c r="B55" s="1">
        <f>bonded!$E$2*bonded!$F$2*A55</f>
        <v>33.000000000000007</v>
      </c>
      <c r="C55" s="1">
        <f>bonded!$E$3*bonded!$F$3*A55</f>
        <v>16.500000000000004</v>
      </c>
      <c r="D55" s="1">
        <f>bonded!$E$4*bonded!$F$4*A55</f>
        <v>19.800000000000004</v>
      </c>
      <c r="E55" s="1">
        <f>(bonded!$E$7*((bonded!$K$7*(A55+1))/(1-((bonded!$K$7*(A55+1))/bonded!$F$7)^2)))+24*(bonded!$G$7/bonded!$H$7)*((bonded!$H$7/(bonded!$K$7*(A55+1)))^7-2*(bonded!$H$7/(bonded!$K$7*(A55+1)))^13)</f>
        <v>2.5932054386682926</v>
      </c>
      <c r="F55" s="1">
        <f>2*bonded!$F$10*bonded!$E$10*(EXP(-bonded!$F$10*bonded!$G$10*A55)-EXP(-2*bonded!$F$10*bonded!$G$10*A55))</f>
        <v>0.31070834923774915</v>
      </c>
      <c r="G55" s="1">
        <f>2*bonded!$F$11*bonded!$E$11*(EXP(-bonded!$F$11*bonded!$G$11*A55)-EXP(-2*bonded!$F$11*bonded!$G$11*A55))</f>
        <v>0.12102474965972468</v>
      </c>
      <c r="H55" s="1">
        <f>2*bonded!$F$12*bonded!$E$12*(EXP(-bonded!$F$12*bonded!$G$12*A55)-EXP(-2*bonded!$F$12*bonded!$G$12*A55))</f>
        <v>7.0244625891536197E-2</v>
      </c>
      <c r="I55" s="1">
        <f>2*bonded!$F$13*bonded!$E$13*(EXP(-bonded!$F$13*bonded!$G$13*A55)-EXP(-2*bonded!$F$13*bonded!$G$13*A55))</f>
        <v>0.26021602400732863</v>
      </c>
      <c r="J55" s="1">
        <f>pair!$L$42*(pair!$F$42/pair!$G$42)*(pair!$I$42*(pair!$G$42/(pair!$K$42*(A55+1)))^(pair!$I$42+1)-pair!$H$42*(pair!$G$42/(pair!$K$42*(A55+1)))^(pair!$H$42+1))</f>
        <v>3.3506741966892503E-2</v>
      </c>
      <c r="K55" s="1">
        <f>pair!$L$43*(pair!$F$43/pair!$G$43)*(pair!$I$43*(pair!$G$43/(pair!$K$43*(A55+1)))^(pair!$I$43+1)-pair!$H$43*(pair!$G$43/(pair!$K$43*(A55+1)))^(pair!$H$43+1))</f>
        <v>6.7013483933785001E-3</v>
      </c>
      <c r="L55" s="1">
        <f>pair!$L$44*(pair!$F$44/pair!$G$44)*(pair!$I$44*(pair!$G$44/(pair!$K$44*(A55+1)))^(pair!$I$44+1)-pair!$H$44*(pair!$G$44/(pair!$K$44*(A55+1)))^(pair!$H$44+1))</f>
        <v>1.4456610792094864E-3</v>
      </c>
      <c r="M55" s="1">
        <f>pair!$L$45*(pair!$F$45/pair!$G$45)*(pair!$I$45*(pair!$G$45/(pair!$K$45*(A55+1)))^(pair!$I$45+1)-pair!$H$45*(pair!$G$45/(pair!$K$45*(A55+1)))^(pair!$H$45+1))</f>
        <v>1.8614856648273614E-2</v>
      </c>
    </row>
    <row r="56" spans="1:13" x14ac:dyDescent="0.3">
      <c r="A56" s="1">
        <f t="shared" si="0"/>
        <v>0.23000000000000007</v>
      </c>
      <c r="B56" s="1">
        <f>bonded!$E$2*bonded!$F$2*A56</f>
        <v>34.500000000000007</v>
      </c>
      <c r="C56" s="1">
        <f>bonded!$E$3*bonded!$F$3*A56</f>
        <v>17.250000000000004</v>
      </c>
      <c r="D56" s="1">
        <f>bonded!$E$4*bonded!$F$4*A56</f>
        <v>20.700000000000006</v>
      </c>
      <c r="E56" s="1">
        <f>(bonded!$E$7*((bonded!$K$7*(A56+1))/(1-((bonded!$K$7*(A56+1))/bonded!$F$7)^2)))+24*(bonded!$G$7/bonded!$H$7)*((bonded!$H$7/(bonded!$K$7*(A56+1)))^7-2*(bonded!$H$7/(bonded!$K$7*(A56+1)))^13)</f>
        <v>2.6695665359603682</v>
      </c>
      <c r="F56" s="1">
        <f>2*bonded!$F$10*bonded!$E$10*(EXP(-bonded!$F$10*bonded!$G$10*A56)-EXP(-2*bonded!$F$10*bonded!$G$10*A56))</f>
        <v>0.30767781860106569</v>
      </c>
      <c r="G56" s="1">
        <f>2*bonded!$F$11*bonded!$E$11*(EXP(-bonded!$F$11*bonded!$G$11*A56)-EXP(-2*bonded!$F$11*bonded!$G$11*A56))</f>
        <v>0.12004133910031664</v>
      </c>
      <c r="H56" s="1">
        <f>2*bonded!$F$12*bonded!$E$12*(EXP(-bonded!$F$12*bonded!$G$12*A56)-EXP(-2*bonded!$F$12*bonded!$G$12*A56))</f>
        <v>6.9806138169795029E-2</v>
      </c>
      <c r="I56" s="1">
        <f>2*bonded!$F$13*bonded!$E$13*(EXP(-bonded!$F$13*bonded!$G$13*A56)-EXP(-2*bonded!$F$13*bonded!$G$13*A56))</f>
        <v>0.25759509304124301</v>
      </c>
      <c r="J56" s="1">
        <f>pair!$L$42*(pair!$F$42/pair!$G$42)*(pair!$I$42*(pair!$G$42/(pair!$K$42*(A56+1)))^(pair!$I$42+1)-pair!$H$42*(pair!$G$42/(pair!$K$42*(A56+1)))^(pair!$H$42+1))</f>
        <v>3.2584135303247358E-2</v>
      </c>
      <c r="K56" s="1">
        <f>pair!$L$43*(pair!$F$43/pair!$G$43)*(pair!$I$43*(pair!$G$43/(pair!$K$43*(A56+1)))^(pair!$I$43+1)-pair!$H$43*(pair!$G$43/(pair!$K$43*(A56+1)))^(pair!$H$43+1))</f>
        <v>6.5168270606494718E-3</v>
      </c>
      <c r="L56" s="1">
        <f>pair!$L$44*(pair!$F$44/pair!$G$44)*(pair!$I$44*(pair!$G$44/(pair!$K$44*(A56+1)))^(pair!$I$44+1)-pair!$H$44*(pair!$G$44/(pair!$K$44*(A56+1)))^(pair!$H$44+1))</f>
        <v>1.4574616258838781E-3</v>
      </c>
      <c r="M56" s="1">
        <f>pair!$L$45*(pair!$F$45/pair!$G$45)*(pair!$I$45*(pair!$G$45/(pair!$K$45*(A56+1)))^(pair!$I$45+1)-pair!$H$45*(pair!$G$45/(pair!$K$45*(A56+1)))^(pair!$H$45+1))</f>
        <v>1.8102297390692971E-2</v>
      </c>
    </row>
    <row r="57" spans="1:13" x14ac:dyDescent="0.3">
      <c r="A57" s="1">
        <f t="shared" si="0"/>
        <v>0.24000000000000007</v>
      </c>
      <c r="B57" s="1">
        <f>bonded!$E$2*bonded!$F$2*A57</f>
        <v>36.000000000000014</v>
      </c>
      <c r="C57" s="1">
        <f>bonded!$E$3*bonded!$F$3*A57</f>
        <v>18.000000000000007</v>
      </c>
      <c r="D57" s="1">
        <f>bonded!$E$4*bonded!$F$4*A57</f>
        <v>21.600000000000005</v>
      </c>
      <c r="E57" s="1">
        <f>(bonded!$E$7*((bonded!$K$7*(A57+1))/(1-((bonded!$K$7*(A57+1))/bonded!$F$7)^2)))+24*(bonded!$G$7/bonded!$H$7)*((bonded!$H$7/(bonded!$K$7*(A57+1)))^7-2*(bonded!$H$7/(bonded!$K$7*(A57+1)))^13)</f>
        <v>2.7480861552818299</v>
      </c>
      <c r="F57" s="1">
        <f>2*bonded!$F$10*bonded!$E$10*(EXP(-bonded!$F$10*bonded!$G$10*A57)-EXP(-2*bonded!$F$10*bonded!$G$10*A57))</f>
        <v>0.30413604271849681</v>
      </c>
      <c r="G57" s="1">
        <f>2*bonded!$F$11*bonded!$E$11*(EXP(-bonded!$F$11*bonded!$G$11*A57)-EXP(-2*bonded!$F$11*bonded!$G$11*A57))</f>
        <v>0.11885374805847539</v>
      </c>
      <c r="H57" s="1">
        <f>2*bonded!$F$12*bonded!$E$12*(EXP(-bonded!$F$12*bonded!$G$12*A57)-EXP(-2*bonded!$F$12*bonded!$G$12*A57))</f>
        <v>6.9246233034594332E-2</v>
      </c>
      <c r="I57" s="1">
        <f>2*bonded!$F$13*bonded!$E$13*(EXP(-bonded!$F$13*bonded!$G$13*A57)-EXP(-2*bonded!$F$13*bonded!$G$13*A57))</f>
        <v>0.25454828621067133</v>
      </c>
      <c r="J57" s="1">
        <f>pair!$L$42*(pair!$F$42/pair!$G$42)*(pair!$I$42*(pair!$G$42/(pair!$K$42*(A57+1)))^(pair!$I$42+1)-pair!$H$42*(pair!$G$42/(pair!$K$42*(A57+1)))^(pair!$H$42+1))</f>
        <v>3.1646932048518456E-2</v>
      </c>
      <c r="K57" s="1">
        <f>pair!$L$43*(pair!$F$43/pair!$G$43)*(pair!$I$43*(pair!$G$43/(pair!$K$43*(A57+1)))^(pair!$I$43+1)-pair!$H$43*(pair!$G$43/(pair!$K$43*(A57+1)))^(pair!$H$43+1))</f>
        <v>6.3293864097036913E-3</v>
      </c>
      <c r="L57" s="1">
        <f>pair!$L$44*(pair!$F$44/pair!$G$44)*(pair!$I$44*(pair!$G$44/(pair!$K$44*(A57+1)))^(pair!$I$44+1)-pair!$H$44*(pair!$G$44/(pair!$K$44*(A57+1)))^(pair!$H$44+1))</f>
        <v>1.4670361688336479E-3</v>
      </c>
      <c r="M57" s="1">
        <f>pair!$L$45*(pair!$F$45/pair!$G$45)*(pair!$I$45*(pair!$G$45/(pair!$K$45*(A57+1)))^(pair!$I$45+1)-pair!$H$45*(pair!$G$45/(pair!$K$45*(A57+1)))^(pair!$H$45+1))</f>
        <v>1.7581628915843597E-2</v>
      </c>
    </row>
    <row r="58" spans="1:13" x14ac:dyDescent="0.3">
      <c r="A58" s="1">
        <f t="shared" si="0"/>
        <v>0.25000000000000006</v>
      </c>
      <c r="B58" s="1">
        <f>bonded!$E$2*bonded!$F$2*A58</f>
        <v>37.500000000000007</v>
      </c>
      <c r="C58" s="1">
        <f>bonded!$E$3*bonded!$F$3*A58</f>
        <v>18.750000000000004</v>
      </c>
      <c r="D58" s="1">
        <f>bonded!$E$4*bonded!$F$4*A58</f>
        <v>22.500000000000004</v>
      </c>
      <c r="E58" s="1">
        <f>(bonded!$E$7*((bonded!$K$7*(A58+1))/(1-((bonded!$K$7*(A58+1))/bonded!$F$7)^2)))+24*(bonded!$G$7/bonded!$H$7)*((bonded!$H$7/(bonded!$K$7*(A58+1)))^7-2*(bonded!$H$7/(bonded!$K$7*(A58+1)))^13)</f>
        <v>2.8291820068908056</v>
      </c>
      <c r="F58" s="1">
        <f>2*bonded!$F$10*bonded!$E$10*(EXP(-bonded!$F$10*bonded!$G$10*A58)-EXP(-2*bonded!$F$10*bonded!$G$10*A58))</f>
        <v>0.30014767092549793</v>
      </c>
      <c r="G58" s="1">
        <f>2*bonded!$F$11*bonded!$E$11*(EXP(-bonded!$F$11*bonded!$G$11*A58)-EXP(-2*bonded!$F$11*bonded!$G$11*A58))</f>
        <v>0.11748632210373304</v>
      </c>
      <c r="H58" s="1">
        <f>2*bonded!$F$12*bonded!$E$12*(EXP(-bonded!$F$12*bonded!$G$12*A58)-EXP(-2*bonded!$F$12*bonded!$G$12*A58))</f>
        <v>6.8578457103249876E-2</v>
      </c>
      <c r="I58" s="1">
        <f>2*bonded!$F$13*bonded!$E$13*(EXP(-bonded!$F$13*bonded!$G$13*A58)-EXP(-2*bonded!$F$13*bonded!$G$13*A58))</f>
        <v>0.25113009015369608</v>
      </c>
      <c r="J58" s="1">
        <f>pair!$L$42*(pair!$F$42/pair!$G$42)*(pair!$I$42*(pair!$G$42/(pair!$K$42*(A58+1)))^(pair!$I$42+1)-pair!$H$42*(pair!$G$42/(pair!$K$42*(A58+1)))^(pair!$H$42+1))</f>
        <v>3.0702305279999991E-2</v>
      </c>
      <c r="K58" s="1">
        <f>pair!$L$43*(pair!$F$43/pair!$G$43)*(pair!$I$43*(pair!$G$43/(pair!$K$43*(A58+1)))^(pair!$I$43+1)-pair!$H$43*(pair!$G$43/(pair!$K$43*(A58+1)))^(pair!$H$43+1))</f>
        <v>6.1404610559999979E-3</v>
      </c>
      <c r="L58" s="1">
        <f>pair!$L$44*(pair!$F$44/pair!$G$44)*(pair!$I$44*(pair!$G$44/(pair!$K$44*(A58+1)))^(pair!$I$44+1)-pair!$H$44*(pair!$G$44/(pair!$K$44*(A58+1)))^(pair!$H$44+1))</f>
        <v>1.47456E-3</v>
      </c>
      <c r="M58" s="1">
        <f>pair!$L$45*(pair!$F$45/pair!$G$45)*(pair!$I$45*(pair!$G$45/(pair!$K$45*(A58+1)))^(pair!$I$45+1)-pair!$H$45*(pair!$G$45/(pair!$K$45*(A58+1)))^(pair!$H$45+1))</f>
        <v>1.705683626666667E-2</v>
      </c>
    </row>
    <row r="59" spans="1:13" x14ac:dyDescent="0.3">
      <c r="A59" s="1">
        <f t="shared" si="0"/>
        <v>0.26000000000000006</v>
      </c>
      <c r="B59" s="1">
        <f>bonded!$E$2*bonded!$F$2*A59</f>
        <v>39.000000000000007</v>
      </c>
      <c r="C59" s="1">
        <f>bonded!$E$3*bonded!$F$3*A59</f>
        <v>19.500000000000004</v>
      </c>
      <c r="D59" s="1">
        <f>bonded!$E$4*bonded!$F$4*A59</f>
        <v>23.400000000000006</v>
      </c>
      <c r="E59" s="1">
        <f>(bonded!$E$7*((bonded!$K$7*(A59+1))/(1-((bonded!$K$7*(A59+1))/bonded!$F$7)^2)))+24*(bonded!$G$7/bonded!$H$7)*((bonded!$H$7/(bonded!$K$7*(A59+1)))^7-2*(bonded!$H$7/(bonded!$K$7*(A59+1)))^13)</f>
        <v>2.9132728925145472</v>
      </c>
      <c r="F59" s="1">
        <f>2*bonded!$F$10*bonded!$E$10*(EXP(-bonded!$F$10*bonded!$G$10*A59)-EXP(-2*bonded!$F$10*bonded!$G$10*A59))</f>
        <v>0.29577161161484727</v>
      </c>
      <c r="G59" s="1">
        <f>2*bonded!$F$11*bonded!$E$11*(EXP(-bonded!$F$11*bonded!$G$11*A59)-EXP(-2*bonded!$F$11*bonded!$G$11*A59))</f>
        <v>0.11596132552425197</v>
      </c>
      <c r="H59" s="1">
        <f>2*bonded!$F$12*bonded!$E$12*(EXP(-bonded!$F$12*bonded!$G$12*A59)-EXP(-2*bonded!$F$12*bonded!$G$12*A59))</f>
        <v>6.7815249547368936E-2</v>
      </c>
      <c r="I59" s="1">
        <f>2*bonded!$F$13*bonded!$E$13*(EXP(-bonded!$F$13*bonded!$G$13*A59)-EXP(-2*bonded!$F$13*bonded!$G$13*A59))</f>
        <v>0.24739011720871931</v>
      </c>
      <c r="J59" s="1">
        <f>pair!$L$42*(pair!$F$42/pair!$G$42)*(pair!$I$42*(pair!$G$42/(pair!$K$42*(A59+1)))^(pair!$I$42+1)-pair!$H$42*(pair!$G$42/(pair!$K$42*(A59+1)))^(pair!$H$42+1))</f>
        <v>2.9756309524204848E-2</v>
      </c>
      <c r="K59" s="1">
        <f>pair!$L$43*(pair!$F$43/pair!$G$43)*(pair!$I$43*(pair!$G$43/(pair!$K$43*(A59+1)))^(pair!$I$43+1)-pair!$H$43*(pair!$G$43/(pair!$K$43*(A59+1)))^(pair!$H$43+1))</f>
        <v>5.9512619048409697E-3</v>
      </c>
      <c r="L59" s="1">
        <f>pair!$L$44*(pair!$F$44/pair!$G$44)*(pair!$I$44*(pair!$G$44/(pair!$K$44*(A59+1)))^(pair!$I$44+1)-pair!$H$44*(pair!$G$44/(pair!$K$44*(A59+1)))^(pair!$H$44+1))</f>
        <v>1.4801953942157494E-3</v>
      </c>
      <c r="M59" s="1">
        <f>pair!$L$45*(pair!$F$45/pair!$G$45)*(pair!$I$45*(pair!$G$45/(pair!$K$45*(A59+1)))^(pair!$I$45+1)-pair!$H$45*(pair!$G$45/(pair!$K$45*(A59+1)))^(pair!$H$45+1))</f>
        <v>1.6531283069002697E-2</v>
      </c>
    </row>
    <row r="60" spans="1:13" x14ac:dyDescent="0.3">
      <c r="A60" s="1">
        <f t="shared" si="0"/>
        <v>0.27000000000000007</v>
      </c>
      <c r="B60" s="1">
        <f>bonded!$E$2*bonded!$F$2*A60</f>
        <v>40.500000000000014</v>
      </c>
      <c r="C60" s="1">
        <f>bonded!$E$3*bonded!$F$3*A60</f>
        <v>20.250000000000007</v>
      </c>
      <c r="D60" s="1">
        <f>bonded!$E$4*bonded!$F$4*A60</f>
        <v>24.300000000000008</v>
      </c>
      <c r="E60" s="1">
        <f>(bonded!$E$7*((bonded!$K$7*(A60+1))/(1-((bonded!$K$7*(A60+1))/bonded!$F$7)^2)))+24*(bonded!$G$7/bonded!$H$7)*((bonded!$H$7/(bonded!$K$7*(A60+1)))^7-2*(bonded!$H$7/(bonded!$K$7*(A60+1)))^13)</f>
        <v>3.0007850964052833</v>
      </c>
      <c r="F60" s="1">
        <f>2*bonded!$F$10*bonded!$E$10*(EXP(-bonded!$F$10*bonded!$G$10*A60)-EXP(-2*bonded!$F$10*bonded!$G$10*A60))</f>
        <v>0.29106148965116058</v>
      </c>
      <c r="G60" s="1">
        <f>2*bonded!$F$11*bonded!$E$11*(EXP(-bonded!$F$11*bonded!$G$11*A60)-EXP(-2*bonded!$F$11*bonded!$G$11*A60))</f>
        <v>0.11429910164240738</v>
      </c>
      <c r="H60" s="1">
        <f>2*bonded!$F$12*bonded!$E$12*(EXP(-bonded!$F$12*bonded!$G$12*A60)-EXP(-2*bonded!$F$12*bonded!$G$12*A60))</f>
        <v>6.6968024040985633E-2</v>
      </c>
      <c r="I60" s="1">
        <f>2*bonded!$F$13*bonded!$E$13*(EXP(-bonded!$F$13*bonded!$G$13*A60)-EXP(-2*bonded!$F$13*bonded!$G$13*A60))</f>
        <v>0.24337349632061903</v>
      </c>
      <c r="J60" s="1">
        <f>pair!$L$42*(pair!$F$42/pair!$G$42)*(pair!$I$42*(pair!$G$42/(pair!$K$42*(A60+1)))^(pair!$I$42+1)-pair!$H$42*(pair!$G$42/(pair!$K$42*(A60+1)))^(pair!$H$42+1))</f>
        <v>2.881403074347455E-2</v>
      </c>
      <c r="K60" s="1">
        <f>pair!$L$43*(pair!$F$43/pair!$G$43)*(pair!$I$43*(pair!$G$43/(pair!$K$43*(A60+1)))^(pair!$I$43+1)-pair!$H$43*(pair!$G$43/(pair!$K$43*(A60+1)))^(pair!$H$43+1))</f>
        <v>5.7628061486949093E-3</v>
      </c>
      <c r="L60" s="1">
        <f>pair!$L$44*(pair!$F$44/pair!$G$44)*(pair!$I$44*(pair!$G$44/(pair!$K$44*(A60+1)))^(pair!$I$44+1)-pair!$H$44*(pair!$G$44/(pair!$K$44*(A60+1)))^(pair!$H$44+1))</f>
        <v>1.4840926135298721E-3</v>
      </c>
      <c r="M60" s="1">
        <f>pair!$L$45*(pair!$F$45/pair!$G$45)*(pair!$I$45*(pair!$G$45/(pair!$K$45*(A60+1)))^(pair!$I$45+1)-pair!$H$45*(pair!$G$45/(pair!$K$45*(A60+1)))^(pair!$H$45+1))</f>
        <v>1.6007794857485862E-2</v>
      </c>
    </row>
    <row r="61" spans="1:13" x14ac:dyDescent="0.3">
      <c r="A61" s="1">
        <f t="shared" si="0"/>
        <v>0.28000000000000008</v>
      </c>
      <c r="B61" s="1">
        <f>bonded!$E$2*bonded!$F$2*A61</f>
        <v>42.000000000000014</v>
      </c>
      <c r="C61" s="1">
        <f>bonded!$E$3*bonded!$F$3*A61</f>
        <v>21.000000000000007</v>
      </c>
      <c r="D61" s="1">
        <f>bonded!$E$4*bonded!$F$4*A61</f>
        <v>25.200000000000006</v>
      </c>
      <c r="E61" s="1">
        <f>(bonded!$E$7*((bonded!$K$7*(A61+1))/(1-((bonded!$K$7*(A61+1))/bonded!$F$7)^2)))+24*(bonded!$G$7/bonded!$H$7)*((bonded!$H$7/(bonded!$K$7*(A61+1)))^7-2*(bonded!$H$7/(bonded!$K$7*(A61+1)))^13)</f>
        <v>3.0921588319757651</v>
      </c>
      <c r="F61" s="1">
        <f>2*bonded!$F$10*bonded!$E$10*(EXP(-bonded!$F$10*bonded!$G$10*A61)-EXP(-2*bonded!$F$10*bonded!$G$10*A61))</f>
        <v>0.28606606894604342</v>
      </c>
      <c r="G61" s="1">
        <f>2*bonded!$F$11*bonded!$E$11*(EXP(-bonded!$F$11*bonded!$G$11*A61)-EXP(-2*bonded!$F$11*bonded!$G$11*A61))</f>
        <v>0.11251822130822621</v>
      </c>
      <c r="H61" s="1">
        <f>2*bonded!$F$12*bonded!$E$12*(EXP(-bonded!$F$12*bonded!$G$12*A61)-EXP(-2*bonded!$F$12*bonded!$G$12*A61))</f>
        <v>6.6047244893824408E-2</v>
      </c>
      <c r="I61" s="1">
        <f>2*bonded!$F$13*bonded!$E$13*(EXP(-bonded!$F$13*bonded!$G$13*A61)-EXP(-2*bonded!$F$13*bonded!$G$13*A61))</f>
        <v>0.23912123398721224</v>
      </c>
      <c r="J61" s="1">
        <f>pair!$L$42*(pair!$F$42/pair!$G$42)*(pair!$I$42*(pair!$G$42/(pair!$K$42*(A61+1)))^(pair!$I$42+1)-pair!$H$42*(pair!$G$42/(pair!$K$42*(A61+1)))^(pair!$H$42+1))</f>
        <v>2.7879716764378507E-2</v>
      </c>
      <c r="K61" s="1">
        <f>pair!$L$43*(pair!$F$43/pair!$G$43)*(pair!$I$43*(pair!$G$43/(pair!$K$43*(A61+1)))^(pair!$I$43+1)-pair!$H$43*(pair!$G$43/(pair!$K$43*(A61+1)))^(pair!$H$43+1))</f>
        <v>5.5759433528757016E-3</v>
      </c>
      <c r="L61" s="1">
        <f>pair!$L$44*(pair!$F$44/pair!$G$44)*(pair!$I$44*(pair!$G$44/(pair!$K$44*(A61+1)))^(pair!$I$44+1)-pair!$H$44*(pair!$G$44/(pair!$K$44*(A61+1)))^(pair!$H$44+1))</f>
        <v>1.4863908290863039E-3</v>
      </c>
      <c r="M61" s="1">
        <f>pair!$L$45*(pair!$F$45/pair!$G$45)*(pair!$I$45*(pair!$G$45/(pair!$K$45*(A61+1)))^(pair!$I$45+1)-pair!$H$45*(pair!$G$45/(pair!$K$45*(A61+1)))^(pair!$H$45+1))</f>
        <v>1.5488731535765833E-2</v>
      </c>
    </row>
    <row r="62" spans="1:13" x14ac:dyDescent="0.3">
      <c r="A62" s="1">
        <f t="shared" si="0"/>
        <v>0.29000000000000009</v>
      </c>
      <c r="B62" s="1">
        <f>bonded!$E$2*bonded!$F$2*A62</f>
        <v>43.500000000000014</v>
      </c>
      <c r="C62" s="1">
        <f>bonded!$E$3*bonded!$F$3*A62</f>
        <v>21.750000000000007</v>
      </c>
      <c r="D62" s="1">
        <f>bonded!$E$4*bonded!$F$4*A62</f>
        <v>26.100000000000009</v>
      </c>
      <c r="E62" s="1">
        <f>(bonded!$E$7*((bonded!$K$7*(A62+1))/(1-((bonded!$K$7*(A62+1))/bonded!$F$7)^2)))+24*(bonded!$G$7/bonded!$H$7)*((bonded!$H$7/(bonded!$K$7*(A62+1)))^7-2*(bonded!$H$7/(bonded!$K$7*(A62+1)))^13)</f>
        <v>3.187854904531028</v>
      </c>
      <c r="F62" s="1">
        <f>2*bonded!$F$10*bonded!$E$10*(EXP(-bonded!$F$10*bonded!$G$10*A62)-EXP(-2*bonded!$F$10*bonded!$G$10*A62))</f>
        <v>0.28082964279261169</v>
      </c>
      <c r="G62" s="1">
        <f>2*bonded!$F$11*bonded!$E$11*(EXP(-bonded!$F$11*bonded!$G$11*A62)-EXP(-2*bonded!$F$11*bonded!$G$11*A62))</f>
        <v>0.1106356204250107</v>
      </c>
      <c r="H62" s="1">
        <f>2*bonded!$F$12*bonded!$E$12*(EXP(-bonded!$F$12*bonded!$G$12*A62)-EXP(-2*bonded!$F$12*bonded!$G$12*A62))</f>
        <v>6.5062497774320688E-2</v>
      </c>
      <c r="I62" s="1">
        <f>2*bonded!$F$13*bonded!$E$13*(EXP(-bonded!$F$13*bonded!$G$13*A62)-EXP(-2*bonded!$F$13*bonded!$G$13*A62))</f>
        <v>0.23467054749444377</v>
      </c>
      <c r="J62" s="1">
        <f>pair!$L$42*(pair!$F$42/pair!$G$42)*(pair!$I$42*(pair!$G$42/(pair!$K$42*(A62+1)))^(pair!$I$42+1)-pair!$H$42*(pair!$G$42/(pair!$K$42*(A62+1)))^(pair!$H$42+1))</f>
        <v>2.6956890724738999E-2</v>
      </c>
      <c r="K62" s="1">
        <f>pair!$L$43*(pair!$F$43/pair!$G$43)*(pair!$I$43*(pair!$G$43/(pair!$K$43*(A62+1)))^(pair!$I$43+1)-pair!$H$43*(pair!$G$43/(pair!$K$43*(A62+1)))^(pair!$H$43+1))</f>
        <v>5.3913781449477999E-3</v>
      </c>
      <c r="L62" s="1">
        <f>pair!$L$44*(pair!$F$44/pair!$G$44)*(pair!$I$44*(pair!$G$44/(pair!$K$44*(A62+1)))^(pair!$I$44+1)-pair!$H$44*(pair!$G$44/(pair!$K$44*(A62+1)))^(pair!$H$44+1))</f>
        <v>1.4872189677974281E-3</v>
      </c>
      <c r="M62" s="1">
        <f>pair!$L$45*(pair!$F$45/pair!$G$45)*(pair!$I$45*(pair!$G$45/(pair!$K$45*(A62+1)))^(pair!$I$45+1)-pair!$H$45*(pair!$G$45/(pair!$K$45*(A62+1)))^(pair!$H$45+1))</f>
        <v>1.4976050402632784E-2</v>
      </c>
    </row>
    <row r="63" spans="1:13" x14ac:dyDescent="0.3">
      <c r="A63" s="1">
        <f t="shared" si="0"/>
        <v>0.3000000000000001</v>
      </c>
      <c r="B63" s="1">
        <f>bonded!$E$2*bonded!$F$2*A63</f>
        <v>45.000000000000014</v>
      </c>
      <c r="C63" s="1">
        <f>bonded!$E$3*bonded!$F$3*A63</f>
        <v>22.500000000000007</v>
      </c>
      <c r="D63" s="1">
        <f>bonded!$E$4*bonded!$F$4*A63</f>
        <v>27.000000000000011</v>
      </c>
      <c r="E63" s="1">
        <f>(bonded!$E$7*((bonded!$K$7*(A63+1))/(1-((bonded!$K$7*(A63+1))/bonded!$F$7)^2)))+24*(bonded!$G$7/bonded!$H$7)*((bonded!$H$7/(bonded!$K$7*(A63+1)))^7-2*(bonded!$H$7/(bonded!$K$7*(A63+1)))^13)</f>
        <v>3.2883617623956374</v>
      </c>
      <c r="F63" s="1">
        <f>2*bonded!$F$10*bonded!$E$10*(EXP(-bonded!$F$10*bonded!$G$10*A63)-EXP(-2*bonded!$F$10*bonded!$G$10*A63))</f>
        <v>0.27539239436622726</v>
      </c>
      <c r="G63" s="1">
        <f>2*bonded!$F$11*bonded!$E$11*(EXP(-bonded!$F$11*bonded!$G$11*A63)-EXP(-2*bonded!$F$11*bonded!$G$11*A63))</f>
        <v>0.10866672730034159</v>
      </c>
      <c r="H63" s="1">
        <f>2*bonded!$F$12*bonded!$E$12*(EXP(-bonded!$F$12*bonded!$G$12*A63)-EXP(-2*bonded!$F$12*bonded!$G$12*A63))</f>
        <v>6.4022555399137968E-2</v>
      </c>
      <c r="I63" s="1">
        <f>2*bonded!$F$13*bonded!$E$13*(EXP(-bonded!$F$13*bonded!$G$13*A63)-EXP(-2*bonded!$F$13*bonded!$G$13*A63))</f>
        <v>0.23005517252169796</v>
      </c>
      <c r="J63" s="1">
        <f>pair!$L$42*(pair!$F$42/pair!$G$42)*(pair!$I$42*(pair!$G$42/(pair!$K$42*(A63+1)))^(pair!$I$42+1)-pair!$H$42*(pair!$G$42/(pair!$K$42*(A63+1)))^(pair!$H$42+1))</f>
        <v>2.6048449767848283E-2</v>
      </c>
      <c r="K63" s="1">
        <f>pair!$L$43*(pair!$F$43/pair!$G$43)*(pair!$I$43*(pair!$G$43/(pair!$K$43*(A63+1)))^(pair!$I$43+1)-pair!$H$43*(pair!$G$43/(pair!$K$43*(A63+1)))^(pair!$H$43+1))</f>
        <v>5.2096899535696564E-3</v>
      </c>
      <c r="L63" s="1">
        <f>pair!$L$44*(pair!$F$44/pair!$G$44)*(pair!$I$44*(pair!$G$44/(pair!$K$44*(A63+1)))^(pair!$I$44+1)-pair!$H$44*(pair!$G$44/(pair!$K$44*(A63+1)))^(pair!$H$44+1))</f>
        <v>1.4866964903728322E-3</v>
      </c>
      <c r="M63" s="1">
        <f>pair!$L$45*(pair!$F$45/pair!$G$45)*(pair!$I$45*(pair!$G$45/(pair!$K$45*(A63+1)))^(pair!$I$45+1)-pair!$H$45*(pair!$G$45/(pair!$K$45*(A63+1)))^(pair!$H$45+1))</f>
        <v>1.4471360982137945E-2</v>
      </c>
    </row>
    <row r="64" spans="1:13" x14ac:dyDescent="0.3">
      <c r="A64" s="1">
        <f t="shared" si="0"/>
        <v>0.31000000000000011</v>
      </c>
      <c r="B64" s="1">
        <f>bonded!$E$2*bonded!$F$2*A64</f>
        <v>46.500000000000014</v>
      </c>
      <c r="C64" s="1">
        <f>bonded!$E$3*bonded!$F$3*A64</f>
        <v>23.250000000000007</v>
      </c>
      <c r="D64" s="1">
        <f>bonded!$E$4*bonded!$F$4*A64</f>
        <v>27.900000000000009</v>
      </c>
      <c r="E64" s="1">
        <f>(bonded!$E$7*((bonded!$K$7*(A64+1))/(1-((bonded!$K$7*(A64+1))/bonded!$F$7)^2)))+24*(bonded!$G$7/bonded!$H$7)*((bonded!$H$7/(bonded!$K$7*(A64+1)))^7-2*(bonded!$H$7/(bonded!$K$7*(A64+1)))^13)</f>
        <v>3.3942031275514273</v>
      </c>
      <c r="F64" s="1">
        <f>2*bonded!$F$10*bonded!$E$10*(EXP(-bonded!$F$10*bonded!$G$10*A64)-EXP(-2*bonded!$F$10*bonded!$G$10*A64))</f>
        <v>0.26979072962050288</v>
      </c>
      <c r="G64" s="1">
        <f>2*bonded!$F$11*bonded!$E$11*(EXP(-bonded!$F$11*bonded!$G$11*A64)-EXP(-2*bonded!$F$11*bonded!$G$11*A64))</f>
        <v>0.1066255805588774</v>
      </c>
      <c r="H64" s="1">
        <f>2*bonded!$F$12*bonded!$E$12*(EXP(-bonded!$F$12*bonded!$G$12*A64)-EXP(-2*bonded!$F$12*bonded!$G$12*A64))</f>
        <v>6.2935438539944447E-2</v>
      </c>
      <c r="I64" s="1">
        <f>2*bonded!$F$13*bonded!$E$13*(EXP(-bonded!$F$13*bonded!$G$13*A64)-EXP(-2*bonded!$F$13*bonded!$G$13*A64))</f>
        <v>0.22530564704394776</v>
      </c>
      <c r="J64" s="1">
        <f>pair!$L$42*(pair!$F$42/pair!$G$42)*(pair!$I$42*(pair!$G$42/(pair!$K$42*(A64+1)))^(pair!$I$42+1)-pair!$H$42*(pair!$G$42/(pair!$K$42*(A64+1)))^(pair!$H$42+1))</f>
        <v>2.5156750912774872E-2</v>
      </c>
      <c r="K64" s="1">
        <f>pair!$L$43*(pair!$F$43/pair!$G$43)*(pair!$I$43*(pair!$G$43/(pair!$K$43*(A64+1)))^(pair!$I$43+1)-pair!$H$43*(pair!$G$43/(pair!$K$43*(A64+1)))^(pair!$H$43+1))</f>
        <v>5.0313501825549741E-3</v>
      </c>
      <c r="L64" s="1">
        <f>pair!$L$44*(pair!$F$44/pair!$G$44)*(pair!$I$44*(pair!$G$44/(pair!$K$44*(A64+1)))^(pair!$I$44+1)-pair!$H$44*(pair!$G$44/(pair!$K$44*(A64+1)))^(pair!$H$44+1))</f>
        <v>1.4849341066520585E-3</v>
      </c>
      <c r="M64" s="1">
        <f>pair!$L$45*(pair!$F$45/pair!$G$45)*(pair!$I$45*(pair!$G$45/(pair!$K$45*(A64+1)))^(pair!$I$45+1)-pair!$H$45*(pair!$G$45/(pair!$K$45*(A64+1)))^(pair!$H$45+1))</f>
        <v>1.3975972729319381E-2</v>
      </c>
    </row>
    <row r="65" spans="1:13" x14ac:dyDescent="0.3">
      <c r="A65" s="1">
        <f t="shared" si="0"/>
        <v>0.32000000000000012</v>
      </c>
      <c r="B65" s="1">
        <f>bonded!$E$2*bonded!$F$2*A65</f>
        <v>48.000000000000014</v>
      </c>
      <c r="C65" s="1">
        <f>bonded!$E$3*bonded!$F$3*A65</f>
        <v>24.000000000000007</v>
      </c>
      <c r="D65" s="1">
        <f>bonded!$E$4*bonded!$F$4*A65</f>
        <v>28.800000000000011</v>
      </c>
      <c r="E65" s="1">
        <f>(bonded!$E$7*((bonded!$K$7*(A65+1))/(1-((bonded!$K$7*(A65+1))/bonded!$F$7)^2)))+24*(bonded!$G$7/bonded!$H$7)*((bonded!$H$7/(bonded!$K$7*(A65+1)))^7-2*(bonded!$H$7/(bonded!$K$7*(A65+1)))^13)</f>
        <v>3.5059464241495313</v>
      </c>
      <c r="F65" s="1">
        <f>2*bonded!$F$10*bonded!$E$10*(EXP(-bonded!$F$10*bonded!$G$10*A65)-EXP(-2*bonded!$F$10*bonded!$G$10*A65))</f>
        <v>0.26405758464291451</v>
      </c>
      <c r="G65" s="1">
        <f>2*bonded!$F$11*bonded!$E$11*(EXP(-bonded!$F$11*bonded!$G$11*A65)-EXP(-2*bonded!$F$11*bonded!$G$11*A65))</f>
        <v>0.1045249383006296</v>
      </c>
      <c r="H65" s="1">
        <f>2*bonded!$F$12*bonded!$E$12*(EXP(-bonded!$F$12*bonded!$G$12*A65)-EXP(-2*bonded!$F$12*bonded!$G$12*A65))</f>
        <v>6.1808472674019163E-2</v>
      </c>
      <c r="I65" s="1">
        <f>2*bonded!$F$13*bonded!$E$13*(EXP(-bonded!$F$13*bonded!$G$13*A65)-EXP(-2*bonded!$F$13*bonded!$G$13*A65))</f>
        <v>0.22044957331421419</v>
      </c>
      <c r="J65" s="1">
        <f>pair!$L$42*(pair!$F$42/pair!$G$42)*(pair!$I$42*(pair!$G$42/(pair!$K$42*(A65+1)))^(pair!$I$42+1)-pair!$H$42*(pair!$G$42/(pair!$K$42*(A65+1)))^(pair!$H$42+1))</f>
        <v>2.4283685771568735E-2</v>
      </c>
      <c r="K65" s="1">
        <f>pair!$L$43*(pair!$F$43/pair!$G$43)*(pair!$I$43*(pair!$G$43/(pair!$K$43*(A65+1)))^(pair!$I$43+1)-pair!$H$43*(pair!$G$43/(pair!$K$43*(A65+1)))^(pair!$H$43+1))</f>
        <v>4.8567371543137474E-3</v>
      </c>
      <c r="L65" s="1">
        <f>pair!$L$44*(pair!$F$44/pair!$G$44)*(pair!$I$44*(pair!$G$44/(pair!$K$44*(A65+1)))^(pair!$I$44+1)-pair!$H$44*(pair!$G$44/(pair!$K$44*(A65+1)))^(pair!$H$44+1))</f>
        <v>1.482034433639136E-3</v>
      </c>
      <c r="M65" s="1">
        <f>pair!$L$45*(pair!$F$45/pair!$G$45)*(pair!$I$45*(pair!$G$45/(pair!$K$45*(A65+1)))^(pair!$I$45+1)-pair!$H$45*(pair!$G$45/(pair!$K$45*(A65+1)))^(pair!$H$45+1))</f>
        <v>1.3490936539760414E-2</v>
      </c>
    </row>
    <row r="66" spans="1:13" x14ac:dyDescent="0.3">
      <c r="A66" s="1">
        <f t="shared" si="0"/>
        <v>0.33000000000000013</v>
      </c>
      <c r="B66" s="1">
        <f>bonded!$E$2*bonded!$F$2*A66</f>
        <v>49.500000000000021</v>
      </c>
      <c r="C66" s="1">
        <f>bonded!$E$3*bonded!$F$3*A66</f>
        <v>24.750000000000011</v>
      </c>
      <c r="D66" s="1">
        <f>bonded!$E$4*bonded!$F$4*A66</f>
        <v>29.70000000000001</v>
      </c>
      <c r="E66" s="1">
        <f>(bonded!$E$7*((bonded!$K$7*(A66+1))/(1-((bonded!$K$7*(A66+1))/bonded!$F$7)^2)))+24*(bonded!$G$7/bonded!$H$7)*((bonded!$H$7/(bonded!$K$7*(A66+1)))^7-2*(bonded!$H$7/(bonded!$K$7*(A66+1)))^13)</f>
        <v>3.6242122609316172</v>
      </c>
      <c r="F66" s="1">
        <f>2*bonded!$F$10*bonded!$E$10*(EXP(-bonded!$F$10*bonded!$G$10*A66)-EXP(-2*bonded!$F$10*bonded!$G$10*A66))</f>
        <v>0.25822270938173419</v>
      </c>
      <c r="G66" s="1">
        <f>2*bonded!$F$11*bonded!$E$11*(EXP(-bonded!$F$11*bonded!$G$11*A66)-EXP(-2*bonded!$F$11*bonded!$G$11*A66))</f>
        <v>0.1023763791394148</v>
      </c>
      <c r="H66" s="1">
        <f>2*bonded!$F$12*bonded!$E$12*(EXP(-bonded!$F$12*bonded!$G$12*A66)-EXP(-2*bonded!$F$12*bonded!$G$12*A66))</f>
        <v>6.0648340582722539E-2</v>
      </c>
      <c r="I66" s="1">
        <f>2*bonded!$F$13*bonded!$E$13*(EXP(-bonded!$F$13*bonded!$G$13*A66)-EXP(-2*bonded!$F$13*bonded!$G$13*A66))</f>
        <v>0.21551185957715166</v>
      </c>
      <c r="J66" s="1">
        <f>pair!$L$42*(pair!$F$42/pair!$G$42)*(pair!$I$42*(pair!$G$42/(pair!$K$42*(A66+1)))^(pair!$I$42+1)-pair!$H$42*(pair!$G$42/(pair!$K$42*(A66+1)))^(pair!$H$42+1))</f>
        <v>2.3430745561694225E-2</v>
      </c>
      <c r="K66" s="1">
        <f>pair!$L$43*(pair!$F$43/pair!$G$43)*(pair!$I$43*(pair!$G$43/(pair!$K$43*(A66+1)))^(pair!$I$43+1)-pair!$H$43*(pair!$G$43/(pair!$K$43*(A66+1)))^(pair!$H$43+1))</f>
        <v>4.6861491123388445E-3</v>
      </c>
      <c r="L66" s="1">
        <f>pair!$L$44*(pair!$F$44/pair!$G$44)*(pair!$I$44*(pair!$G$44/(pair!$K$44*(A66+1)))^(pair!$I$44+1)-pair!$H$44*(pair!$G$44/(pair!$K$44*(A66+1)))^(pair!$H$44+1))</f>
        <v>1.4780926011401037E-3</v>
      </c>
      <c r="M66" s="1">
        <f>pair!$L$45*(pair!$F$45/pair!$G$45)*(pair!$I$45*(pair!$G$45/(pair!$K$45*(A66+1)))^(pair!$I$45+1)-pair!$H$45*(pair!$G$45/(pair!$K$45*(A66+1)))^(pair!$H$45+1))</f>
        <v>1.3017080867607897E-2</v>
      </c>
    </row>
    <row r="67" spans="1:13" x14ac:dyDescent="0.3">
      <c r="A67" s="1">
        <f t="shared" si="0"/>
        <v>0.34000000000000014</v>
      </c>
      <c r="B67" s="1">
        <f>bonded!$E$2*bonded!$F$2*A67</f>
        <v>51.000000000000021</v>
      </c>
      <c r="C67" s="1">
        <f>bonded!$E$3*bonded!$F$3*A67</f>
        <v>25.500000000000011</v>
      </c>
      <c r="D67" s="1">
        <f>bonded!$E$4*bonded!$F$4*A67</f>
        <v>30.600000000000012</v>
      </c>
      <c r="E67" s="1">
        <f>(bonded!$E$7*((bonded!$K$7*(A67+1))/(1-((bonded!$K$7*(A67+1))/bonded!$F$7)^2)))+24*(bonded!$G$7/bonded!$H$7)*((bonded!$H$7/(bonded!$K$7*(A67+1)))^7-2*(bonded!$H$7/(bonded!$K$7*(A67+1)))^13)</f>
        <v>3.7496852744676925</v>
      </c>
      <c r="F67" s="1">
        <f>2*bonded!$F$10*bonded!$E$10*(EXP(-bonded!$F$10*bonded!$G$10*A67)-EXP(-2*bonded!$F$10*bonded!$G$10*A67))</f>
        <v>0.25231292951460388</v>
      </c>
      <c r="G67" s="1">
        <f>2*bonded!$F$11*bonded!$E$11*(EXP(-bonded!$F$11*bonded!$G$11*A67)-EXP(-2*bonded!$F$11*bonded!$G$11*A67))</f>
        <v>0.10019039571069599</v>
      </c>
      <c r="H67" s="1">
        <f>2*bonded!$F$12*bonded!$E$12*(EXP(-bonded!$F$12*bonded!$G$12*A67)-EXP(-2*bonded!$F$12*bonded!$G$12*A67))</f>
        <v>5.9461131180881026E-2</v>
      </c>
      <c r="I67" s="1">
        <f>2*bonded!$F$13*bonded!$E$13*(EXP(-bonded!$F$13*bonded!$G$13*A67)-EXP(-2*bonded!$F$13*bonded!$G$13*A67))</f>
        <v>0.21051494304173529</v>
      </c>
      <c r="J67" s="1">
        <f>pair!$L$42*(pair!$F$42/pair!$G$42)*(pair!$I$42*(pair!$G$42/(pair!$K$42*(A67+1)))^(pair!$I$42+1)-pair!$H$42*(pair!$G$42/(pair!$K$42*(A67+1)))^(pair!$H$42+1))</f>
        <v>2.259907767006716E-2</v>
      </c>
      <c r="K67" s="1">
        <f>pair!$L$43*(pair!$F$43/pair!$G$43)*(pair!$I$43*(pair!$G$43/(pair!$K$43*(A67+1)))^(pair!$I$43+1)-pair!$H$43*(pair!$G$43/(pair!$K$43*(A67+1)))^(pair!$H$43+1))</f>
        <v>4.5198155340134315E-3</v>
      </c>
      <c r="L67" s="1">
        <f>pair!$L$44*(pair!$F$44/pair!$G$44)*(pair!$I$44*(pair!$G$44/(pair!$K$44*(A67+1)))^(pair!$I$44+1)-pair!$H$44*(pair!$G$44/(pair!$K$44*(A67+1)))^(pair!$H$44+1))</f>
        <v>1.4731968094568589E-3</v>
      </c>
      <c r="M67" s="1">
        <f>pair!$L$45*(pair!$F$45/pair!$G$45)*(pair!$I$45*(pair!$G$45/(pair!$K$45*(A67+1)))^(pair!$I$45+1)-pair!$H$45*(pair!$G$45/(pair!$K$45*(A67+1)))^(pair!$H$45+1))</f>
        <v>1.2555043150037321E-2</v>
      </c>
    </row>
    <row r="68" spans="1:13" x14ac:dyDescent="0.3">
      <c r="A68" s="1">
        <f t="shared" si="0"/>
        <v>0.35000000000000014</v>
      </c>
      <c r="B68" s="1">
        <f>bonded!$E$2*bonded!$F$2*A68</f>
        <v>52.500000000000021</v>
      </c>
      <c r="C68" s="1">
        <f>bonded!$E$3*bonded!$F$3*A68</f>
        <v>26.250000000000011</v>
      </c>
      <c r="D68" s="1">
        <f>bonded!$E$4*bonded!$F$4*A68</f>
        <v>31.500000000000014</v>
      </c>
      <c r="E68" s="1">
        <f>(bonded!$E$7*((bonded!$K$7*(A68+1))/(1-((bonded!$K$7*(A68+1))/bonded!$F$7)^2)))+24*(bonded!$G$7/bonded!$H$7)*((bonded!$H$7/(bonded!$K$7*(A68+1)))^7-2*(bonded!$H$7/(bonded!$K$7*(A68+1)))^13)</f>
        <v>3.8831267080504603</v>
      </c>
      <c r="F68" s="1">
        <f>2*bonded!$F$10*bonded!$E$10*(EXP(-bonded!$F$10*bonded!$G$10*A68)-EXP(-2*bonded!$F$10*bonded!$G$10*A68))</f>
        <v>0.2463523880980675</v>
      </c>
      <c r="G68" s="1">
        <f>2*bonded!$F$11*bonded!$E$11*(EXP(-bonded!$F$11*bonded!$G$11*A68)-EXP(-2*bonded!$F$11*bonded!$G$11*A68))</f>
        <v>9.7976481195775872E-2</v>
      </c>
      <c r="H68" s="1">
        <f>2*bonded!$F$12*bonded!$E$12*(EXP(-bonded!$F$12*bonded!$G$12*A68)-EXP(-2*bonded!$F$12*bonded!$G$12*A68))</f>
        <v>5.8252384840587798E-2</v>
      </c>
      <c r="I68" s="1">
        <f>2*bonded!$F$13*bonded!$E$13*(EXP(-bonded!$F$13*bonded!$G$13*A68)-EXP(-2*bonded!$F$13*bonded!$G$13*A68))</f>
        <v>0.20547899552726537</v>
      </c>
      <c r="J68" s="1">
        <f>pair!$L$42*(pair!$F$42/pair!$G$42)*(pair!$I$42*(pair!$G$42/(pair!$K$42*(A68+1)))^(pair!$I$42+1)-pair!$H$42*(pair!$G$42/(pair!$K$42*(A68+1)))^(pair!$H$42+1))</f>
        <v>2.1789534859314102E-2</v>
      </c>
      <c r="K68" s="1">
        <f>pair!$L$43*(pair!$F$43/pair!$G$43)*(pair!$I$43*(pair!$G$43/(pair!$K$43*(A68+1)))^(pair!$I$43+1)-pair!$H$43*(pair!$G$43/(pair!$K$43*(A68+1)))^(pair!$H$43+1))</f>
        <v>4.3579069718628159E-3</v>
      </c>
      <c r="L68" s="1">
        <f>pair!$L$44*(pair!$F$44/pair!$G$44)*(pair!$I$44*(pair!$G$44/(pair!$K$44*(A68+1)))^(pair!$I$44+1)-pair!$H$44*(pair!$G$44/(pair!$K$44*(A68+1)))^(pair!$H$44+1))</f>
        <v>1.4674288431864532E-3</v>
      </c>
      <c r="M68" s="1">
        <f>pair!$L$45*(pair!$F$45/pair!$G$45)*(pair!$I$45*(pair!$G$45/(pair!$K$45*(A68+1)))^(pair!$I$45+1)-pair!$H$45*(pair!$G$45/(pair!$K$45*(A68+1)))^(pair!$H$45+1))</f>
        <v>1.2105297144063394E-2</v>
      </c>
    </row>
    <row r="69" spans="1:13" x14ac:dyDescent="0.3">
      <c r="A69" s="1">
        <f t="shared" ref="A69:A123" si="1">A68+0.01</f>
        <v>0.36000000000000015</v>
      </c>
      <c r="B69" s="1">
        <f>bonded!$E$2*bonded!$F$2*A69</f>
        <v>54.000000000000021</v>
      </c>
      <c r="C69" s="1">
        <f>bonded!$E$3*bonded!$F$3*A69</f>
        <v>27.000000000000011</v>
      </c>
      <c r="D69" s="1">
        <f>bonded!$E$4*bonded!$F$4*A69</f>
        <v>32.400000000000013</v>
      </c>
      <c r="E69" s="1">
        <f>(bonded!$E$7*((bonded!$K$7*(A69+1))/(1-((bonded!$K$7*(A69+1))/bonded!$F$7)^2)))+24*(bonded!$G$7/bonded!$H$7)*((bonded!$H$7/(bonded!$K$7*(A69+1)))^7-2*(bonded!$H$7/(bonded!$K$7*(A69+1)))^13)</f>
        <v>4.0253891914356945</v>
      </c>
      <c r="F69" s="1">
        <f>2*bonded!$F$10*bonded!$E$10*(EXP(-bonded!$F$10*bonded!$G$10*A69)-EXP(-2*bonded!$F$10*bonded!$G$10*A69))</f>
        <v>0.24036276851600993</v>
      </c>
      <c r="G69" s="1">
        <f>2*bonded!$F$11*bonded!$E$11*(EXP(-bonded!$F$11*bonded!$G$11*A69)-EXP(-2*bonded!$F$11*bonded!$G$11*A69))</f>
        <v>9.5743209370070637E-2</v>
      </c>
      <c r="H69" s="1">
        <f>2*bonded!$F$12*bonded!$E$12*(EXP(-bonded!$F$12*bonded!$G$12*A69)-EXP(-2*bonded!$F$12*bonded!$G$12*A69))</f>
        <v>5.7027135454718381E-2</v>
      </c>
      <c r="I69" s="1">
        <f>2*bonded!$F$13*bonded!$E$13*(EXP(-bonded!$F$13*bonded!$G$13*A69)-EXP(-2*bonded!$F$13*bonded!$G$13*A69))</f>
        <v>0.20042211309156904</v>
      </c>
      <c r="J69" s="1">
        <f>pair!$L$42*(pair!$F$42/pair!$G$42)*(pair!$I$42*(pair!$G$42/(pair!$K$42*(A69+1)))^(pair!$I$42+1)-pair!$H$42*(pair!$G$42/(pair!$K$42*(A69+1)))^(pair!$H$42+1))</f>
        <v>2.1002718063613188E-2</v>
      </c>
      <c r="K69" s="1">
        <f>pair!$L$43*(pair!$F$43/pair!$G$43)*(pair!$I$43*(pair!$G$43/(pair!$K$43*(A69+1)))^(pair!$I$43+1)-pair!$H$43*(pair!$G$43/(pair!$K$43*(A69+1)))^(pair!$H$43+1))</f>
        <v>4.2005436127226375E-3</v>
      </c>
      <c r="L69" s="1">
        <f>pair!$L$44*(pair!$F$44/pair!$G$44)*(pair!$I$44*(pair!$G$44/(pair!$K$44*(A69+1)))^(pair!$I$44+1)-pair!$H$44*(pair!$G$44/(pair!$K$44*(A69+1)))^(pair!$H$44+1))</f>
        <v>1.4608645448097942E-3</v>
      </c>
      <c r="M69" s="1">
        <f>pair!$L$45*(pair!$F$45/pair!$G$45)*(pair!$I$45*(pair!$G$45/(pair!$K$45*(A69+1)))^(pair!$I$45+1)-pair!$H$45*(pair!$G$45/(pair!$K$45*(A69+1)))^(pair!$H$45+1))</f>
        <v>1.1668176702007323E-2</v>
      </c>
    </row>
    <row r="70" spans="1:13" x14ac:dyDescent="0.3">
      <c r="A70" s="1">
        <f t="shared" si="1"/>
        <v>0.37000000000000016</v>
      </c>
      <c r="B70" s="1">
        <f>bonded!$E$2*bonded!$F$2*A70</f>
        <v>55.500000000000021</v>
      </c>
      <c r="C70" s="1">
        <f>bonded!$E$3*bonded!$F$3*A70</f>
        <v>27.750000000000011</v>
      </c>
      <c r="D70" s="1">
        <f>bonded!$E$4*bonded!$F$4*A70</f>
        <v>33.300000000000011</v>
      </c>
      <c r="E70" s="1">
        <f>(bonded!$E$7*((bonded!$K$7*(A70+1))/(1-((bonded!$K$7*(A70+1))/bonded!$F$7)^2)))+24*(bonded!$G$7/bonded!$H$7)*((bonded!$H$7/(bonded!$K$7*(A70+1)))^7-2*(bonded!$H$7/(bonded!$K$7*(A70+1)))^13)</f>
        <v>4.1774343068504374</v>
      </c>
      <c r="F70" s="1">
        <f>2*bonded!$F$10*bonded!$E$10*(EXP(-bonded!$F$10*bonded!$G$10*A70)-EXP(-2*bonded!$F$10*bonded!$G$10*A70))</f>
        <v>0.23436350013251586</v>
      </c>
      <c r="G70" s="1">
        <f>2*bonded!$F$11*bonded!$E$11*(EXP(-bonded!$F$11*bonded!$G$11*A70)-EXP(-2*bonded!$F$11*bonded!$G$11*A70))</f>
        <v>9.3498308646751391E-2</v>
      </c>
      <c r="H70" s="1">
        <f>2*bonded!$F$12*bonded!$E$12*(EXP(-bonded!$F$12*bonded!$G$12*A70)-EXP(-2*bonded!$F$12*bonded!$G$12*A70))</f>
        <v>5.5789949468505906E-2</v>
      </c>
      <c r="I70" s="1">
        <f>2*bonded!$F$13*bonded!$E$13*(EXP(-bonded!$F$13*bonded!$G$13*A70)-EXP(-2*bonded!$F$13*bonded!$G$13*A70))</f>
        <v>0.19536049085273235</v>
      </c>
      <c r="J70" s="1">
        <f>pair!$L$42*(pair!$F$42/pair!$G$42)*(pair!$I$42*(pair!$G$42/(pair!$K$42*(A70+1)))^(pair!$I$42+1)-pair!$H$42*(pair!$G$42/(pair!$K$42*(A70+1)))^(pair!$H$42+1))</f>
        <v>2.0239013597563724E-2</v>
      </c>
      <c r="K70" s="1">
        <f>pair!$L$43*(pair!$F$43/pair!$G$43)*(pair!$I$43*(pair!$G$43/(pair!$K$43*(A70+1)))^(pair!$I$43+1)-pair!$H$43*(pair!$G$43/(pair!$K$43*(A70+1)))^(pair!$H$43+1))</f>
        <v>4.047802719512745E-3</v>
      </c>
      <c r="L70" s="1">
        <f>pair!$L$44*(pair!$F$44/pair!$G$44)*(pair!$I$44*(pair!$G$44/(pair!$K$44*(A70+1)))^(pair!$I$44+1)-pair!$H$44*(pair!$G$44/(pair!$K$44*(A70+1)))^(pair!$H$44+1))</f>
        <v>1.4535742514236866E-3</v>
      </c>
      <c r="M70" s="1">
        <f>pair!$L$45*(pair!$F$45/pair!$G$45)*(pair!$I$45*(pair!$G$45/(pair!$K$45*(A70+1)))^(pair!$I$45+1)-pair!$H$45*(pair!$G$45/(pair!$K$45*(A70+1)))^(pair!$H$45+1))</f>
        <v>1.1243896443090956E-2</v>
      </c>
    </row>
    <row r="71" spans="1:13" x14ac:dyDescent="0.3">
      <c r="A71" s="1">
        <f t="shared" si="1"/>
        <v>0.38000000000000017</v>
      </c>
      <c r="B71" s="1">
        <f>bonded!$E$2*bonded!$F$2*A71</f>
        <v>57.000000000000028</v>
      </c>
      <c r="C71" s="1">
        <f>bonded!$E$3*bonded!$F$3*A71</f>
        <v>28.500000000000014</v>
      </c>
      <c r="D71" s="1">
        <f>bonded!$E$4*bonded!$F$4*A71</f>
        <v>34.200000000000017</v>
      </c>
      <c r="E71" s="1">
        <f>(bonded!$E$7*((bonded!$K$7*(A71+1))/(1-((bonded!$K$7*(A71+1))/bonded!$F$7)^2)))+24*(bonded!$G$7/bonded!$H$7)*((bonded!$H$7/(bonded!$K$7*(A71+1)))^7-2*(bonded!$H$7/(bonded!$K$7*(A71+1)))^13)</f>
        <v>4.3403536872803707</v>
      </c>
      <c r="F71" s="1">
        <f>2*bonded!$F$10*bonded!$E$10*(EXP(-bonded!$F$10*bonded!$G$10*A71)-EXP(-2*bonded!$F$10*bonded!$G$10*A71))</f>
        <v>0.22837194795049368</v>
      </c>
      <c r="G71" s="1">
        <f>2*bonded!$F$11*bonded!$E$11*(EXP(-bonded!$F$11*bonded!$G$11*A71)-EXP(-2*bonded!$F$11*bonded!$G$11*A71))</f>
        <v>9.1248730553202234E-2</v>
      </c>
      <c r="H71" s="1">
        <f>2*bonded!$F$12*bonded!$E$12*(EXP(-bonded!$F$12*bonded!$G$12*A71)-EXP(-2*bonded!$F$12*bonded!$G$12*A71))</f>
        <v>5.4544962091731389E-2</v>
      </c>
      <c r="I71" s="1">
        <f>2*bonded!$F$13*bonded!$E$13*(EXP(-bonded!$F$13*bonded!$G$13*A71)-EXP(-2*bonded!$F$13*bonded!$G$13*A71))</f>
        <v>0.1903085841253753</v>
      </c>
      <c r="J71" s="1">
        <f>pair!$L$42*(pair!$F$42/pair!$G$42)*(pair!$I$42*(pair!$G$42/(pair!$K$42*(A71+1)))^(pair!$I$42+1)-pair!$H$42*(pair!$G$42/(pair!$K$42*(A71+1)))^(pair!$H$42+1))</f>
        <v>1.9498625494263969E-2</v>
      </c>
      <c r="K71" s="1">
        <f>pair!$L$43*(pair!$F$43/pair!$G$43)*(pair!$I$43*(pair!$G$43/(pair!$K$43*(A71+1)))^(pair!$I$43+1)-pair!$H$43*(pair!$G$43/(pair!$K$43*(A71+1)))^(pair!$H$43+1))</f>
        <v>3.899725098852789E-3</v>
      </c>
      <c r="L71" s="1">
        <f>pair!$L$44*(pair!$F$44/pair!$G$44)*(pair!$I$44*(pair!$G$44/(pair!$K$44*(A71+1)))^(pair!$I$44+1)-pair!$H$44*(pair!$G$44/(pair!$K$44*(A71+1)))^(pair!$H$44+1))</f>
        <v>1.4456231976715962E-3</v>
      </c>
      <c r="M71" s="1">
        <f>pair!$L$45*(pair!$F$45/pair!$G$45)*(pair!$I$45*(pair!$G$45/(pair!$K$45*(A71+1)))^(pair!$I$45+1)-pair!$H$45*(pair!$G$45/(pair!$K$45*(A71+1)))^(pair!$H$45+1))</f>
        <v>1.083256971903554E-2</v>
      </c>
    </row>
    <row r="72" spans="1:13" x14ac:dyDescent="0.3">
      <c r="A72" s="1">
        <f t="shared" si="1"/>
        <v>0.39000000000000018</v>
      </c>
      <c r="B72" s="1">
        <f>bonded!$E$2*bonded!$F$2*A72</f>
        <v>58.500000000000028</v>
      </c>
      <c r="C72" s="1">
        <f>bonded!$E$3*bonded!$F$3*A72</f>
        <v>29.250000000000014</v>
      </c>
      <c r="D72" s="1">
        <f>bonded!$E$4*bonded!$F$4*A72</f>
        <v>35.100000000000016</v>
      </c>
      <c r="E72" s="1">
        <f>(bonded!$E$7*((bonded!$K$7*(A72+1))/(1-((bonded!$K$7*(A72+1))/bonded!$F$7)^2)))+24*(bonded!$G$7/bonded!$H$7)*((bonded!$H$7/(bonded!$K$7*(A72+1)))^7-2*(bonded!$H$7/(bonded!$K$7*(A72+1)))^13)</f>
        <v>4.5153946088142938</v>
      </c>
      <c r="F72" s="1">
        <f>2*bonded!$F$10*bonded!$E$10*(EXP(-bonded!$F$10*bonded!$G$10*A72)-EXP(-2*bonded!$F$10*bonded!$G$10*A72))</f>
        <v>0.22240358748091327</v>
      </c>
      <c r="G72" s="1">
        <f>2*bonded!$F$11*bonded!$E$11*(EXP(-bonded!$F$11*bonded!$G$11*A72)-EXP(-2*bonded!$F$11*bonded!$G$11*A72))</f>
        <v>8.9000713046315003E-2</v>
      </c>
      <c r="H72" s="1">
        <f>2*bonded!$F$12*bonded!$E$12*(EXP(-bonded!$F$12*bonded!$G$12*A72)-EXP(-2*bonded!$F$12*bonded!$G$12*A72))</f>
        <v>5.3295910889380411E-2</v>
      </c>
      <c r="I72" s="1">
        <f>2*bonded!$F$13*bonded!$E$13*(EXP(-bonded!$F$13*bonded!$G$13*A72)-EXP(-2*bonded!$F$13*bonded!$G$13*A72))</f>
        <v>0.18527925690884595</v>
      </c>
      <c r="J72" s="1">
        <f>pair!$L$42*(pair!$F$42/pair!$G$42)*(pair!$I$42*(pair!$G$42/(pair!$K$42*(A72+1)))^(pair!$I$42+1)-pair!$H$42*(pair!$G$42/(pair!$K$42*(A72+1)))^(pair!$H$42+1))</f>
        <v>1.8781603595850176E-2</v>
      </c>
      <c r="K72" s="1">
        <f>pair!$L$43*(pair!$F$43/pair!$G$43)*(pair!$I$43*(pair!$G$43/(pair!$K$43*(A72+1)))^(pair!$I$43+1)-pair!$H$43*(pair!$G$43/(pair!$K$43*(A72+1)))^(pair!$H$43+1))</f>
        <v>3.7563207191700352E-3</v>
      </c>
      <c r="L72" s="1">
        <f>pair!$L$44*(pair!$F$44/pair!$G$44)*(pair!$I$44*(pair!$G$44/(pair!$K$44*(A72+1)))^(pair!$I$44+1)-pair!$H$44*(pair!$G$44/(pair!$K$44*(A72+1)))^(pair!$H$44+1))</f>
        <v>1.4370718876582941E-3</v>
      </c>
      <c r="M72" s="1">
        <f>pair!$L$45*(pair!$F$45/pair!$G$45)*(pair!$I$45*(pair!$G$45/(pair!$K$45*(A72+1)))^(pair!$I$45+1)-pair!$H$45*(pair!$G$45/(pair!$K$45*(A72+1)))^(pair!$H$45+1))</f>
        <v>1.0434224219916761E-2</v>
      </c>
    </row>
    <row r="73" spans="1:13" x14ac:dyDescent="0.3">
      <c r="A73" s="1">
        <f t="shared" si="1"/>
        <v>0.40000000000000019</v>
      </c>
      <c r="B73" s="1">
        <f>bonded!$E$2*bonded!$F$2*A73</f>
        <v>60.000000000000028</v>
      </c>
      <c r="C73" s="1">
        <f>bonded!$E$3*bonded!$F$3*A73</f>
        <v>30.000000000000014</v>
      </c>
      <c r="D73" s="1">
        <f>bonded!$E$4*bonded!$F$4*A73</f>
        <v>36.000000000000014</v>
      </c>
      <c r="E73" s="1">
        <f>(bonded!$E$7*((bonded!$K$7*(A73+1))/(1-((bonded!$K$7*(A73+1))/bonded!$F$7)^2)))+24*(bonded!$G$7/bonded!$H$7)*((bonded!$H$7/(bonded!$K$7*(A73+1)))^7-2*(bonded!$H$7/(bonded!$K$7*(A73+1)))^13)</f>
        <v>4.70399133094483</v>
      </c>
      <c r="F73" s="1">
        <f>2*bonded!$F$10*bonded!$E$10*(EXP(-bonded!$F$10*bonded!$G$10*A73)-EXP(-2*bonded!$F$10*bonded!$G$10*A73))</f>
        <v>0.21647216593810972</v>
      </c>
      <c r="G73" s="1">
        <f>2*bonded!$F$11*bonded!$E$11*(EXP(-bonded!$F$11*bonded!$G$11*A73)-EXP(-2*bonded!$F$11*bonded!$G$11*A73))</f>
        <v>8.6759839043457881E-2</v>
      </c>
      <c r="H73" s="1">
        <f>2*bonded!$F$12*bonded!$E$12*(EXP(-bonded!$F$12*bonded!$G$12*A73)-EXP(-2*bonded!$F$12*bonded!$G$12*A73))</f>
        <v>5.2046166934923657E-2</v>
      </c>
      <c r="I73" s="1">
        <f>2*bonded!$F$13*bonded!$E$13*(EXP(-bonded!$F$13*bonded!$G$13*A73)-EXP(-2*bonded!$F$13*bonded!$G$13*A73))</f>
        <v>0.18028391868727175</v>
      </c>
      <c r="J73" s="1">
        <f>pair!$L$42*(pair!$F$42/pair!$G$42)*(pair!$I$42*(pair!$G$42/(pair!$K$42*(A73+1)))^(pair!$I$42+1)-pair!$H$42*(pair!$G$42/(pair!$K$42*(A73+1)))^(pair!$H$42+1))</f>
        <v>1.8087867939183565E-2</v>
      </c>
      <c r="K73" s="1">
        <f>pair!$L$43*(pair!$F$43/pair!$G$43)*(pair!$I$43*(pair!$G$43/(pair!$K$43*(A73+1)))^(pair!$I$43+1)-pair!$H$43*(pair!$G$43/(pair!$K$43*(A73+1)))^(pair!$H$43+1))</f>
        <v>3.6175735878367127E-3</v>
      </c>
      <c r="L73" s="1">
        <f>pair!$L$44*(pair!$F$44/pair!$G$44)*(pair!$I$44*(pair!$G$44/(pair!$K$44*(A73+1)))^(pair!$I$44+1)-pair!$H$44*(pair!$G$44/(pair!$K$44*(A73+1)))^(pair!$H$44+1))</f>
        <v>1.4279764383887668E-3</v>
      </c>
      <c r="M73" s="1">
        <f>pair!$L$45*(pair!$F$45/pair!$G$45)*(pair!$I$45*(pair!$G$45/(pair!$K$45*(A73+1)))^(pair!$I$45+1)-pair!$H$45*(pair!$G$45/(pair!$K$45*(A73+1)))^(pair!$H$45+1))</f>
        <v>1.0048815521768655E-2</v>
      </c>
    </row>
    <row r="74" spans="1:13" x14ac:dyDescent="0.3">
      <c r="A74" s="1">
        <f t="shared" si="1"/>
        <v>0.4100000000000002</v>
      </c>
      <c r="B74" s="1">
        <f>bonded!$E$2*bonded!$F$2*A74</f>
        <v>61.500000000000028</v>
      </c>
      <c r="C74" s="1">
        <f>bonded!$E$3*bonded!$F$3*A74</f>
        <v>30.750000000000014</v>
      </c>
      <c r="D74" s="1">
        <f>bonded!$E$4*bonded!$F$4*A74</f>
        <v>36.90000000000002</v>
      </c>
      <c r="E74" s="1">
        <f>(bonded!$E$7*((bonded!$K$7*(A74+1))/(1-((bonded!$K$7*(A74+1))/bonded!$F$7)^2)))+24*(bonded!$G$7/bonded!$H$7)*((bonded!$H$7/(bonded!$K$7*(A74+1)))^7-2*(bonded!$H$7/(bonded!$K$7*(A74+1)))^13)</f>
        <v>4.9078038378054591</v>
      </c>
      <c r="F74" s="1">
        <f>2*bonded!$F$10*bonded!$E$10*(EXP(-bonded!$F$10*bonded!$G$10*A74)-EXP(-2*bonded!$F$10*bonded!$G$10*A74))</f>
        <v>0.21058985079379705</v>
      </c>
      <c r="G74" s="1">
        <f>2*bonded!$F$11*bonded!$E$11*(EXP(-bonded!$F$11*bonded!$G$11*A74)-EXP(-2*bonded!$F$11*bonded!$G$11*A74))</f>
        <v>8.4531090518852756E-2</v>
      </c>
      <c r="H74" s="1">
        <f>2*bonded!$F$12*bonded!$E$12*(EXP(-bonded!$F$12*bonded!$G$12*A74)-EXP(-2*bonded!$F$12*bonded!$G$12*A74))</f>
        <v>5.0798763697625968E-2</v>
      </c>
      <c r="I74" s="1">
        <f>2*bonded!$F$13*bonded!$E$13*(EXP(-bonded!$F$13*bonded!$G$13*A74)-EXP(-2*bonded!$F$13*bonded!$G$13*A74))</f>
        <v>0.17533265042970206</v>
      </c>
      <c r="J74" s="1">
        <f>pair!$L$42*(pair!$F$42/pair!$G$42)*(pair!$I$42*(pair!$G$42/(pair!$K$42*(A74+1)))^(pair!$I$42+1)-pair!$H$42*(pair!$G$42/(pair!$K$42*(A74+1)))^(pair!$H$42+1))</f>
        <v>1.7417229909471841E-2</v>
      </c>
      <c r="K74" s="1">
        <f>pair!$L$43*(pair!$F$43/pair!$G$43)*(pair!$I$43*(pair!$G$43/(pair!$K$43*(A74+1)))^(pair!$I$43+1)-pair!$H$43*(pair!$G$43/(pair!$K$43*(A74+1)))^(pair!$H$43+1))</f>
        <v>3.4834459818943683E-3</v>
      </c>
      <c r="L74" s="1">
        <f>pair!$L$44*(pair!$F$44/pair!$G$44)*(pair!$I$44*(pair!$G$44/(pair!$K$44*(A74+1)))^(pair!$I$44+1)-pair!$H$44*(pair!$G$44/(pair!$K$44*(A74+1)))^(pair!$H$44+1))</f>
        <v>1.4183888970499094E-3</v>
      </c>
      <c r="M74" s="1">
        <f>pair!$L$45*(pair!$F$45/pair!$G$45)*(pair!$I$45*(pair!$G$45/(pair!$K$45*(A74+1)))^(pair!$I$45+1)-pair!$H$45*(pair!$G$45/(pair!$K$45*(A74+1)))^(pair!$H$45+1))</f>
        <v>9.6762388385954641E-3</v>
      </c>
    </row>
    <row r="75" spans="1:13" x14ac:dyDescent="0.3">
      <c r="A75" s="1">
        <f t="shared" si="1"/>
        <v>0.42000000000000021</v>
      </c>
      <c r="B75" s="1">
        <f>bonded!$E$2*bonded!$F$2*A75</f>
        <v>63.000000000000028</v>
      </c>
      <c r="C75" s="1">
        <f>bonded!$E$3*bonded!$F$3*A75</f>
        <v>31.500000000000014</v>
      </c>
      <c r="D75" s="1">
        <f>bonded!$E$4*bonded!$F$4*A75</f>
        <v>37.800000000000018</v>
      </c>
      <c r="E75" s="1">
        <f>(bonded!$E$7*((bonded!$K$7*(A75+1))/(1-((bonded!$K$7*(A75+1))/bonded!$F$7)^2)))+24*(bonded!$G$7/bonded!$H$7)*((bonded!$H$7/(bonded!$K$7*(A75+1)))^7-2*(bonded!$H$7/(bonded!$K$7*(A75+1)))^13)</f>
        <v>5.1287661841432106</v>
      </c>
      <c r="F75" s="1">
        <f>2*bonded!$F$10*bonded!$E$10*(EXP(-bonded!$F$10*bonded!$G$10*A75)-EXP(-2*bonded!$F$10*bonded!$G$10*A75))</f>
        <v>0.20476736664572365</v>
      </c>
      <c r="G75" s="1">
        <f>2*bonded!$F$11*bonded!$E$11*(EXP(-bonded!$F$11*bonded!$G$11*A75)-EXP(-2*bonded!$F$11*bonded!$G$11*A75))</f>
        <v>8.2318898489928904E-2</v>
      </c>
      <c r="H75" s="1">
        <f>2*bonded!$F$12*bonded!$E$12*(EXP(-bonded!$F$12*bonded!$G$12*A75)-EXP(-2*bonded!$F$12*bonded!$G$12*A75))</f>
        <v>4.955642382341402E-2</v>
      </c>
      <c r="I75" s="1">
        <f>2*bonded!$F$13*bonded!$E$13*(EXP(-bonded!$F$13*bonded!$G$13*A75)-EXP(-2*bonded!$F$13*bonded!$G$13*A75))</f>
        <v>0.17043432061218849</v>
      </c>
      <c r="J75" s="1">
        <f>pair!$L$42*(pair!$F$42/pair!$G$42)*(pair!$I$42*(pair!$G$42/(pair!$K$42*(A75+1)))^(pair!$I$42+1)-pair!$H$42*(pair!$G$42/(pair!$K$42*(A75+1)))^(pair!$H$42+1))</f>
        <v>1.676941057392306E-2</v>
      </c>
      <c r="K75" s="1">
        <f>pair!$L$43*(pair!$F$43/pair!$G$43)*(pair!$I$43*(pair!$G$43/(pair!$K$43*(A75+1)))^(pair!$I$43+1)-pair!$H$43*(pair!$G$43/(pair!$K$43*(A75+1)))^(pair!$H$43+1))</f>
        <v>3.3538821147846122E-3</v>
      </c>
      <c r="L75" s="1">
        <f>pair!$L$44*(pair!$F$44/pair!$G$44)*(pair!$I$44*(pair!$G$44/(pair!$K$44*(A75+1)))^(pair!$I$44+1)-pair!$H$44*(pair!$G$44/(pair!$K$44*(A75+1)))^(pair!$H$44+1))</f>
        <v>1.4083575342523067E-3</v>
      </c>
      <c r="M75" s="1">
        <f>pair!$L$45*(pair!$F$45/pair!$G$45)*(pair!$I$45*(pair!$G$45/(pair!$K$45*(A75+1)))^(pair!$I$45+1)-pair!$H$45*(pair!$G$45/(pair!$K$45*(A75+1)))^(pair!$H$45+1))</f>
        <v>9.3163392077350374E-3</v>
      </c>
    </row>
    <row r="76" spans="1:13" x14ac:dyDescent="0.3">
      <c r="A76" s="1">
        <f t="shared" si="1"/>
        <v>0.43000000000000022</v>
      </c>
      <c r="B76" s="1">
        <f>bonded!$E$2*bonded!$F$2*A76</f>
        <v>64.500000000000028</v>
      </c>
      <c r="C76" s="1">
        <f>bonded!$E$3*bonded!$F$3*A76</f>
        <v>32.250000000000014</v>
      </c>
      <c r="D76" s="1">
        <f>bonded!$E$4*bonded!$F$4*A76</f>
        <v>38.700000000000017</v>
      </c>
      <c r="E76" s="1">
        <f>(bonded!$E$7*((bonded!$K$7*(A76+1))/(1-((bonded!$K$7*(A76+1))/bonded!$F$7)^2)))+24*(bonded!$G$7/bonded!$H$7)*((bonded!$H$7/(bonded!$K$7*(A76+1)))^7-2*(bonded!$H$7/(bonded!$K$7*(A76+1)))^13)</f>
        <v>5.369147418789237</v>
      </c>
      <c r="F76" s="1">
        <f>2*bonded!$F$10*bonded!$E$10*(EXP(-bonded!$F$10*bonded!$G$10*A76)-EXP(-2*bonded!$F$10*bonded!$G$10*A76))</f>
        <v>0.19901412128584225</v>
      </c>
      <c r="G76" s="1">
        <f>2*bonded!$F$11*bonded!$E$11*(EXP(-bonded!$F$11*bonded!$G$11*A76)-EXP(-2*bonded!$F$11*bonded!$G$11*A76))</f>
        <v>8.0127189194851192E-2</v>
      </c>
      <c r="H76" s="1">
        <f>2*bonded!$F$12*bonded!$E$12*(EXP(-bonded!$F$12*bonded!$G$12*A76)-EXP(-2*bonded!$F$12*bonded!$G$12*A76))</f>
        <v>4.8321583957772626E-2</v>
      </c>
      <c r="I76" s="1">
        <f>2*bonded!$F$13*bonded!$E$13*(EXP(-bonded!$F$13*bonded!$G$13*A76)-EXP(-2*bonded!$F$13*bonded!$G$13*A76))</f>
        <v>0.16559669202218186</v>
      </c>
      <c r="J76" s="1">
        <f>pair!$L$42*(pair!$F$42/pair!$G$42)*(pair!$I$42*(pair!$G$42/(pair!$K$42*(A76+1)))^(pair!$I$42+1)-pair!$H$42*(pair!$G$42/(pair!$K$42*(A76+1)))^(pair!$H$42+1))</f>
        <v>1.614405655480218E-2</v>
      </c>
      <c r="K76" s="1">
        <f>pair!$L$43*(pair!$F$43/pair!$G$43)*(pair!$I$43*(pair!$G$43/(pair!$K$43*(A76+1)))^(pair!$I$43+1)-pair!$H$43*(pair!$G$43/(pair!$K$43*(A76+1)))^(pair!$H$43+1))</f>
        <v>3.2288113109604339E-3</v>
      </c>
      <c r="L76" s="1">
        <f>pair!$L$44*(pair!$F$44/pair!$G$44)*(pair!$I$44*(pair!$G$44/(pair!$K$44*(A76+1)))^(pair!$I$44+1)-pair!$H$44*(pair!$G$44/(pair!$K$44*(A76+1)))^(pair!$H$44+1))</f>
        <v>1.3979271151667524E-3</v>
      </c>
      <c r="M76" s="1">
        <f>pair!$L$45*(pair!$F$45/pair!$G$45)*(pair!$I$45*(pair!$G$45/(pair!$K$45*(A76+1)))^(pair!$I$45+1)-pair!$H$45*(pair!$G$45/(pair!$K$45*(A76+1)))^(pair!$H$45+1))</f>
        <v>8.9689203082234416E-3</v>
      </c>
    </row>
    <row r="77" spans="1:13" x14ac:dyDescent="0.3">
      <c r="A77" s="1">
        <f t="shared" si="1"/>
        <v>0.44000000000000022</v>
      </c>
      <c r="B77" s="1">
        <f>bonded!$E$2*bonded!$F$2*A77</f>
        <v>66.000000000000028</v>
      </c>
      <c r="C77" s="1">
        <f>bonded!$E$3*bonded!$F$3*A77</f>
        <v>33.000000000000014</v>
      </c>
      <c r="D77" s="1">
        <f>bonded!$E$4*bonded!$F$4*A77</f>
        <v>39.600000000000023</v>
      </c>
      <c r="E77" s="1">
        <f>(bonded!$E$7*((bonded!$K$7*(A77+1))/(1-((bonded!$K$7*(A77+1))/bonded!$F$7)^2)))+24*(bonded!$G$7/bonded!$H$7)*((bonded!$H$7/(bonded!$K$7*(A77+1)))^7-2*(bonded!$H$7/(bonded!$K$7*(A77+1)))^13)</f>
        <v>5.6316291454272296</v>
      </c>
      <c r="F77" s="1">
        <f>2*bonded!$F$10*bonded!$E$10*(EXP(-bonded!$F$10*bonded!$G$10*A77)-EXP(-2*bonded!$F$10*bonded!$G$10*A77))</f>
        <v>0.19333832178705063</v>
      </c>
      <c r="G77" s="1">
        <f>2*bonded!$F$11*bonded!$E$11*(EXP(-bonded!$F$11*bonded!$G$11*A77)-EXP(-2*bonded!$F$11*bonded!$G$11*A77))</f>
        <v>7.7959426740719914E-2</v>
      </c>
      <c r="H77" s="1">
        <f>2*bonded!$F$12*bonded!$E$12*(EXP(-bonded!$F$12*bonded!$G$12*A77)-EXP(-2*bonded!$F$12*bonded!$G$12*A77))</f>
        <v>4.7096417748842698E-2</v>
      </c>
      <c r="I77" s="1">
        <f>2*bonded!$F$13*bonded!$E$13*(EXP(-bonded!$F$13*bonded!$G$13*A77)-EXP(-2*bonded!$F$13*bonded!$G$13*A77))</f>
        <v>0.16082652004871698</v>
      </c>
      <c r="J77" s="1">
        <f>pair!$L$42*(pair!$F$42/pair!$G$42)*(pair!$I$42*(pair!$G$42/(pair!$K$42*(A77+1)))^(pair!$I$42+1)-pair!$H$42*(pair!$G$42/(pair!$K$42*(A77+1)))^(pair!$H$42+1))</f>
        <v>1.554075375541814E-2</v>
      </c>
      <c r="K77" s="1">
        <f>pair!$L$43*(pair!$F$43/pair!$G$43)*(pair!$I$43*(pair!$G$43/(pair!$K$43*(A77+1)))^(pair!$I$43+1)-pair!$H$43*(pair!$G$43/(pair!$K$43*(A77+1)))^(pair!$H$43+1))</f>
        <v>3.1081507510836307E-3</v>
      </c>
      <c r="L77" s="1">
        <f>pair!$L$44*(pair!$F$44/pair!$G$44)*(pair!$I$44*(pair!$G$44/(pair!$K$44*(A77+1)))^(pair!$I$44+1)-pair!$H$44*(pair!$G$44/(pair!$K$44*(A77+1)))^(pair!$H$44+1))</f>
        <v>1.3871391503243069E-3</v>
      </c>
      <c r="M77" s="1">
        <f>pair!$L$45*(pair!$F$45/pair!$G$45)*(pair!$I$45*(pair!$G$45/(pair!$K$45*(A77+1)))^(pair!$I$45+1)-pair!$H$45*(pair!$G$45/(pair!$K$45*(A77+1)))^(pair!$H$45+1))</f>
        <v>8.6337520863434165E-3</v>
      </c>
    </row>
    <row r="78" spans="1:13" x14ac:dyDescent="0.3">
      <c r="A78" s="1">
        <f t="shared" si="1"/>
        <v>0.45000000000000023</v>
      </c>
      <c r="B78" s="1">
        <f>bonded!$E$2*bonded!$F$2*A78</f>
        <v>67.500000000000028</v>
      </c>
      <c r="C78" s="1">
        <f>bonded!$E$3*bonded!$F$3*A78</f>
        <v>33.750000000000014</v>
      </c>
      <c r="D78" s="1">
        <f>bonded!$E$4*bonded!$F$4*A78</f>
        <v>40.500000000000021</v>
      </c>
      <c r="E78" s="1">
        <f>(bonded!$E$7*((bonded!$K$7*(A78+1))/(1-((bonded!$K$7*(A78+1))/bonded!$F$7)^2)))+24*(bonded!$G$7/bonded!$H$7)*((bonded!$H$7/(bonded!$K$7*(A78+1)))^7-2*(bonded!$H$7/(bonded!$K$7*(A78+1)))^13)</f>
        <v>5.9194053383639584</v>
      </c>
      <c r="F78" s="1">
        <f>2*bonded!$F$10*bonded!$E$10*(EXP(-bonded!$F$10*bonded!$G$10*A78)-EXP(-2*bonded!$F$10*bonded!$G$10*A78))</f>
        <v>0.18774708136658674</v>
      </c>
      <c r="G78" s="1">
        <f>2*bonded!$F$11*bonded!$E$11*(EXP(-bonded!$F$11*bonded!$G$11*A78)-EXP(-2*bonded!$F$11*bonded!$G$11*A78))</f>
        <v>7.5818652481789553E-2</v>
      </c>
      <c r="H78" s="1">
        <f>2*bonded!$F$12*bonded!$E$12*(EXP(-bonded!$F$12*bonded!$G$12*A78)-EXP(-2*bonded!$F$12*bonded!$G$12*A78))</f>
        <v>4.5882857159304125E-2</v>
      </c>
      <c r="I78" s="1">
        <f>2*bonded!$F$13*bonded!$E$13*(EXP(-bonded!$F$13*bonded!$G$13*A78)-EXP(-2*bonded!$F$13*bonded!$G$13*A78))</f>
        <v>0.15612964310916905</v>
      </c>
      <c r="J78" s="1">
        <f>pair!$L$42*(pair!$F$42/pair!$G$42)*(pair!$I$42*(pair!$G$42/(pair!$K$42*(A78+1)))^(pair!$I$42+1)-pair!$H$42*(pair!$G$42/(pair!$K$42*(A78+1)))^(pair!$H$42+1))</f>
        <v>1.495903921268992E-2</v>
      </c>
      <c r="K78" s="1">
        <f>pair!$L$43*(pair!$F$43/pair!$G$43)*(pair!$I$43*(pair!$G$43/(pair!$K$43*(A78+1)))^(pair!$I$43+1)-pair!$H$43*(pair!$G$43/(pair!$K$43*(A78+1)))^(pair!$H$43+1))</f>
        <v>2.9918078425379838E-3</v>
      </c>
      <c r="L78" s="1">
        <f>pair!$L$44*(pair!$F$44/pair!$G$44)*(pair!$I$44*(pair!$G$44/(pair!$K$44*(A78+1)))^(pair!$I$44+1)-pair!$H$44*(pair!$G$44/(pair!$K$44*(A78+1)))^(pair!$H$44+1))</f>
        <v>1.3760321276979656E-3</v>
      </c>
      <c r="M78" s="1">
        <f>pair!$L$45*(pair!$F$45/pair!$G$45)*(pair!$I$45*(pair!$G$45/(pair!$K$45*(A78+1)))^(pair!$I$45+1)-pair!$H$45*(pair!$G$45/(pair!$K$45*(A78+1)))^(pair!$H$45+1))</f>
        <v>8.3105773403832871E-3</v>
      </c>
    </row>
    <row r="79" spans="1:13" x14ac:dyDescent="0.3">
      <c r="A79" s="1">
        <f t="shared" si="1"/>
        <v>0.46000000000000024</v>
      </c>
      <c r="B79" s="1">
        <f>bonded!$E$2*bonded!$F$2*A79</f>
        <v>69.000000000000043</v>
      </c>
      <c r="C79" s="1">
        <f>bonded!$E$3*bonded!$F$3*A79</f>
        <v>34.500000000000021</v>
      </c>
      <c r="D79" s="1">
        <f>bonded!$E$4*bonded!$F$4*A79</f>
        <v>41.40000000000002</v>
      </c>
      <c r="E79" s="1">
        <f>(bonded!$E$7*((bonded!$K$7*(A79+1))/(1-((bonded!$K$7*(A79+1))/bonded!$F$7)^2)))+24*(bonded!$G$7/bonded!$H$7)*((bonded!$H$7/(bonded!$K$7*(A79+1)))^7-2*(bonded!$H$7/(bonded!$K$7*(A79+1)))^13)</f>
        <v>6.2363122974568057</v>
      </c>
      <c r="F79" s="1">
        <f>2*bonded!$F$10*bonded!$E$10*(EXP(-bonded!$F$10*bonded!$G$10*A79)-EXP(-2*bonded!$F$10*bonded!$G$10*A79))</f>
        <v>0.1822465177276982</v>
      </c>
      <c r="G79" s="1">
        <f>2*bonded!$F$11*bonded!$E$11*(EXP(-bonded!$F$11*bonded!$G$11*A79)-EXP(-2*bonded!$F$11*bonded!$G$11*A79))</f>
        <v>7.3707521368343271E-2</v>
      </c>
      <c r="H79" s="1">
        <f>2*bonded!$F$12*bonded!$E$12*(EXP(-bonded!$F$12*bonded!$G$12*A79)-EXP(-2*bonded!$F$12*bonded!$G$12*A79))</f>
        <v>4.4682612206697475E-2</v>
      </c>
      <c r="I79" s="1">
        <f>2*bonded!$F$13*bonded!$E$13*(EXP(-bonded!$F$13*bonded!$G$13*A79)-EXP(-2*bonded!$F$13*bonded!$G$13*A79))</f>
        <v>0.15151106581458848</v>
      </c>
      <c r="J79" s="1">
        <f>pair!$L$42*(pair!$F$42/pair!$G$42)*(pair!$I$42*(pair!$G$42/(pair!$K$42*(A79+1)))^(pair!$I$42+1)-pair!$H$42*(pair!$G$42/(pair!$K$42*(A79+1)))^(pair!$H$42+1))</f>
        <v>1.439841131522337E-2</v>
      </c>
      <c r="K79" s="1">
        <f>pair!$L$43*(pair!$F$43/pair!$G$43)*(pair!$I$43*(pair!$G$43/(pair!$K$43*(A79+1)))^(pair!$I$43+1)-pair!$H$43*(pair!$G$43/(pair!$K$43*(A79+1)))^(pair!$H$43+1))</f>
        <v>2.8796822630446739E-3</v>
      </c>
      <c r="L79" s="1">
        <f>pair!$L$44*(pair!$F$44/pair!$G$44)*(pair!$I$44*(pair!$G$44/(pair!$K$44*(A79+1)))^(pair!$I$44+1)-pair!$H$44*(pair!$G$44/(pair!$K$44*(A79+1)))^(pair!$H$44+1))</f>
        <v>1.3646417275469365E-3</v>
      </c>
      <c r="M79" s="1">
        <f>pair!$L$45*(pair!$F$45/pair!$G$45)*(pair!$I$45*(pair!$G$45/(pair!$K$45*(A79+1)))^(pair!$I$45+1)-pair!$H$45*(pair!$G$45/(pair!$K$45*(A79+1)))^(pair!$H$45+1))</f>
        <v>7.9991173973463208E-3</v>
      </c>
    </row>
    <row r="80" spans="1:13" x14ac:dyDescent="0.3">
      <c r="A80" s="1">
        <f t="shared" si="1"/>
        <v>0.47000000000000025</v>
      </c>
      <c r="B80" s="1">
        <f>bonded!$E$2*bonded!$F$2*A80</f>
        <v>70.500000000000043</v>
      </c>
      <c r="C80" s="1">
        <f>bonded!$E$3*bonded!$F$3*A80</f>
        <v>35.250000000000021</v>
      </c>
      <c r="D80" s="1">
        <f>bonded!$E$4*bonded!$F$4*A80</f>
        <v>42.300000000000026</v>
      </c>
      <c r="E80" s="1">
        <f>(bonded!$E$7*((bonded!$K$7*(A80+1))/(1-((bonded!$K$7*(A80+1))/bonded!$F$7)^2)))+24*(bonded!$G$7/bonded!$H$7)*((bonded!$H$7/(bonded!$K$7*(A80+1)))^7-2*(bonded!$H$7/(bonded!$K$7*(A80+1)))^13)</f>
        <v>6.5869999780908675</v>
      </c>
      <c r="F80" s="1">
        <f>2*bonded!$F$10*bonded!$E$10*(EXP(-bonded!$F$10*bonded!$G$10*A80)-EXP(-2*bonded!$F$10*bonded!$G$10*A80))</f>
        <v>0.17684184352889745</v>
      </c>
      <c r="G80" s="1">
        <f>2*bonded!$F$11*bonded!$E$11*(EXP(-bonded!$F$11*bonded!$G$11*A80)-EXP(-2*bonded!$F$11*bonded!$G$11*A80))</f>
        <v>7.162833548948834E-2</v>
      </c>
      <c r="H80" s="1">
        <f>2*bonded!$F$12*bonded!$E$12*(EXP(-bonded!$F$12*bonded!$G$12*A80)-EXP(-2*bonded!$F$12*bonded!$G$12*A80))</f>
        <v>4.3497189243524484E-2</v>
      </c>
      <c r="I80" s="1">
        <f>2*bonded!$F$13*bonded!$E$13*(EXP(-bonded!$F$13*bonded!$G$13*A80)-EXP(-2*bonded!$F$13*bonded!$G$13*A80))</f>
        <v>0.14697503543046611</v>
      </c>
      <c r="J80" s="1">
        <f>pair!$L$42*(pair!$F$42/pair!$G$42)*(pair!$I$42*(pair!$G$42/(pair!$K$42*(A80+1)))^(pair!$I$42+1)-pair!$H$42*(pair!$G$42/(pair!$K$42*(A80+1)))^(pair!$H$42+1))</f>
        <v>1.3858338595593137E-2</v>
      </c>
      <c r="K80" s="1">
        <f>pair!$L$43*(pair!$F$43/pair!$G$43)*(pair!$I$43*(pair!$G$43/(pair!$K$43*(A80+1)))^(pair!$I$43+1)-pair!$H$43*(pair!$G$43/(pair!$K$43*(A80+1)))^(pair!$H$43+1))</f>
        <v>2.7716677191186303E-3</v>
      </c>
      <c r="L80" s="1">
        <f>pair!$L$44*(pair!$F$44/pair!$G$44)*(pair!$I$44*(pair!$G$44/(pair!$K$44*(A80+1)))^(pair!$I$44+1)-pair!$H$44*(pair!$G$44/(pair!$K$44*(A80+1)))^(pair!$H$44+1))</f>
        <v>1.3530010213798325E-3</v>
      </c>
      <c r="M80" s="1">
        <f>pair!$L$45*(pair!$F$45/pair!$G$45)*(pair!$I$45*(pair!$G$45/(pair!$K$45*(A80+1)))^(pair!$I$45+1)-pair!$H$45*(pair!$G$45/(pair!$K$45*(A80+1)))^(pair!$H$45+1))</f>
        <v>7.6990769975517487E-3</v>
      </c>
    </row>
    <row r="81" spans="1:13" x14ac:dyDescent="0.3">
      <c r="A81" s="1">
        <f t="shared" si="1"/>
        <v>0.48000000000000026</v>
      </c>
      <c r="B81" s="1">
        <f>bonded!$E$2*bonded!$F$2*A81</f>
        <v>72.000000000000043</v>
      </c>
      <c r="C81" s="1">
        <f>bonded!$E$3*bonded!$F$3*A81</f>
        <v>36.000000000000021</v>
      </c>
      <c r="D81" s="1">
        <f>bonded!$E$4*bonded!$F$4*A81</f>
        <v>43.200000000000024</v>
      </c>
      <c r="E81" s="1">
        <f>(bonded!$E$7*((bonded!$K$7*(A81+1))/(1-((bonded!$K$7*(A81+1))/bonded!$F$7)^2)))+24*(bonded!$G$7/bonded!$H$7)*((bonded!$H$7/(bonded!$K$7*(A81+1)))^7-2*(bonded!$H$7/(bonded!$K$7*(A81+1)))^13)</f>
        <v>6.9771609786546245</v>
      </c>
      <c r="F81" s="1">
        <f>2*bonded!$F$10*bonded!$E$10*(EXP(-bonded!$F$10*bonded!$G$10*A81)-EXP(-2*bonded!$F$10*bonded!$G$10*A81))</f>
        <v>0.1715374495816748</v>
      </c>
      <c r="G81" s="1">
        <f>2*bonded!$F$11*bonded!$E$11*(EXP(-bonded!$F$11*bonded!$G$11*A81)-EXP(-2*bonded!$F$11*bonded!$G$11*A81))</f>
        <v>6.958307501700714E-2</v>
      </c>
      <c r="H81" s="1">
        <f>2*bonded!$F$12*bonded!$E$12*(EXP(-bonded!$F$12*bonded!$G$12*A81)-EXP(-2*bonded!$F$12*bonded!$G$12*A81))</f>
        <v>4.2327907880724928E-2</v>
      </c>
      <c r="I81" s="1">
        <f>2*bonded!$F$13*bonded!$E$13*(EXP(-bonded!$F$13*bonded!$G$13*A81)-EXP(-2*bonded!$F$13*bonded!$G$13*A81))</f>
        <v>0.14252511214797695</v>
      </c>
      <c r="J81" s="1">
        <f>pair!$L$42*(pair!$F$42/pair!$G$42)*(pair!$I$42*(pair!$G$42/(pair!$K$42*(A81+1)))^(pair!$I$42+1)-pair!$H$42*(pair!$G$42/(pair!$K$42*(A81+1)))^(pair!$H$42+1))</f>
        <v>1.3338267279170146E-2</v>
      </c>
      <c r="K81" s="1">
        <f>pair!$L$43*(pair!$F$43/pair!$G$43)*(pair!$I$43*(pair!$G$43/(pair!$K$43*(A81+1)))^(pair!$I$43+1)-pair!$H$43*(pair!$G$43/(pair!$K$43*(A81+1)))^(pair!$H$43+1))</f>
        <v>2.6676534558340318E-3</v>
      </c>
      <c r="L81" s="1">
        <f>pair!$L$44*(pair!$F$44/pair!$G$44)*(pair!$I$44*(pair!$G$44/(pair!$K$44*(A81+1)))^(pair!$I$44+1)-pair!$H$44*(pair!$G$44/(pair!$K$44*(A81+1)))^(pair!$H$44+1))</f>
        <v>1.341140656279537E-3</v>
      </c>
      <c r="M81" s="1">
        <f>pair!$L$45*(pair!$F$45/pair!$G$45)*(pair!$I$45*(pair!$G$45/(pair!$K$45*(A81+1)))^(pair!$I$45+1)-pair!$H$45*(pair!$G$45/(pair!$K$45*(A81+1)))^(pair!$H$45+1))</f>
        <v>7.4101484884278642E-3</v>
      </c>
    </row>
    <row r="82" spans="1:13" x14ac:dyDescent="0.3">
      <c r="A82" s="1">
        <f t="shared" si="1"/>
        <v>0.49000000000000027</v>
      </c>
      <c r="B82" s="1">
        <f>bonded!$E$2*bonded!$F$2*A82</f>
        <v>73.500000000000043</v>
      </c>
      <c r="C82" s="1">
        <f>bonded!$E$3*bonded!$F$3*A82</f>
        <v>36.750000000000021</v>
      </c>
      <c r="D82" s="1">
        <f>bonded!$E$4*bonded!$F$4*A82</f>
        <v>44.100000000000023</v>
      </c>
      <c r="E82" s="1">
        <f>(bonded!$E$7*((bonded!$K$7*(A82+1))/(1-((bonded!$K$7*(A82+1))/bonded!$F$7)^2)))+24*(bonded!$G$7/bonded!$H$7)*((bonded!$H$7/(bonded!$K$7*(A82+1)))^7-2*(bonded!$H$7/(bonded!$K$7*(A82+1)))^13)</f>
        <v>7.4138412179049089</v>
      </c>
      <c r="F82" s="1">
        <f>2*bonded!$F$10*bonded!$E$10*(EXP(-bonded!$F$10*bonded!$G$10*A82)-EXP(-2*bonded!$F$10*bonded!$G$10*A82))</f>
        <v>0.16633698133267616</v>
      </c>
      <c r="G82" s="1">
        <f>2*bonded!$F$11*bonded!$E$11*(EXP(-bonded!$F$11*bonded!$G$11*A82)-EXP(-2*bonded!$F$11*bonded!$G$11*A82))</f>
        <v>6.7573426742423309E-2</v>
      </c>
      <c r="H82" s="1">
        <f>2*bonded!$F$12*bonded!$E$12*(EXP(-bonded!$F$12*bonded!$G$12*A82)-EXP(-2*bonded!$F$12*bonded!$G$12*A82))</f>
        <v>4.1175916650919651E-2</v>
      </c>
      <c r="I82" s="1">
        <f>2*bonded!$F$13*bonded!$E$13*(EXP(-bonded!$F$13*bonded!$G$13*A82)-EXP(-2*bonded!$F$13*bonded!$G$13*A82))</f>
        <v>0.13816423364205513</v>
      </c>
      <c r="J82" s="1">
        <f>pair!$L$42*(pair!$F$42/pair!$G$42)*(pair!$I$42*(pair!$G$42/(pair!$K$42*(A82+1)))^(pair!$I$42+1)-pair!$H$42*(pair!$G$42/(pair!$K$42*(A82+1)))^(pair!$H$42+1))</f>
        <v>1.2837627748855321E-2</v>
      </c>
      <c r="K82" s="1">
        <f>pair!$L$43*(pair!$F$43/pair!$G$43)*(pair!$I$43*(pair!$G$43/(pair!$K$43*(A82+1)))^(pair!$I$43+1)-pair!$H$43*(pair!$G$43/(pair!$K$43*(A82+1)))^(pair!$H$43+1))</f>
        <v>2.5675255497710639E-3</v>
      </c>
      <c r="L82" s="1">
        <f>pair!$L$44*(pair!$F$44/pair!$G$44)*(pair!$I$44*(pair!$G$44/(pair!$K$44*(A82+1)))^(pair!$I$44+1)-pair!$H$44*(pair!$G$44/(pair!$K$44*(A82+1)))^(pair!$H$44+1))</f>
        <v>1.3290890257290726E-3</v>
      </c>
      <c r="M82" s="1">
        <f>pair!$L$45*(pair!$F$45/pair!$G$45)*(pair!$I$45*(pair!$G$45/(pair!$K$45*(A82+1)))^(pair!$I$45+1)-pair!$H$45*(pair!$G$45/(pair!$K$45*(A82+1)))^(pair!$H$45+1))</f>
        <v>7.1320154160307422E-3</v>
      </c>
    </row>
    <row r="83" spans="1:13" x14ac:dyDescent="0.3">
      <c r="A83" s="1">
        <f t="shared" si="1"/>
        <v>0.50000000000000022</v>
      </c>
      <c r="B83" s="1">
        <f>bonded!$E$2*bonded!$F$2*A83</f>
        <v>75.000000000000028</v>
      </c>
      <c r="C83" s="1">
        <f>bonded!$E$3*bonded!$F$3*A83</f>
        <v>37.500000000000014</v>
      </c>
      <c r="D83" s="1">
        <f>bonded!$E$4*bonded!$F$4*A83</f>
        <v>45.000000000000021</v>
      </c>
      <c r="E83" s="1">
        <f>(bonded!$E$7*((bonded!$K$7*(A83+1))/(1-((bonded!$K$7*(A83+1))/bonded!$F$7)^2)))+24*(bonded!$G$7/bonded!$H$7)*((bonded!$H$7/(bonded!$K$7*(A83+1)))^7-2*(bonded!$H$7/(bonded!$K$7*(A83+1)))^13)</f>
        <v>7.9058684985469245</v>
      </c>
      <c r="F83" s="1">
        <f>2*bonded!$F$10*bonded!$E$10*(EXP(-bonded!$F$10*bonded!$G$10*A83)-EXP(-2*bonded!$F$10*bonded!$G$10*A83))</f>
        <v>0.16124340914479948</v>
      </c>
      <c r="G83" s="1">
        <f>2*bonded!$F$11*bonded!$E$11*(EXP(-bonded!$F$11*bonded!$G$11*A83)-EXP(-2*bonded!$F$11*bonded!$G$11*A83))</f>
        <v>6.5600810385538028E-2</v>
      </c>
      <c r="H83" s="1">
        <f>2*bonded!$F$12*bonded!$E$12*(EXP(-bonded!$F$12*bonded!$G$12*A83)-EXP(-2*bonded!$F$12*bonded!$G$12*A83))</f>
        <v>4.0042207501097819E-2</v>
      </c>
      <c r="I83" s="1">
        <f>2*bonded!$F$13*bonded!$E$13*(EXP(-bonded!$F$13*bonded!$G$13*A83)-EXP(-2*bonded!$F$13*bonded!$G$13*A83))</f>
        <v>0.1338947743568322</v>
      </c>
      <c r="J83" s="1">
        <f>pair!$L$42*(pair!$F$42/pair!$G$42)*(pair!$I$42*(pair!$G$42/(pair!$K$42*(A83+1)))^(pair!$I$42+1)-pair!$H$42*(pair!$G$42/(pair!$K$42*(A83+1)))^(pair!$H$42+1))</f>
        <v>1.2355840065030722E-2</v>
      </c>
      <c r="K83" s="1">
        <f>pair!$L$43*(pair!$F$43/pair!$G$43)*(pair!$I$43*(pair!$G$43/(pair!$K$43*(A83+1)))^(pair!$I$43+1)-pair!$H$43*(pair!$G$43/(pair!$K$43*(A83+1)))^(pair!$H$43+1))</f>
        <v>2.4711680130061441E-3</v>
      </c>
      <c r="L83" s="1">
        <f>pair!$L$44*(pair!$F$44/pair!$G$44)*(pair!$I$44*(pair!$G$44/(pair!$K$44*(A83+1)))^(pair!$I$44+1)-pair!$H$44*(pair!$G$44/(pair!$K$44*(A83+1)))^(pair!$H$44+1))</f>
        <v>1.3168724279835388E-3</v>
      </c>
      <c r="M83" s="1">
        <f>pair!$L$45*(pair!$F$45/pair!$G$45)*(pair!$I$45*(pair!$G$45/(pair!$K$45*(A83+1)))^(pair!$I$45+1)-pair!$H$45*(pair!$G$45/(pair!$K$45*(A83+1)))^(pair!$H$45+1))</f>
        <v>6.864355591683741E-3</v>
      </c>
    </row>
    <row r="84" spans="1:13" x14ac:dyDescent="0.3">
      <c r="A84" s="1">
        <f t="shared" si="1"/>
        <v>0.51000000000000023</v>
      </c>
      <c r="B84" s="1">
        <f>bonded!$E$2*bonded!$F$2*A84</f>
        <v>76.500000000000028</v>
      </c>
      <c r="C84" s="1">
        <f>bonded!$E$3*bonded!$F$3*A84</f>
        <v>38.250000000000014</v>
      </c>
      <c r="D84" s="1">
        <f>bonded!$E$4*bonded!$F$4*A84</f>
        <v>45.90000000000002</v>
      </c>
      <c r="E84" s="1">
        <f>(bonded!$E$7*((bonded!$K$7*(A84+1))/(1-((bonded!$K$7*(A84+1))/bonded!$F$7)^2)))+24*(bonded!$G$7/bonded!$H$7)*((bonded!$H$7/(bonded!$K$7*(A84+1)))^7-2*(bonded!$H$7/(bonded!$K$7*(A84+1)))^13)</f>
        <v>8.4644547130309284</v>
      </c>
      <c r="F84" s="1">
        <f>2*bonded!$F$10*bonded!$E$10*(EXP(-bonded!$F$10*bonded!$G$10*A84)-EXP(-2*bonded!$F$10*bonded!$G$10*A84))</f>
        <v>0.15625909285318643</v>
      </c>
      <c r="G84" s="1">
        <f>2*bonded!$F$11*bonded!$E$11*(EXP(-bonded!$F$11*bonded!$G$11*A84)-EXP(-2*bonded!$F$11*bonded!$G$11*A84))</f>
        <v>6.3666402839783531E-2</v>
      </c>
      <c r="H84" s="1">
        <f>2*bonded!$F$12*bonded!$E$12*(EXP(-bonded!$F$12*bonded!$G$12*A84)-EXP(-2*bonded!$F$12*bonded!$G$12*A84))</f>
        <v>3.8927629198177681E-2</v>
      </c>
      <c r="I84" s="1">
        <f>2*bonded!$F$13*bonded!$E$13*(EXP(-bonded!$F$13*bonded!$G$13*A84)-EXP(-2*bonded!$F$13*bonded!$G$13*A84))</f>
        <v>0.12971859992581336</v>
      </c>
      <c r="J84" s="1">
        <f>pair!$L$42*(pair!$F$42/pair!$G$42)*(pair!$I$42*(pair!$G$42/(pair!$K$42*(A84+1)))^(pair!$I$42+1)-pair!$H$42*(pair!$G$42/(pair!$K$42*(A84+1)))^(pair!$H$42+1))</f>
        <v>1.1892318662537855E-2</v>
      </c>
      <c r="K84" s="1">
        <f>pair!$L$43*(pair!$F$43/pair!$G$43)*(pair!$I$43*(pair!$G$43/(pair!$K$43*(A84+1)))^(pair!$I$43+1)-pair!$H$43*(pair!$G$43/(pair!$K$43*(A84+1)))^(pair!$H$43+1))</f>
        <v>2.3784637325075706E-3</v>
      </c>
      <c r="L84" s="1">
        <f>pair!$L$44*(pair!$F$44/pair!$G$44)*(pair!$I$44*(pair!$G$44/(pair!$K$44*(A84+1)))^(pair!$I$44+1)-pair!$H$44*(pair!$G$44/(pair!$K$44*(A84+1)))^(pair!$H$44+1))</f>
        <v>1.3045152129471818E-3</v>
      </c>
      <c r="M84" s="1">
        <f>pair!$L$45*(pair!$F$45/pair!$G$45)*(pair!$I$45*(pair!$G$45/(pair!$K$45*(A84+1)))^(pair!$I$45+1)-pair!$H$45*(pair!$G$45/(pair!$K$45*(A84+1)))^(pair!$H$45+1))</f>
        <v>6.6068437014099243E-3</v>
      </c>
    </row>
    <row r="85" spans="1:13" x14ac:dyDescent="0.3">
      <c r="A85" s="1">
        <f t="shared" si="1"/>
        <v>0.52000000000000024</v>
      </c>
      <c r="B85" s="1">
        <f>bonded!$E$2*bonded!$F$2*A85</f>
        <v>78.000000000000043</v>
      </c>
      <c r="C85" s="1">
        <f>bonded!$E$3*bonded!$F$3*A85</f>
        <v>39.000000000000021</v>
      </c>
      <c r="D85" s="1">
        <f>bonded!$E$4*bonded!$F$4*A85</f>
        <v>46.800000000000018</v>
      </c>
      <c r="E85" s="1">
        <f>(bonded!$E$7*((bonded!$K$7*(A85+1))/(1-((bonded!$K$7*(A85+1))/bonded!$F$7)^2)))+24*(bonded!$G$7/bonded!$H$7)*((bonded!$H$7/(bonded!$K$7*(A85+1)))^7-2*(bonded!$H$7/(bonded!$K$7*(A85+1)))^13)</f>
        <v>9.1040597609596841</v>
      </c>
      <c r="F85" s="1">
        <f>2*bonded!$F$10*bonded!$E$10*(EXP(-bonded!$F$10*bonded!$G$10*A85)-EXP(-2*bonded!$F$10*bonded!$G$10*A85))</f>
        <v>0.15138584103644961</v>
      </c>
      <c r="G85" s="1">
        <f>2*bonded!$F$11*bonded!$E$11*(EXP(-bonded!$F$11*bonded!$G$11*A85)-EXP(-2*bonded!$F$11*bonded!$G$11*A85))</f>
        <v>6.1771160507757251E-2</v>
      </c>
      <c r="H85" s="1">
        <f>2*bonded!$F$12*bonded!$E$12*(EXP(-bonded!$F$12*bonded!$G$12*A85)-EXP(-2*bonded!$F$12*bonded!$G$12*A85))</f>
        <v>3.7832899725052362E-2</v>
      </c>
      <c r="I85" s="1">
        <f>2*bonded!$F$13*bonded!$E$13*(EXP(-bonded!$F$13*bonded!$G$13*A85)-EXP(-2*bonded!$F$13*bonded!$G$13*A85))</f>
        <v>0.1256371171034768</v>
      </c>
      <c r="J85" s="1">
        <f>pair!$L$42*(pair!$F$42/pair!$G$42)*(pair!$I$42*(pair!$G$42/(pair!$K$42*(A85+1)))^(pair!$I$42+1)-pair!$H$42*(pair!$G$42/(pair!$K$42*(A85+1)))^(pair!$H$42+1))</f>
        <v>1.1446476331208891E-2</v>
      </c>
      <c r="K85" s="1">
        <f>pair!$L$43*(pair!$F$43/pair!$G$43)*(pair!$I$43*(pair!$G$43/(pair!$K$43*(A85+1)))^(pair!$I$43+1)-pair!$H$43*(pair!$G$43/(pair!$K$43*(A85+1)))^(pair!$H$43+1))</f>
        <v>2.289295266241778E-3</v>
      </c>
      <c r="L85" s="1">
        <f>pair!$L$44*(pair!$F$44/pair!$G$44)*(pair!$I$44*(pair!$G$44/(pair!$K$44*(A85+1)))^(pair!$I$44+1)-pair!$H$44*(pair!$G$44/(pair!$K$44*(A85+1)))^(pair!$H$44+1))</f>
        <v>1.2920399184362173E-3</v>
      </c>
      <c r="M85" s="1">
        <f>pair!$L$45*(pair!$F$45/pair!$G$45)*(pair!$I$45*(pair!$G$45/(pair!$K$45*(A85+1)))^(pair!$I$45+1)-pair!$H$45*(pair!$G$45/(pair!$K$45*(A85+1)))^(pair!$H$45+1))</f>
        <v>6.3591535173382705E-3</v>
      </c>
    </row>
    <row r="86" spans="1:13" x14ac:dyDescent="0.3">
      <c r="A86" s="1">
        <f t="shared" si="1"/>
        <v>0.53000000000000025</v>
      </c>
      <c r="B86" s="1">
        <f>bonded!$E$2*bonded!$F$2*A86</f>
        <v>79.500000000000043</v>
      </c>
      <c r="C86" s="1">
        <f>bonded!$E$3*bonded!$F$3*A86</f>
        <v>39.750000000000021</v>
      </c>
      <c r="D86" s="1">
        <f>bonded!$E$4*bonded!$F$4*A86</f>
        <v>47.700000000000024</v>
      </c>
      <c r="E86" s="1">
        <f>(bonded!$E$7*((bonded!$K$7*(A86+1))/(1-((bonded!$K$7*(A86+1))/bonded!$F$7)^2)))+24*(bonded!$G$7/bonded!$H$7)*((bonded!$H$7/(bonded!$K$7*(A86+1)))^7-2*(bonded!$H$7/(bonded!$K$7*(A86+1)))^13)</f>
        <v>9.8436602759878564</v>
      </c>
      <c r="F86" s="1">
        <f>2*bonded!$F$10*bonded!$E$10*(EXP(-bonded!$F$10*bonded!$G$10*A86)-EXP(-2*bonded!$F$10*bonded!$G$10*A86))</f>
        <v>0.14662496541047701</v>
      </c>
      <c r="G86" s="1">
        <f>2*bonded!$F$11*bonded!$E$11*(EXP(-bonded!$F$11*bonded!$G$11*A86)-EXP(-2*bonded!$F$11*bonded!$G$11*A86))</f>
        <v>5.991583986917403E-2</v>
      </c>
      <c r="H86" s="1">
        <f>2*bonded!$F$12*bonded!$E$12*(EXP(-bonded!$F$12*bonded!$G$12*A86)-EXP(-2*bonded!$F$12*bonded!$G$12*A86))</f>
        <v>3.6758617739315845E-2</v>
      </c>
      <c r="I86" s="1">
        <f>2*bonded!$F$13*bonded!$E$13*(EXP(-bonded!$F$13*bonded!$G$13*A86)-EXP(-2*bonded!$F$13*bonded!$G$13*A86))</f>
        <v>0.12165131955657403</v>
      </c>
      <c r="J86" s="1">
        <f>pair!$L$42*(pair!$F$42/pair!$G$42)*(pair!$I$42*(pair!$G$42/(pair!$K$42*(A86+1)))^(pair!$I$42+1)-pair!$H$42*(pair!$G$42/(pair!$K$42*(A86+1)))^(pair!$H$42+1))</f>
        <v>1.1017727573121597E-2</v>
      </c>
      <c r="K86" s="1">
        <f>pair!$L$43*(pair!$F$43/pair!$G$43)*(pair!$I$43*(pair!$G$43/(pair!$K$43*(A86+1)))^(pair!$I$43+1)-pair!$H$43*(pair!$G$43/(pair!$K$43*(A86+1)))^(pair!$H$43+1))</f>
        <v>2.2035455146243196E-3</v>
      </c>
      <c r="L86" s="1">
        <f>pair!$L$44*(pair!$F$44/pair!$G$44)*(pair!$I$44*(pair!$G$44/(pair!$K$44*(A86+1)))^(pair!$I$44+1)-pair!$H$44*(pair!$G$44/(pair!$K$44*(A86+1)))^(pair!$H$44+1))</f>
        <v>1.2794673966363748E-3</v>
      </c>
      <c r="M86" s="1">
        <f>pair!$L$45*(pair!$F$45/pair!$G$45)*(pair!$I$45*(pair!$G$45/(pair!$K$45*(A86+1)))^(pair!$I$45+1)-pair!$H$45*(pair!$G$45/(pair!$K$45*(A86+1)))^(pair!$H$45+1))</f>
        <v>6.120959762845336E-3</v>
      </c>
    </row>
    <row r="87" spans="1:13" x14ac:dyDescent="0.3">
      <c r="A87" s="1">
        <f t="shared" si="1"/>
        <v>0.54000000000000026</v>
      </c>
      <c r="B87" s="1">
        <f>bonded!$E$2*bonded!$F$2*A87</f>
        <v>81.000000000000043</v>
      </c>
      <c r="C87" s="1">
        <f>bonded!$E$3*bonded!$F$3*A87</f>
        <v>40.500000000000021</v>
      </c>
      <c r="D87" s="1">
        <f>bonded!$E$4*bonded!$F$4*A87</f>
        <v>48.600000000000023</v>
      </c>
      <c r="E87" s="1">
        <f>(bonded!$E$7*((bonded!$K$7*(A87+1))/(1-((bonded!$K$7*(A87+1))/bonded!$F$7)^2)))+24*(bonded!$G$7/bonded!$H$7)*((bonded!$H$7/(bonded!$K$7*(A87+1)))^7-2*(bonded!$H$7/(bonded!$K$7*(A87+1)))^13)</f>
        <v>10.708663248644738</v>
      </c>
      <c r="F87" s="1">
        <f>2*bonded!$F$10*bonded!$E$10*(EXP(-bonded!$F$10*bonded!$G$10*A87)-EXP(-2*bonded!$F$10*bonded!$G$10*A87))</f>
        <v>0.14197733072159902</v>
      </c>
      <c r="G87" s="1">
        <f>2*bonded!$F$11*bonded!$E$11*(EXP(-bonded!$F$11*bonded!$G$11*A87)-EXP(-2*bonded!$F$11*bonded!$G$11*A87))</f>
        <v>5.8101016413148125E-2</v>
      </c>
      <c r="H87" s="1">
        <f>2*bonded!$F$12*bonded!$E$12*(EXP(-bonded!$F$12*bonded!$G$12*A87)-EXP(-2*bonded!$F$12*bonded!$G$12*A87))</f>
        <v>3.570527316182192E-2</v>
      </c>
      <c r="I87" s="1">
        <f>2*bonded!$F$13*bonded!$E$13*(EXP(-bonded!$F$13*bonded!$G$13*A87)-EXP(-2*bonded!$F$13*bonded!$G$13*A87))</f>
        <v>0.11776182983711954</v>
      </c>
      <c r="J87" s="1">
        <f>pair!$L$42*(pair!$F$42/pair!$G$42)*(pair!$I$42*(pair!$G$42/(pair!$K$42*(A87+1)))^(pair!$I$42+1)-pair!$H$42*(pair!$G$42/(pair!$K$42*(A87+1)))^(pair!$H$42+1))</f>
        <v>1.0605491418076261E-2</v>
      </c>
      <c r="K87" s="1">
        <f>pair!$L$43*(pair!$F$43/pair!$G$43)*(pair!$I$43*(pair!$G$43/(pair!$K$43*(A87+1)))^(pair!$I$43+1)-pair!$H$43*(pair!$G$43/(pair!$K$43*(A87+1)))^(pair!$H$43+1))</f>
        <v>2.121098283615252E-3</v>
      </c>
      <c r="L87" s="1">
        <f>pair!$L$44*(pair!$F$44/pair!$G$44)*(pair!$I$44*(pair!$G$44/(pair!$K$44*(A87+1)))^(pair!$I$44+1)-pair!$H$44*(pair!$G$44/(pair!$K$44*(A87+1)))^(pair!$H$44+1))</f>
        <v>1.2668169314986868E-3</v>
      </c>
      <c r="M87" s="1">
        <f>pair!$L$45*(pair!$F$45/pair!$G$45)*(pair!$I$45*(pair!$G$45/(pair!$K$45*(A87+1)))^(pair!$I$45+1)-pair!$H$45*(pair!$G$45/(pair!$K$45*(A87+1)))^(pair!$H$45+1))</f>
        <v>5.8919396767090322E-3</v>
      </c>
    </row>
    <row r="88" spans="1:13" x14ac:dyDescent="0.3">
      <c r="A88" s="1">
        <f t="shared" si="1"/>
        <v>0.55000000000000027</v>
      </c>
      <c r="B88" s="1">
        <f>bonded!$E$2*bonded!$F$2*A88</f>
        <v>82.500000000000043</v>
      </c>
      <c r="C88" s="1">
        <f>bonded!$E$3*bonded!$F$3*A88</f>
        <v>41.250000000000021</v>
      </c>
      <c r="D88" s="1">
        <f>bonded!$E$4*bonded!$F$4*A88</f>
        <v>49.500000000000021</v>
      </c>
      <c r="E88" s="1">
        <f>(bonded!$E$7*((bonded!$K$7*(A88+1))/(1-((bonded!$K$7*(A88+1))/bonded!$F$7)^2)))+24*(bonded!$G$7/bonded!$H$7)*((bonded!$H$7/(bonded!$K$7*(A88+1)))^7-2*(bonded!$H$7/(bonded!$K$7*(A88+1)))^13)</f>
        <v>11.733882420815917</v>
      </c>
      <c r="F88" s="1">
        <f>2*bonded!$F$10*bonded!$E$10*(EXP(-bonded!$F$10*bonded!$G$10*A88)-EXP(-2*bonded!$F$10*bonded!$G$10*A88))</f>
        <v>0.13744340048760872</v>
      </c>
      <c r="G88" s="1">
        <f>2*bonded!$F$11*bonded!$E$11*(EXP(-bonded!$F$11*bonded!$G$11*A88)-EXP(-2*bonded!$F$11*bonded!$G$11*A88))</f>
        <v>5.6327102057127883E-2</v>
      </c>
      <c r="H88" s="1">
        <f>2*bonded!$F$12*bonded!$E$12*(EXP(-bonded!$F$12*bonded!$G$12*A88)-EXP(-2*bonded!$F$12*bonded!$G$12*A88))</f>
        <v>3.4673256957534357E-2</v>
      </c>
      <c r="I88" s="1">
        <f>2*bonded!$F$13*bonded!$E$13*(EXP(-bonded!$F$13*bonded!$G$13*A88)-EXP(-2*bonded!$F$13*bonded!$G$13*A88))</f>
        <v>0.11396893783472423</v>
      </c>
      <c r="J88" s="1">
        <f>pair!$L$42*(pair!$F$42/pair!$G$42)*(pair!$I$42*(pair!$G$42/(pair!$K$42*(A88+1)))^(pair!$I$42+1)-pair!$H$42*(pair!$G$42/(pair!$K$42*(A88+1)))^(pair!$H$42+1))</f>
        <v>1.0209193768584516E-2</v>
      </c>
      <c r="K88" s="1">
        <f>pair!$L$43*(pair!$F$43/pair!$G$43)*(pair!$I$43*(pair!$G$43/(pair!$K$43*(A88+1)))^(pair!$I$43+1)-pair!$H$43*(pair!$G$43/(pair!$K$43*(A88+1)))^(pair!$H$43+1))</f>
        <v>2.0418387537169034E-3</v>
      </c>
      <c r="L88" s="1">
        <f>pair!$L$44*(pair!$F$44/pair!$G$44)*(pair!$I$44*(pair!$G$44/(pair!$K$44*(A88+1)))^(pair!$I$44+1)-pair!$H$44*(pair!$G$44/(pair!$K$44*(A88+1)))^(pair!$H$44+1))</f>
        <v>1.2541063477572209E-3</v>
      </c>
      <c r="M88" s="1">
        <f>pair!$L$45*(pair!$F$45/pair!$G$45)*(pair!$I$45*(pair!$G$45/(pair!$K$45*(A88+1)))^(pair!$I$45+1)-pair!$H$45*(pair!$G$45/(pair!$K$45*(A88+1)))^(pair!$H$45+1))</f>
        <v>5.6717743158802847E-3</v>
      </c>
    </row>
    <row r="89" spans="1:13" x14ac:dyDescent="0.3">
      <c r="A89" s="1">
        <f t="shared" si="1"/>
        <v>0.56000000000000028</v>
      </c>
      <c r="B89" s="1">
        <f>bonded!$E$2*bonded!$F$2*A89</f>
        <v>84.000000000000043</v>
      </c>
      <c r="C89" s="1">
        <f>bonded!$E$3*bonded!$F$3*A89</f>
        <v>42.000000000000021</v>
      </c>
      <c r="D89" s="1">
        <f>bonded!$E$4*bonded!$F$4*A89</f>
        <v>50.400000000000027</v>
      </c>
      <c r="E89" s="1">
        <f>(bonded!$E$7*((bonded!$K$7*(A89+1))/(1-((bonded!$K$7*(A89+1))/bonded!$F$7)^2)))+24*(bonded!$G$7/bonded!$H$7)*((bonded!$H$7/(bonded!$K$7*(A89+1)))^7-2*(bonded!$H$7/(bonded!$K$7*(A89+1)))^13)</f>
        <v>12.968336341245573</v>
      </c>
      <c r="F89" s="1">
        <f>2*bonded!$F$10*bonded!$E$10*(EXP(-bonded!$F$10*bonded!$G$10*A89)-EXP(-2*bonded!$F$10*bonded!$G$10*A89))</f>
        <v>0.13302327890892876</v>
      </c>
      <c r="G89" s="1">
        <f>2*bonded!$F$11*bonded!$E$11*(EXP(-bonded!$F$11*bonded!$G$11*A89)-EXP(-2*bonded!$F$11*bonded!$G$11*A89))</f>
        <v>5.4594361165908996E-2</v>
      </c>
      <c r="H89" s="1">
        <f>2*bonded!$F$12*bonded!$E$12*(EXP(-bonded!$F$12*bonded!$G$12*A89)-EXP(-2*bonded!$F$12*bonded!$G$12*A89))</f>
        <v>3.3662870166756696E-2</v>
      </c>
      <c r="I89" s="1">
        <f>2*bonded!$F$13*bonded!$E$13*(EXP(-bonded!$F$13*bonded!$G$13*A89)-EXP(-2*bonded!$F$13*bonded!$G$13*A89))</f>
        <v>0.11027263598340964</v>
      </c>
      <c r="J89" s="1">
        <f>pair!$L$42*(pair!$F$42/pair!$G$42)*(pair!$I$42*(pair!$G$42/(pair!$K$42*(A89+1)))^(pair!$I$42+1)-pair!$H$42*(pair!$G$42/(pair!$K$42*(A89+1)))^(pair!$H$42+1))</f>
        <v>9.8282693367307394E-3</v>
      </c>
      <c r="K89" s="1">
        <f>pair!$L$43*(pair!$F$43/pair!$G$43)*(pair!$I$43*(pair!$G$43/(pair!$K$43*(A89+1)))^(pair!$I$43+1)-pair!$H$43*(pair!$G$43/(pair!$K$43*(A89+1)))^(pair!$H$43+1))</f>
        <v>1.965653867346148E-3</v>
      </c>
      <c r="L89" s="1">
        <f>pair!$L$44*(pair!$F$44/pair!$G$44)*(pair!$I$44*(pair!$G$44/(pair!$K$44*(A89+1)))^(pair!$I$44+1)-pair!$H$44*(pair!$G$44/(pair!$K$44*(A89+1)))^(pair!$H$44+1))</f>
        <v>1.2413521121977485E-3</v>
      </c>
      <c r="M89" s="1">
        <f>pair!$L$45*(pair!$F$45/pair!$G$45)*(pair!$I$45*(pair!$G$45/(pair!$K$45*(A89+1)))^(pair!$I$45+1)-pair!$H$45*(pair!$G$45/(pair!$K$45*(A89+1)))^(pair!$H$45+1))</f>
        <v>5.4601496315170809E-3</v>
      </c>
    </row>
    <row r="90" spans="1:13" x14ac:dyDescent="0.3">
      <c r="A90" s="1">
        <f t="shared" si="1"/>
        <v>0.57000000000000028</v>
      </c>
      <c r="B90" s="1">
        <f>bonded!$E$2*bonded!$F$2*A90</f>
        <v>85.500000000000043</v>
      </c>
      <c r="C90" s="1">
        <f>bonded!$E$3*bonded!$F$3*A90</f>
        <v>42.750000000000021</v>
      </c>
      <c r="D90" s="1">
        <f>bonded!$E$4*bonded!$F$4*A90</f>
        <v>51.300000000000026</v>
      </c>
      <c r="E90" s="1">
        <f>(bonded!$E$7*((bonded!$K$7*(A90+1))/(1-((bonded!$K$7*(A90+1))/bonded!$F$7)^2)))+24*(bonded!$G$7/bonded!$H$7)*((bonded!$H$7/(bonded!$K$7*(A90+1)))^7-2*(bonded!$H$7/(bonded!$K$7*(A90+1)))^13)</f>
        <v>14.4833166260153</v>
      </c>
      <c r="F90" s="1">
        <f>2*bonded!$F$10*bonded!$E$10*(EXP(-bonded!$F$10*bonded!$G$10*A90)-EXP(-2*bonded!$F$10*bonded!$G$10*A90))</f>
        <v>0.12871674924796109</v>
      </c>
      <c r="G90" s="1">
        <f>2*bonded!$F$11*bonded!$E$11*(EXP(-bonded!$F$11*bonded!$G$11*A90)-EXP(-2*bonded!$F$11*bonded!$G$11*A90))</f>
        <v>5.2902925275891195E-2</v>
      </c>
      <c r="H90" s="1">
        <f>2*bonded!$F$12*bonded!$E$12*(EXP(-bonded!$F$12*bonded!$G$12*A90)-EXP(-2*bonded!$F$12*bonded!$G$12*A90))</f>
        <v>3.2674332240762105E-2</v>
      </c>
      <c r="I90" s="1">
        <f>2*bonded!$F$13*bonded!$E$13*(EXP(-bonded!$F$13*bonded!$G$13*A90)-EXP(-2*bonded!$F$13*bonded!$G$13*A90))</f>
        <v>0.10667265147720011</v>
      </c>
      <c r="J90" s="1">
        <f>pair!$L$42*(pair!$F$42/pair!$G$42)*(pair!$I$42*(pair!$G$42/(pair!$K$42*(A90+1)))^(pair!$I$42+1)-pair!$H$42*(pair!$G$42/(pair!$K$42*(A90+1)))^(pair!$H$42+1))</f>
        <v>9.4621632274522003E-3</v>
      </c>
      <c r="K90" s="1">
        <f>pair!$L$43*(pair!$F$43/pair!$G$43)*(pair!$I$43*(pair!$G$43/(pair!$K$43*(A90+1)))^(pair!$I$43+1)-pair!$H$43*(pair!$G$43/(pair!$K$43*(A90+1)))^(pair!$H$43+1))</f>
        <v>1.8924326454904401E-3</v>
      </c>
      <c r="L90" s="1">
        <f>pair!$L$44*(pair!$F$44/pair!$G$44)*(pair!$I$44*(pair!$G$44/(pair!$K$44*(A90+1)))^(pair!$I$44+1)-pair!$H$44*(pair!$G$44/(pair!$K$44*(A90+1)))^(pair!$H$44+1))</f>
        <v>1.2285694277562635E-3</v>
      </c>
      <c r="M90" s="1">
        <f>pair!$L$45*(pair!$F$45/pair!$G$45)*(pair!$I$45*(pair!$G$45/(pair!$K$45*(A90+1)))^(pair!$I$45+1)-pair!$H$45*(pair!$G$45/(pair!$K$45*(A90+1)))^(pair!$H$45+1))</f>
        <v>5.2567573485845596E-3</v>
      </c>
    </row>
    <row r="91" spans="1:13" x14ac:dyDescent="0.3">
      <c r="A91" s="1">
        <f t="shared" si="1"/>
        <v>0.58000000000000029</v>
      </c>
      <c r="B91" s="1">
        <f>bonded!$E$2*bonded!$F$2*A91</f>
        <v>87.000000000000043</v>
      </c>
      <c r="C91" s="1">
        <f>bonded!$E$3*bonded!$F$3*A91</f>
        <v>43.500000000000021</v>
      </c>
      <c r="D91" s="1">
        <f>bonded!$E$4*bonded!$F$4*A91</f>
        <v>52.200000000000024</v>
      </c>
      <c r="E91" s="1">
        <f>(bonded!$E$7*((bonded!$K$7*(A91+1))/(1-((bonded!$K$7*(A91+1))/bonded!$F$7)^2)))+24*(bonded!$G$7/bonded!$H$7)*((bonded!$H$7/(bonded!$K$7*(A91+1)))^7-2*(bonded!$H$7/(bonded!$K$7*(A91+1)))^13)</f>
        <v>16.386660061007859</v>
      </c>
      <c r="F91" s="1">
        <f>2*bonded!$F$10*bonded!$E$10*(EXP(-bonded!$F$10*bonded!$G$10*A91)-EXP(-2*bonded!$F$10*bonded!$G$10*A91))</f>
        <v>0.12452330895219875</v>
      </c>
      <c r="G91" s="1">
        <f>2*bonded!$F$11*bonded!$E$11*(EXP(-bonded!$F$11*bonded!$G$11*A91)-EXP(-2*bonded!$F$11*bonded!$G$11*A91))</f>
        <v>5.125280662207668E-2</v>
      </c>
      <c r="H91" s="1">
        <f>2*bonded!$F$12*bonded!$E$12*(EXP(-bonded!$F$12*bonded!$G$12*A91)-EXP(-2*bonded!$F$12*bonded!$G$12*A91))</f>
        <v>3.1707788732056826E-2</v>
      </c>
      <c r="I91" s="1">
        <f>2*bonded!$F$13*bonded!$E$13*(EXP(-bonded!$F$13*bonded!$G$13*A91)-EXP(-2*bonded!$F$13*bonded!$G$13*A91))</f>
        <v>0.10316847572950552</v>
      </c>
      <c r="J91" s="1">
        <f>pair!$L$42*(pair!$F$42/pair!$G$42)*(pair!$I$42*(pair!$G$42/(pair!$K$42*(A91+1)))^(pair!$I$42+1)-pair!$H$42*(pair!$G$42/(pair!$K$42*(A91+1)))^(pair!$H$42+1))</f>
        <v>9.1103322159432083E-3</v>
      </c>
      <c r="K91" s="1">
        <f>pair!$L$43*(pair!$F$43/pair!$G$43)*(pair!$I$43*(pair!$G$43/(pair!$K$43*(A91+1)))^(pair!$I$43+1)-pair!$H$43*(pair!$G$43/(pair!$K$43*(A91+1)))^(pair!$H$43+1))</f>
        <v>1.8220664431886418E-3</v>
      </c>
      <c r="L91" s="1">
        <f>pair!$L$44*(pair!$F$44/pair!$G$44)*(pair!$I$44*(pair!$G$44/(pair!$K$44*(A91+1)))^(pair!$I$44+1)-pair!$H$44*(pair!$G$44/(pair!$K$44*(A91+1)))^(pair!$H$44+1))</f>
        <v>1.2157723209804577E-3</v>
      </c>
      <c r="M91" s="1">
        <f>pair!$L$45*(pair!$F$45/pair!$G$45)*(pair!$I$45*(pair!$G$45/(pair!$K$45*(A91+1)))^(pair!$I$45+1)-pair!$H$45*(pair!$G$45/(pair!$K$45*(A91+1)))^(pair!$H$45+1))</f>
        <v>5.0612956755240078E-3</v>
      </c>
    </row>
    <row r="92" spans="1:13" x14ac:dyDescent="0.3">
      <c r="A92" s="1">
        <f t="shared" si="1"/>
        <v>0.5900000000000003</v>
      </c>
      <c r="B92" s="1">
        <f>bonded!$E$2*bonded!$F$2*A92</f>
        <v>88.500000000000043</v>
      </c>
      <c r="C92" s="1">
        <f>bonded!$E$3*bonded!$F$3*A92</f>
        <v>44.250000000000021</v>
      </c>
      <c r="D92" s="1">
        <f>bonded!$E$4*bonded!$F$4*A92</f>
        <v>53.10000000000003</v>
      </c>
      <c r="E92" s="1">
        <f>(bonded!$E$7*((bonded!$K$7*(A92+1))/(1-((bonded!$K$7*(A92+1))/bonded!$F$7)^2)))+24*(bonded!$G$7/bonded!$H$7)*((bonded!$H$7/(bonded!$K$7*(A92+1)))^7-2*(bonded!$H$7/(bonded!$K$7*(A92+1)))^13)</f>
        <v>18.84960794273627</v>
      </c>
      <c r="F92" s="1">
        <f>2*bonded!$F$10*bonded!$E$10*(EXP(-bonded!$F$10*bonded!$G$10*A92)-EXP(-2*bonded!$F$10*bonded!$G$10*A92))</f>
        <v>0.12044220177588882</v>
      </c>
      <c r="G92" s="1">
        <f>2*bonded!$F$11*bonded!$E$11*(EXP(-bonded!$F$11*bonded!$G$11*A92)-EXP(-2*bonded!$F$11*bonded!$G$11*A92))</f>
        <v>4.9643910558193255E-2</v>
      </c>
      <c r="H92" s="1">
        <f>2*bonded!$F$12*bonded!$E$12*(EXP(-bonded!$F$12*bonded!$G$12*A92)-EXP(-2*bonded!$F$12*bonded!$G$12*A92))</f>
        <v>3.0763318385986345E-2</v>
      </c>
      <c r="I92" s="1">
        <f>2*bonded!$F$13*bonded!$E$13*(EXP(-bonded!$F$13*bonded!$G$13*A92)-EXP(-2*bonded!$F$13*bonded!$G$13*A92))</f>
        <v>9.9759391293464339E-2</v>
      </c>
      <c r="J92" s="1">
        <f>pair!$L$42*(pair!$F$42/pair!$G$42)*(pair!$I$42*(pair!$G$42/(pair!$K$42*(A92+1)))^(pair!$I$42+1)-pair!$H$42*(pair!$G$42/(pair!$K$42*(A92+1)))^(pair!$H$42+1))</f>
        <v>8.7722457608987985E-3</v>
      </c>
      <c r="K92" s="1">
        <f>pair!$L$43*(pair!$F$43/pair!$G$43)*(pair!$I$43*(pair!$G$43/(pair!$K$43*(A92+1)))^(pair!$I$43+1)-pair!$H$43*(pair!$G$43/(pair!$K$43*(A92+1)))^(pair!$H$43+1))</f>
        <v>1.7544491521797596E-3</v>
      </c>
      <c r="L92" s="1">
        <f>pair!$L$44*(pair!$F$44/pair!$G$44)*(pair!$I$44*(pair!$G$44/(pair!$K$44*(A92+1)))^(pair!$I$44+1)-pair!$H$44*(pair!$G$44/(pair!$K$44*(A92+1)))^(pair!$H$44+1))</f>
        <v>1.2029737233452478E-3</v>
      </c>
      <c r="M92" s="1">
        <f>pair!$L$45*(pair!$F$45/pair!$G$45)*(pair!$I$45*(pair!$G$45/(pair!$K$45*(A92+1)))^(pair!$I$45+1)-pair!$H$45*(pair!$G$45/(pair!$K$45*(A92+1)))^(pair!$H$45+1))</f>
        <v>4.8734698671660014E-3</v>
      </c>
    </row>
    <row r="93" spans="1:13" x14ac:dyDescent="0.3">
      <c r="A93" s="1">
        <f t="shared" si="1"/>
        <v>0.60000000000000031</v>
      </c>
      <c r="B93" s="1">
        <f>bonded!$E$2*bonded!$F$2*A93</f>
        <v>90.000000000000043</v>
      </c>
      <c r="C93" s="1">
        <f>bonded!$E$3*bonded!$F$3*A93</f>
        <v>45.000000000000021</v>
      </c>
      <c r="D93" s="1">
        <f>bonded!$E$4*bonded!$F$4*A93</f>
        <v>54.000000000000028</v>
      </c>
      <c r="E93" s="1">
        <f>(bonded!$E$7*((bonded!$K$7*(A93+1))/(1-((bonded!$K$7*(A93+1))/bonded!$F$7)^2)))+24*(bonded!$G$7/bonded!$H$7)*((bonded!$H$7/(bonded!$K$7*(A93+1)))^7-2*(bonded!$H$7/(bonded!$K$7*(A93+1)))^13)</f>
        <v>22.161436020649326</v>
      </c>
      <c r="F93" s="1">
        <f>2*bonded!$F$10*bonded!$E$10*(EXP(-bonded!$F$10*bonded!$G$10*A93)-EXP(-2*bonded!$F$10*bonded!$G$10*A93))</f>
        <v>0.11647244713578653</v>
      </c>
      <c r="G93" s="1">
        <f>2*bonded!$F$11*bonded!$E$11*(EXP(-bonded!$F$11*bonded!$G$11*A93)-EXP(-2*bonded!$F$11*bonded!$G$11*A93))</f>
        <v>4.8076046953720836E-2</v>
      </c>
      <c r="H93" s="1">
        <f>2*bonded!$F$12*bonded!$E$12*(EXP(-bonded!$F$12*bonded!$G$12*A93)-EXP(-2*bonded!$F$12*bonded!$G$12*A93))</f>
        <v>2.9840939677111964E-2</v>
      </c>
      <c r="I93" s="1">
        <f>2*bonded!$F$13*bonded!$E$13*(EXP(-bonded!$F$13*bonded!$G$13*A93)-EXP(-2*bonded!$F$13*bonded!$G$13*A93))</f>
        <v>9.6444496443903308E-2</v>
      </c>
      <c r="J93" s="1">
        <f>pair!$L$42*(pair!$F$42/pair!$G$42)*(pair!$I$42*(pair!$G$42/(pair!$K$42*(A93+1)))^(pair!$I$42+1)-pair!$H$42*(pair!$G$42/(pair!$K$42*(A93+1)))^(pair!$H$42+1))</f>
        <v>8.4473867900669453E-3</v>
      </c>
      <c r="K93" s="1">
        <f>pair!$L$43*(pair!$F$43/pair!$G$43)*(pair!$I$43*(pair!$G$43/(pair!$K$43*(A93+1)))^(pair!$I$43+1)-pair!$H$43*(pair!$G$43/(pair!$K$43*(A93+1)))^(pair!$H$43+1))</f>
        <v>1.6894773580133891E-3</v>
      </c>
      <c r="L93" s="1">
        <f>pair!$L$44*(pair!$F$44/pair!$G$44)*(pair!$I$44*(pair!$G$44/(pair!$K$44*(A93+1)))^(pair!$I$44+1)-pair!$H$44*(pair!$G$44/(pair!$K$44*(A93+1)))^(pair!$H$44+1))</f>
        <v>1.1901855468749993E-3</v>
      </c>
      <c r="M93" s="1">
        <f>pair!$L$45*(pair!$F$45/pair!$G$45)*(pair!$I$45*(pair!$G$45/(pair!$K$45*(A93+1)))^(pair!$I$45+1)-pair!$H$45*(pair!$G$45/(pair!$K$45*(A93+1)))^(pair!$H$45+1))</f>
        <v>4.6929926611483071E-3</v>
      </c>
    </row>
    <row r="94" spans="1:13" x14ac:dyDescent="0.3">
      <c r="A94" s="1">
        <f t="shared" si="1"/>
        <v>0.61000000000000032</v>
      </c>
      <c r="B94" s="1">
        <f>bonded!$E$2*bonded!$F$2*A94</f>
        <v>91.500000000000043</v>
      </c>
      <c r="C94" s="1">
        <f>bonded!$E$3*bonded!$F$3*A94</f>
        <v>45.750000000000021</v>
      </c>
      <c r="D94" s="1">
        <f>bonded!$E$4*bonded!$F$4*A94</f>
        <v>54.900000000000027</v>
      </c>
      <c r="E94" s="1">
        <f>(bonded!$E$7*((bonded!$K$7*(A94+1))/(1-((bonded!$K$7*(A94+1))/bonded!$F$7)^2)))+24*(bonded!$G$7/bonded!$H$7)*((bonded!$H$7/(bonded!$K$7*(A94+1)))^7-2*(bonded!$H$7/(bonded!$K$7*(A94+1)))^13)</f>
        <v>26.852327628997877</v>
      </c>
      <c r="F94" s="1">
        <f>2*bonded!$F$10*bonded!$E$10*(EXP(-bonded!$F$10*bonded!$G$10*A94)-EXP(-2*bonded!$F$10*bonded!$G$10*A94))</f>
        <v>0.11261286691872577</v>
      </c>
      <c r="G94" s="1">
        <f>2*bonded!$F$11*bonded!$E$11*(EXP(-bonded!$F$11*bonded!$G$11*A94)-EXP(-2*bonded!$F$11*bonded!$G$11*A94))</f>
        <v>4.654894064547066E-2</v>
      </c>
      <c r="H94" s="1">
        <f>2*bonded!$F$12*bonded!$E$12*(EXP(-bonded!$F$12*bonded!$G$12*A94)-EXP(-2*bonded!$F$12*bonded!$G$12*A94))</f>
        <v>2.8940616830732555E-2</v>
      </c>
      <c r="I94" s="1">
        <f>2*bonded!$F$13*bonded!$E$13*(EXP(-bonded!$F$13*bonded!$G$13*A94)-EXP(-2*bonded!$F$13*bonded!$G$13*A94))</f>
        <v>9.3222727606295436E-2</v>
      </c>
      <c r="J94" s="1">
        <f>pair!$L$42*(pair!$F$42/pair!$G$42)*(pair!$I$42*(pair!$G$42/(pair!$K$42*(A94+1)))^(pair!$I$42+1)-pair!$H$42*(pair!$G$42/(pair!$K$42*(A94+1)))^(pair!$H$42+1))</f>
        <v>8.135252289981439E-3</v>
      </c>
      <c r="K94" s="1">
        <f>pair!$L$43*(pair!$F$43/pair!$G$43)*(pair!$I$43*(pair!$G$43/(pair!$K$43*(A94+1)))^(pair!$I$43+1)-pair!$H$43*(pair!$G$43/(pair!$K$43*(A94+1)))^(pair!$H$43+1))</f>
        <v>1.6270504579962877E-3</v>
      </c>
      <c r="L94" s="1">
        <f>pair!$L$44*(pair!$F$44/pair!$G$44)*(pair!$I$44*(pair!$G$44/(pair!$K$44*(A94+1)))^(pair!$I$44+1)-pair!$H$44*(pair!$G$44/(pair!$K$44*(A94+1)))^(pair!$H$44+1))</f>
        <v>1.1774187544898061E-3</v>
      </c>
      <c r="M94" s="1">
        <f>pair!$L$45*(pair!$F$45/pair!$G$45)*(pair!$I$45*(pair!$G$45/(pair!$K$45*(A94+1)))^(pair!$I$45+1)-pair!$H$45*(pair!$G$45/(pair!$K$45*(A94+1)))^(pair!$H$45+1))</f>
        <v>4.5195846055452486E-3</v>
      </c>
    </row>
    <row r="95" spans="1:13" x14ac:dyDescent="0.3">
      <c r="A95" s="1">
        <f t="shared" si="1"/>
        <v>0.62000000000000033</v>
      </c>
      <c r="B95" s="1">
        <f>bonded!$E$2*bonded!$F$2*A95</f>
        <v>93.000000000000043</v>
      </c>
      <c r="C95" s="1">
        <f>bonded!$E$3*bonded!$F$3*A95</f>
        <v>46.500000000000021</v>
      </c>
      <c r="D95" s="1">
        <f>bonded!$E$4*bonded!$F$4*A95</f>
        <v>55.800000000000033</v>
      </c>
      <c r="E95" s="1">
        <f>(bonded!$E$7*((bonded!$K$7*(A95+1))/(1-((bonded!$K$7*(A95+1))/bonded!$F$7)^2)))+24*(bonded!$G$7/bonded!$H$7)*((bonded!$H$7/(bonded!$K$7*(A95+1)))^7-2*(bonded!$H$7/(bonded!$K$7*(A95+1)))^13)</f>
        <v>34.010098393432273</v>
      </c>
      <c r="F95" s="1">
        <f>2*bonded!$F$10*bonded!$E$10*(EXP(-bonded!$F$10*bonded!$G$10*A95)-EXP(-2*bonded!$F$10*bonded!$G$10*A95))</f>
        <v>0.10886210994223693</v>
      </c>
      <c r="G95" s="1">
        <f>2*bonded!$F$11*bonded!$E$11*(EXP(-bonded!$F$11*bonded!$G$11*A95)-EXP(-2*bonded!$F$11*bonded!$G$11*A95))</f>
        <v>4.5062241015679835E-2</v>
      </c>
      <c r="H95" s="1">
        <f>2*bonded!$F$12*bonded!$E$12*(EXP(-bonded!$F$12*bonded!$G$12*A95)-EXP(-2*bonded!$F$12*bonded!$G$12*A95))</f>
        <v>2.806226536708362E-2</v>
      </c>
      <c r="I95" s="1">
        <f>2*bonded!$F$13*bonded!$E$13*(EXP(-bonded!$F$13*bonded!$G$13*A95)-EXP(-2*bonded!$F$13*bonded!$G$13*A95))</f>
        <v>9.0092879803962703E-2</v>
      </c>
      <c r="J95" s="1">
        <f>pair!$L$42*(pair!$F$42/pair!$G$42)*(pair!$I$42*(pair!$G$42/(pair!$K$42*(A95+1)))^(pair!$I$42+1)-pair!$H$42*(pair!$G$42/(pair!$K$42*(A95+1)))^(pair!$H$42+1))</f>
        <v>7.8353537277204514E-3</v>
      </c>
      <c r="K95" s="1">
        <f>pair!$L$43*(pair!$F$43/pair!$G$43)*(pair!$I$43*(pair!$G$43/(pair!$K$43*(A95+1)))^(pair!$I$43+1)-pair!$H$43*(pair!$G$43/(pair!$K$43*(A95+1)))^(pair!$H$43+1))</f>
        <v>1.5670707455440888E-3</v>
      </c>
      <c r="L95" s="1">
        <f>pair!$L$44*(pair!$F$44/pair!$G$44)*(pair!$I$44*(pair!$G$44/(pair!$K$44*(A95+1)))^(pair!$I$44+1)-pair!$H$44*(pair!$G$44/(pair!$K$44*(A95+1)))^(pair!$H$44+1))</f>
        <v>1.1646834254608099E-3</v>
      </c>
      <c r="M95" s="1">
        <f>pair!$L$45*(pair!$F$45/pair!$G$45)*(pair!$I$45*(pair!$G$45/(pair!$K$45*(A95+1)))^(pair!$I$45+1)-pair!$H$45*(pair!$G$45/(pair!$K$45*(A95+1)))^(pair!$H$45+1))</f>
        <v>4.3529742931780278E-3</v>
      </c>
    </row>
    <row r="96" spans="1:13" x14ac:dyDescent="0.3">
      <c r="A96" s="1">
        <f t="shared" si="1"/>
        <v>0.63000000000000034</v>
      </c>
      <c r="B96" s="1">
        <f>bonded!$E$2*bonded!$F$2*A96</f>
        <v>94.500000000000057</v>
      </c>
      <c r="C96" s="1">
        <f>bonded!$E$3*bonded!$F$3*A96</f>
        <v>47.250000000000028</v>
      </c>
      <c r="D96" s="1">
        <f>bonded!$E$4*bonded!$F$4*A96</f>
        <v>56.700000000000031</v>
      </c>
      <c r="E96" s="1">
        <f>(bonded!$E$7*((bonded!$K$7*(A96+1))/(1-((bonded!$K$7*(A96+1))/bonded!$F$7)^2)))+24*(bonded!$G$7/bonded!$H$7)*((bonded!$H$7/(bonded!$K$7*(A96+1)))^7-2*(bonded!$H$7/(bonded!$K$7*(A96+1)))^13)</f>
        <v>46.274863976800667</v>
      </c>
      <c r="F96" s="1">
        <f>2*bonded!$F$10*bonded!$E$10*(EXP(-bonded!$F$10*bonded!$G$10*A96)-EXP(-2*bonded!$F$10*bonded!$G$10*A96))</f>
        <v>0.10521867425417794</v>
      </c>
      <c r="G96" s="1">
        <f>2*bonded!$F$11*bonded!$E$11*(EXP(-bonded!$F$11*bonded!$G$11*A96)-EXP(-2*bonded!$F$11*bonded!$G$11*A96))</f>
        <v>4.3615530763304593E-2</v>
      </c>
      <c r="H96" s="1">
        <f>2*bonded!$F$12*bonded!$E$12*(EXP(-bonded!$F$12*bonded!$G$12*A96)-EXP(-2*bonded!$F$12*bonded!$G$12*A96))</f>
        <v>2.7205757203100929E-2</v>
      </c>
      <c r="I96" s="1">
        <f>2*bonded!$F$13*bonded!$E$13*(EXP(-bonded!$F$13*bonded!$G$13*A96)-EXP(-2*bonded!$F$13*bonded!$G$13*A96))</f>
        <v>8.7053625281694108E-2</v>
      </c>
      <c r="J96" s="1">
        <f>pair!$L$42*(pair!$F$42/pair!$G$42)*(pair!$I$42*(pair!$G$42/(pair!$K$42*(A96+1)))^(pair!$I$42+1)-pair!$H$42*(pair!$G$42/(pair!$K$42*(A96+1)))^(pair!$H$42+1))</f>
        <v>7.5472173290051896E-3</v>
      </c>
      <c r="K96" s="1">
        <f>pair!$L$43*(pair!$F$43/pair!$G$43)*(pair!$I$43*(pair!$G$43/(pair!$K$43*(A96+1)))^(pair!$I$43+1)-pair!$H$43*(pair!$G$43/(pair!$K$43*(A96+1)))^(pair!$H$43+1))</f>
        <v>1.5094434658010378E-3</v>
      </c>
      <c r="L96" s="1">
        <f>pair!$L$44*(pair!$F$44/pair!$G$44)*(pair!$I$44*(pair!$G$44/(pair!$K$44*(A96+1)))^(pair!$I$44+1)-pair!$H$44*(pair!$G$44/(pair!$K$44*(A96+1)))^(pair!$H$44+1))</f>
        <v>1.1519888163298779E-3</v>
      </c>
      <c r="M96" s="1">
        <f>pair!$L$45*(pair!$F$45/pair!$G$45)*(pair!$I$45*(pair!$G$45/(pair!$K$45*(A96+1)))^(pair!$I$45+1)-pair!$H$45*(pair!$G$45/(pair!$K$45*(A96+1)))^(pair!$H$45+1))</f>
        <v>4.1928985161139931E-3</v>
      </c>
    </row>
    <row r="97" spans="1:13" x14ac:dyDescent="0.3">
      <c r="A97" s="1">
        <f t="shared" si="1"/>
        <v>0.64000000000000035</v>
      </c>
      <c r="B97" s="1">
        <f>bonded!$E$2*bonded!$F$2*A97</f>
        <v>96.000000000000057</v>
      </c>
      <c r="C97" s="1">
        <f>bonded!$E$3*bonded!$F$3*A97</f>
        <v>48.000000000000028</v>
      </c>
      <c r="D97" s="1">
        <f>bonded!$E$4*bonded!$F$4*A97</f>
        <v>57.60000000000003</v>
      </c>
      <c r="E97" s="1">
        <f>(bonded!$E$7*((bonded!$K$7*(A97+1))/(1-((bonded!$K$7*(A97+1))/bonded!$F$7)^2)))+24*(bonded!$G$7/bonded!$H$7)*((bonded!$H$7/(bonded!$K$7*(A97+1)))^7-2*(bonded!$H$7/(bonded!$K$7*(A97+1)))^13)</f>
        <v>72.143550433341503</v>
      </c>
      <c r="F97" s="1">
        <f>2*bonded!$F$10*bonded!$E$10*(EXP(-bonded!$F$10*bonded!$G$10*A97)-EXP(-2*bonded!$F$10*bonded!$G$10*A97))</f>
        <v>0.10168092744321577</v>
      </c>
      <c r="G97" s="1">
        <f>2*bonded!$F$11*bonded!$E$11*(EXP(-bonded!$F$11*bonded!$G$11*A97)-EXP(-2*bonded!$F$11*bonded!$G$11*A97))</f>
        <v>4.2208333930298728E-2</v>
      </c>
      <c r="H97" s="1">
        <f>2*bonded!$F$12*bonded!$E$12*(EXP(-bonded!$F$12*bonded!$G$12*A97)-EXP(-2*bonded!$F$12*bonded!$G$12*A97))</f>
        <v>2.6370925344174293E-2</v>
      </c>
      <c r="I97" s="1">
        <f>2*bonded!$F$13*bonded!$E$13*(EXP(-bonded!$F$13*bonded!$G$13*A97)-EXP(-2*bonded!$F$13*bonded!$G$13*A97))</f>
        <v>8.4103530451853967E-2</v>
      </c>
      <c r="J97" s="1">
        <f>pair!$L$42*(pair!$F$42/pair!$G$42)*(pair!$I$42*(pair!$G$42/(pair!$K$42*(A97+1)))^(pair!$I$42+1)-pair!$H$42*(pair!$G$42/(pair!$K$42*(A97+1)))^(pair!$H$42+1))</f>
        <v>7.2703842338595259E-3</v>
      </c>
      <c r="K97" s="1">
        <f>pair!$L$43*(pair!$F$43/pair!$G$43)*(pair!$I$43*(pair!$G$43/(pair!$K$43*(A97+1)))^(pair!$I$43+1)-pair!$H$43*(pair!$G$43/(pair!$K$43*(A97+1)))^(pair!$H$43+1))</f>
        <v>1.454076846771907E-3</v>
      </c>
      <c r="L97" s="1">
        <f>pair!$L$44*(pair!$F$44/pair!$G$44)*(pair!$I$44*(pair!$G$44/(pair!$K$44*(A97+1)))^(pair!$I$44+1)-pair!$H$44*(pair!$G$44/(pair!$K$44*(A97+1)))^(pair!$H$44+1))</f>
        <v>1.1393434176216427E-3</v>
      </c>
      <c r="M97" s="1">
        <f>pair!$L$45*(pair!$F$45/pair!$G$45)*(pair!$I$45*(pair!$G$45/(pair!$K$45*(A97+1)))^(pair!$I$45+1)-pair!$H$45*(pair!$G$45/(pair!$K$45*(A97+1)))^(pair!$H$45+1))</f>
        <v>4.0391023521441846E-3</v>
      </c>
    </row>
    <row r="98" spans="1:13" x14ac:dyDescent="0.3">
      <c r="A98" s="1">
        <f t="shared" si="1"/>
        <v>0.65000000000000036</v>
      </c>
      <c r="B98" s="1">
        <f>bonded!$E$2*bonded!$F$2*A98</f>
        <v>97.500000000000057</v>
      </c>
      <c r="C98" s="1">
        <f>bonded!$E$3*bonded!$F$3*A98</f>
        <v>48.750000000000028</v>
      </c>
      <c r="D98" s="1">
        <f>bonded!$E$4*bonded!$F$4*A98</f>
        <v>58.500000000000028</v>
      </c>
      <c r="E98" s="1">
        <f>(bonded!$E$7*((bonded!$K$7*(A98+1))/(1-((bonded!$K$7*(A98+1))/bonded!$F$7)^2)))+24*(bonded!$G$7/bonded!$H$7)*((bonded!$H$7/(bonded!$K$7*(A98+1)))^7-2*(bonded!$H$7/(bonded!$K$7*(A98+1)))^13)</f>
        <v>162.43326244526639</v>
      </c>
      <c r="F98" s="1">
        <f>2*bonded!$F$10*bonded!$E$10*(EXP(-bonded!$F$10*bonded!$G$10*A98)-EXP(-2*bonded!$F$10*bonded!$G$10*A98))</f>
        <v>9.8247125118918047E-2</v>
      </c>
      <c r="G98" s="1">
        <f>2*bonded!$F$11*bonded!$E$11*(EXP(-bonded!$F$11*bonded!$G$11*A98)-EXP(-2*bonded!$F$11*bonded!$G$11*A98))</f>
        <v>4.0840123240119403E-2</v>
      </c>
      <c r="H98" s="1">
        <f>2*bonded!$F$12*bonded!$E$12*(EXP(-bonded!$F$12*bonded!$G$12*A98)-EXP(-2*bonded!$F$12*bonded!$G$12*A98))</f>
        <v>2.5557568196026316E-2</v>
      </c>
      <c r="I98" s="1">
        <f>2*bonded!$F$13*bonded!$E$13*(EXP(-bonded!$F$13*bonded!$G$13*A98)-EXP(-2*bonded!$F$13*bonded!$G$13*A98))</f>
        <v>8.1241071297864939E-2</v>
      </c>
      <c r="J98" s="1">
        <f>pair!$L$42*(pair!$F$42/pair!$G$42)*(pair!$I$42*(pair!$G$42/(pair!$K$42*(A98+1)))^(pair!$I$42+1)-pair!$H$42*(pair!$G$42/(pair!$K$42*(A98+1)))^(pair!$H$42+1))</f>
        <v>7.0044105483385646E-3</v>
      </c>
      <c r="K98" s="1">
        <f>pair!$L$43*(pair!$F$43/pair!$G$43)*(pair!$I$43*(pair!$G$43/(pair!$K$43*(A98+1)))^(pair!$I$43+1)-pair!$H$43*(pair!$G$43/(pair!$K$43*(A98+1)))^(pair!$H$43+1))</f>
        <v>1.4008821096677128E-3</v>
      </c>
      <c r="L98" s="1">
        <f>pair!$L$44*(pair!$F$44/pair!$G$44)*(pair!$I$44*(pair!$G$44/(pair!$K$44*(A98+1)))^(pair!$I$44+1)-pair!$H$44*(pair!$G$44/(pair!$K$44*(A98+1)))^(pair!$H$44+1))</f>
        <v>1.1267550066508846E-3</v>
      </c>
      <c r="M98" s="1">
        <f>pair!$L$45*(pair!$F$45/pair!$G$45)*(pair!$I$45*(pair!$G$45/(pair!$K$45*(A98+1)))^(pair!$I$45+1)-pair!$H$45*(pair!$G$45/(pair!$K$45*(A98+1)))^(pair!$H$45+1))</f>
        <v>3.8913391935214282E-3</v>
      </c>
    </row>
    <row r="99" spans="1:13" x14ac:dyDescent="0.3">
      <c r="A99" s="1">
        <f t="shared" si="1"/>
        <v>0.66000000000000036</v>
      </c>
      <c r="B99" s="1">
        <f>bonded!$E$2*bonded!$F$2*A99</f>
        <v>99.000000000000057</v>
      </c>
      <c r="C99" s="1">
        <f>bonded!$E$3*bonded!$F$3*A99</f>
        <v>49.500000000000028</v>
      </c>
      <c r="D99" s="1">
        <f>bonded!$E$4*bonded!$F$4*A99</f>
        <v>59.400000000000034</v>
      </c>
      <c r="E99" s="1">
        <f>(bonded!$E$7*((bonded!$K$7*(A99+1))/(1-((bonded!$K$7*(A99+1))/bonded!$F$7)^2)))+24*(bonded!$G$7/bonded!$H$7)*((bonded!$H$7/(bonded!$K$7*(A99+1)))^7-2*(bonded!$H$7/(bonded!$K$7*(A99+1)))^13)</f>
        <v>-664.42851692983515</v>
      </c>
      <c r="F99" s="1">
        <f>2*bonded!$F$10*bonded!$E$10*(EXP(-bonded!$F$10*bonded!$G$10*A99)-EXP(-2*bonded!$F$10*bonded!$G$10*A99))</f>
        <v>9.4915427708114591E-2</v>
      </c>
      <c r="G99" s="1">
        <f>2*bonded!$F$11*bonded!$E$11*(EXP(-bonded!$F$11*bonded!$G$11*A99)-EXP(-2*bonded!$F$11*bonded!$G$11*A99))</f>
        <v>3.9510326801485592E-2</v>
      </c>
      <c r="H99" s="1">
        <f>2*bonded!$F$12*bonded!$E$12*(EXP(-bonded!$F$12*bonded!$G$12*A99)-EXP(-2*bonded!$F$12*bonded!$G$12*A99))</f>
        <v>2.4765453524719139E-2</v>
      </c>
      <c r="I99" s="1">
        <f>2*bonded!$F$13*bonded!$E$13*(EXP(-bonded!$F$13*bonded!$G$13*A99)-EXP(-2*bonded!$F$13*bonded!$G$13*A99))</f>
        <v>7.8464647359601486E-2</v>
      </c>
      <c r="J99" s="1">
        <f>pair!$L$42*(pair!$F$42/pair!$G$42)*(pair!$I$42*(pair!$G$42/(pair!$K$42*(A99+1)))^(pair!$I$42+1)-pair!$H$42*(pair!$G$42/(pair!$K$42*(A99+1)))^(pair!$H$42+1))</f>
        <v>6.7488673084566018E-3</v>
      </c>
      <c r="K99" s="1">
        <f>pair!$L$43*(pair!$F$43/pair!$G$43)*(pair!$I$43*(pair!$G$43/(pair!$K$43*(A99+1)))^(pair!$I$43+1)-pair!$H$43*(pair!$G$43/(pair!$K$43*(A99+1)))^(pair!$H$43+1))</f>
        <v>1.3497734616913204E-3</v>
      </c>
      <c r="L99" s="1">
        <f>pair!$L$44*(pair!$F$44/pair!$G$44)*(pair!$I$44*(pair!$G$44/(pair!$K$44*(A99+1)))^(pair!$I$44+1)-pair!$H$44*(pair!$G$44/(pair!$K$44*(A99+1)))^(pair!$H$44+1))</f>
        <v>1.1142306967052019E-3</v>
      </c>
      <c r="M99" s="1">
        <f>pair!$L$45*(pair!$F$45/pair!$G$45)*(pair!$I$45*(pair!$G$45/(pair!$K$45*(A99+1)))^(pair!$I$45+1)-pair!$H$45*(pair!$G$45/(pair!$K$45*(A99+1)))^(pair!$H$45+1))</f>
        <v>3.7493707269203396E-3</v>
      </c>
    </row>
    <row r="100" spans="1:13" x14ac:dyDescent="0.3">
      <c r="A100" s="1">
        <f t="shared" si="1"/>
        <v>0.67000000000000037</v>
      </c>
      <c r="B100" s="1">
        <f>bonded!$E$2*bonded!$F$2*A100</f>
        <v>100.50000000000006</v>
      </c>
      <c r="C100" s="1">
        <f>bonded!$E$3*bonded!$F$3*A100</f>
        <v>50.250000000000028</v>
      </c>
      <c r="D100" s="1">
        <f>bonded!$E$4*bonded!$F$4*A100</f>
        <v>60.300000000000033</v>
      </c>
      <c r="E100" s="1">
        <f>(bonded!$E$7*((bonded!$K$7*(A100+1))/(1-((bonded!$K$7*(A100+1))/bonded!$F$7)^2)))+24*(bonded!$G$7/bonded!$H$7)*((bonded!$H$7/(bonded!$K$7*(A100+1)))^7-2*(bonded!$H$7/(bonded!$K$7*(A100+1)))^13)</f>
        <v>-109.60745506016227</v>
      </c>
      <c r="F100" s="1">
        <f>2*bonded!$F$10*bonded!$E$10*(EXP(-bonded!$F$10*bonded!$G$10*A100)-EXP(-2*bonded!$F$10*bonded!$G$10*A100))</f>
        <v>9.1683915702988963E-2</v>
      </c>
      <c r="G100" s="1">
        <f>2*bonded!$F$11*bonded!$E$11*(EXP(-bonded!$F$11*bonded!$G$11*A100)-EXP(-2*bonded!$F$11*bonded!$G$11*A100))</f>
        <v>3.8218334226502872E-2</v>
      </c>
      <c r="H100" s="1">
        <f>2*bonded!$F$12*bonded!$E$12*(EXP(-bonded!$F$12*bonded!$G$12*A100)-EXP(-2*bonded!$F$12*bonded!$G$12*A100))</f>
        <v>2.3994322090808588E-2</v>
      </c>
      <c r="I100" s="1">
        <f>2*bonded!$F$13*bonded!$E$13*(EXP(-bonded!$F$13*bonded!$G$13*A100)-EXP(-2*bonded!$F$13*bonded!$G$13*A100))</f>
        <v>7.577259441565555E-2</v>
      </c>
      <c r="J100" s="1">
        <f>pair!$L$42*(pair!$F$42/pair!$G$42)*(pair!$I$42*(pair!$G$42/(pair!$K$42*(A100+1)))^(pair!$I$42+1)-pair!$H$42*(pair!$G$42/(pair!$K$42*(A100+1)))^(pair!$H$42+1))</f>
        <v>6.5033403703602466E-3</v>
      </c>
      <c r="K100" s="1">
        <f>pair!$L$43*(pair!$F$43/pair!$G$43)*(pair!$I$43*(pair!$G$43/(pair!$K$43*(A100+1)))^(pair!$I$43+1)-pair!$H$43*(pair!$G$43/(pair!$K$43*(A100+1)))^(pair!$H$43+1))</f>
        <v>1.3006680740720493E-3</v>
      </c>
      <c r="L100" s="1">
        <f>pair!$L$44*(pair!$F$44/pair!$G$44)*(pair!$I$44*(pair!$G$44/(pair!$K$44*(A100+1)))^(pair!$I$44+1)-pair!$H$44*(pair!$G$44/(pair!$K$44*(A100+1)))^(pair!$H$44+1))</f>
        <v>1.1017769828617319E-3</v>
      </c>
      <c r="M100" s="1">
        <f>pair!$L$45*(pair!$F$45/pair!$G$45)*(pair!$I$45*(pair!$G$45/(pair!$K$45*(A100+1)))^(pair!$I$45+1)-pair!$H$45*(pair!$G$45/(pair!$K$45*(A100+1)))^(pair!$H$45+1))</f>
        <v>3.6129668724223627E-3</v>
      </c>
    </row>
    <row r="101" spans="1:13" x14ac:dyDescent="0.3">
      <c r="A101" s="1">
        <f t="shared" si="1"/>
        <v>0.68000000000000038</v>
      </c>
      <c r="B101" s="1">
        <f>bonded!$E$2*bonded!$F$2*A101</f>
        <v>102.00000000000006</v>
      </c>
      <c r="C101" s="1">
        <f>bonded!$E$3*bonded!$F$3*A101</f>
        <v>51.000000000000028</v>
      </c>
      <c r="D101" s="1">
        <f>bonded!$E$4*bonded!$F$4*A101</f>
        <v>61.200000000000031</v>
      </c>
      <c r="E101" s="1">
        <f>(bonded!$E$7*((bonded!$K$7*(A101+1))/(1-((bonded!$K$7*(A101+1))/bonded!$F$7)^2)))+24*(bonded!$G$7/bonded!$H$7)*((bonded!$H$7/(bonded!$K$7*(A101+1)))^7-2*(bonded!$H$7/(bonded!$K$7*(A101+1)))^13)</f>
        <v>-59.882675988065891</v>
      </c>
      <c r="F101" s="1">
        <f>2*bonded!$F$10*bonded!$E$10*(EXP(-bonded!$F$10*bonded!$G$10*A101)-EXP(-2*bonded!$F$10*bonded!$G$10*A101))</f>
        <v>8.8550603485998428E-2</v>
      </c>
      <c r="G101" s="1">
        <f>2*bonded!$F$11*bonded!$E$11*(EXP(-bonded!$F$11*bonded!$G$11*A101)-EXP(-2*bonded!$F$11*bonded!$G$11*A101))</f>
        <v>3.6963502208639351E-2</v>
      </c>
      <c r="H101" s="1">
        <f>2*bonded!$F$12*bonded!$E$12*(EXP(-bonded!$F$12*bonded!$G$12*A101)-EXP(-2*bonded!$F$12*bonded!$G$12*A101))</f>
        <v>2.3243890981819542E-2</v>
      </c>
      <c r="I101" s="1">
        <f>2*bonded!$F$13*bonded!$E$13*(EXP(-bonded!$F$13*bonded!$G$13*A101)-EXP(-2*bonded!$F$13*bonded!$G$13*A101))</f>
        <v>7.3163195968583561E-2</v>
      </c>
      <c r="J101" s="1">
        <f>pair!$L$42*(pair!$F$42/pair!$G$42)*(pair!$I$42*(pair!$G$42/(pair!$K$42*(A101+1)))^(pair!$I$42+1)-pair!$H$42*(pair!$G$42/(pair!$K$42*(A101+1)))^(pair!$H$42+1))</f>
        <v>6.2674302389647413E-3</v>
      </c>
      <c r="K101" s="1">
        <f>pair!$L$43*(pair!$F$43/pair!$G$43)*(pair!$I$43*(pair!$G$43/(pair!$K$43*(A101+1)))^(pair!$I$43+1)-pair!$H$43*(pair!$G$43/(pair!$K$43*(A101+1)))^(pair!$H$43+1))</f>
        <v>1.2534860477929483E-3</v>
      </c>
      <c r="L101" s="1">
        <f>pair!$L$44*(pair!$F$44/pair!$G$44)*(pair!$I$44*(pair!$G$44/(pair!$K$44*(A101+1)))^(pair!$I$44+1)-pair!$H$44*(pair!$G$44/(pair!$K$44*(A101+1)))^(pair!$H$44+1))</f>
        <v>1.0893997846772149E-3</v>
      </c>
      <c r="M101" s="1">
        <f>pair!$L$45*(pair!$F$45/pair!$G$45)*(pair!$I$45*(pair!$G$45/(pair!$K$45*(A101+1)))^(pair!$I$45+1)-pair!$H$45*(pair!$G$45/(pair!$K$45*(A101+1)))^(pair!$H$45+1))</f>
        <v>3.4819056883137441E-3</v>
      </c>
    </row>
    <row r="102" spans="1:13" x14ac:dyDescent="0.3">
      <c r="A102" s="1">
        <f t="shared" si="1"/>
        <v>0.69000000000000039</v>
      </c>
      <c r="B102" s="1">
        <f>bonded!$E$2*bonded!$F$2*A102</f>
        <v>103.50000000000006</v>
      </c>
      <c r="C102" s="1">
        <f>bonded!$E$3*bonded!$F$3*A102</f>
        <v>51.750000000000028</v>
      </c>
      <c r="D102" s="1">
        <f>bonded!$E$4*bonded!$F$4*A102</f>
        <v>62.100000000000037</v>
      </c>
      <c r="E102" s="1">
        <f>(bonded!$E$7*((bonded!$K$7*(A102+1))/(1-((bonded!$K$7*(A102+1))/bonded!$F$7)^2)))+24*(bonded!$G$7/bonded!$H$7)*((bonded!$H$7/(bonded!$K$7*(A102+1)))^7-2*(bonded!$H$7/(bonded!$K$7*(A102+1)))^13)</f>
        <v>-41.265908421892583</v>
      </c>
      <c r="F102" s="1">
        <f>2*bonded!$F$10*bonded!$E$10*(EXP(-bonded!$F$10*bonded!$G$10*A102)-EXP(-2*bonded!$F$10*bonded!$G$10*A102))</f>
        <v>8.5513451847132757E-2</v>
      </c>
      <c r="G102" s="1">
        <f>2*bonded!$F$11*bonded!$E$11*(EXP(-bonded!$F$11*bonded!$G$11*A102)-EXP(-2*bonded!$F$11*bonded!$G$11*A102))</f>
        <v>3.5745159602670426E-2</v>
      </c>
      <c r="H102" s="1">
        <f>2*bonded!$F$12*bonded!$E$12*(EXP(-bonded!$F$12*bonded!$G$12*A102)-EXP(-2*bonded!$F$12*bonded!$G$12*A102))</f>
        <v>2.2513856665498773E-2</v>
      </c>
      <c r="I102" s="1">
        <f>2*bonded!$F$13*bonded!$E$13*(EXP(-bonded!$F$13*bonded!$G$13*A102)-EXP(-2*bonded!$F$13*bonded!$G$13*A102))</f>
        <v>7.0634693631056719E-2</v>
      </c>
      <c r="J102" s="1">
        <f>pair!$L$42*(pair!$F$42/pair!$G$42)*(pair!$I$42*(pair!$G$42/(pair!$K$42*(A102+1)))^(pair!$I$42+1)-pair!$H$42*(pair!$G$42/(pair!$K$42*(A102+1)))^(pair!$H$42+1))</f>
        <v>6.0407518456698497E-3</v>
      </c>
      <c r="K102" s="1">
        <f>pair!$L$43*(pair!$F$43/pair!$G$43)*(pair!$I$43*(pair!$G$43/(pair!$K$43*(A102+1)))^(pair!$I$43+1)-pair!$H$43*(pair!$G$43/(pair!$K$43*(A102+1)))^(pair!$H$43+1))</f>
        <v>1.20815036913397E-3</v>
      </c>
      <c r="L102" s="1">
        <f>pair!$L$44*(pair!$F$44/pair!$G$44)*(pair!$I$44*(pair!$G$44/(pair!$K$44*(A102+1)))^(pair!$I$44+1)-pair!$H$44*(pair!$G$44/(pair!$K$44*(A102+1)))^(pair!$H$44+1))</f>
        <v>1.0771044859727806E-3</v>
      </c>
      <c r="M102" s="1">
        <f>pair!$L$45*(pair!$F$45/pair!$G$45)*(pair!$I$45*(pair!$G$45/(pair!$K$45*(A102+1)))^(pair!$I$45+1)-pair!$H$45*(pair!$G$45/(pair!$K$45*(A102+1)))^(pair!$H$45+1))</f>
        <v>3.3559732475943599E-3</v>
      </c>
    </row>
    <row r="103" spans="1:13" x14ac:dyDescent="0.3">
      <c r="A103" s="1">
        <f t="shared" si="1"/>
        <v>0.7000000000000004</v>
      </c>
      <c r="B103" s="1">
        <f>bonded!$E$2*bonded!$F$2*A103</f>
        <v>105.00000000000006</v>
      </c>
      <c r="C103" s="1">
        <f>bonded!$E$3*bonded!$F$3*A103</f>
        <v>52.500000000000028</v>
      </c>
      <c r="D103" s="1">
        <f>bonded!$E$4*bonded!$F$4*A103</f>
        <v>63.000000000000036</v>
      </c>
      <c r="E103" s="1">
        <f>(bonded!$E$7*((bonded!$K$7*(A103+1))/(1-((bonded!$K$7*(A103+1))/bonded!$F$7)^2)))+24*(bonded!$G$7/bonded!$H$7)*((bonded!$H$7/(bonded!$K$7*(A103+1)))^7-2*(bonded!$H$7/(bonded!$K$7*(A103+1)))^13)</f>
        <v>-31.520666589911645</v>
      </c>
      <c r="F103" s="1">
        <f>2*bonded!$F$10*bonded!$E$10*(EXP(-bonded!$F$10*bonded!$G$10*A103)-EXP(-2*bonded!$F$10*bonded!$G$10*A103))</f>
        <v>8.2570379300153193E-2</v>
      </c>
      <c r="G103" s="1">
        <f>2*bonded!$F$11*bonded!$E$11*(EXP(-bonded!$F$11*bonded!$G$11*A103)-EXP(-2*bonded!$F$11*bonded!$G$11*A103))</f>
        <v>3.4562612045587707E-2</v>
      </c>
      <c r="H103" s="1">
        <f>2*bonded!$F$12*bonded!$E$12*(EXP(-bonded!$F$12*bonded!$G$12*A103)-EXP(-2*bonded!$F$12*bonded!$G$12*A103))</f>
        <v>2.1803897784704221E-2</v>
      </c>
      <c r="I103" s="1">
        <f>2*bonded!$F$13*bonded!$E$13*(EXP(-bonded!$F$13*bonded!$G$13*A103)-EXP(-2*bonded!$F$13*bonded!$G$13*A103))</f>
        <v>6.8185296503264589E-2</v>
      </c>
      <c r="J103" s="1">
        <f>pair!$L$42*(pair!$F$42/pair!$G$42)*(pair!$I$42*(pair!$G$42/(pair!$K$42*(A103+1)))^(pair!$I$42+1)-pair!$H$42*(pair!$G$42/(pair!$K$42*(A103+1)))^(pair!$H$42+1))</f>
        <v>5.8229342843673683E-3</v>
      </c>
      <c r="K103" s="1">
        <f>pair!$L$43*(pair!$F$43/pair!$G$43)*(pair!$I$43*(pair!$G$43/(pair!$K$43*(A103+1)))^(pair!$I$43+1)-pair!$H$43*(pair!$G$43/(pair!$K$43*(A103+1)))^(pair!$H$43+1))</f>
        <v>1.1645868568734737E-3</v>
      </c>
      <c r="L103" s="1">
        <f>pair!$L$44*(pair!$F$44/pair!$G$44)*(pair!$I$44*(pair!$G$44/(pair!$K$44*(A103+1)))^(pair!$I$44+1)-pair!$H$44*(pair!$G$44/(pair!$K$44*(A103+1)))^(pair!$H$44+1))</f>
        <v>1.0648959719182984E-3</v>
      </c>
      <c r="M103" s="1">
        <f>pair!$L$45*(pair!$F$45/pair!$G$45)*(pair!$I$45*(pair!$G$45/(pair!$K$45*(A103+1)))^(pair!$I$45+1)-pair!$H$45*(pair!$G$45/(pair!$K$45*(A103+1)))^(pair!$H$45+1))</f>
        <v>3.2349634913152038E-3</v>
      </c>
    </row>
    <row r="104" spans="1:13" x14ac:dyDescent="0.3">
      <c r="A104" s="1">
        <f t="shared" si="1"/>
        <v>0.71000000000000041</v>
      </c>
      <c r="B104" s="1">
        <f>bonded!$E$2*bonded!$F$2*A104</f>
        <v>106.50000000000006</v>
      </c>
      <c r="C104" s="1">
        <f>bonded!$E$3*bonded!$F$3*A104</f>
        <v>53.250000000000028</v>
      </c>
      <c r="D104" s="1">
        <f>bonded!$E$4*bonded!$F$4*A104</f>
        <v>63.900000000000034</v>
      </c>
      <c r="E104" s="1">
        <f>(bonded!$E$7*((bonded!$K$7*(A104+1))/(1-((bonded!$K$7*(A104+1))/bonded!$F$7)^2)))+24*(bonded!$G$7/bonded!$H$7)*((bonded!$H$7/(bonded!$K$7*(A104+1)))^7-2*(bonded!$H$7/(bonded!$K$7*(A104+1)))^13)</f>
        <v>-25.525686892241854</v>
      </c>
      <c r="F104" s="1">
        <f>2*bonded!$F$10*bonded!$E$10*(EXP(-bonded!$F$10*bonded!$G$10*A104)-EXP(-2*bonded!$F$10*bonded!$G$10*A104))</f>
        <v>7.9719272296245036E-2</v>
      </c>
      <c r="G104" s="1">
        <f>2*bonded!$F$11*bonded!$E$11*(EXP(-bonded!$F$11*bonded!$G$11*A104)-EXP(-2*bonded!$F$11*bonded!$G$11*A104))</f>
        <v>3.3415146154570426E-2</v>
      </c>
      <c r="H104" s="1">
        <f>2*bonded!$F$12*bonded!$E$12*(EXP(-bonded!$F$12*bonded!$G$12*A104)-EXP(-2*bonded!$F$12*bonded!$G$12*A104))</f>
        <v>2.1113677713302803E-2</v>
      </c>
      <c r="I104" s="1">
        <f>2*bonded!$F$13*bonded!$E$13*(EXP(-bonded!$F$13*bonded!$G$13*A104)-EXP(-2*bonded!$F$13*bonded!$G$13*A104))</f>
        <v>6.5813189624922996E-2</v>
      </c>
      <c r="J104" s="1">
        <f>pair!$L$42*(pair!$F$42/pair!$G$42)*(pair!$I$42*(pair!$G$42/(pair!$K$42*(A104+1)))^(pair!$I$42+1)-pair!$H$42*(pair!$G$42/(pair!$K$42*(A104+1)))^(pair!$H$42+1))</f>
        <v>5.6136205137218243E-3</v>
      </c>
      <c r="K104" s="1">
        <f>pair!$L$43*(pair!$F$43/pair!$G$43)*(pair!$I$43*(pair!$G$43/(pair!$K$43*(A104+1)))^(pair!$I$43+1)-pair!$H$43*(pair!$G$43/(pair!$K$43*(A104+1)))^(pair!$H$43+1))</f>
        <v>1.1227241027443647E-3</v>
      </c>
      <c r="L104" s="1">
        <f>pair!$L$44*(pair!$F$44/pair!$G$44)*(pair!$I$44*(pair!$G$44/(pair!$K$44*(A104+1)))^(pair!$I$44+1)-pair!$H$44*(pair!$G$44/(pair!$K$44*(A104+1)))^(pair!$H$44+1))</f>
        <v>1.0527786636059606E-3</v>
      </c>
      <c r="M104" s="1">
        <f>pair!$L$45*(pair!$F$45/pair!$G$45)*(pair!$I$45*(pair!$G$45/(pair!$K$45*(A104+1)))^(pair!$I$45+1)-pair!$H$45*(pair!$G$45/(pair!$K$45*(A104+1)))^(pair!$H$45+1))</f>
        <v>3.1186780631787901E-3</v>
      </c>
    </row>
    <row r="105" spans="1:13" x14ac:dyDescent="0.3">
      <c r="A105" s="1">
        <f t="shared" si="1"/>
        <v>0.72000000000000042</v>
      </c>
      <c r="B105" s="1">
        <f>bonded!$E$2*bonded!$F$2*A105</f>
        <v>108.00000000000006</v>
      </c>
      <c r="C105" s="1">
        <f>bonded!$E$3*bonded!$F$3*A105</f>
        <v>54.000000000000028</v>
      </c>
      <c r="D105" s="1">
        <f>bonded!$E$4*bonded!$F$4*A105</f>
        <v>64.80000000000004</v>
      </c>
      <c r="E105" s="1">
        <f>(bonded!$E$7*((bonded!$K$7*(A105+1))/(1-((bonded!$K$7*(A105+1))/bonded!$F$7)^2)))+24*(bonded!$G$7/bonded!$H$7)*((bonded!$H$7/(bonded!$K$7*(A105+1)))^7-2*(bonded!$H$7/(bonded!$K$7*(A105+1)))^13)</f>
        <v>-21.46540498125459</v>
      </c>
      <c r="F105" s="1">
        <f>2*bonded!$F$10*bonded!$E$10*(EXP(-bonded!$F$10*bonded!$G$10*A105)-EXP(-2*bonded!$F$10*bonded!$G$10*A105))</f>
        <v>7.6957994425927587E-2</v>
      </c>
      <c r="G105" s="1">
        <f>2*bonded!$F$11*bonded!$E$11*(EXP(-bonded!$F$11*bonded!$G$11*A105)-EXP(-2*bonded!$F$11*bonded!$G$11*A105))</f>
        <v>3.2302033335431232E-2</v>
      </c>
      <c r="H105" s="1">
        <f>2*bonded!$F$12*bonded!$E$12*(EXP(-bonded!$F$12*bonded!$G$12*A105)-EXP(-2*bonded!$F$12*bonded!$G$12*A105))</f>
        <v>2.044284689106645E-2</v>
      </c>
      <c r="I105" s="1">
        <f>2*bonded!$F$13*bonded!$E$13*(EXP(-bonded!$F$13*bonded!$G$13*A105)-EXP(-2*bonded!$F$13*bonded!$G$13*A105))</f>
        <v>6.351654157876363E-2</v>
      </c>
      <c r="J105" s="1">
        <f>pair!$L$42*(pair!$F$42/pair!$G$42)*(pair!$I$42*(pair!$G$42/(pair!$K$42*(A105+1)))^(pair!$I$42+1)-pair!$H$42*(pair!$G$42/(pair!$K$42*(A105+1)))^(pair!$H$42+1))</f>
        <v>5.4124670326280294E-3</v>
      </c>
      <c r="K105" s="1">
        <f>pair!$L$43*(pair!$F$43/pair!$G$43)*(pair!$I$43*(pair!$G$43/(pair!$K$43*(A105+1)))^(pair!$I$43+1)-pair!$H$43*(pair!$G$43/(pair!$K$43*(A105+1)))^(pair!$H$43+1))</f>
        <v>1.0824934065256058E-3</v>
      </c>
      <c r="L105" s="1">
        <f>pair!$L$44*(pair!$F$44/pair!$G$44)*(pair!$I$44*(pair!$G$44/(pair!$K$44*(A105+1)))^(pair!$I$44+1)-pair!$H$44*(pair!$G$44/(pair!$K$44*(A105+1)))^(pair!$H$44+1))</f>
        <v>1.0407565502887472E-3</v>
      </c>
      <c r="M105" s="1">
        <f>pair!$L$45*(pair!$F$45/pair!$G$45)*(pair!$I$45*(pair!$G$45/(pair!$K$45*(A105+1)))^(pair!$I$45+1)-pair!$H$45*(pair!$G$45/(pair!$K$45*(A105+1)))^(pair!$H$45+1))</f>
        <v>3.006926129237798E-3</v>
      </c>
    </row>
    <row r="106" spans="1:13" x14ac:dyDescent="0.3">
      <c r="A106" s="1">
        <f t="shared" si="1"/>
        <v>0.73000000000000043</v>
      </c>
      <c r="B106" s="1">
        <f>bonded!$E$2*bonded!$F$2*A106</f>
        <v>109.50000000000006</v>
      </c>
      <c r="C106" s="1">
        <f>bonded!$E$3*bonded!$F$3*A106</f>
        <v>54.750000000000028</v>
      </c>
      <c r="D106" s="1">
        <f>bonded!$E$4*bonded!$F$4*A106</f>
        <v>65.700000000000045</v>
      </c>
      <c r="E106" s="1">
        <f>(bonded!$E$7*((bonded!$K$7*(A106+1))/(1-((bonded!$K$7*(A106+1))/bonded!$F$7)^2)))+24*(bonded!$G$7/bonded!$H$7)*((bonded!$H$7/(bonded!$K$7*(A106+1)))^7-2*(bonded!$H$7/(bonded!$K$7*(A106+1)))^13)</f>
        <v>-18.533339636254098</v>
      </c>
      <c r="F106" s="1">
        <f>2*bonded!$F$10*bonded!$E$10*(EXP(-bonded!$F$10*bonded!$G$10*A106)-EXP(-2*bonded!$F$10*bonded!$G$10*A106))</f>
        <v>7.4284394693043473E-2</v>
      </c>
      <c r="G106" s="1">
        <f>2*bonded!$F$11*bonded!$E$11*(EXP(-bonded!$F$11*bonded!$G$11*A106)-EXP(-2*bonded!$F$11*bonded!$G$11*A106))</f>
        <v>3.1222533232456787E-2</v>
      </c>
      <c r="H106" s="1">
        <f>2*bonded!$F$12*bonded!$E$12*(EXP(-bonded!$F$12*bonded!$G$12*A106)-EXP(-2*bonded!$F$12*bonded!$G$12*A106))</f>
        <v>1.9791044954269504E-2</v>
      </c>
      <c r="I106" s="1">
        <f>2*bonded!$F$13*bonded!$E$13*(EXP(-bonded!$F$13*bonded!$G$13*A106)-EXP(-2*bonded!$F$13*bonded!$G$13*A106))</f>
        <v>6.1293511316399985E-2</v>
      </c>
      <c r="J106" s="1">
        <f>pair!$L$42*(pair!$F$42/pair!$G$42)*(pair!$I$42*(pair!$G$42/(pair!$K$42*(A106+1)))^(pair!$I$42+1)-pair!$H$42*(pair!$G$42/(pair!$K$42*(A106+1)))^(pair!$H$42+1))</f>
        <v>5.2191435348048244E-3</v>
      </c>
      <c r="K106" s="1">
        <f>pair!$L$43*(pair!$F$43/pair!$G$43)*(pair!$I$43*(pair!$G$43/(pair!$K$43*(A106+1)))^(pair!$I$43+1)-pair!$H$43*(pair!$G$43/(pair!$K$43*(A106+1)))^(pair!$H$43+1))</f>
        <v>1.0438287069609649E-3</v>
      </c>
      <c r="L106" s="1">
        <f>pair!$L$44*(pair!$F$44/pair!$G$44)*(pair!$I$44*(pair!$G$44/(pair!$K$44*(A106+1)))^(pair!$I$44+1)-pair!$H$44*(pair!$G$44/(pair!$K$44*(A106+1)))^(pair!$H$44+1))</f>
        <v>1.0288332194464918E-3</v>
      </c>
      <c r="M106" s="1">
        <f>pair!$L$45*(pair!$F$45/pair!$G$45)*(pair!$I$45*(pair!$G$45/(pair!$K$45*(A106+1)))^(pair!$I$45+1)-pair!$H$45*(pair!$G$45/(pair!$K$45*(A106+1)))^(pair!$H$45+1))</f>
        <v>2.8995241860026834E-3</v>
      </c>
    </row>
    <row r="107" spans="1:13" x14ac:dyDescent="0.3">
      <c r="A107" s="1">
        <f t="shared" si="1"/>
        <v>0.74000000000000044</v>
      </c>
      <c r="B107" s="1">
        <f>bonded!$E$2*bonded!$F$2*A107</f>
        <v>111.00000000000007</v>
      </c>
      <c r="C107" s="1">
        <f>bonded!$E$3*bonded!$F$3*A107</f>
        <v>55.500000000000036</v>
      </c>
      <c r="D107" s="1">
        <f>bonded!$E$4*bonded!$F$4*A107</f>
        <v>66.600000000000037</v>
      </c>
      <c r="E107" s="1">
        <f>(bonded!$E$7*((bonded!$K$7*(A107+1))/(1-((bonded!$K$7*(A107+1))/bonded!$F$7)^2)))+24*(bonded!$G$7/bonded!$H$7)*((bonded!$H$7/(bonded!$K$7*(A107+1)))^7-2*(bonded!$H$7/(bonded!$K$7*(A107+1)))^13)</f>
        <v>-16.316564798906853</v>
      </c>
      <c r="F107" s="1">
        <f>2*bonded!$F$10*bonded!$E$10*(EXP(-bonded!$F$10*bonded!$G$10*A107)-EXP(-2*bonded!$F$10*bonded!$G$10*A107))</f>
        <v>7.169631493815487E-2</v>
      </c>
      <c r="G107" s="1">
        <f>2*bonded!$F$11*bonded!$E$11*(EXP(-bonded!$F$11*bonded!$G$11*A107)-EXP(-2*bonded!$F$11*bonded!$G$11*A107))</f>
        <v>3.0175896848252934E-2</v>
      </c>
      <c r="H107" s="1">
        <f>2*bonded!$F$12*bonded!$E$12*(EXP(-bonded!$F$12*bonded!$G$12*A107)-EXP(-2*bonded!$F$12*bonded!$G$12*A107))</f>
        <v>1.9157902677494485E-2</v>
      </c>
      <c r="I107" s="1">
        <f>2*bonded!$F$13*bonded!$E$13*(EXP(-bonded!$F$13*bonded!$G$13*A107)-EXP(-2*bonded!$F$13*bonded!$G$13*A107))</f>
        <v>5.9142254271933009E-2</v>
      </c>
      <c r="J107" s="1">
        <f>pair!$L$42*(pair!$F$42/pair!$G$42)*(pair!$I$42*(pair!$G$42/(pair!$K$42*(A107+1)))^(pair!$I$42+1)-pair!$H$42*(pair!$G$42/(pair!$K$42*(A107+1)))^(pair!$H$42+1))</f>
        <v>5.0333325476576733E-3</v>
      </c>
      <c r="K107" s="1">
        <f>pair!$L$43*(pair!$F$43/pair!$G$43)*(pair!$I$43*(pair!$G$43/(pair!$K$43*(A107+1)))^(pair!$I$43+1)-pair!$H$43*(pair!$G$43/(pair!$K$43*(A107+1)))^(pair!$H$43+1))</f>
        <v>1.0066665095315346E-3</v>
      </c>
      <c r="L107" s="1">
        <f>pair!$L$44*(pair!$F$44/pair!$G$44)*(pair!$I$44*(pair!$G$44/(pair!$K$44*(A107+1)))^(pair!$I$44+1)-pair!$H$44*(pair!$G$44/(pair!$K$44*(A107+1)))^(pair!$H$44+1))</f>
        <v>1.0170118848303786E-3</v>
      </c>
      <c r="M107" s="1">
        <f>pair!$L$45*(pair!$F$45/pair!$G$45)*(pair!$I$45*(pair!$G$45/(pair!$K$45*(A107+1)))^(pair!$I$45+1)-pair!$H$45*(pair!$G$45/(pair!$K$45*(A107+1)))^(pair!$H$45+1))</f>
        <v>2.7962958598098217E-3</v>
      </c>
    </row>
    <row r="108" spans="1:13" x14ac:dyDescent="0.3">
      <c r="A108" s="1">
        <f t="shared" si="1"/>
        <v>0.75000000000000044</v>
      </c>
      <c r="B108" s="1">
        <f>bonded!$E$2*bonded!$F$2*A108</f>
        <v>112.50000000000007</v>
      </c>
      <c r="C108" s="1">
        <f>bonded!$E$3*bonded!$F$3*A108</f>
        <v>56.250000000000036</v>
      </c>
      <c r="D108" s="1">
        <f>bonded!$E$4*bonded!$F$4*A108</f>
        <v>67.500000000000043</v>
      </c>
      <c r="E108" s="1">
        <f>(bonded!$E$7*((bonded!$K$7*(A108+1))/(1-((bonded!$K$7*(A108+1))/bonded!$F$7)^2)))+24*(bonded!$G$7/bonded!$H$7)*((bonded!$H$7/(bonded!$K$7*(A108+1)))^7-2*(bonded!$H$7/(bonded!$K$7*(A108+1)))^13)</f>
        <v>-14.581748583799268</v>
      </c>
      <c r="F108" s="1">
        <f>2*bonded!$F$10*bonded!$E$10*(EXP(-bonded!$F$10*bonded!$G$10*A108)-EXP(-2*bonded!$F$10*bonded!$G$10*A108))</f>
        <v>6.9191596482669232E-2</v>
      </c>
      <c r="G108" s="1">
        <f>2*bonded!$F$11*bonded!$E$11*(EXP(-bonded!$F$11*bonded!$G$11*A108)-EXP(-2*bonded!$F$11*bonded!$G$11*A108))</f>
        <v>2.9161369360061529E-2</v>
      </c>
      <c r="H108" s="1">
        <f>2*bonded!$F$12*bonded!$E$12*(EXP(-bonded!$F$12*bonded!$G$12*A108)-EXP(-2*bonded!$F$12*bonded!$G$12*A108))</f>
        <v>1.8543043741040117E-2</v>
      </c>
      <c r="I108" s="1">
        <f>2*bonded!$F$13*bonded!$E$13*(EXP(-bonded!$F$13*bonded!$G$13*A108)-EXP(-2*bonded!$F$13*bonded!$G$13*A108))</f>
        <v>5.7060927823546777E-2</v>
      </c>
      <c r="J108" s="1">
        <f>pair!$L$42*(pair!$F$42/pair!$G$42)*(pair!$I$42*(pair!$G$42/(pair!$K$42*(A108+1)))^(pair!$I$42+1)-pair!$H$42*(pair!$G$42/(pair!$K$42*(A108+1)))^(pair!$H$42+1))</f>
        <v>4.8547290598193165E-3</v>
      </c>
      <c r="K108" s="1">
        <f>pair!$L$43*(pair!$F$43/pair!$G$43)*(pair!$I$43*(pair!$G$43/(pair!$K$43*(A108+1)))^(pair!$I$43+1)-pair!$H$43*(pair!$G$43/(pair!$K$43*(A108+1)))^(pair!$H$43+1))</f>
        <v>9.7094581196386319E-4</v>
      </c>
      <c r="L108" s="1">
        <f>pair!$L$44*(pair!$F$44/pair!$G$44)*(pair!$I$44*(pair!$G$44/(pair!$K$44*(A108+1)))^(pair!$I$44+1)-pair!$H$44*(pair!$G$44/(pair!$K$44*(A108+1)))^(pair!$H$44+1))</f>
        <v>1.005295412625691E-3</v>
      </c>
      <c r="M108" s="1">
        <f>pair!$L$45*(pair!$F$45/pair!$G$45)*(pair!$I$45*(pair!$G$45/(pair!$K$45*(A108+1)))^(pair!$I$45+1)-pair!$H$45*(pair!$G$45/(pair!$K$45*(A108+1)))^(pair!$H$45+1))</f>
        <v>2.6970716998996227E-3</v>
      </c>
    </row>
    <row r="109" spans="1:13" x14ac:dyDescent="0.3">
      <c r="A109" s="1">
        <f t="shared" si="1"/>
        <v>0.76000000000000045</v>
      </c>
      <c r="B109" s="1">
        <f>bonded!$E$2*bonded!$F$2*A109</f>
        <v>114.00000000000007</v>
      </c>
      <c r="C109" s="1">
        <f>bonded!$E$3*bonded!$F$3*A109</f>
        <v>57.000000000000036</v>
      </c>
      <c r="D109" s="1">
        <f>bonded!$E$4*bonded!$F$4*A109</f>
        <v>68.400000000000034</v>
      </c>
      <c r="E109" s="1">
        <f>(bonded!$E$7*((bonded!$K$7*(A109+1))/(1-((bonded!$K$7*(A109+1))/bonded!$F$7)^2)))+24*(bonded!$G$7/bonded!$H$7)*((bonded!$H$7/(bonded!$K$7*(A109+1)))^7-2*(bonded!$H$7/(bonded!$K$7*(A109+1)))^13)</f>
        <v>-13.187090065538854</v>
      </c>
      <c r="F109" s="1">
        <f>2*bonded!$F$10*bonded!$E$10*(EXP(-bonded!$F$10*bonded!$G$10*A109)-EXP(-2*bonded!$F$10*bonded!$G$10*A109))</f>
        <v>6.6768086059462953E-2</v>
      </c>
      <c r="G109" s="1">
        <f>2*bonded!$F$11*bonded!$E$11*(EXP(-bonded!$F$11*bonded!$G$11*A109)-EXP(-2*bonded!$F$11*bonded!$G$11*A109))</f>
        <v>2.8178192657029782E-2</v>
      </c>
      <c r="H109" s="1">
        <f>2*bonded!$F$12*bonded!$E$12*(EXP(-bonded!$F$12*bonded!$G$12*A109)-EXP(-2*bonded!$F$12*bonded!$G$12*A109))</f>
        <v>1.7946086337290817E-2</v>
      </c>
      <c r="I109" s="1">
        <f>2*bonded!$F$13*bonded!$E$13*(EXP(-bonded!$F$13*bonded!$G$13*A109)-EXP(-2*bonded!$F$13*bonded!$G$13*A109))</f>
        <v>5.5047696158620048E-2</v>
      </c>
      <c r="J109" s="1">
        <f>pair!$L$42*(pair!$F$42/pair!$G$42)*(pair!$I$42*(pair!$G$42/(pair!$K$42*(A109+1)))^(pair!$I$42+1)-pair!$H$42*(pair!$G$42/(pair!$K$42*(A109+1)))^(pair!$H$42+1))</f>
        <v>4.6830401411446648E-3</v>
      </c>
      <c r="K109" s="1">
        <f>pair!$L$43*(pair!$F$43/pair!$G$43)*(pair!$I$43*(pair!$G$43/(pair!$K$43*(A109+1)))^(pair!$I$43+1)-pair!$H$43*(pair!$G$43/(pair!$K$43*(A109+1)))^(pair!$H$43+1))</f>
        <v>9.3660802822893331E-4</v>
      </c>
      <c r="L109" s="1">
        <f>pair!$L$44*(pair!$F$44/pair!$G$44)*(pair!$I$44*(pair!$G$44/(pair!$K$44*(A109+1)))^(pair!$I$44+1)-pair!$H$44*(pair!$G$44/(pair!$K$44*(A109+1)))^(pair!$H$44+1))</f>
        <v>9.9368634586249004E-4</v>
      </c>
      <c r="M109" s="1">
        <f>pair!$L$45*(pair!$F$45/pair!$G$45)*(pair!$I$45*(pair!$G$45/(pair!$K$45*(A109+1)))^(pair!$I$45+1)-pair!$H$45*(pair!$G$45/(pair!$K$45*(A109+1)))^(pair!$H$45+1))</f>
        <v>2.6016889673025918E-3</v>
      </c>
    </row>
    <row r="110" spans="1:13" x14ac:dyDescent="0.3">
      <c r="A110" s="1">
        <f t="shared" si="1"/>
        <v>0.77000000000000046</v>
      </c>
      <c r="B110" s="1">
        <f>bonded!$E$2*bonded!$F$2*A110</f>
        <v>115.50000000000007</v>
      </c>
      <c r="C110" s="1">
        <f>bonded!$E$3*bonded!$F$3*A110</f>
        <v>57.750000000000036</v>
      </c>
      <c r="D110" s="1">
        <f>bonded!$E$4*bonded!$F$4*A110</f>
        <v>69.30000000000004</v>
      </c>
      <c r="E110" s="1">
        <f>(bonded!$E$7*((bonded!$K$7*(A110+1))/(1-((bonded!$K$7*(A110+1))/bonded!$F$7)^2)))+24*(bonded!$G$7/bonded!$H$7)*((bonded!$H$7/(bonded!$K$7*(A110+1)))^7-2*(bonded!$H$7/(bonded!$K$7*(A110+1)))^13)</f>
        <v>-12.041445885145686</v>
      </c>
      <c r="F110" s="1">
        <f>2*bonded!$F$10*bonded!$E$10*(EXP(-bonded!$F$10*bonded!$G$10*A110)-EXP(-2*bonded!$F$10*bonded!$G$10*A110))</f>
        <v>6.4423641090636599E-2</v>
      </c>
      <c r="G110" s="1">
        <f>2*bonded!$F$11*bonded!$E$11*(EXP(-bonded!$F$11*bonded!$G$11*A110)-EXP(-2*bonded!$F$11*bonded!$G$11*A110))</f>
        <v>2.7225607621070975E-2</v>
      </c>
      <c r="H110" s="1">
        <f>2*bonded!$F$12*bonded!$E$12*(EXP(-bonded!$F$12*bonded!$G$12*A110)-EXP(-2*bonded!$F$12*bonded!$G$12*A110))</f>
        <v>1.7366644628444037E-2</v>
      </c>
      <c r="I110" s="1">
        <f>2*bonded!$F$13*bonded!$E$13*(EXP(-bonded!$F$13*bonded!$G$13*A110)-EXP(-2*bonded!$F$13*bonded!$G$13*A110))</f>
        <v>5.3100734593512097E-2</v>
      </c>
      <c r="J110" s="1">
        <f>pair!$L$42*(pair!$F$42/pair!$G$42)*(pair!$I$42*(pair!$G$42/(pair!$K$42*(A110+1)))^(pair!$I$42+1)-pair!$H$42*(pair!$G$42/(pair!$K$42*(A110+1)))^(pair!$H$42+1))</f>
        <v>4.5179845583831844E-3</v>
      </c>
      <c r="K110" s="1">
        <f>pair!$L$43*(pair!$F$43/pair!$G$43)*(pair!$I$43*(pair!$G$43/(pair!$K$43*(A110+1)))^(pair!$I$43+1)-pair!$H$43*(pair!$G$43/(pair!$K$43*(A110+1)))^(pair!$H$43+1))</f>
        <v>9.0359691167663685E-4</v>
      </c>
      <c r="L110" s="1">
        <f>pair!$L$44*(pair!$F$44/pair!$G$44)*(pair!$I$44*(pair!$G$44/(pair!$K$44*(A110+1)))^(pair!$I$44+1)-pair!$H$44*(pair!$G$44/(pair!$K$44*(A110+1)))^(pair!$H$44+1))</f>
        <v>9.8218692719454262E-4</v>
      </c>
      <c r="M110" s="1">
        <f>pair!$L$45*(pair!$F$45/pair!$G$45)*(pair!$I$45*(pair!$G$45/(pair!$K$45*(A110+1)))^(pair!$I$45+1)-pair!$H$45*(pair!$G$45/(pair!$K$45*(A110+1)))^(pair!$H$45+1))</f>
        <v>2.5099914213239918E-3</v>
      </c>
    </row>
    <row r="111" spans="1:13" x14ac:dyDescent="0.3">
      <c r="A111" s="1">
        <f t="shared" si="1"/>
        <v>0.78000000000000047</v>
      </c>
      <c r="B111" s="1">
        <f>bonded!$E$2*bonded!$F$2*A111</f>
        <v>117.00000000000007</v>
      </c>
      <c r="C111" s="1">
        <f>bonded!$E$3*bonded!$F$3*A111</f>
        <v>58.500000000000036</v>
      </c>
      <c r="D111" s="1">
        <f>bonded!$E$4*bonded!$F$4*A111</f>
        <v>70.200000000000045</v>
      </c>
      <c r="E111" s="1">
        <f>(bonded!$E$7*((bonded!$K$7*(A111+1))/(1-((bonded!$K$7*(A111+1))/bonded!$F$7)^2)))+24*(bonded!$G$7/bonded!$H$7)*((bonded!$H$7/(bonded!$K$7*(A111+1)))^7-2*(bonded!$H$7/(bonded!$K$7*(A111+1)))^13)</f>
        <v>-11.08356364877932</v>
      </c>
      <c r="F111" s="1">
        <f>2*bonded!$F$10*bonded!$E$10*(EXP(-bonded!$F$10*bonded!$G$10*A111)-EXP(-2*bonded!$F$10*bonded!$G$10*A111))</f>
        <v>6.2156134368287666E-2</v>
      </c>
      <c r="G111" s="1">
        <f>2*bonded!$F$11*bonded!$E$11*(EXP(-bonded!$F$11*bonded!$G$11*A111)-EXP(-2*bonded!$F$11*bonded!$G$11*A111))</f>
        <v>2.6302856172247781E-2</v>
      </c>
      <c r="H111" s="1">
        <f>2*bonded!$F$12*bonded!$E$12*(EXP(-bonded!$F$12*bonded!$G$12*A111)-EXP(-2*bonded!$F$12*bonded!$G$12*A111))</f>
        <v>1.6804330067097275E-2</v>
      </c>
      <c r="I111" s="1">
        <f>2*bonded!$F$13*bonded!$E$13*(EXP(-bonded!$F$13*bonded!$G$13*A111)-EXP(-2*bonded!$F$13*bonded!$G$13*A111))</f>
        <v>5.1218233395146834E-2</v>
      </c>
      <c r="J111" s="1">
        <f>pair!$L$42*(pair!$F$42/pair!$G$42)*(pair!$I$42*(pair!$G$42/(pair!$K$42*(A111+1)))^(pair!$I$42+1)-pair!$H$42*(pair!$G$42/(pair!$K$42*(A111+1)))^(pair!$H$42+1))</f>
        <v>4.3592923892683795E-3</v>
      </c>
      <c r="K111" s="1">
        <f>pair!$L$43*(pair!$F$43/pair!$G$43)*(pair!$I$43*(pair!$G$43/(pair!$K$43*(A111+1)))^(pair!$I$43+1)-pair!$H$43*(pair!$G$43/(pair!$K$43*(A111+1)))^(pair!$H$43+1))</f>
        <v>8.7185847785367513E-4</v>
      </c>
      <c r="L111" s="1">
        <f>pair!$L$44*(pair!$F$44/pair!$G$44)*(pair!$I$44*(pair!$G$44/(pair!$K$44*(A111+1)))^(pair!$I$44+1)-pair!$H$44*(pair!$G$44/(pair!$K$44*(A111+1)))^(pair!$H$44+1))</f>
        <v>9.7079912015814889E-4</v>
      </c>
      <c r="M111" s="1">
        <f>pair!$L$45*(pair!$F$45/pair!$G$45)*(pair!$I$45*(pair!$G$45/(pair!$K$45*(A111+1)))^(pair!$I$45+1)-pair!$H$45*(pair!$G$45/(pair!$K$45*(A111+1)))^(pair!$H$45+1))</f>
        <v>2.421829105149099E-3</v>
      </c>
    </row>
    <row r="112" spans="1:13" x14ac:dyDescent="0.3">
      <c r="A112" s="1">
        <f t="shared" si="1"/>
        <v>0.79000000000000048</v>
      </c>
      <c r="B112" s="1">
        <f>bonded!$E$2*bonded!$F$2*A112</f>
        <v>118.50000000000007</v>
      </c>
      <c r="C112" s="1">
        <f>bonded!$E$3*bonded!$F$3*A112</f>
        <v>59.250000000000036</v>
      </c>
      <c r="D112" s="1">
        <f>bonded!$E$4*bonded!$F$4*A112</f>
        <v>71.100000000000037</v>
      </c>
      <c r="E112" s="1">
        <f>(bonded!$E$7*((bonded!$K$7*(A112+1))/(1-((bonded!$K$7*(A112+1))/bonded!$F$7)^2)))+24*(bonded!$G$7/bonded!$H$7)*((bonded!$H$7/(bonded!$K$7*(A112+1)))^7-2*(bonded!$H$7/(bonded!$K$7*(A112+1)))^13)</f>
        <v>-10.270756914203865</v>
      </c>
      <c r="F112" s="1">
        <f>2*bonded!$F$10*bonded!$E$10*(EXP(-bonded!$F$10*bonded!$G$10*A112)-EXP(-2*bonded!$F$10*bonded!$G$10*A112))</f>
        <v>5.9963458189798487E-2</v>
      </c>
      <c r="G112" s="1">
        <f>2*bonded!$F$11*bonded!$E$11*(EXP(-bonded!$F$11*bonded!$G$11*A112)-EXP(-2*bonded!$F$11*bonded!$G$11*A112))</f>
        <v>2.5409183098027237E-2</v>
      </c>
      <c r="H112" s="1">
        <f>2*bonded!$F$12*bonded!$E$12*(EXP(-bonded!$F$12*bonded!$G$12*A112)-EXP(-2*bonded!$F$12*bonded!$G$12*A112))</f>
        <v>1.6258752590363912E-2</v>
      </c>
      <c r="I112" s="1">
        <f>2*bonded!$F$13*bonded!$E$13*(EXP(-bonded!$F$13*bonded!$G$13*A112)-EXP(-2*bonded!$F$13*bonded!$G$13*A112))</f>
        <v>4.9398401147790719E-2</v>
      </c>
      <c r="J112" s="1">
        <f>pair!$L$42*(pair!$F$42/pair!$G$42)*(pair!$I$42*(pair!$G$42/(pair!$K$42*(A112+1)))^(pair!$I$42+1)-pair!$H$42*(pair!$G$42/(pair!$K$42*(A112+1)))^(pair!$H$42+1))</f>
        <v>4.2067046373423615E-3</v>
      </c>
      <c r="K112" s="1">
        <f>pair!$L$43*(pair!$F$43/pair!$G$43)*(pair!$I$43*(pair!$G$43/(pair!$K$43*(A112+1)))^(pair!$I$43+1)-pair!$H$43*(pair!$G$43/(pair!$K$43*(A112+1)))^(pair!$H$43+1))</f>
        <v>8.4134092746847289E-4</v>
      </c>
      <c r="L112" s="1">
        <f>pair!$L$44*(pair!$F$44/pair!$G$44)*(pair!$I$44*(pair!$G$44/(pair!$K$44*(A112+1)))^(pair!$I$44+1)-pair!$H$44*(pair!$G$44/(pair!$K$44*(A112+1)))^(pair!$H$44+1))</f>
        <v>9.5952462901453893E-4</v>
      </c>
      <c r="M112" s="1">
        <f>pair!$L$45*(pair!$F$45/pair!$G$45)*(pair!$I$45*(pair!$G$45/(pair!$K$45*(A112+1)))^(pair!$I$45+1)-pair!$H$45*(pair!$G$45/(pair!$K$45*(A112+1)))^(pair!$H$45+1))</f>
        <v>2.3370581318568687E-3</v>
      </c>
    </row>
    <row r="113" spans="1:13" x14ac:dyDescent="0.3">
      <c r="A113" s="1">
        <f t="shared" si="1"/>
        <v>0.80000000000000049</v>
      </c>
      <c r="B113" s="1">
        <f>bonded!$E$2*bonded!$F$2*A113</f>
        <v>120.00000000000007</v>
      </c>
      <c r="C113" s="1">
        <f>bonded!$E$3*bonded!$F$3*A113</f>
        <v>60.000000000000036</v>
      </c>
      <c r="D113" s="1">
        <f>bonded!$E$4*bonded!$F$4*A113</f>
        <v>72.000000000000043</v>
      </c>
      <c r="E113" s="1">
        <f>(bonded!$E$7*((bonded!$K$7*(A113+1))/(1-((bonded!$K$7*(A113+1))/bonded!$F$7)^2)))+24*(bonded!$G$7/bonded!$H$7)*((bonded!$H$7/(bonded!$K$7*(A113+1)))^7-2*(bonded!$H$7/(bonded!$K$7*(A113+1)))^13)</f>
        <v>-9.5723664420870485</v>
      </c>
      <c r="F113" s="1">
        <f>2*bonded!$F$10*bonded!$E$10*(EXP(-bonded!$F$10*bonded!$G$10*A113)-EXP(-2*bonded!$F$10*bonded!$G$10*A113))</f>
        <v>5.7843527995079976E-2</v>
      </c>
      <c r="G113" s="1">
        <f>2*bonded!$F$11*bonded!$E$11*(EXP(-bonded!$F$11*bonded!$G$11*A113)-EXP(-2*bonded!$F$11*bonded!$G$11*A113))</f>
        <v>2.4543837684288698E-2</v>
      </c>
      <c r="H113" s="1">
        <f>2*bonded!$F$12*bonded!$E$12*(EXP(-bonded!$F$12*bonded!$G$12*A113)-EXP(-2*bonded!$F$12*bonded!$G$12*A113))</f>
        <v>1.5729521697413457E-2</v>
      </c>
      <c r="I113" s="1">
        <f>2*bonded!$F$13*bonded!$E$13*(EXP(-bonded!$F$13*bonded!$G$13*A113)-EXP(-2*bonded!$F$13*bonded!$G$13*A113))</f>
        <v>4.7639467704976214E-2</v>
      </c>
      <c r="J113" s="1">
        <f>pair!$L$42*(pair!$F$42/pair!$G$42)*(pair!$I$42*(pair!$G$42/(pair!$K$42*(A113+1)))^(pair!$I$42+1)-pair!$H$42*(pair!$G$42/(pair!$K$42*(A113+1)))^(pair!$H$42+1))</f>
        <v>4.0599728494655389E-3</v>
      </c>
      <c r="K113" s="1">
        <f>pair!$L$43*(pair!$F$43/pair!$G$43)*(pair!$I$43*(pair!$G$43/(pair!$K$43*(A113+1)))^(pair!$I$43+1)-pair!$H$43*(pair!$G$43/(pair!$K$43*(A113+1)))^(pair!$H$43+1))</f>
        <v>8.1199456989310853E-4</v>
      </c>
      <c r="L113" s="1">
        <f>pair!$L$44*(pair!$F$44/pair!$G$44)*(pair!$I$44*(pair!$G$44/(pair!$K$44*(A113+1)))^(pair!$I$44+1)-pair!$H$44*(pair!$G$44/(pair!$K$44*(A113+1)))^(pair!$H$44+1))</f>
        <v>9.4836491727209567E-4</v>
      </c>
      <c r="M113" s="1">
        <f>pair!$L$45*(pair!$F$45/pair!$G$45)*(pair!$I$45*(pair!$G$45/(pair!$K$45*(A113+1)))^(pair!$I$45+1)-pair!$H$45*(pair!$G$45/(pair!$K$45*(A113+1)))^(pair!$H$45+1))</f>
        <v>2.2555404719253025E-3</v>
      </c>
    </row>
    <row r="114" spans="1:13" x14ac:dyDescent="0.3">
      <c r="A114" s="1">
        <f t="shared" si="1"/>
        <v>0.8100000000000005</v>
      </c>
      <c r="B114" s="1">
        <f>bonded!$E$2*bonded!$F$2*A114</f>
        <v>121.50000000000007</v>
      </c>
      <c r="C114" s="1">
        <f>bonded!$E$3*bonded!$F$3*A114</f>
        <v>60.750000000000036</v>
      </c>
      <c r="D114" s="1">
        <f>bonded!$E$4*bonded!$F$4*A114</f>
        <v>72.900000000000048</v>
      </c>
      <c r="E114" s="1">
        <f>(bonded!$E$7*((bonded!$K$7*(A114+1))/(1-((bonded!$K$7*(A114+1))/bonded!$F$7)^2)))+24*(bonded!$G$7/bonded!$H$7)*((bonded!$H$7/(bonded!$K$7*(A114+1)))^7-2*(bonded!$H$7/(bonded!$K$7*(A114+1)))^13)</f>
        <v>-8.9658030603903889</v>
      </c>
      <c r="F114" s="1">
        <f>2*bonded!$F$10*bonded!$E$10*(EXP(-bonded!$F$10*bonded!$G$10*A114)-EXP(-2*bonded!$F$10*bonded!$G$10*A114))</f>
        <v>5.5794285549462481E-2</v>
      </c>
      <c r="G114" s="1">
        <f>2*bonded!$F$11*bonded!$E$11*(EXP(-bonded!$F$11*bonded!$G$11*A114)-EXP(-2*bonded!$F$11*bonded!$G$11*A114))</f>
        <v>2.3706075164607203E-2</v>
      </c>
      <c r="H114" s="1">
        <f>2*bonded!$F$12*bonded!$E$12*(EXP(-bonded!$F$12*bonded!$G$12*A114)-EXP(-2*bonded!$F$12*bonded!$G$12*A114))</f>
        <v>1.5216247419612475E-2</v>
      </c>
      <c r="I114" s="1">
        <f>2*bonded!$F$13*bonded!$E$13*(EXP(-bonded!$F$13*bonded!$G$13*A114)-EXP(-2*bonded!$F$13*bonded!$G$13*A114))</f>
        <v>4.5939686763340655E-2</v>
      </c>
      <c r="J114" s="1">
        <f>pair!$L$42*(pair!$F$42/pair!$G$42)*(pair!$I$42*(pair!$G$42/(pair!$K$42*(A114+1)))^(pair!$I$42+1)-pair!$H$42*(pair!$G$42/(pair!$K$42*(A114+1)))^(pair!$H$42+1))</f>
        <v>3.9188587376409005E-3</v>
      </c>
      <c r="K114" s="1">
        <f>pair!$L$43*(pair!$F$43/pair!$G$43)*(pair!$I$43*(pair!$G$43/(pair!$K$43*(A114+1)))^(pair!$I$43+1)-pair!$H$43*(pair!$G$43/(pair!$K$43*(A114+1)))^(pair!$H$43+1))</f>
        <v>7.8377174752818004E-4</v>
      </c>
      <c r="L114" s="1">
        <f>pair!$L$44*(pair!$F$44/pair!$G$44)*(pair!$I$44*(pair!$G$44/(pair!$K$44*(A114+1)))^(pair!$I$44+1)-pair!$H$44*(pair!$G$44/(pair!$K$44*(A114+1)))^(pair!$H$44+1))</f>
        <v>9.3732122497783722E-4</v>
      </c>
      <c r="M114" s="1">
        <f>pair!$L$45*(pair!$F$45/pair!$G$45)*(pair!$I$45*(pair!$G$45/(pair!$K$45*(A114+1)))^(pair!$I$45+1)-pair!$H$45*(pair!$G$45/(pair!$K$45*(A114+1)))^(pair!$H$45+1))</f>
        <v>2.1771437431338347E-3</v>
      </c>
    </row>
    <row r="115" spans="1:13" x14ac:dyDescent="0.3">
      <c r="A115" s="1">
        <f t="shared" si="1"/>
        <v>0.82000000000000051</v>
      </c>
      <c r="B115" s="1">
        <f>bonded!$E$2*bonded!$F$2*A115</f>
        <v>123.00000000000007</v>
      </c>
      <c r="C115" s="1">
        <f>bonded!$E$3*bonded!$F$3*A115</f>
        <v>61.500000000000036</v>
      </c>
      <c r="D115" s="1">
        <f>bonded!$E$4*bonded!$F$4*A115</f>
        <v>73.80000000000004</v>
      </c>
      <c r="E115" s="1">
        <f>(bonded!$E$7*((bonded!$K$7*(A115+1))/(1-((bonded!$K$7*(A115+1))/bonded!$F$7)^2)))+24*(bonded!$G$7/bonded!$H$7)*((bonded!$H$7/(bonded!$K$7*(A115+1)))^7-2*(bonded!$H$7/(bonded!$K$7*(A115+1)))^13)</f>
        <v>-8.4340564159698381</v>
      </c>
      <c r="F115" s="1">
        <f>2*bonded!$F$10*bonded!$E$10*(EXP(-bonded!$F$10*bonded!$G$10*A115)-EXP(-2*bonded!$F$10*bonded!$G$10*A115))</f>
        <v>5.3813701712460735E-2</v>
      </c>
      <c r="G115" s="1">
        <f>2*bonded!$F$11*bonded!$E$11*(EXP(-bonded!$F$11*bonded!$G$11*A115)-EXP(-2*bonded!$F$11*bonded!$G$11*A115))</f>
        <v>2.2895158003074286E-2</v>
      </c>
      <c r="H115" s="1">
        <f>2*bonded!$F$12*bonded!$E$12*(EXP(-bonded!$F$12*bonded!$G$12*A115)-EXP(-2*bonded!$F$12*bonded!$G$12*A115))</f>
        <v>1.4718541191773449E-2</v>
      </c>
      <c r="I115" s="1">
        <f>2*bonded!$F$13*bonded!$E$13*(EXP(-bonded!$F$13*bonded!$G$13*A115)-EXP(-2*bonded!$F$13*bonded!$G$13*A115))</f>
        <v>4.4297338092212743E-2</v>
      </c>
      <c r="J115" s="1">
        <f>pair!$L$42*(pair!$F$42/pair!$G$42)*(pair!$I$42*(pair!$G$42/(pair!$K$42*(A115+1)))^(pair!$I$42+1)-pair!$H$42*(pair!$G$42/(pair!$K$42*(A115+1)))^(pair!$H$42+1))</f>
        <v>3.7831338065035642E-3</v>
      </c>
      <c r="K115" s="1">
        <f>pair!$L$43*(pair!$F$43/pair!$G$43)*(pair!$I$43*(pair!$G$43/(pair!$K$43*(A115+1)))^(pair!$I$43+1)-pair!$H$43*(pair!$G$43/(pair!$K$43*(A115+1)))^(pair!$H$43+1))</f>
        <v>7.5662676130071208E-4</v>
      </c>
      <c r="L115" s="1">
        <f>pair!$L$44*(pair!$F$44/pair!$G$44)*(pair!$I$44*(pair!$G$44/(pair!$K$44*(A115+1)))^(pair!$I$44+1)-pair!$H$44*(pair!$G$44/(pair!$K$44*(A115+1)))^(pair!$H$44+1))</f>
        <v>9.2639458486126563E-4</v>
      </c>
      <c r="M115" s="1">
        <f>pair!$L$45*(pair!$F$45/pair!$G$45)*(pair!$I$45*(pair!$G$45/(pair!$K$45*(A115+1)))^(pair!$I$45+1)-pair!$H$45*(pair!$G$45/(pair!$K$45*(A115+1)))^(pair!$H$45+1))</f>
        <v>2.1017410036130914E-3</v>
      </c>
    </row>
    <row r="116" spans="1:13" x14ac:dyDescent="0.3">
      <c r="A116" s="1">
        <f t="shared" si="1"/>
        <v>0.83000000000000052</v>
      </c>
      <c r="B116" s="1">
        <f>bonded!$E$2*bonded!$F$2*A116</f>
        <v>124.50000000000007</v>
      </c>
      <c r="C116" s="1">
        <f>bonded!$E$3*bonded!$F$3*A116</f>
        <v>62.250000000000036</v>
      </c>
      <c r="D116" s="1">
        <f>bonded!$E$4*bonded!$F$4*A116</f>
        <v>74.700000000000045</v>
      </c>
      <c r="E116" s="1">
        <f>(bonded!$E$7*((bonded!$K$7*(A116+1))/(1-((bonded!$K$7*(A116+1))/bonded!$F$7)^2)))+24*(bonded!$G$7/bonded!$H$7)*((bonded!$H$7/(bonded!$K$7*(A116+1)))^7-2*(bonded!$H$7/(bonded!$K$7*(A116+1)))^13)</f>
        <v>-7.9640729235781391</v>
      </c>
      <c r="F116" s="1">
        <f>2*bonded!$F$10*bonded!$E$10*(EXP(-bonded!$F$10*bonded!$G$10*A116)-EXP(-2*bonded!$F$10*bonded!$G$10*A116))</f>
        <v>5.1899778829437852E-2</v>
      </c>
      <c r="G116" s="1">
        <f>2*bonded!$F$11*bonded!$E$11*(EXP(-bonded!$F$11*bonded!$G$11*A116)-EXP(-2*bonded!$F$11*bonded!$G$11*A116))</f>
        <v>2.2110357024750948E-2</v>
      </c>
      <c r="H116" s="1">
        <f>2*bonded!$F$12*bonded!$E$12*(EXP(-bonded!$F$12*bonded!$G$12*A116)-EXP(-2*bonded!$F$12*bonded!$G$12*A116))</f>
        <v>1.4236016632397579E-2</v>
      </c>
      <c r="I116" s="1">
        <f>2*bonded!$F$13*bonded!$E$13*(EXP(-bonded!$F$13*bonded!$G$13*A116)-EXP(-2*bonded!$F$13*bonded!$G$13*A116))</f>
        <v>4.2710729450064766E-2</v>
      </c>
      <c r="J116" s="1">
        <f>pair!$L$42*(pair!$F$42/pair!$G$42)*(pair!$I$42*(pair!$G$42/(pair!$K$42*(A116+1)))^(pair!$I$42+1)-pair!$H$42*(pair!$G$42/(pair!$K$42*(A116+1)))^(pair!$H$42+1))</f>
        <v>3.6525789875839379E-3</v>
      </c>
      <c r="K116" s="1">
        <f>pair!$L$43*(pair!$F$43/pair!$G$43)*(pair!$I$43*(pair!$G$43/(pair!$K$43*(A116+1)))^(pair!$I$43+1)-pair!$H$43*(pair!$G$43/(pair!$K$43*(A116+1)))^(pair!$H$43+1))</f>
        <v>7.3051579751678758E-4</v>
      </c>
      <c r="L116" s="1">
        <f>pair!$L$44*(pair!$F$44/pair!$G$44)*(pair!$I$44*(pair!$G$44/(pair!$K$44*(A116+1)))^(pair!$I$44+1)-pair!$H$44*(pair!$G$44/(pair!$K$44*(A116+1)))^(pair!$H$44+1))</f>
        <v>9.1558583740782126E-4</v>
      </c>
      <c r="M116" s="1">
        <f>pair!$L$45*(pair!$F$45/pair!$G$45)*(pair!$I$45*(pair!$G$45/(pair!$K$45*(A116+1)))^(pair!$I$45+1)-pair!$H$45*(pair!$G$45/(pair!$K$45*(A116+1)))^(pair!$H$45+1))</f>
        <v>2.0292105486577456E-3</v>
      </c>
    </row>
    <row r="117" spans="1:13" x14ac:dyDescent="0.3">
      <c r="A117" s="1">
        <f t="shared" si="1"/>
        <v>0.84000000000000052</v>
      </c>
      <c r="B117" s="1">
        <f>bonded!$E$2*bonded!$F$2*A117</f>
        <v>126.00000000000009</v>
      </c>
      <c r="C117" s="1">
        <f>bonded!$E$3*bonded!$F$3*A117</f>
        <v>63.000000000000043</v>
      </c>
      <c r="D117" s="1">
        <f>bonded!$E$4*bonded!$F$4*A117</f>
        <v>75.600000000000051</v>
      </c>
      <c r="E117" s="1">
        <f>(bonded!$E$7*((bonded!$K$7*(A117+1))/(1-((bonded!$K$7*(A117+1))/bonded!$F$7)^2)))+24*(bonded!$G$7/bonded!$H$7)*((bonded!$H$7/(bonded!$K$7*(A117+1)))^7-2*(bonded!$H$7/(bonded!$K$7*(A117+1)))^13)</f>
        <v>-7.5456685484957404</v>
      </c>
      <c r="F117" s="1">
        <f>2*bonded!$F$10*bonded!$E$10*(EXP(-bonded!$F$10*bonded!$G$10*A117)-EXP(-2*bonded!$F$10*bonded!$G$10*A117))</f>
        <v>5.0050552780236506E-2</v>
      </c>
      <c r="G117" s="1">
        <f>2*bonded!$F$11*bonded!$E$11*(EXP(-bonded!$F$11*bonded!$G$11*A117)-EXP(-2*bonded!$F$11*bonded!$G$11*A117))</f>
        <v>2.1350952406766065E-2</v>
      </c>
      <c r="H117" s="1">
        <f>2*bonded!$F$12*bonded!$E$12*(EXP(-bonded!$F$12*bonded!$G$12*A117)-EXP(-2*bonded!$F$12*bonded!$G$12*A117))</f>
        <v>1.3768290240219408E-2</v>
      </c>
      <c r="I117" s="1">
        <f>2*bonded!$F$13*bonded!$E$13*(EXP(-bonded!$F$13*bonded!$G$13*A117)-EXP(-2*bonded!$F$13*bonded!$G$13*A117))</f>
        <v>4.1178198216443355E-2</v>
      </c>
      <c r="J117" s="1">
        <f>pair!$L$42*(pair!$F$42/pair!$G$42)*(pair!$I$42*(pair!$G$42/(pair!$K$42*(A117+1)))^(pair!$I$42+1)-pair!$H$42*(pair!$G$42/(pair!$K$42*(A117+1)))^(pair!$H$42+1))</f>
        <v>3.5269842812425418E-3</v>
      </c>
      <c r="K117" s="1">
        <f>pair!$L$43*(pair!$F$43/pair!$G$43)*(pair!$I$43*(pair!$G$43/(pair!$K$43*(A117+1)))^(pair!$I$43+1)-pair!$H$43*(pair!$G$43/(pair!$K$43*(A117+1)))^(pair!$H$43+1))</f>
        <v>7.0539685624850901E-4</v>
      </c>
      <c r="L117" s="1">
        <f>pair!$L$44*(pair!$F$44/pair!$G$44)*(pair!$I$44*(pair!$G$44/(pair!$K$44*(A117+1)))^(pair!$I$44+1)-pair!$H$44*(pair!$G$44/(pair!$K$44*(A117+1)))^(pair!$H$44+1))</f>
        <v>9.0489564493377616E-4</v>
      </c>
      <c r="M117" s="1">
        <f>pair!$L$45*(pair!$F$45/pair!$G$45)*(pair!$I$45*(pair!$G$45/(pair!$K$45*(A117+1)))^(pair!$I$45+1)-pair!$H$45*(pair!$G$45/(pair!$K$45*(A117+1)))^(pair!$H$45+1))</f>
        <v>1.9594357118014136E-3</v>
      </c>
    </row>
    <row r="118" spans="1:13" x14ac:dyDescent="0.3">
      <c r="A118" s="1">
        <f t="shared" si="1"/>
        <v>0.85000000000000053</v>
      </c>
      <c r="B118" s="1">
        <f>bonded!$E$2*bonded!$F$2*A118</f>
        <v>127.50000000000009</v>
      </c>
      <c r="C118" s="1">
        <f>bonded!$E$3*bonded!$F$3*A118</f>
        <v>63.750000000000043</v>
      </c>
      <c r="D118" s="1">
        <f>bonded!$E$4*bonded!$F$4*A118</f>
        <v>76.500000000000043</v>
      </c>
      <c r="E118" s="1">
        <f>(bonded!$E$7*((bonded!$K$7*(A118+1))/(1-((bonded!$K$7*(A118+1))/bonded!$F$7)^2)))+24*(bonded!$G$7/bonded!$H$7)*((bonded!$H$7/(bonded!$K$7*(A118+1)))^7-2*(bonded!$H$7/(bonded!$K$7*(A118+1)))^13)</f>
        <v>-7.1707813998094698</v>
      </c>
      <c r="F118" s="1">
        <f>2*bonded!$F$10*bonded!$E$10*(EXP(-bonded!$F$10*bonded!$G$10*A118)-EXP(-2*bonded!$F$10*bonded!$G$10*A118))</f>
        <v>4.8264094716112135E-2</v>
      </c>
      <c r="G118" s="1">
        <f>2*bonded!$F$11*bonded!$E$11*(EXP(-bonded!$F$11*bonded!$G$11*A118)-EXP(-2*bonded!$F$11*bonded!$G$11*A118))</f>
        <v>2.0616234542071284E-2</v>
      </c>
      <c r="H118" s="1">
        <f>2*bonded!$F$12*bonded!$E$12*(EXP(-bonded!$F$12*bonded!$G$12*A118)-EXP(-2*bonded!$F$12*bonded!$G$12*A118))</f>
        <v>1.3314982013824484E-2</v>
      </c>
      <c r="I118" s="1">
        <f>2*bonded!$F$13*bonded!$E$13*(EXP(-bonded!$F$13*bonded!$G$13*A118)-EXP(-2*bonded!$F$13*bonded!$G$13*A118))</f>
        <v>3.9698112765678625E-2</v>
      </c>
      <c r="J118" s="1">
        <f>pair!$L$42*(pair!$F$42/pair!$G$42)*(pair!$I$42*(pair!$G$42/(pair!$K$42*(A118+1)))^(pair!$I$42+1)-pair!$H$42*(pair!$G$42/(pair!$K$42*(A118+1)))^(pair!$H$42+1))</f>
        <v>3.4061484069924748E-3</v>
      </c>
      <c r="K118" s="1">
        <f>pair!$L$43*(pair!$F$43/pair!$G$43)*(pair!$I$43*(pair!$G$43/(pair!$K$43*(A118+1)))^(pair!$I$43+1)-pair!$H$43*(pair!$G$43/(pair!$K$43*(A118+1)))^(pair!$H$43+1))</f>
        <v>6.8122968139849491E-4</v>
      </c>
      <c r="L118" s="1">
        <f>pair!$L$44*(pair!$F$44/pair!$G$44)*(pair!$I$44*(pair!$G$44/(pair!$K$44*(A118+1)))^(pair!$I$44+1)-pair!$H$44*(pair!$G$44/(pair!$K$44*(A118+1)))^(pair!$H$44+1))</f>
        <v>8.9432450472937326E-4</v>
      </c>
      <c r="M118" s="1">
        <f>pair!$L$45*(pair!$F$45/pair!$G$45)*(pair!$I$45*(pair!$G$45/(pair!$K$45*(A118+1)))^(pair!$I$45+1)-pair!$H$45*(pair!$G$45/(pair!$K$45*(A118+1)))^(pair!$H$45+1))</f>
        <v>1.8923046705513751E-3</v>
      </c>
    </row>
    <row r="119" spans="1:13" x14ac:dyDescent="0.3">
      <c r="A119" s="1">
        <f t="shared" si="1"/>
        <v>0.86000000000000054</v>
      </c>
      <c r="B119" s="1">
        <f>bonded!$E$2*bonded!$F$2*A119</f>
        <v>129.00000000000009</v>
      </c>
      <c r="C119" s="1">
        <f>bonded!$E$3*bonded!$F$3*A119</f>
        <v>64.500000000000043</v>
      </c>
      <c r="D119" s="1">
        <f>bonded!$E$4*bonded!$F$4*A119</f>
        <v>77.400000000000048</v>
      </c>
      <c r="E119" s="1">
        <f>(bonded!$E$7*((bonded!$K$7*(A119+1))/(1-((bonded!$K$7*(A119+1))/bonded!$F$7)^2)))+24*(bonded!$G$7/bonded!$H$7)*((bonded!$H$7/(bonded!$K$7*(A119+1)))^7-2*(bonded!$H$7/(bonded!$K$7*(A119+1)))^13)</f>
        <v>-6.8329463600657121</v>
      </c>
      <c r="F119" s="1">
        <f>2*bonded!$F$10*bonded!$E$10*(EXP(-bonded!$F$10*bonded!$G$10*A119)-EXP(-2*bonded!$F$10*bonded!$G$10*A119))</f>
        <v>4.6538512513780675E-2</v>
      </c>
      <c r="G119" s="1">
        <f>2*bonded!$F$11*bonded!$E$11*(EXP(-bonded!$F$11*bonded!$G$11*A119)-EXP(-2*bonded!$F$11*bonded!$G$11*A119))</f>
        <v>1.9905504786935469E-2</v>
      </c>
      <c r="H119" s="1">
        <f>2*bonded!$F$12*bonded!$E$12*(EXP(-bonded!$F$12*bonded!$G$12*A119)-EXP(-2*bonded!$F$12*bonded!$G$12*A119))</f>
        <v>1.2875716000612047E-2</v>
      </c>
      <c r="I119" s="1">
        <f>2*bonded!$F$13*bonded!$E$13*(EXP(-bonded!$F$13*bonded!$G$13*A119)-EXP(-2*bonded!$F$13*bonded!$G$13*A119))</f>
        <v>3.826887360653581E-2</v>
      </c>
      <c r="J119" s="1">
        <f>pair!$L$42*(pair!$F$42/pair!$G$42)*(pair!$I$42*(pair!$G$42/(pair!$K$42*(A119+1)))^(pair!$I$42+1)-pair!$H$42*(pair!$G$42/(pair!$K$42*(A119+1)))^(pair!$H$42+1))</f>
        <v>3.2898784627681497E-3</v>
      </c>
      <c r="K119" s="1">
        <f>pair!$L$43*(pair!$F$43/pair!$G$43)*(pair!$I$43*(pair!$G$43/(pair!$K$43*(A119+1)))^(pair!$I$43+1)-pair!$H$43*(pair!$G$43/(pair!$K$43*(A119+1)))^(pair!$H$43+1))</f>
        <v>6.5797569255362988E-4</v>
      </c>
      <c r="L119" s="1">
        <f>pair!$L$44*(pair!$F$44/pair!$G$44)*(pair!$I$44*(pair!$G$44/(pair!$K$44*(A119+1)))^(pair!$I$44+1)-pair!$H$44*(pair!$G$44/(pair!$K$44*(A119+1)))^(pair!$H$44+1))</f>
        <v>8.8387276133236299E-4</v>
      </c>
      <c r="M119" s="1">
        <f>pair!$L$45*(pair!$F$45/pair!$G$45)*(pair!$I$45*(pair!$G$45/(pair!$K$45*(A119+1)))^(pair!$I$45+1)-pair!$H$45*(pair!$G$45/(pair!$K$45*(A119+1)))^(pair!$H$45+1))</f>
        <v>1.8277102570934181E-3</v>
      </c>
    </row>
    <row r="120" spans="1:13" x14ac:dyDescent="0.3">
      <c r="A120" s="1">
        <f t="shared" si="1"/>
        <v>0.87000000000000055</v>
      </c>
      <c r="B120" s="1">
        <f>bonded!$E$2*bonded!$F$2*A120</f>
        <v>130.50000000000009</v>
      </c>
      <c r="C120" s="1">
        <f>bonded!$E$3*bonded!$F$3*A120</f>
        <v>65.250000000000043</v>
      </c>
      <c r="D120" s="1">
        <f>bonded!$E$4*bonded!$F$4*A120</f>
        <v>78.300000000000054</v>
      </c>
      <c r="E120" s="1">
        <f>(bonded!$E$7*((bonded!$K$7*(A120+1))/(1-((bonded!$K$7*(A120+1))/bonded!$F$7)^2)))+24*(bonded!$G$7/bonded!$H$7)*((bonded!$H$7/(bonded!$K$7*(A120+1)))^7-2*(bonded!$H$7/(bonded!$K$7*(A120+1)))^13)</f>
        <v>-6.5269184266605409</v>
      </c>
      <c r="F120" s="1">
        <f>2*bonded!$F$10*bonded!$E$10*(EXP(-bonded!$F$10*bonded!$G$10*A120)-EXP(-2*bonded!$F$10*bonded!$G$10*A120))</f>
        <v>4.487195197306227E-2</v>
      </c>
      <c r="G120" s="1">
        <f>2*bonded!$F$11*bonded!$E$11*(EXP(-bonded!$F$11*bonded!$G$11*A120)-EXP(-2*bonded!$F$11*bonded!$G$11*A120))</f>
        <v>1.9218076102402143E-2</v>
      </c>
      <c r="H120" s="1">
        <f>2*bonded!$F$12*bonded!$E$12*(EXP(-bonded!$F$12*bonded!$G$12*A120)-EXP(-2*bonded!$F$12*bonded!$G$12*A120))</f>
        <v>1.2450120780911315E-2</v>
      </c>
      <c r="I120" s="1">
        <f>2*bonded!$F$13*bonded!$E$13*(EXP(-bonded!$F$13*bonded!$G$13*A120)-EXP(-2*bonded!$F$13*bonded!$G$13*A120))</f>
        <v>3.6888914310003525E-2</v>
      </c>
      <c r="J120" s="1">
        <f>pair!$L$42*(pair!$F$42/pair!$G$42)*(pair!$I$42*(pair!$G$42/(pair!$K$42*(A120+1)))^(pair!$I$42+1)-pair!$H$42*(pair!$G$42/(pair!$K$42*(A120+1)))^(pair!$H$42+1))</f>
        <v>3.1779895935631847E-3</v>
      </c>
      <c r="K120" s="1">
        <f>pair!$L$43*(pair!$F$43/pair!$G$43)*(pair!$I$43*(pair!$G$43/(pair!$K$43*(A120+1)))^(pair!$I$43+1)-pair!$H$43*(pair!$G$43/(pair!$K$43*(A120+1)))^(pair!$H$43+1))</f>
        <v>6.3559791871263744E-4</v>
      </c>
      <c r="L120" s="1">
        <f>pair!$L$44*(pair!$F$44/pair!$G$44)*(pair!$I$44*(pair!$G$44/(pair!$K$44*(A120+1)))^(pair!$I$44+1)-pair!$H$44*(pair!$G$44/(pair!$K$44*(A120+1)))^(pair!$H$44+1))</f>
        <v>8.7354061798978555E-4</v>
      </c>
      <c r="M120" s="1">
        <f>pair!$L$45*(pair!$F$45/pair!$G$45)*(pair!$I$45*(pair!$G$45/(pair!$K$45*(A120+1)))^(pair!$I$45+1)-pair!$H$45*(pair!$G$45/(pair!$K$45*(A120+1)))^(pair!$H$45+1))</f>
        <v>1.7655497742017688E-3</v>
      </c>
    </row>
    <row r="121" spans="1:13" x14ac:dyDescent="0.3">
      <c r="A121" s="1">
        <f t="shared" si="1"/>
        <v>0.88000000000000056</v>
      </c>
      <c r="B121" s="1">
        <f>bonded!$E$2*bonded!$F$2*A121</f>
        <v>132.00000000000009</v>
      </c>
      <c r="C121" s="1">
        <f>bonded!$E$3*bonded!$F$3*A121</f>
        <v>66.000000000000043</v>
      </c>
      <c r="D121" s="1">
        <f>bonded!$E$4*bonded!$F$4*A121</f>
        <v>79.200000000000045</v>
      </c>
      <c r="E121" s="1">
        <f>(bonded!$E$7*((bonded!$K$7*(A121+1))/(1-((bonded!$K$7*(A121+1))/bonded!$F$7)^2)))+24*(bonded!$G$7/bonded!$H$7)*((bonded!$H$7/(bonded!$K$7*(A121+1)))^7-2*(bonded!$H$7/(bonded!$K$7*(A121+1)))^13)</f>
        <v>-6.2483978673189169</v>
      </c>
      <c r="F121" s="1">
        <f>2*bonded!$F$10*bonded!$E$10*(EXP(-bonded!$F$10*bonded!$G$10*A121)-EXP(-2*bonded!$F$10*bonded!$G$10*A121))</f>
        <v>4.3262597782450847E-2</v>
      </c>
      <c r="G121" s="1">
        <f>2*bonded!$F$11*bonded!$E$11*(EXP(-bonded!$F$11*bonded!$G$11*A121)-EXP(-2*bonded!$F$11*bonded!$G$11*A121))</f>
        <v>1.8553273599137492E-2</v>
      </c>
      <c r="H121" s="1">
        <f>2*bonded!$F$12*bonded!$E$12*(EXP(-bonded!$F$12*bonded!$G$12*A121)-EXP(-2*bonded!$F$12*bonded!$G$12*A121))</f>
        <v>1.2037829892629078E-2</v>
      </c>
      <c r="I121" s="1">
        <f>2*bonded!$F$13*bonded!$E$13*(EXP(-bonded!$F$13*bonded!$G$13*A121)-EXP(-2*bonded!$F$13*bonded!$G$13*A121))</f>
        <v>3.555670224559352E-2</v>
      </c>
      <c r="J121" s="1">
        <f>pair!$L$42*(pair!$F$42/pair!$G$42)*(pair!$I$42*(pair!$G$42/(pair!$K$42*(A121+1)))^(pair!$I$42+1)-pair!$H$42*(pair!$G$42/(pair!$K$42*(A121+1)))^(pair!$H$42+1))</f>
        <v>3.0703046697434944E-3</v>
      </c>
      <c r="K121" s="1">
        <f>pair!$L$43*(pair!$F$43/pair!$G$43)*(pair!$I$43*(pair!$G$43/(pair!$K$43*(A121+1)))^(pair!$I$43+1)-pair!$H$43*(pair!$G$43/(pair!$K$43*(A121+1)))^(pair!$H$43+1))</f>
        <v>6.1406093394869945E-4</v>
      </c>
      <c r="L121" s="1">
        <f>pair!$L$44*(pair!$F$44/pair!$G$44)*(pair!$I$44*(pair!$G$44/(pair!$K$44*(A121+1)))^(pair!$I$44+1)-pair!$H$44*(pair!$G$44/(pair!$K$44*(A121+1)))^(pair!$H$44+1))</f>
        <v>8.6332814736184702E-4</v>
      </c>
      <c r="M121" s="1">
        <f>pair!$L$45*(pair!$F$45/pair!$G$45)*(pair!$I$45*(pair!$G$45/(pair!$K$45*(A121+1)))^(pair!$I$45+1)-pair!$H$45*(pair!$G$45/(pair!$K$45*(A121+1)))^(pair!$H$45+1))</f>
        <v>1.7057248165241647E-3</v>
      </c>
    </row>
    <row r="122" spans="1:13" x14ac:dyDescent="0.3">
      <c r="A122" s="1">
        <f t="shared" si="1"/>
        <v>0.89000000000000057</v>
      </c>
      <c r="B122" s="1">
        <f>bonded!$E$2*bonded!$F$2*A122</f>
        <v>133.50000000000009</v>
      </c>
      <c r="C122" s="1">
        <f>bonded!$E$3*bonded!$F$3*A122</f>
        <v>66.750000000000043</v>
      </c>
      <c r="D122" s="1">
        <f>bonded!$E$4*bonded!$F$4*A122</f>
        <v>80.100000000000051</v>
      </c>
      <c r="E122" s="1">
        <f>(bonded!$E$7*((bonded!$K$7*(A122+1))/(1-((bonded!$K$7*(A122+1))/bonded!$F$7)^2)))+24*(bonded!$G$7/bonded!$H$7)*((bonded!$H$7/(bonded!$K$7*(A122+1)))^7-2*(bonded!$H$7/(bonded!$K$7*(A122+1)))^13)</f>
        <v>-5.993826465782174</v>
      </c>
      <c r="F122" s="1">
        <f>2*bonded!$F$10*bonded!$E$10*(EXP(-bonded!$F$10*bonded!$G$10*A122)-EXP(-2*bonded!$F$10*bonded!$G$10*A122))</f>
        <v>4.1708674274953408E-2</v>
      </c>
      <c r="G122" s="1">
        <f>2*bonded!$F$11*bonded!$E$11*(EXP(-bonded!$F$11*bonded!$G$11*A122)-EXP(-2*bonded!$F$11*bonded!$G$11*A122))</f>
        <v>1.7910434994359174E-2</v>
      </c>
      <c r="H122" s="1">
        <f>2*bonded!$F$12*bonded!$E$12*(EXP(-bonded!$F$12*bonded!$G$12*A122)-EXP(-2*bonded!$F$12*bonded!$G$12*A122))</f>
        <v>1.1638482201406149E-2</v>
      </c>
      <c r="I122" s="1">
        <f>2*bonded!$F$13*bonded!$E$13*(EXP(-bonded!$F$13*bonded!$G$13*A122)-EXP(-2*bonded!$F$13*bonded!$G$13*A122))</f>
        <v>3.4270739144849321E-2</v>
      </c>
      <c r="J122" s="1">
        <f>pair!$L$42*(pair!$F$42/pair!$G$42)*(pair!$I$42*(pair!$G$42/(pair!$K$42*(A122+1)))^(pair!$I$42+1)-pair!$H$42*(pair!$G$42/(pair!$K$42*(A122+1)))^(pair!$H$42+1))</f>
        <v>2.9666539752417013E-3</v>
      </c>
      <c r="K122" s="1">
        <f>pair!$L$43*(pair!$F$43/pair!$G$43)*(pair!$I$43*(pair!$G$43/(pair!$K$43*(A122+1)))^(pair!$I$43+1)-pair!$H$43*(pair!$G$43/(pair!$K$43*(A122+1)))^(pair!$H$43+1))</f>
        <v>5.933307950483403E-4</v>
      </c>
      <c r="L122" s="1">
        <f>pair!$L$44*(pair!$F$44/pair!$G$44)*(pair!$I$44*(pair!$G$44/(pair!$K$44*(A122+1)))^(pair!$I$44+1)-pair!$H$44*(pair!$G$44/(pair!$K$44*(A122+1)))^(pair!$H$44+1))</f>
        <v>8.5323530151802847E-4</v>
      </c>
      <c r="M122" s="1">
        <f>pair!$L$45*(pair!$F$45/pair!$G$45)*(pair!$I$45*(pair!$G$45/(pair!$K$45*(A122+1)))^(pair!$I$45+1)-pair!$H$45*(pair!$G$45/(pair!$K$45*(A122+1)))^(pair!$H$45+1))</f>
        <v>1.648141097356503E-3</v>
      </c>
    </row>
    <row r="123" spans="1:13" x14ac:dyDescent="0.3">
      <c r="A123" s="1">
        <f t="shared" si="1"/>
        <v>0.90000000000000058</v>
      </c>
      <c r="B123" s="1">
        <f>bonded!$E$2*bonded!$F$2*A123</f>
        <v>135.00000000000009</v>
      </c>
      <c r="C123" s="1">
        <f>bonded!$E$3*bonded!$F$3*A123</f>
        <v>67.500000000000043</v>
      </c>
      <c r="D123" s="1">
        <f>bonded!$E$4*bonded!$F$4*A123</f>
        <v>81.000000000000057</v>
      </c>
      <c r="E123" s="1">
        <f>(bonded!$E$7*((bonded!$K$7*(A123+1))/(1-((bonded!$K$7*(A123+1))/bonded!$F$7)^2)))+24*(bonded!$G$7/bonded!$H$7)*((bonded!$H$7/(bonded!$K$7*(A123+1)))^7-2*(bonded!$H$7/(bonded!$K$7*(A123+1)))^13)</f>
        <v>-5.7602342917806721</v>
      </c>
      <c r="F123" s="1">
        <f>2*bonded!$F$10*bonded!$E$10*(EXP(-bonded!$F$10*bonded!$G$10*A123)-EXP(-2*bonded!$F$10*bonded!$G$10*A123))</f>
        <v>4.020844599470922E-2</v>
      </c>
      <c r="G123" s="1">
        <f>2*bonded!$F$11*bonded!$E$11*(EXP(-bonded!$F$11*bonded!$G$11*A123)-EXP(-2*bonded!$F$11*bonded!$G$11*A123))</f>
        <v>1.7288910988854437E-2</v>
      </c>
      <c r="H123" s="1">
        <f>2*bonded!$F$12*bonded!$E$12*(EXP(-bonded!$F$12*bonded!$G$12*A123)-EXP(-2*bonded!$F$12*bonded!$G$12*A123))</f>
        <v>1.1251722220888523E-2</v>
      </c>
      <c r="I123" s="1">
        <f>2*bonded!$F$13*bonded!$E$13*(EXP(-bonded!$F$13*bonded!$G$13*A123)-EXP(-2*bonded!$F$13*bonded!$G$13*A123))</f>
        <v>3.3029561509213705E-2</v>
      </c>
      <c r="J123" s="1">
        <f>pair!$L$42*(pair!$F$42/pair!$G$42)*(pair!$I$42*(pair!$G$42/(pair!$K$42*(A123+1)))^(pair!$I$42+1)-pair!$H$42*(pair!$G$42/(pair!$K$42*(A123+1)))^(pair!$H$42+1))</f>
        <v>2.8668749057532161E-3</v>
      </c>
      <c r="K123" s="1">
        <f>pair!$L$43*(pair!$F$43/pair!$G$43)*(pair!$I$43*(pair!$G$43/(pair!$K$43*(A123+1)))^(pair!$I$43+1)-pair!$H$43*(pair!$G$43/(pair!$K$43*(A123+1)))^(pair!$H$43+1))</f>
        <v>5.733749811506427E-4</v>
      </c>
      <c r="L123" s="1">
        <f>pair!$L$44*(pair!$F$44/pair!$G$44)*(pair!$I$44*(pair!$G$44/(pair!$K$44*(A123+1)))^(pair!$I$44+1)-pair!$H$44*(pair!$G$44/(pair!$K$44*(A123+1)))^(pair!$H$44+1))</f>
        <v>8.4326192127212954E-4</v>
      </c>
      <c r="M123" s="1">
        <f>pair!$L$45*(pair!$F$45/pair!$G$45)*(pair!$I$45*(pair!$G$45/(pair!$K$45*(A123+1)))^(pair!$I$45+1)-pair!$H$45*(pair!$G$45/(pair!$K$45*(A123+1)))^(pair!$H$45+1))</f>
        <v>1.5927082809740097E-3</v>
      </c>
    </row>
    <row r="124" spans="1:13" x14ac:dyDescent="0.3">
      <c r="A124" s="1"/>
    </row>
    <row r="125" spans="1:13" x14ac:dyDescent="0.3">
      <c r="A125" s="1"/>
    </row>
    <row r="126" spans="1:13" x14ac:dyDescent="0.3">
      <c r="A126" s="1"/>
    </row>
    <row r="127" spans="1:13" x14ac:dyDescent="0.3">
      <c r="A127" s="1"/>
    </row>
    <row r="128" spans="1:13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</sheetData>
  <mergeCells count="2">
    <mergeCell ref="B1:I1"/>
    <mergeCell ref="J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CE8C-ECD7-4F7E-83C5-BBD9AD3EB0DF}">
  <dimension ref="A1:H6"/>
  <sheetViews>
    <sheetView workbookViewId="0">
      <selection activeCell="H2" sqref="H2:H6"/>
    </sheetView>
  </sheetViews>
  <sheetFormatPr defaultRowHeight="14.4" x14ac:dyDescent="0.3"/>
  <cols>
    <col min="1" max="1" width="9.77734375" bestFit="1" customWidth="1"/>
    <col min="2" max="2" width="5.6640625" bestFit="1" customWidth="1"/>
    <col min="3" max="4" width="8.21875" bestFit="1" customWidth="1"/>
    <col min="5" max="5" width="10.5546875" bestFit="1" customWidth="1"/>
    <col min="6" max="6" width="9.5546875" bestFit="1" customWidth="1"/>
    <col min="7" max="7" width="13.5546875" bestFit="1" customWidth="1"/>
  </cols>
  <sheetData>
    <row r="1" spans="1:8" x14ac:dyDescent="0.3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s="1" t="s">
        <v>252</v>
      </c>
    </row>
    <row r="2" spans="1:8" x14ac:dyDescent="0.3">
      <c r="A2" t="s">
        <v>235</v>
      </c>
      <c r="B2" t="s">
        <v>245</v>
      </c>
      <c r="C2" s="18">
        <f>masses!H19*units!B9</f>
        <v>4.1060824934057762E-21</v>
      </c>
      <c r="D2" s="18">
        <f>masses!J19*(10^-9)</f>
        <v>3.0000000000000004E-8</v>
      </c>
      <c r="E2" s="18">
        <f>10^-4</f>
        <v>1E-4</v>
      </c>
      <c r="F2" s="18">
        <f>C2/(3*PI()*D2*E2)</f>
        <v>1.4522296123747196E-10</v>
      </c>
      <c r="G2" s="32">
        <f>F2/(units!$B$10*(10^-9))</f>
        <v>3.3813436010796678E-2</v>
      </c>
      <c r="H2" s="59">
        <f>G2*10</f>
        <v>0.33813436010796677</v>
      </c>
    </row>
    <row r="3" spans="1:8" x14ac:dyDescent="0.3">
      <c r="A3" t="s">
        <v>243</v>
      </c>
      <c r="B3" t="s">
        <v>246</v>
      </c>
      <c r="C3" s="18">
        <f>((masses!H21+masses!H22)/2)*units!B9</f>
        <v>2.2876460000000003E-22</v>
      </c>
      <c r="D3" s="18">
        <f>masses!J21*(10^-9)</f>
        <v>1.2000000000000002E-8</v>
      </c>
      <c r="E3" s="18">
        <f t="shared" ref="E3:E6" si="0">10^-3</f>
        <v>1E-3</v>
      </c>
      <c r="F3" s="18">
        <f t="shared" ref="F3:F6" si="1">C3/(3*PI()*D3*E3)</f>
        <v>2.0227231608022335E-12</v>
      </c>
      <c r="G3" s="32">
        <f>F3/(units!$B$10*(10^-9))</f>
        <v>4.7096698471463662E-4</v>
      </c>
      <c r="H3" s="59">
        <f t="shared" ref="H3:H6" si="2">G3*10</f>
        <v>4.7096698471463666E-3</v>
      </c>
    </row>
    <row r="4" spans="1:8" x14ac:dyDescent="0.3">
      <c r="A4" t="s">
        <v>244</v>
      </c>
      <c r="B4" t="s">
        <v>247</v>
      </c>
      <c r="C4" s="18">
        <f>masses!H23*units!B9</f>
        <v>1.4857000000000001E-20</v>
      </c>
      <c r="D4" s="18">
        <f>masses!J23*(10^-9)</f>
        <v>7.0003571337468225E-8</v>
      </c>
      <c r="E4" s="18">
        <f t="shared" si="0"/>
        <v>1E-3</v>
      </c>
      <c r="F4" s="18">
        <f t="shared" si="1"/>
        <v>2.2518517692165188E-11</v>
      </c>
      <c r="G4" s="32">
        <f>F4/(units!$B$10*(10^-9))</f>
        <v>5.2431685082974929E-3</v>
      </c>
      <c r="H4" s="59">
        <f t="shared" si="2"/>
        <v>5.2431685082974931E-2</v>
      </c>
    </row>
    <row r="5" spans="1:8" x14ac:dyDescent="0.3">
      <c r="A5" t="s">
        <v>114</v>
      </c>
      <c r="B5">
        <v>7</v>
      </c>
      <c r="C5" s="18">
        <f>masses!G25*units!B9</f>
        <v>1.3206960000000001E-20</v>
      </c>
      <c r="D5" s="18">
        <f>masses!J25*(10^-9)</f>
        <v>8.0000000000000005E-9</v>
      </c>
      <c r="E5" s="18">
        <f t="shared" si="0"/>
        <v>1E-3</v>
      </c>
      <c r="F5" s="18">
        <f t="shared" si="1"/>
        <v>1.7516274726807818E-10</v>
      </c>
      <c r="G5" s="32">
        <f>F5/(units!$B$10*(10^-9))</f>
        <v>4.0784558417999231E-2</v>
      </c>
      <c r="H5" s="59">
        <f t="shared" si="2"/>
        <v>0.40784558417999228</v>
      </c>
    </row>
    <row r="6" spans="1:8" x14ac:dyDescent="0.3">
      <c r="A6" t="s">
        <v>115</v>
      </c>
      <c r="B6">
        <v>8</v>
      </c>
      <c r="C6" s="18">
        <f>masses!G26*units!B9</f>
        <v>8.2518600000000001E-21</v>
      </c>
      <c r="D6" s="18">
        <f>masses!J26*(10^-9)</f>
        <v>2.4000000000000003E-8</v>
      </c>
      <c r="E6" s="18">
        <f t="shared" si="0"/>
        <v>1E-3</v>
      </c>
      <c r="F6" s="18">
        <f t="shared" si="1"/>
        <v>3.6481230797285761E-11</v>
      </c>
      <c r="G6" s="32">
        <f>F6/(units!$B$10*(10^-9))</f>
        <v>8.4942198716220097E-3</v>
      </c>
      <c r="H6" s="59">
        <f t="shared" si="2"/>
        <v>8.4942198716220094E-2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header</vt:lpstr>
      <vt:lpstr>masses</vt:lpstr>
      <vt:lpstr>units</vt:lpstr>
      <vt:lpstr>pair</vt:lpstr>
      <vt:lpstr>bonded</vt:lpstr>
      <vt:lpstr>reversible</vt:lpstr>
      <vt:lpstr>force-strain</vt:lpstr>
      <vt:lpstr>langevin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Pranjal Singh</cp:lastModifiedBy>
  <dcterms:created xsi:type="dcterms:W3CDTF">2021-07-14T22:48:55Z</dcterms:created>
  <dcterms:modified xsi:type="dcterms:W3CDTF">2022-04-02T10:38:09Z</dcterms:modified>
</cp:coreProperties>
</file>