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showInkAnnotation="0" updateLinks="always" codeName="ThisWorkbook" autoCompressPictures="0"/>
  <mc:AlternateContent xmlns:mc="http://schemas.openxmlformats.org/markup-compatibility/2006">
    <mc:Choice Requires="x15">
      <x15ac:absPath xmlns:x15ac="http://schemas.microsoft.com/office/spreadsheetml/2010/11/ac" url="C:\Users\mohammed.el-abidi\Downloads\"/>
    </mc:Choice>
  </mc:AlternateContent>
  <xr:revisionPtr revIDLastSave="0" documentId="13_ncr:1_{3CCE19B3-0BD4-466E-B871-A3CEEFF940D4}" xr6:coauthVersionLast="47" xr6:coauthVersionMax="47" xr10:uidLastSave="{00000000-0000-0000-0000-000000000000}"/>
  <bookViews>
    <workbookView xWindow="-28920" yWindow="-120" windowWidth="29040" windowHeight="15720" tabRatio="500" activeTab="15" xr2:uid="{00000000-000D-0000-FFFF-FFFF00000000}"/>
  </bookViews>
  <sheets>
    <sheet name="EAUX" sheetId="1" r:id="rId1"/>
    <sheet name="VBA_BIOF" sheetId="6" state="hidden" r:id="rId2"/>
    <sheet name="BIOF" sheetId="7" state="hidden" r:id="rId3"/>
    <sheet name="VEG" sheetId="8" r:id="rId4"/>
    <sheet name="VBA_POTA" sheetId="11" state="hidden" r:id="rId5"/>
    <sheet name="POTA" sheetId="12" r:id="rId6"/>
    <sheet name="EAP" sheetId="13" r:id="rId7"/>
    <sheet name="SOL" sheetId="15" r:id="rId8"/>
    <sheet name="commentaire sol" sheetId="18" state="hidden" r:id="rId9"/>
    <sheet name="COM_SOL" sheetId="19" state="hidden" r:id="rId10"/>
    <sheet name="BD2" sheetId="20" state="hidden" r:id="rId11"/>
    <sheet name="Calcul (2)" sheetId="21" state="hidden" r:id="rId12"/>
    <sheet name="medtest" sheetId="16" r:id="rId13"/>
    <sheet name="VBA_SOL" sheetId="17" state="hidden" r:id="rId14"/>
    <sheet name="VBA_EAP" sheetId="14" state="hidden" r:id="rId15"/>
    <sheet name="Feuilles commentaire" sheetId="9" r:id="rId16"/>
    <sheet name="VBA_VEG" sheetId="10" state="hidden" r:id="rId17"/>
    <sheet name="Rapport LOGO SEMAC" sheetId="4" state="hidden" r:id="rId18"/>
    <sheet name="VBA2" sheetId="3" state="hidden" r:id="rId19"/>
  </sheets>
  <externalReferences>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s>
  <definedNames>
    <definedName name="_________________NO3">#REF!</definedName>
    <definedName name="________________NH4">#REF!</definedName>
    <definedName name="________________NO2">#REF!</definedName>
    <definedName name="________________SO4">#REF!</definedName>
    <definedName name="__________P1">[1]BD2!#REF!</definedName>
    <definedName name="__________P2">[1]BD2!#REF!</definedName>
    <definedName name="________NNH4">#REF!</definedName>
    <definedName name="________NNO3">#REF!</definedName>
    <definedName name="________SO3">#REF!</definedName>
    <definedName name="_______RNH4">[2]kl!$AN$17</definedName>
    <definedName name="_____RNH4" localSheetId="9">COM_SOL!$AO$17</definedName>
    <definedName name="____k2">#REF!</definedName>
    <definedName name="___CE20">[2]EAPD!$Q$7</definedName>
    <definedName name="___k2" localSheetId="9">COM_SOL!$M$31</definedName>
    <definedName name="___R1">'[2]Commentaire magnésium'!$N$3</definedName>
    <definedName name="_BKP1">[3]Macro!$C$10</definedName>
    <definedName name="_CAC1">[4]Vég!$W$24</definedName>
    <definedName name="_CAM1">[4]Vég!$O$24</definedName>
    <definedName name="_CAS1">[4]Vég!$P$24</definedName>
    <definedName name="_CAV1">#REF!</definedName>
    <definedName name="_KC1">[4]Vég!$W$22</definedName>
    <definedName name="_KM1">[4]Vég!$O$22</definedName>
    <definedName name="_KS1">[4]Vég!$P$22</definedName>
    <definedName name="_KV1">#REF!</definedName>
    <definedName name="_MGC1">[4]Vég!$W$23</definedName>
    <definedName name="_MGM1">[4]Vég!$O$23</definedName>
    <definedName name="_MGS1">[4]Vég!$P$23</definedName>
    <definedName name="_MGV1">#REF!</definedName>
    <definedName name="_NC1">[4]Vég!$W$20</definedName>
    <definedName name="_NO3">#REF!</definedName>
    <definedName name="_PC1">[4]Vég!$W$21</definedName>
    <definedName name="_PM1">[4]Vég!$O$21</definedName>
    <definedName name="_PV1">#REF!</definedName>
    <definedName name="adresse">#REF!</definedName>
    <definedName name="Adresse_Organisme">#REF!</definedName>
    <definedName name="ADRESSE_ORGANISME1">#REF!</definedName>
    <definedName name="Adresse_organismes">#REF!</definedName>
    <definedName name="ADRESSE1">#REF!</definedName>
    <definedName name="ADRESSEs">#REF!</definedName>
    <definedName name="Al">[1]BD2!$AC$101:$AC$101</definedName>
    <definedName name="Alcalinité">#REF!</definedName>
    <definedName name="AMMONIUM">[4]Feuil2!$G$3</definedName>
    <definedName name="Analyse">[2]N0!$R$2</definedName>
    <definedName name="ANALYSE_DEMANDEES_1">#REF!</definedName>
    <definedName name="ANALYSE_DEMANDEES_2">#REF!</definedName>
    <definedName name="ANALYSE_DEMANDEES_3">#REF!</definedName>
    <definedName name="ANALYSE_DEMANDEES_4">#REF!</definedName>
    <definedName name="ANALYSE_DEMANDEES_5">#REF!</definedName>
    <definedName name="Argile">[2]Feuil1!$W$18</definedName>
    <definedName name="Argiles">COM_SOL!$W$18</definedName>
    <definedName name="azote">[2]Fumier!$M$20</definedName>
    <definedName name="AZOTE1">[4]Vég!$M$20</definedName>
    <definedName name="azotee">#REF!</definedName>
    <definedName name="Azotef">#REF!</definedName>
    <definedName name="azotem">[2]Fumier!$O$20</definedName>
    <definedName name="AZOTEM1">[4]Vég!$O$20</definedName>
    <definedName name="azotes">[2]Fumier!$P$20</definedName>
    <definedName name="AZOTES1">[4]Vég!$P$20</definedName>
    <definedName name="azoteval">[2]Fumier!$S$20</definedName>
    <definedName name="AZOTEVAL1">#REF!</definedName>
    <definedName name="B">#REF!</definedName>
    <definedName name="BKP">[2]N0!$C$10</definedName>
    <definedName name="blocK">[2]Feuil1!$F$143</definedName>
    <definedName name="BLOCK1">[3]SOL!$F$143</definedName>
    <definedName name="blocKs">COM_SOL!$F$142</definedName>
    <definedName name="blocMg">[2]Feuil1!$F$148</definedName>
    <definedName name="BLOCMG1">[3]SOL!$F$148</definedName>
    <definedName name="blocMgs">COM_SOL!$F$148</definedName>
    <definedName name="BlocOligo">[2]Feuil1!$D$318</definedName>
    <definedName name="BLOCOLIGO1">'[3]commentaire sol'!$D$318</definedName>
    <definedName name="blocoligos">'commentaire sol'!$D$318</definedName>
    <definedName name="blocP">[2]Feuil1!$F$137</definedName>
    <definedName name="BLOCP1">[3]SOL!$F$137</definedName>
    <definedName name="blocPs">COM_SOL!$F$135</definedName>
    <definedName name="BORE1">[5]BD2!#REF!</definedName>
    <definedName name="Ca" localSheetId="17">'Rapport LOGO SEMAC'!$D$26</definedName>
    <definedName name="Ca">EAUX!$D$27</definedName>
    <definedName name="Ca_CEC">[2]Feuil1!$T$52</definedName>
    <definedName name="Ca_CEC1">#REF!</definedName>
    <definedName name="Ca_CECs">COM_SOL!$T$52</definedName>
    <definedName name="Ca_ech" localSheetId="9">[5]BD2!$AJ$101:$AJ$101</definedName>
    <definedName name="Ca_ech">[1]BD2!$AJ$101:$AJ$101</definedName>
    <definedName name="Ca_éch.">[1]BD2!#REF!</definedName>
    <definedName name="Ca_Morgan">'[2]Commentaire magnésium'!$U$2</definedName>
    <definedName name="Ca_Opt_Inf" localSheetId="9">COM_SOL!$AK$20</definedName>
    <definedName name="Ca_Opt_Inf">[2]kl!$AJ$20</definedName>
    <definedName name="Ca_Opt_Sup" localSheetId="9">COM_SOL!#REF!</definedName>
    <definedName name="Ca_Opt_Sup">[2]kl!$AJ$21</definedName>
    <definedName name="Ca_sur_CEC">[2]Feuil1!$J$52</definedName>
    <definedName name="Ca_sur_CECs">COM_SOL!$J$52</definedName>
    <definedName name="CAA">[3]SOL!$S$50</definedName>
    <definedName name="Cac">[2]Fumier!$W$24</definedName>
    <definedName name="CAct">#REF!</definedName>
    <definedName name="CActif">[2]Feuil1!$S$50</definedName>
    <definedName name="CActifs">COM_SOL!$S$50</definedName>
    <definedName name="CActii">[2]Feuil1!$T$50</definedName>
    <definedName name="Cactiis">COM_SOL!$T$50</definedName>
    <definedName name="Cae">#REF!</definedName>
    <definedName name="Caf">#REF!</definedName>
    <definedName name="calcairetot">[2]Feuil1!$W$44</definedName>
    <definedName name="calcairetots">COM_SOL!$W$44</definedName>
    <definedName name="CALCIUM">[4]Feuil2!$K$3</definedName>
    <definedName name="CALCIUM1">[4]Vég!$M$24</definedName>
    <definedName name="Cam">[2]Fumier!$O$24</definedName>
    <definedName name="Cas">[2]Fumier!$P$24</definedName>
    <definedName name="CAss">COM_SOL!$S$50</definedName>
    <definedName name="CasurCEC" localSheetId="9">COM_SOL!$AK$19</definedName>
    <definedName name="CasurCEC">[2]kl!$AJ$19</definedName>
    <definedName name="CasurK">[2]Feuil1!$X$58</definedName>
    <definedName name="CasurKs">COM_SOL!$X$58</definedName>
    <definedName name="CasurMg">[2]Feuil1!$X$63</definedName>
    <definedName name="CasurMgm">[2]Fumier!$R$50</definedName>
    <definedName name="CASURMGM1">[4]Vég!$R$50</definedName>
    <definedName name="CasurMgs">COM_SOL!$X$63</definedName>
    <definedName name="CasurPm">[2]Fumier!$R$46</definedName>
    <definedName name="CASURPM1">[4]Vég!$R$46</definedName>
    <definedName name="Cav">[2]Fumier!$S$24</definedName>
    <definedName name="Ccorrection">[2]Feuil1!$N$26</definedName>
    <definedName name="Ccorrections">COM_SOL!$N$26</definedName>
    <definedName name="Cd">#REF!</definedName>
    <definedName name="cdt">[4]Feuil2!$C$3</definedName>
    <definedName name="CE" localSheetId="9">COM_SOL!$P$16</definedName>
    <definedName name="ce">#REF!</definedName>
    <definedName name="CEC" localSheetId="9">COM_SOL!$S$54</definedName>
    <definedName name="CEC" localSheetId="7">SOL!#REF!</definedName>
    <definedName name="CEC">#REF!</definedName>
    <definedName name="CEi">#REF!</definedName>
    <definedName name="CEsol">[2]Feuil1!$J$73</definedName>
    <definedName name="CEsols">COM_SOL!$J$73</definedName>
    <definedName name="Chemin">[2]N0!$AA$4</definedName>
    <definedName name="Chimique">#REF!</definedName>
    <definedName name="CHLORURE">[4]Feuil2!$I$3</definedName>
    <definedName name="Cl">#REF!</definedName>
    <definedName name="Commaentaireblocks">'commentaire sol'!$D$231</definedName>
    <definedName name="Commentaireacidebase">[2]Feuil1!$D$113</definedName>
    <definedName name="Commentaireacidebases">'commentaire sol'!$D$113</definedName>
    <definedName name="Commentaireazote">#REF!</definedName>
    <definedName name="commentaireazoteMO">[2]Feuil1!$D$383</definedName>
    <definedName name="commentaireazoteMOs">'commentaire sol'!$D$383</definedName>
    <definedName name="CommentaireblocK">[2]Feuil1!$D$231</definedName>
    <definedName name="commentaireblocMg2">'commentaire sol'!$D$288</definedName>
    <definedName name="commentaireblocOligo">[2]Feuil1!$D$325</definedName>
    <definedName name="commentaireblocoligos">'commentaire sol'!$D$325</definedName>
    <definedName name="CommentaireblocP">[2]Feuil1!$D$164</definedName>
    <definedName name="CommentaireblocPs">'commentaire sol'!$D$164</definedName>
    <definedName name="commentairecalcaire">[2]Feuil1!$D$67</definedName>
    <definedName name="commentairecalcaires">'commentaire sol'!$D$67</definedName>
    <definedName name="commentairemagnésium">#REF!</definedName>
    <definedName name="commentaireMO">'commentaire sol'!$D$311</definedName>
    <definedName name="commentairepH">[2]Feuil1!$D$79</definedName>
    <definedName name="commentaireph2">'commentaire sol'!$D$93</definedName>
    <definedName name="commentairephosphore">#REF!</definedName>
    <definedName name="commentairepHs">'commentaire sol'!$D$79</definedName>
    <definedName name="commentairepotassium">#REF!</definedName>
    <definedName name="commentaireResrvK">[2]Feuil1!$D$211</definedName>
    <definedName name="CommentaireResrvKs">'commentaire sol'!$D$211</definedName>
    <definedName name="commentaireResv">[2]Feuil1!$D$148</definedName>
    <definedName name="commentaireResvs">'commentaire sol'!$D$148</definedName>
    <definedName name="CommentairerscblocMg">'commentaire sol'!$D$269</definedName>
    <definedName name="commentairesalinité">[2]Feuil1!$D$332</definedName>
    <definedName name="commentairesalinités">'commentaire sol'!$D$332</definedName>
    <definedName name="Commentairetexture">'commentaire sol'!$D$24</definedName>
    <definedName name="Commentairetexture2">'commentaire sol'!$D$43</definedName>
    <definedName name="commfractP">[2]Feuil1!$D$170</definedName>
    <definedName name="commfractPs">'commentaire sol'!$D$170</definedName>
    <definedName name="commune">#REF!</definedName>
    <definedName name="Commune_Ech">#REF!</definedName>
    <definedName name="Comp_Adr_Orga">#REF!</definedName>
    <definedName name="Corr_P2O5_pH">'[2]Commentaire magnésium'!$S$2</definedName>
    <definedName name="COT">#REF!</definedName>
    <definedName name="CP_BD">#REF!</definedName>
    <definedName name="CP_BD_Orga">#REF!</definedName>
    <definedName name="Cr">#REF!</definedName>
    <definedName name="cr_air">[1]BD2!#REF!</definedName>
    <definedName name="cr_air_Mo">[1]BD2!#REF!</definedName>
    <definedName name="CRAir">#REF!</definedName>
    <definedName name="Création_Bulletin_2">[2]N0!$B$11</definedName>
    <definedName name="CRH2OàpF1.0">#REF!</definedName>
    <definedName name="CRH2OVol" localSheetId="9">COM_SOL!#REF!</definedName>
    <definedName name="CRH2OVol">[2]kl!$G$27</definedName>
    <definedName name="CsurN">[2]Feuil1!$D$39</definedName>
    <definedName name="CsurNs">COM_SOL!$D$39</definedName>
    <definedName name="CT" localSheetId="9">COM_SOL!$S$48</definedName>
    <definedName name="CT">#REF!</definedName>
    <definedName name="Cu">#REF!</definedName>
    <definedName name="Cue">[4]Feuil2!$AA$3</definedName>
    <definedName name="culture">#REF!</definedName>
    <definedName name="DA_Cr">[1]BD2!#REF!</definedName>
    <definedName name="Date">#REF!</definedName>
    <definedName name="date_envoi">#REF!</definedName>
    <definedName name="DATE_PREL">#REF!</definedName>
    <definedName name="date_prél">#REF!</definedName>
    <definedName name="Date_Rec">#REF!</definedName>
    <definedName name="date_récept">#REF!</definedName>
    <definedName name="Date1">[6]BD1!#REF!</definedName>
    <definedName name="DéficitK2O">[2]Feuil1!$F$144</definedName>
    <definedName name="DéficitK2Os">COM_SOL!$F$143</definedName>
    <definedName name="DéficitMgO">[2]Feuil1!$F$149</definedName>
    <definedName name="déficitMgOs">COM_SOL!$F$149</definedName>
    <definedName name="DéficitP2O5">#REF!</definedName>
    <definedName name="DéfP">[2]Feuil1!$AK$58</definedName>
    <definedName name="DéfPs">COM_SOL!$AK$58</definedName>
    <definedName name="Degré_Bé_acide_nitrique">#REF!</definedName>
    <definedName name="Dept_éch">#REF!</definedName>
    <definedName name="dernier_numéro">[2]N0!$C$6</definedName>
    <definedName name="DOSSIER">#REF!</definedName>
    <definedName name="Dureté">#REF!</definedName>
    <definedName name="EAOsaturée">[7]BD2!$AJ$101:$AJ$101</definedName>
    <definedName name="EAP">'[2]norme foliaire'!#REF!</definedName>
    <definedName name="eau_a_pF1">#REF!</definedName>
    <definedName name="eau_a_pF1.5">#REF!</definedName>
    <definedName name="eau_a_pF1.7">#REF!</definedName>
    <definedName name="eau_a_pF2">#REF!</definedName>
    <definedName name="EC">#REF!</definedName>
    <definedName name="ECARTKM1">[4]Vég!$R$44</definedName>
    <definedName name="ecartmaxCa">[2]Fumier!$X$24</definedName>
    <definedName name="ECARTMAXCA1">[4]Vég!$X$24</definedName>
    <definedName name="ecartmaxK">[2]Fumier!$X$22</definedName>
    <definedName name="ECARTMAXK1">[4]Vég!$X$22</definedName>
    <definedName name="ecartmaxMg">[2]Fumier!$X$23</definedName>
    <definedName name="ECARTMAXMG1">[4]Vég!$X$23</definedName>
    <definedName name="ecartmaxN">[2]Fumier!$X$20</definedName>
    <definedName name="ECARTMAXN1">[4]Vég!$X$20</definedName>
    <definedName name="ecartmaxP">[2]Fumier!$X$21</definedName>
    <definedName name="ECARTMAXP1">[4]Vég!$X$21</definedName>
    <definedName name="ecartminCa">[2]Fumier!$V$24</definedName>
    <definedName name="ECARTMINCA1">[4]Vég!$V$24</definedName>
    <definedName name="ecartminK">[2]Fumier!$V$22</definedName>
    <definedName name="ECARTMINK1">[4]Vég!$V$22</definedName>
    <definedName name="ecartminMg">[2]Fumier!$V$23</definedName>
    <definedName name="ECARTMINMG1">[4]Vég!$V$23</definedName>
    <definedName name="ecartminN">[2]Fumier!$V$20</definedName>
    <definedName name="ECARTMINN1">[4]Vég!$V$20</definedName>
    <definedName name="ecartminP">[2]Fumier!$V$21</definedName>
    <definedName name="ECARTMINP1">[4]Vég!$V$21</definedName>
    <definedName name="EEE">[4]PO!#REF!</definedName>
    <definedName name="exploitant">[2]Feuil1!$C$3</definedName>
    <definedName name="exploitants">COM_SOL!$C$3</definedName>
    <definedName name="Fe">#REF!</definedName>
    <definedName name="FER">[4]Feuil2!$L$3</definedName>
    <definedName name="Fichier">[2]N0!$AA$6</definedName>
    <definedName name="Formules">[3]SOL!$H$210:$K$262</definedName>
    <definedName name="Grile_EAV_NEUT">[1]BD2!$AT$2:$AZ$66</definedName>
    <definedName name="Grille_COFRAC">[1]BD2!$BE$2:$BK$66</definedName>
    <definedName name="Grille_EAP_Chim">[1]BD2!$A$2:$G$54</definedName>
    <definedName name="Grille_Eaux">[1]BD2!$BO$2:$BU$52</definedName>
    <definedName name="Grille_EAV_Chim">[1]BD2!$A$2:$G$53</definedName>
    <definedName name="Grille_EAV_NEUT">[1]BD2!$AT$2:$AZ$37</definedName>
    <definedName name="Grille_EAV_Phys">[1]BD2!$I$2:$O$51</definedName>
    <definedName name="Grille_Général">#REF!</definedName>
    <definedName name="Grille_PO_Tot">[1]BD2!$Q$2:$W$66</definedName>
    <definedName name="Grille_Sols">[1]BD2!$BW$2:$CC$60</definedName>
    <definedName name="Grille_Végétaux">[1]BD2!$CE$2:$CK$29</definedName>
    <definedName name="Groupe_à_lister">[2]N0!$C$4</definedName>
    <definedName name="Groupe_de_Plages">[2]N0!$C$8</definedName>
    <definedName name="Groupe_initial">[2]N0!$C$9</definedName>
    <definedName name="Groupe_num">[2]N0!$C$7</definedName>
    <definedName name="H">[1]BD2!$AO$101:$AO$101</definedName>
    <definedName name="HDT">[4]PO!#REF!</definedName>
    <definedName name="Hdté">#REF!</definedName>
    <definedName name="Hg">#REF!</definedName>
    <definedName name="Ie">#REF!</definedName>
    <definedName name="Impression_1">[2]N0!$E$53</definedName>
    <definedName name="Interp">[2]N0!$C$3</definedName>
    <definedName name="Interprétation">#REF!</definedName>
    <definedName name="IP">[2]Feuil1!$M$24</definedName>
    <definedName name="IPs">COM_SOL!$M$24</definedName>
    <definedName name="K">#REF!</definedName>
    <definedName name="K_CEC">[2]Feuil1!$J$59</definedName>
    <definedName name="K_CECs">COM_SOL!$J$59</definedName>
    <definedName name="K_ech" localSheetId="9">[5]BD2!$AM$101:$AM$101</definedName>
    <definedName name="K_ech">[1]BD2!$AM$101:$AM$101</definedName>
    <definedName name="K_éch.">[1]BD2!#REF!</definedName>
    <definedName name="K_Mg">[2]Fumier!$N$48</definedName>
    <definedName name="k_Mg1">[4]Vég!$N$48</definedName>
    <definedName name="k_min">#REF!</definedName>
    <definedName name="K_Opt_Inf" localSheetId="9">COM_SOL!$AN$20</definedName>
    <definedName name="K_Opt_Inf">[2]kl!$AM$20</definedName>
    <definedName name="K_Opt_Sup" localSheetId="9">COM_SOL!#REF!</definedName>
    <definedName name="K_Opt_Sup">[2]kl!$AM$21</definedName>
    <definedName name="KA">#REF!</definedName>
    <definedName name="Kc">[2]Fumier!$W$22</definedName>
    <definedName name="KCaMgm">[2]Fumier!$R$41</definedName>
    <definedName name="KCAMGM1">[4]Vég!$R$41</definedName>
    <definedName name="KCaMgMax">#REF!</definedName>
    <definedName name="KCaMgmin">#REF!</definedName>
    <definedName name="Ke">[4]Feuil2!$R$3</definedName>
    <definedName name="Kf">#REF!</definedName>
    <definedName name="Kinf">[2]Feuil1!$O$61</definedName>
    <definedName name="Kinfs">COM_SOL!$O$61</definedName>
    <definedName name="Km">[2]Fumier!$O$22</definedName>
    <definedName name="Ks">[2]Fumier!$P$22</definedName>
    <definedName name="Ksinf">[2]Feuil1!$U$59</definedName>
    <definedName name="Ksinfs">COM_SOL!$U$59</definedName>
    <definedName name="Ksol">[2]Feuil1!$Z$61</definedName>
    <definedName name="Ksols" localSheetId="11">[8]Rapport!#REF!</definedName>
    <definedName name="Ksols">SOL!#REF!</definedName>
    <definedName name="KsSUP">[2]Feuil1!$V$59</definedName>
    <definedName name="KsSUPs">COM_SOL!$V$59</definedName>
    <definedName name="Ksup">[2]Feuil1!$P$61</definedName>
    <definedName name="Ksups">COM_SOL!$P$61</definedName>
    <definedName name="KsurCa">[2]Fumier!$N$49</definedName>
    <definedName name="KSURCA1">[4]Vég!$N$49</definedName>
    <definedName name="KsurCam">[2]Fumier!$R$49</definedName>
    <definedName name="KSURCAM1">[4]Vég!$R$49</definedName>
    <definedName name="KsurCEC" localSheetId="9">COM_SOL!$AN$19</definedName>
    <definedName name="KsurCEC">[2]kl!$AM$19</definedName>
    <definedName name="KsurMgm">[2]Fumier!$R$48</definedName>
    <definedName name="KSURMGM1">[4]Vég!$R$48</definedName>
    <definedName name="KsurMgsol">[2]Feuil1!$J$63</definedName>
    <definedName name="KsurMgsols">COM_SOL!$J$63</definedName>
    <definedName name="Kv">[2]Fumier!$S$22</definedName>
    <definedName name="lien">[4]Chimie_Eau!$B$165</definedName>
    <definedName name="Limon">[2]Feuil1!$O$24</definedName>
    <definedName name="Limons">[2]Feuil1!$Q$3</definedName>
    <definedName name="Limonss">COM_SOL!$O$24</definedName>
    <definedName name="M_S">[1]BD2!#REF!</definedName>
    <definedName name="magasin">#REF!</definedName>
    <definedName name="MAGNESIUM">[4]Feuil2!$J$3</definedName>
    <definedName name="Magnésium">[2]Fumier!$M$23</definedName>
    <definedName name="Magnésium1">[4]Vég!$M$23</definedName>
    <definedName name="ME">[4]PO!#REF!</definedName>
    <definedName name="MENU">[2]N0!$C$12</definedName>
    <definedName name="Menu_choisi">[2]N0!$C$18</definedName>
    <definedName name="Méthode_Volume">#REF!</definedName>
    <definedName name="Mg" localSheetId="17">'Rapport LOGO SEMAC'!$D$27</definedName>
    <definedName name="Mg">EAUX!$D$28</definedName>
    <definedName name="Mg_CEC">[2]Feuil1!$J$61</definedName>
    <definedName name="Mg_CECs">COM_SOL!$J$61</definedName>
    <definedName name="Mg_ech" localSheetId="9">[5]BD2!$AL$1:$AL$101</definedName>
    <definedName name="Mg_ech">[1]BD2!$AL$1:$AL$101</definedName>
    <definedName name="Mg_éch.">[1]BD2!#REF!</definedName>
    <definedName name="Mg_Opt_Inf" localSheetId="9">COM_SOL!$AM$20</definedName>
    <definedName name="Mg_Opt_Inf">[2]kl!$AL$20</definedName>
    <definedName name="Mg_Opt_Sup" localSheetId="9">COM_SOL!#REF!</definedName>
    <definedName name="Mg_Opt_Sup">[2]kl!$AL$21</definedName>
    <definedName name="Mgc">[2]Fumier!$W$23</definedName>
    <definedName name="Mge">#REF!</definedName>
    <definedName name="Mgf">#REF!</definedName>
    <definedName name="Mginf">[2]Feuil1!$O$63</definedName>
    <definedName name="Mginfs">COM_SOL!$O$63</definedName>
    <definedName name="Mgm">[2]Fumier!$O$23</definedName>
    <definedName name="Mgs">[2]Fumier!$P$23</definedName>
    <definedName name="Mgsinf">#REF!</definedName>
    <definedName name="Mgsol">[2]Feuil1!$Z$63</definedName>
    <definedName name="Mgsols" localSheetId="11">[8]Rapport!#REF!</definedName>
    <definedName name="Mgsols">SOL!#REF!</definedName>
    <definedName name="Mgssup">[2]Feuil1!$V$61</definedName>
    <definedName name="Mgssups">COM_SOL!$V$61</definedName>
    <definedName name="Mgsup">[2]Feuil1!$P$63</definedName>
    <definedName name="Mgsups">COM_SOL!$P$63</definedName>
    <definedName name="MgsurCEC" localSheetId="9">COM_SOL!$AM$19</definedName>
    <definedName name="MgsurCEC">[2]kl!$AL$19</definedName>
    <definedName name="MgsurK">[2]Feuil1!$X$59</definedName>
    <definedName name="MgsurKs">COM_SOL!$X$59</definedName>
    <definedName name="Mgv">[2]Fumier!$S$23</definedName>
    <definedName name="MMV">[4]PO!#REF!</definedName>
    <definedName name="Mn">#REF!</definedName>
    <definedName name="MO" localSheetId="9">COM_SOL!$R$26</definedName>
    <definedName name="MO">#REF!</definedName>
    <definedName name="Mo_ass">[1]BD2!$AD$101:$AD$101</definedName>
    <definedName name="MO_Sol">[2]Feuil1!$R$26</definedName>
    <definedName name="Mode_Irrigation">#REF!</definedName>
    <definedName name="MOinf">[2]Feuil1!$O$33</definedName>
    <definedName name="MOinfs">COM_SOL!$O$33</definedName>
    <definedName name="MOseche">#REF!</definedName>
    <definedName name="MOsol">[2]Feuil1!$T$34</definedName>
    <definedName name="MOsols" localSheetId="11">[8]Rapport!#REF!</definedName>
    <definedName name="MOsols">SOL!#REF!</definedName>
    <definedName name="MOsup">[2]Feuil1!$P$33</definedName>
    <definedName name="MOsups">COM_SOL!$P$33</definedName>
    <definedName name="MS" localSheetId="9">COM_SOL!$G$20</definedName>
    <definedName name="MS">[4]PO!#REF!</definedName>
    <definedName name="MSURPM1">[4]Vég!$R$43</definedName>
    <definedName name="MV">#REF!</definedName>
    <definedName name="MV_Bas">#REF!</definedName>
    <definedName name="MV_Haut">#REF!</definedName>
    <definedName name="MV_Milieu">#REF!</definedName>
    <definedName name="MV_MOY">#REF!</definedName>
    <definedName name="Mva" localSheetId="9">COM_SOL!#REF!</definedName>
    <definedName name="Mva">#REF!</definedName>
    <definedName name="Mva_brut" localSheetId="9">COM_SOL!#REF!</definedName>
    <definedName name="MVPO">[4]PO!#REF!</definedName>
    <definedName name="Mvr" localSheetId="9">COM_SOL!#REF!</definedName>
    <definedName name="Mvr">#REF!</definedName>
    <definedName name="N">#REF!</definedName>
    <definedName name="N__Echant">#REF!</definedName>
    <definedName name="N_MO">[2]Feuil1!$N$36</definedName>
    <definedName name="N_MOs">COM_SOL!$N$36</definedName>
    <definedName name="N_NH4">[1]BD2!#REF!</definedName>
    <definedName name="N_NH4AO_du_sec">'[9]AMENDEMENTS et COMPOSTS'!$L$35</definedName>
    <definedName name="N_NO3">[1]BD2!#REF!</definedName>
    <definedName name="N_tot">[1]BD2!#REF!</definedName>
    <definedName name="Na" localSheetId="17">'Rapport LOGO SEMAC'!$A$29</definedName>
    <definedName name="Na">EAUX!$A$30</definedName>
    <definedName name="Na_ech" localSheetId="9">[5]BD2!$AK$1:$AK$101</definedName>
    <definedName name="Na_ech">[1]BD2!$AK$1:$AK$101</definedName>
    <definedName name="Na_éch.">[1]BD2!#REF!</definedName>
    <definedName name="Na_Opt_Inf" localSheetId="9">COM_SOL!$AL$20</definedName>
    <definedName name="Na_Opt_Inf">[2]kl!$AK$20</definedName>
    <definedName name="Na_Opt_Sup" localSheetId="9">COM_SOL!#REF!</definedName>
    <definedName name="Na_Opt_Sup">[2]kl!$AK$21</definedName>
    <definedName name="NaSAR" localSheetId="17">'Rapport LOGO SEMAC'!$D$29</definedName>
    <definedName name="NaSAR">EAUX!$D$30</definedName>
    <definedName name="NasurCEC" localSheetId="9">COM_SOL!$AL$19</definedName>
    <definedName name="NasurCEC">[2]kl!$AK$19</definedName>
    <definedName name="natur_échant">#REF!</definedName>
    <definedName name="Nature_Echantillon">#REF!</definedName>
    <definedName name="Nb_menu_excel">[2]N0!$C$26</definedName>
    <definedName name="Nc">[2]Fumier!$W$20</definedName>
    <definedName name="NDT">#REF!</definedName>
    <definedName name="Nf">#REF!</definedName>
    <definedName name="NG">#REF!</definedName>
    <definedName name="NH4_ech" localSheetId="9">[5]BD2!$AN$101:$AN$101</definedName>
    <definedName name="NH4_ech">[1]BD2!$AN$101:$AN$101</definedName>
    <definedName name="NH4_éch.">[1]BD2!#REF!</definedName>
    <definedName name="NH4_Opt_Inf" localSheetId="9">COM_SOL!$AO$20</definedName>
    <definedName name="NH4_Opt_Inf">[2]kl!$AN$20</definedName>
    <definedName name="NH4_Opt_Sup" localSheetId="9">COM_SOL!#REF!</definedName>
    <definedName name="NH4_Opt_Sup">[2]kl!$AN$21</definedName>
    <definedName name="NH4surCEC" localSheetId="9">COM_SOL!$AO$19</definedName>
    <definedName name="NH4surCEC">[2]kl!$AN$19</definedName>
    <definedName name="Ni">#REF!</definedName>
    <definedName name="NITRATE">[4]Feuil2!$E$3</definedName>
    <definedName name="NITRITE">[4]Feuil2!$F$3</definedName>
    <definedName name="Niv_K_Sol">[2]Feuil1!$R$61</definedName>
    <definedName name="Niv_Mg_Sol">[2]Feuil1!$R$63</definedName>
    <definedName name="Niv_MO_Sol">#REF!</definedName>
    <definedName name="Niv_N_Sol">[2]Feuil1!$R$36</definedName>
    <definedName name="Niv_P_Sol">[2]Feuil1!$R$59</definedName>
    <definedName name="nlabo">#REF!</definedName>
    <definedName name="Nmin_vol" localSheetId="9">COM_SOL!#REF!</definedName>
    <definedName name="NO">#REF!</definedName>
    <definedName name="nom">#REF!</definedName>
    <definedName name="Nom_du_fichier">[2]N0!$AA$2</definedName>
    <definedName name="Nom_Fichier">[2]N0!$C$11</definedName>
    <definedName name="Norme">[2]Fumier!$H$17</definedName>
    <definedName name="NORME1">[4]Vég!$H$17</definedName>
    <definedName name="NplusPm">#REF!</definedName>
    <definedName name="NplusPmax">#REF!</definedName>
    <definedName name="NplusPmin">#REF!</definedName>
    <definedName name="NsurCa">[2]Fumier!$N$45</definedName>
    <definedName name="NSURCA1">[4]Vég!$N$45</definedName>
    <definedName name="NsurCam">[2]Fumier!$R$45</definedName>
    <definedName name="NSURCAM1">[4]Vég!$R$45</definedName>
    <definedName name="NsurK">[2]Fumier!$N$44</definedName>
    <definedName name="NSURK1">[4]Vég!$N$44</definedName>
    <definedName name="NsurKm">[2]Fumier!$R$44</definedName>
    <definedName name="NsurP">[2]Fumier!$N$43</definedName>
    <definedName name="NSURP1">[4]Vég!$N$43</definedName>
    <definedName name="NsurPm">[2]Fumier!$R$43</definedName>
    <definedName name="NT" localSheetId="9">COM_SOL!$R$24</definedName>
    <definedName name="NT">#REF!</definedName>
    <definedName name="NTD">#REF!</definedName>
    <definedName name="NTK">#REF!</definedName>
    <definedName name="Ntot" localSheetId="9">COM_SOL!$F$28</definedName>
    <definedName name="numlab">#REF!</definedName>
    <definedName name="Nvol" localSheetId="9">COM_SOL!#REF!</definedName>
    <definedName name="ORGANISME">#REF!</definedName>
    <definedName name="OXYDABILITE">[4]Feuil2!$P$3</definedName>
    <definedName name="Oxydabilité">#REF!</definedName>
    <definedName name="P">#REF!</definedName>
    <definedName name="P_Cit" localSheetId="9">COM_SOL!$AJ$14</definedName>
    <definedName name="P_Cit">[2]kl!$AI$14</definedName>
    <definedName name="P_cit.">[1]BD2!#REF!</definedName>
    <definedName name="P2O5_Cit" localSheetId="9">COM_SOL!$AJ$7</definedName>
    <definedName name="P2O5_Cit">[2]kl!$AI$7</definedName>
    <definedName name="P2O5_Opt_Inf" localSheetId="9">COM_SOL!#REF!</definedName>
    <definedName name="P2O5_Opt_Inf">[2]kl!$K$77</definedName>
    <definedName name="P2O5_Opt_Sup" localSheetId="9">COM_SOL!$M$99</definedName>
    <definedName name="P2O5_Opt_Sup">[2]kl!$L$77</definedName>
    <definedName name="Pb">#REF!</definedName>
    <definedName name="Pc">[2]Fumier!$W$21</definedName>
    <definedName name="Pe">#REF!</definedName>
    <definedName name="Pertes_Humus">[2]Feuil1!$N$34</definedName>
    <definedName name="Pertes_humuss">COM_SOL!$N$34</definedName>
    <definedName name="Pf">#REF!</definedName>
    <definedName name="PF_1.5">[1]BD2!#REF!</definedName>
    <definedName name="PF_1.7_Co">[1]BD2!#REF!</definedName>
    <definedName name="PF_1_Al">[1]BD2!#REF!</definedName>
    <definedName name="PF_2">[1]BD2!#REF!</definedName>
    <definedName name="PF_K2O">'[2]Commentaire magnésium'!$T$2</definedName>
    <definedName name="pH">#REF!</definedName>
    <definedName name="pH_4.3">[1]BD2!#REF!</definedName>
    <definedName name="pH_4.3_Ni">[1]BD2!#REF!</definedName>
    <definedName name="pH_5.3">[1]BD2!#REF!</definedName>
    <definedName name="pH_5.3_Se">[1]BD2!#REF!</definedName>
    <definedName name="pH_5.5">[1]BD2!#REF!</definedName>
    <definedName name="pH_5.5_MS">[1]BD2!#REF!</definedName>
    <definedName name="pH_5.8">[1]BD2!#REF!</definedName>
    <definedName name="pH_5.8_P2_Hg">[1]BD2!#REF!</definedName>
    <definedName name="pH_6.0">[1]BD2!#REF!</definedName>
    <definedName name="pH_6.0_P1_Pb">[1]BD2!#REF!</definedName>
    <definedName name="pH_8.3">[1]BD2!#REF!</definedName>
    <definedName name="pH_8.3_T_Cd">[1]BD2!#REF!</definedName>
    <definedName name="pH_Eau" localSheetId="9">COM_SOL!$S$44</definedName>
    <definedName name="pH_Eau" localSheetId="7">SOL!#REF!</definedName>
    <definedName name="pH_Eau">#REF!</definedName>
    <definedName name="PHEAU">[4]Feuil2!$B$3</definedName>
    <definedName name="pHeaus">COM_SOL!$D$48</definedName>
    <definedName name="Phosphore">[2]Fumier!$M$21</definedName>
    <definedName name="PHOSPHORE1">[4]Vég!$M$21</definedName>
    <definedName name="Physique">#REF!</definedName>
    <definedName name="Pinf">[2]Feuil1!$O$59</definedName>
    <definedName name="Pinfs">COM_SOL!$O$59</definedName>
    <definedName name="Pm">[2]Fumier!$O$21</definedName>
    <definedName name="Porosité" localSheetId="9">COM_SOL!#REF!</definedName>
    <definedName name="Porosité">[2]kl!$G$25</definedName>
    <definedName name="porosité_As">[1]BD2!#REF!</definedName>
    <definedName name="potass">[4]Feuil2!$R$4</definedName>
    <definedName name="Potassium">[2]Fumier!$M$22</definedName>
    <definedName name="POTASSIUM1">[4]Vég!$M$22</definedName>
    <definedName name="premier_numéro">[2]N0!$C$5</definedName>
    <definedName name="Présence_de_CaCO3">'[2]Commentaire magnésium'!$V$2</definedName>
    <definedName name="Ps">#REF!</definedName>
    <definedName name="Psat">[2]Fumier!$P$21</definedName>
    <definedName name="PSAT1">[4]Vég!$P$21</definedName>
    <definedName name="Psol">[2]Feuil1!$Z$59</definedName>
    <definedName name="Psols" localSheetId="11">[8]Rapport!#REF!</definedName>
    <definedName name="Psols">SOL!#REF!</definedName>
    <definedName name="Psup">[2]Feuil1!$P$59</definedName>
    <definedName name="Psups">COM_SOL!$P$59</definedName>
    <definedName name="Pt" localSheetId="9">COM_SOL!$K$22</definedName>
    <definedName name="Pt">#REF!</definedName>
    <definedName name="Pv">[2]Fumier!$S$21</definedName>
    <definedName name="Q_Brut">#REF!</definedName>
    <definedName name="Q_Sec">#REF!</definedName>
    <definedName name="RAPPORT">#REF!</definedName>
    <definedName name="Rapport_massique_utilisé_sol_eau" localSheetId="9">COM_SOL!$N$46</definedName>
    <definedName name="RCa" localSheetId="9">COM_SOL!$AK$17</definedName>
    <definedName name="RCa">[2]kl!$AJ$17</definedName>
    <definedName name="REFERENCE">#REF!</definedName>
    <definedName name="référence_éch">#REF!</definedName>
    <definedName name="réfparcelle">[2]Feuil1!$L$4</definedName>
    <definedName name="réfparcelles">COM_SOL!$L$4</definedName>
    <definedName name="Région">[2]Feuil1!$G$16</definedName>
    <definedName name="Résistivité">#REF!</definedName>
    <definedName name="Résk">[2]Feuil1!$BB$54</definedName>
    <definedName name="Résks">COM_SOL!$BB$54</definedName>
    <definedName name="RésMg">[2]Feuil1!$AX$33</definedName>
    <definedName name="RésMgs">COM_SOL!$AX$33</definedName>
    <definedName name="RésP">[2]Feuil1!$AM$58</definedName>
    <definedName name="RésPs">COM_SOL!$AM$58</definedName>
    <definedName name="ResrvK">#REF!</definedName>
    <definedName name="ResrvMg">#REF!</definedName>
    <definedName name="ResrvMO">[2]Feuil1!$D$294</definedName>
    <definedName name="ResrvMOs">'commentaire sol'!$D$294</definedName>
    <definedName name="ResrvP">#REF!</definedName>
    <definedName name="RK" localSheetId="9">COM_SOL!$AN$17</definedName>
    <definedName name="RK">[2]kl!$AM$17</definedName>
    <definedName name="RMg" localSheetId="9">COM_SOL!$AM$17</definedName>
    <definedName name="RMg">[2]kl!$AL$17</definedName>
    <definedName name="RNa" localSheetId="9">COM_SOL!$AL$17</definedName>
    <definedName name="RNa">[2]kl!$AK$17</definedName>
    <definedName name="RP" localSheetId="9">COM_SOL!$AJ$17</definedName>
    <definedName name="RP">[2]kl!$AI$17</definedName>
    <definedName name="RsqBlK">'commentaire sol'!$D$196</definedName>
    <definedName name="RsqBlMg">'commentaire sol'!$D$257</definedName>
    <definedName name="RsqBlP">'commentaire sol'!$D$133</definedName>
    <definedName name="RsrvMO">#REF!</definedName>
    <definedName name="RsvK">[2]Feuil1!$D$185</definedName>
    <definedName name="RsvKs">'commentaire sol'!$D$185</definedName>
    <definedName name="RsvMg">[2]Feuil1!$D$247</definedName>
    <definedName name="RsvMgs" localSheetId="11">#REF!</definedName>
    <definedName name="RsvMgs">#REF!</definedName>
    <definedName name="RsvP">[2]Feuil1!$D$122</definedName>
    <definedName name="RsvPs">'commentaire sol'!$D$122</definedName>
    <definedName name="S" localSheetId="9">COM_SOL!$AQ$19</definedName>
    <definedName name="S">#REF!</definedName>
    <definedName name="S_Opt_Inf" localSheetId="9">COM_SOL!#REF!</definedName>
    <definedName name="S_Opt_Inf">[2]kl!$K$74</definedName>
    <definedName name="S_Opt_Sup" localSheetId="9">COM_SOL!#REF!</definedName>
    <definedName name="S_Opt_Sup">[2]kl!$L$74</definedName>
    <definedName name="S_SO4">[1]BD2!#REF!</definedName>
    <definedName name="Saisie_Résultats_Boues_1">[2]N0!#REF!</definedName>
    <definedName name="Saisie_Résultats_Boues_2">[2]N0!#REF!</definedName>
    <definedName name="Salinité">#REF!</definedName>
    <definedName name="SAR">#REF!</definedName>
    <definedName name="Se">[1]BD2!#REF!</definedName>
    <definedName name="Sodi">[4]Feuil2!$S$3</definedName>
    <definedName name="SOM_ET">#REF!</definedName>
    <definedName name="Somme_PCB_Maxi_AO">'[9]AMENDEMENTS et COMPOSTS'!$M$190</definedName>
    <definedName name="Somme_PCB_Mini_AO">'[9]AMENDEMENTS et COMPOSTS'!$N$190</definedName>
    <definedName name="STATION">#REF!</definedName>
    <definedName name="SULFATE">[4]Feuil2!$H$3</definedName>
    <definedName name="T">[1]BD2!$AQ$1:$AQ$101</definedName>
    <definedName name="TA">[4]Feuil2!$N$3</definedName>
    <definedName name="Technicien">#REF!</definedName>
    <definedName name="Teneur_déclarée_MPO_AO">'[9]AMENDEMENTS et COMPOSTS'!$F$185:$F$188</definedName>
    <definedName name="Texture">[2]Feuil1!$K$18</definedName>
    <definedName name="textures" localSheetId="11">'Calcul (2)'!$C$13</definedName>
    <definedName name="textures">medtest!$C$13</definedName>
    <definedName name="TH">[4]Feuil2!$M$3</definedName>
    <definedName name="TURBIDITE">[4]Feuil2!$O$3</definedName>
    <definedName name="Turbidité">#REF!</definedName>
    <definedName name="TYPE">[2]N0!$C$2</definedName>
    <definedName name="TYPE_SUBSTRAT">#REF!</definedName>
    <definedName name="variété">[2]Feuil1!#REF!</definedName>
    <definedName name="ville">#REF!</definedName>
    <definedName name="Vol">#REF!</definedName>
    <definedName name="Volume">#REF!</definedName>
    <definedName name="Volume_déclaré">'[2]norme foliaire'!#REF!</definedName>
    <definedName name="Volume_mesuré">'[2]norme foliaire'!#REF!</definedName>
    <definedName name="Zn">#REF!</definedName>
    <definedName name="zne">[4]Feuil2!$U$3</definedName>
    <definedName name="ZONE_CHIMCAS">#REF!</definedName>
    <definedName name="ZONE_CHIMCAS0">#REF!</definedName>
    <definedName name="_xlnm.Print_Area" localSheetId="2">BIOF!$A$1:$J$63</definedName>
    <definedName name="_xlnm.Print_Area" localSheetId="9">COM_SOL!$C$89:$M$160</definedName>
    <definedName name="_xlnm.Print_Area" localSheetId="8">'commentaire sol'!$G$136:$P$145</definedName>
    <definedName name="_xlnm.Print_Area" localSheetId="6">EAP!$A$1:$I$63</definedName>
    <definedName name="_xlnm.Print_Area" localSheetId="0">EAUX!$A$1:$I$55</definedName>
    <definedName name="_xlnm.Print_Area" localSheetId="5">POTA!$A$1:$G$72</definedName>
    <definedName name="_xlnm.Print_Area" localSheetId="17">'Rapport LOGO SEMAC'!$A$1:$I$59</definedName>
    <definedName name="_xlnm.Print_Area" localSheetId="7">SOL!$A$1:$AL$85</definedName>
    <definedName name="_xlnm.Print_Area" localSheetId="3">VEG!$C$1:$L$51</definedName>
    <definedName name="ZONE_VOL">#REF!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I9" i="16" l="1"/>
  <c r="K3" i="3"/>
  <c r="B3" i="3"/>
  <c r="AD6" i="3"/>
  <c r="T6" i="3"/>
  <c r="R6" i="3"/>
  <c r="Q6" i="3"/>
  <c r="H6" i="3"/>
  <c r="G6" i="3"/>
  <c r="F6" i="3"/>
  <c r="AI7" i="17"/>
  <c r="AG7" i="17"/>
  <c r="AD2" i="17"/>
  <c r="AC2" i="17"/>
  <c r="T2" i="17"/>
  <c r="R2" i="17"/>
  <c r="Q2" i="17"/>
  <c r="H2" i="17"/>
  <c r="G2" i="17"/>
  <c r="F2" i="17"/>
  <c r="AE6" i="3" l="1"/>
  <c r="AE2" i="17"/>
  <c r="X3" i="14" l="1"/>
  <c r="AD6" i="14"/>
  <c r="AC6" i="14"/>
  <c r="T6" i="14"/>
  <c r="R6" i="14"/>
  <c r="Q6" i="14"/>
  <c r="H6" i="14"/>
  <c r="G6" i="14"/>
  <c r="F6" i="14"/>
  <c r="AE6" i="14" l="1"/>
  <c r="AE6" i="10" l="1"/>
  <c r="AD6" i="10"/>
  <c r="AC6" i="10"/>
  <c r="T6" i="10"/>
  <c r="R6" i="10"/>
  <c r="Q6" i="10"/>
  <c r="H6" i="10"/>
  <c r="G6" i="10"/>
  <c r="F6" i="10"/>
  <c r="G9" i="13" l="1"/>
  <c r="D1" i="13" s="1"/>
  <c r="D5" i="13"/>
  <c r="D2" i="12"/>
  <c r="I8" i="15"/>
  <c r="C1" i="15" s="1"/>
  <c r="V1" i="15"/>
  <c r="I12" i="15" l="1"/>
  <c r="G13" i="1"/>
  <c r="DC35" i="8" l="1"/>
  <c r="DB36" i="8"/>
  <c r="DC36" i="8"/>
  <c r="DB37" i="8"/>
  <c r="DC37" i="8"/>
  <c r="DB38" i="8"/>
  <c r="DC38" i="8"/>
  <c r="DB39" i="8"/>
  <c r="DB40" i="8"/>
  <c r="DC40" i="8"/>
  <c r="DB41" i="8"/>
  <c r="DC41" i="8"/>
  <c r="DA41" i="8" l="1"/>
  <c r="CZ41" i="8"/>
  <c r="DA40" i="8"/>
  <c r="CZ40" i="8"/>
  <c r="CZ39" i="8"/>
  <c r="DA38" i="8"/>
  <c r="CZ38" i="8"/>
  <c r="DA37" i="8"/>
  <c r="CZ37" i="8"/>
  <c r="DA36" i="8"/>
  <c r="CZ36" i="8"/>
  <c r="DA35" i="8"/>
  <c r="AD7" i="11" l="1"/>
  <c r="T7" i="11"/>
  <c r="R7" i="11"/>
  <c r="Q7" i="11"/>
  <c r="H7" i="11"/>
  <c r="G7" i="11"/>
  <c r="F7" i="11"/>
  <c r="BX35" i="8" l="1"/>
  <c r="BY35" i="8"/>
  <c r="BX36" i="8"/>
  <c r="BY36" i="8"/>
  <c r="BX37" i="8"/>
  <c r="BY37" i="8"/>
  <c r="BY38" i="8"/>
  <c r="BX38" i="8"/>
  <c r="BX39" i="8"/>
  <c r="BY39" i="8"/>
  <c r="BY41" i="8"/>
  <c r="BX41" i="8"/>
  <c r="BX40" i="8"/>
  <c r="BY40" i="8"/>
  <c r="D11" i="8"/>
  <c r="AA1" i="8" s="1"/>
  <c r="G23" i="13"/>
  <c r="K22" i="13"/>
  <c r="D22" i="13" s="1"/>
  <c r="D23" i="13" s="1"/>
  <c r="CX39" i="8"/>
  <c r="I38" i="12"/>
  <c r="E38" i="12" s="1"/>
  <c r="BT38" i="8"/>
  <c r="G9" i="1"/>
  <c r="G8" i="1"/>
  <c r="D1" i="1" s="1"/>
  <c r="B7" i="1"/>
  <c r="B14" i="1"/>
  <c r="B12" i="15"/>
  <c r="I9" i="8"/>
  <c r="G1" i="8" s="1"/>
  <c r="D8" i="8"/>
  <c r="F6" i="12"/>
  <c r="B5" i="12"/>
  <c r="B8" i="12"/>
  <c r="B8" i="13"/>
  <c r="B11" i="13"/>
  <c r="V2" i="13"/>
  <c r="V1" i="13"/>
  <c r="B10" i="12"/>
  <c r="G7" i="1"/>
  <c r="G11" i="1"/>
  <c r="G12" i="1" s="1"/>
  <c r="I10" i="15"/>
  <c r="I11" i="15" s="1"/>
  <c r="B13" i="15"/>
  <c r="B14" i="15"/>
  <c r="A14" i="15"/>
  <c r="S42" i="15"/>
  <c r="B18" i="15"/>
  <c r="X41" i="15" s="1"/>
  <c r="B33" i="15"/>
  <c r="W41" i="15" s="1"/>
  <c r="B10" i="15"/>
  <c r="U42" i="15" s="1"/>
  <c r="N42" i="15"/>
  <c r="I42" i="15" s="1"/>
  <c r="P42" i="15"/>
  <c r="C42" i="15" s="1"/>
  <c r="AG6" i="20"/>
  <c r="Q10" i="20"/>
  <c r="Q6" i="6"/>
  <c r="H6" i="6"/>
  <c r="G6" i="6"/>
  <c r="F6" i="6"/>
  <c r="I22" i="12"/>
  <c r="E22" i="12" s="1"/>
  <c r="K50" i="13"/>
  <c r="D50" i="13" s="1"/>
  <c r="K49" i="13"/>
  <c r="G49" i="13" s="1"/>
  <c r="K34" i="13"/>
  <c r="K32" i="13"/>
  <c r="D32" i="13" s="1"/>
  <c r="K36" i="13"/>
  <c r="D36" i="13" s="1"/>
  <c r="K48" i="13"/>
  <c r="D48" i="13" s="1"/>
  <c r="K47" i="13"/>
  <c r="D47" i="13" s="1"/>
  <c r="K46" i="13"/>
  <c r="D46" i="13" s="1"/>
  <c r="I27" i="12"/>
  <c r="E27" i="12" s="1"/>
  <c r="I28" i="12"/>
  <c r="E28" i="12" s="1"/>
  <c r="G8" i="7"/>
  <c r="I36" i="12"/>
  <c r="F36" i="12" s="1"/>
  <c r="F23" i="7"/>
  <c r="G23" i="7"/>
  <c r="E32" i="12"/>
  <c r="L2" i="20"/>
  <c r="L10" i="19"/>
  <c r="S63" i="19"/>
  <c r="AN2" i="20"/>
  <c r="AN10" i="19"/>
  <c r="S54" i="19" s="1"/>
  <c r="AI2" i="20"/>
  <c r="AI10" i="19"/>
  <c r="W18" i="19" s="1"/>
  <c r="D271" i="18"/>
  <c r="O33" i="19"/>
  <c r="B7" i="7"/>
  <c r="B12" i="7"/>
  <c r="K95" i="19"/>
  <c r="D95" i="19"/>
  <c r="D97" i="19"/>
  <c r="V91" i="19" s="1"/>
  <c r="AJ2" i="20"/>
  <c r="A2" i="21"/>
  <c r="D6" i="21"/>
  <c r="D7" i="21"/>
  <c r="D11" i="21" s="1"/>
  <c r="D9" i="21"/>
  <c r="D12" i="21"/>
  <c r="A1" i="21"/>
  <c r="A17" i="21" s="1"/>
  <c r="O2" i="20"/>
  <c r="A6" i="21"/>
  <c r="I9" i="21"/>
  <c r="AL2" i="20"/>
  <c r="A3" i="21"/>
  <c r="B6" i="21"/>
  <c r="A4" i="21"/>
  <c r="A5" i="21"/>
  <c r="AA2" i="20"/>
  <c r="Z2" i="20"/>
  <c r="Y2" i="20"/>
  <c r="Q2" i="20"/>
  <c r="Q10" i="19" s="1"/>
  <c r="S73" i="19" s="1"/>
  <c r="P2" i="20"/>
  <c r="P10" i="19" s="1"/>
  <c r="N2" i="20"/>
  <c r="M2" i="20"/>
  <c r="K2" i="20"/>
  <c r="K10" i="19" s="1"/>
  <c r="S61" i="19" s="1"/>
  <c r="J2" i="20"/>
  <c r="I2" i="20"/>
  <c r="H2" i="20"/>
  <c r="E2" i="20"/>
  <c r="D2" i="20"/>
  <c r="D10" i="19" s="1"/>
  <c r="S48" i="19" s="1"/>
  <c r="W44" i="19" s="1"/>
  <c r="C2" i="20"/>
  <c r="B2" i="20"/>
  <c r="A2" i="20"/>
  <c r="C3" i="19"/>
  <c r="C200" i="19" s="1"/>
  <c r="S44" i="19"/>
  <c r="O10" i="19"/>
  <c r="R26" i="19" s="1"/>
  <c r="T34" i="19" s="1"/>
  <c r="O155" i="19" s="1"/>
  <c r="O154" i="19"/>
  <c r="D272" i="18"/>
  <c r="D259" i="18"/>
  <c r="D260" i="18"/>
  <c r="D261" i="18"/>
  <c r="D262" i="18"/>
  <c r="D263" i="18"/>
  <c r="M10" i="19"/>
  <c r="R140" i="19"/>
  <c r="D198" i="18"/>
  <c r="D199" i="18"/>
  <c r="D200" i="18"/>
  <c r="D201" i="18"/>
  <c r="D202" i="18"/>
  <c r="Z61" i="19"/>
  <c r="AJ10" i="19"/>
  <c r="W20" i="19" s="1"/>
  <c r="AJ48" i="19" s="1"/>
  <c r="AK10" i="19"/>
  <c r="W22" i="19"/>
  <c r="B10" i="19"/>
  <c r="O136" i="19"/>
  <c r="Z69" i="19"/>
  <c r="J10" i="19"/>
  <c r="S59" i="19"/>
  <c r="Z59" i="19" s="1"/>
  <c r="P59" i="19"/>
  <c r="AL58" i="19" s="1"/>
  <c r="E10" i="19"/>
  <c r="D336" i="18"/>
  <c r="E336" i="18" s="1"/>
  <c r="D337" i="18"/>
  <c r="E337" i="18" s="1"/>
  <c r="D338" i="18"/>
  <c r="E338" i="18" s="1"/>
  <c r="D339" i="18"/>
  <c r="E339" i="18" s="1"/>
  <c r="D340" i="18"/>
  <c r="E340" i="18" s="1"/>
  <c r="D341" i="18"/>
  <c r="E341" i="18" s="1"/>
  <c r="D342" i="18"/>
  <c r="E342" i="18" s="1"/>
  <c r="D343" i="18"/>
  <c r="E343" i="18" s="1"/>
  <c r="D344" i="18"/>
  <c r="E344" i="18" s="1"/>
  <c r="D345" i="18"/>
  <c r="E34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AM10" i="19"/>
  <c r="W26" i="19"/>
  <c r="AE113" i="19"/>
  <c r="AE116" i="19" s="1"/>
  <c r="AD113" i="19"/>
  <c r="AD116" i="19" s="1"/>
  <c r="AC113" i="19"/>
  <c r="C115" i="19"/>
  <c r="C10" i="19"/>
  <c r="T50" i="19"/>
  <c r="D57" i="18" s="1"/>
  <c r="AE110" i="19"/>
  <c r="AD110" i="19"/>
  <c r="AC110" i="19"/>
  <c r="D6" i="16"/>
  <c r="D10" i="16" s="1"/>
  <c r="D7" i="16"/>
  <c r="D11" i="16" s="1"/>
  <c r="AC107" i="19"/>
  <c r="AC106" i="19"/>
  <c r="AC104" i="19"/>
  <c r="AC103" i="19"/>
  <c r="AC102" i="19"/>
  <c r="AE101" i="19"/>
  <c r="AX58" i="19" s="1"/>
  <c r="AD101" i="19"/>
  <c r="AC101" i="19"/>
  <c r="K97" i="19"/>
  <c r="I97" i="19"/>
  <c r="K96" i="19"/>
  <c r="D96" i="19"/>
  <c r="G93" i="19"/>
  <c r="A88" i="19"/>
  <c r="W73" i="19"/>
  <c r="D73" i="19" s="1"/>
  <c r="N73" i="19"/>
  <c r="AA10" i="19"/>
  <c r="S71" i="19"/>
  <c r="W71" i="19" s="1"/>
  <c r="D71" i="19" s="1"/>
  <c r="AQ10" i="19"/>
  <c r="P71" i="19" s="1"/>
  <c r="Q71" i="19" s="1"/>
  <c r="Y10" i="19"/>
  <c r="O69" i="19"/>
  <c r="N69" i="19" s="1"/>
  <c r="Z10" i="19"/>
  <c r="S67" i="19" s="1"/>
  <c r="W67" i="19" s="1"/>
  <c r="D67" i="19" s="1"/>
  <c r="AP10" i="19"/>
  <c r="O67" i="19" s="1"/>
  <c r="Q73" i="19"/>
  <c r="M73" i="19"/>
  <c r="H10" i="19"/>
  <c r="J69" i="19" s="1"/>
  <c r="AJ56" i="19"/>
  <c r="AJ52" i="19"/>
  <c r="AX61" i="19" s="1"/>
  <c r="AN52" i="19"/>
  <c r="AJ61" i="19" s="1"/>
  <c r="AJ63" i="19"/>
  <c r="AJ50" i="19"/>
  <c r="AL50" i="19" s="1"/>
  <c r="AJ65" i="19" s="1"/>
  <c r="AK50" i="19"/>
  <c r="AJ66" i="19" s="1"/>
  <c r="AJ59" i="19"/>
  <c r="N10" i="19"/>
  <c r="J67" i="19"/>
  <c r="I10" i="19"/>
  <c r="T69" i="19"/>
  <c r="R69" i="19"/>
  <c r="M69" i="19"/>
  <c r="T67" i="19"/>
  <c r="V66" i="19"/>
  <c r="R66" i="19"/>
  <c r="AX59" i="19"/>
  <c r="AX65" i="19" s="1"/>
  <c r="AU64" i="19"/>
  <c r="AS54" i="19"/>
  <c r="AS50" i="19"/>
  <c r="AT50" i="19" s="1"/>
  <c r="AS55" i="19" s="1"/>
  <c r="AS56" i="19"/>
  <c r="N65" i="19"/>
  <c r="M63" i="19"/>
  <c r="D63" i="19"/>
  <c r="E63" i="19" s="1"/>
  <c r="M61" i="19"/>
  <c r="D61" i="19"/>
  <c r="E61" i="19" s="1"/>
  <c r="E60" i="19"/>
  <c r="AT59" i="19"/>
  <c r="Y59" i="19"/>
  <c r="M59" i="19"/>
  <c r="D59" i="19"/>
  <c r="E59" i="19" s="1"/>
  <c r="O58" i="19"/>
  <c r="AT57" i="19"/>
  <c r="AT56" i="19"/>
  <c r="AJ55" i="19"/>
  <c r="G54" i="19"/>
  <c r="BF10" i="19"/>
  <c r="D50" i="19"/>
  <c r="E50" i="19" s="1"/>
  <c r="AL52" i="19"/>
  <c r="M52" i="19"/>
  <c r="S50" i="19"/>
  <c r="W46" i="19" s="1"/>
  <c r="R50" i="19"/>
  <c r="Q50" i="19"/>
  <c r="P50" i="19"/>
  <c r="G50" i="19" s="1"/>
  <c r="Y31" i="19" s="1"/>
  <c r="O50" i="19"/>
  <c r="R48" i="19"/>
  <c r="X10" i="19"/>
  <c r="J48" i="19"/>
  <c r="G48" i="19"/>
  <c r="Y35" i="19" s="1"/>
  <c r="R46" i="19"/>
  <c r="Y44" i="19"/>
  <c r="X44" i="19"/>
  <c r="D44" i="19" s="1"/>
  <c r="E44" i="19" s="1"/>
  <c r="R44" i="19"/>
  <c r="S43" i="19"/>
  <c r="R43" i="19"/>
  <c r="G10" i="19"/>
  <c r="R39" i="19" s="1"/>
  <c r="U10" i="19"/>
  <c r="O43" i="19"/>
  <c r="M43" i="19"/>
  <c r="S42" i="19"/>
  <c r="P42" i="19"/>
  <c r="S41" i="19"/>
  <c r="R41" i="19"/>
  <c r="F10" i="19"/>
  <c r="O41" i="19" s="1"/>
  <c r="AV40" i="19"/>
  <c r="N40" i="19"/>
  <c r="K40" i="19"/>
  <c r="AV39" i="19"/>
  <c r="K39" i="19"/>
  <c r="G39" i="19"/>
  <c r="Y30" i="19" s="1"/>
  <c r="Y32" i="19"/>
  <c r="Y33" i="19"/>
  <c r="Y34" i="19"/>
  <c r="Y28" i="19"/>
  <c r="Y36" i="19"/>
  <c r="Y37" i="19"/>
  <c r="Y38" i="19"/>
  <c r="X38" i="19"/>
  <c r="V10" i="19"/>
  <c r="O38" i="19"/>
  <c r="X37" i="19"/>
  <c r="V34" i="19"/>
  <c r="D36" i="19"/>
  <c r="R35" i="19"/>
  <c r="R34" i="19"/>
  <c r="M32" i="19"/>
  <c r="D33" i="19"/>
  <c r="R32" i="19"/>
  <c r="R30" i="19"/>
  <c r="E28" i="19"/>
  <c r="BK26" i="19"/>
  <c r="S26" i="19"/>
  <c r="AL10" i="19"/>
  <c r="W24" i="19" s="1"/>
  <c r="E24" i="19"/>
  <c r="E22" i="19"/>
  <c r="U20" i="19"/>
  <c r="BG17" i="19"/>
  <c r="K17" i="19"/>
  <c r="H9" i="19"/>
  <c r="I17" i="19" s="1"/>
  <c r="G16" i="19"/>
  <c r="D16" i="19"/>
  <c r="C16" i="19"/>
  <c r="F12" i="19"/>
  <c r="S14" i="19" s="1"/>
  <c r="Z12" i="19"/>
  <c r="R12" i="19"/>
  <c r="I12" i="19"/>
  <c r="AR10" i="19"/>
  <c r="G12" i="19"/>
  <c r="E12" i="19"/>
  <c r="D12" i="19"/>
  <c r="J11" i="19" s="1"/>
  <c r="C12" i="19"/>
  <c r="Y11" i="19"/>
  <c r="P11" i="19"/>
  <c r="O11" i="19"/>
  <c r="M11" i="19"/>
  <c r="L11" i="19"/>
  <c r="K11" i="19"/>
  <c r="I11" i="19"/>
  <c r="G11" i="19"/>
  <c r="C11" i="19"/>
  <c r="D11" i="19"/>
  <c r="CQ10" i="19"/>
  <c r="CP10" i="19"/>
  <c r="CO10" i="19"/>
  <c r="CN10" i="19"/>
  <c r="CM10" i="19"/>
  <c r="CL10" i="19"/>
  <c r="CK10" i="19"/>
  <c r="CJ10" i="19"/>
  <c r="CI10" i="19"/>
  <c r="CH10" i="19"/>
  <c r="CG10" i="19"/>
  <c r="CF10" i="19"/>
  <c r="CE10" i="19"/>
  <c r="CD10" i="19"/>
  <c r="CC10" i="19"/>
  <c r="CB10" i="19"/>
  <c r="CA10" i="19"/>
  <c r="BZ10" i="19"/>
  <c r="BY10" i="19"/>
  <c r="BX10" i="19"/>
  <c r="BW10" i="19"/>
  <c r="BV10" i="19"/>
  <c r="BU10" i="19"/>
  <c r="BT10" i="19"/>
  <c r="BS10" i="19"/>
  <c r="BR10" i="19"/>
  <c r="BQ10" i="19"/>
  <c r="BP10" i="19"/>
  <c r="BO10" i="19"/>
  <c r="BN10" i="19"/>
  <c r="BM10" i="19"/>
  <c r="BL10" i="19"/>
  <c r="BK10" i="19"/>
  <c r="BJ10" i="19"/>
  <c r="BI10" i="19"/>
  <c r="BH10" i="19"/>
  <c r="BG10" i="19"/>
  <c r="BE10" i="19"/>
  <c r="BD10" i="19"/>
  <c r="BC10" i="19"/>
  <c r="BB10" i="19"/>
  <c r="BA10" i="19"/>
  <c r="AZ10" i="19"/>
  <c r="AY10" i="19"/>
  <c r="AX10" i="19"/>
  <c r="AW10" i="19"/>
  <c r="AV10" i="19"/>
  <c r="AU10" i="19"/>
  <c r="AT10" i="19"/>
  <c r="AS10" i="19"/>
  <c r="AO10" i="19"/>
  <c r="AH10" i="19"/>
  <c r="AG10" i="19"/>
  <c r="AF10" i="19"/>
  <c r="AE10" i="19"/>
  <c r="AD10" i="19"/>
  <c r="AC10" i="19"/>
  <c r="AB10" i="19"/>
  <c r="W10" i="19"/>
  <c r="T10" i="19"/>
  <c r="S10" i="19"/>
  <c r="R10" i="19"/>
  <c r="A10" i="19"/>
  <c r="U9" i="19"/>
  <c r="C8" i="19" s="1"/>
  <c r="S9" i="19"/>
  <c r="F7" i="19" s="1"/>
  <c r="Q9" i="19"/>
  <c r="I7" i="19" s="1"/>
  <c r="G9" i="19"/>
  <c r="F9" i="19"/>
  <c r="N8" i="19"/>
  <c r="K8" i="19" s="1"/>
  <c r="N3" i="19" s="1"/>
  <c r="K7" i="19"/>
  <c r="C7" i="19"/>
  <c r="C6" i="19"/>
  <c r="C5" i="19"/>
  <c r="C4" i="19"/>
  <c r="G3" i="19"/>
  <c r="C1" i="19"/>
  <c r="D284" i="18"/>
  <c r="D283" i="18"/>
  <c r="D282" i="18"/>
  <c r="D281" i="18"/>
  <c r="D280" i="18"/>
  <c r="D279" i="18"/>
  <c r="D278" i="18"/>
  <c r="D277" i="18"/>
  <c r="D276" i="18"/>
  <c r="D275" i="18"/>
  <c r="D274" i="18"/>
  <c r="D273" i="18"/>
  <c r="D116" i="18"/>
  <c r="D117" i="18"/>
  <c r="B46" i="15"/>
  <c r="C46" i="15" s="1"/>
  <c r="B20" i="15"/>
  <c r="A2" i="16" s="1"/>
  <c r="B22" i="15"/>
  <c r="A3" i="16" s="1"/>
  <c r="A4" i="16"/>
  <c r="A5" i="16"/>
  <c r="L66" i="15"/>
  <c r="I44" i="15"/>
  <c r="I46" i="15"/>
  <c r="F66" i="15"/>
  <c r="B66" i="15"/>
  <c r="C66" i="15" s="1"/>
  <c r="P64" i="15"/>
  <c r="C64" i="15" s="1"/>
  <c r="L64" i="15"/>
  <c r="B53" i="15"/>
  <c r="T28" i="15" s="1"/>
  <c r="F64" i="15"/>
  <c r="B64" i="15"/>
  <c r="P62" i="15"/>
  <c r="L62" i="15"/>
  <c r="B62" i="15"/>
  <c r="P60" i="15"/>
  <c r="C60" i="15" s="1"/>
  <c r="F60" i="15"/>
  <c r="B60" i="15"/>
  <c r="B51" i="15"/>
  <c r="P58" i="15"/>
  <c r="C58" i="15" s="1"/>
  <c r="L58" i="15"/>
  <c r="F58" i="15"/>
  <c r="B58" i="15"/>
  <c r="W56" i="15"/>
  <c r="H56" i="15"/>
  <c r="I53" i="15"/>
  <c r="F53" i="15"/>
  <c r="I51" i="15"/>
  <c r="F51" i="15"/>
  <c r="F48" i="15"/>
  <c r="B48" i="15"/>
  <c r="C48" i="15" s="1"/>
  <c r="F46" i="15"/>
  <c r="B44" i="15"/>
  <c r="C44" i="15" s="1"/>
  <c r="B42" i="15"/>
  <c r="I37" i="15"/>
  <c r="J37" i="15" s="1"/>
  <c r="J31" i="15" s="1"/>
  <c r="F37" i="15"/>
  <c r="B35" i="15"/>
  <c r="I35" i="15"/>
  <c r="J35" i="15" s="1"/>
  <c r="F35" i="15"/>
  <c r="I33" i="15"/>
  <c r="J33" i="15" s="1"/>
  <c r="F33" i="15"/>
  <c r="R31" i="15"/>
  <c r="Q31" i="15"/>
  <c r="F31" i="15" s="1"/>
  <c r="I13" i="15"/>
  <c r="H13" i="15"/>
  <c r="B11" i="15"/>
  <c r="I9" i="15"/>
  <c r="B9" i="15"/>
  <c r="B8" i="15"/>
  <c r="B7" i="15"/>
  <c r="K43" i="13"/>
  <c r="K44" i="13"/>
  <c r="G44" i="13" s="1"/>
  <c r="K42" i="13"/>
  <c r="F50" i="13"/>
  <c r="F49" i="13"/>
  <c r="F48" i="13"/>
  <c r="F47" i="13"/>
  <c r="G46" i="13"/>
  <c r="F46" i="13"/>
  <c r="F44" i="13"/>
  <c r="F43" i="13"/>
  <c r="F42" i="13"/>
  <c r="K41" i="13"/>
  <c r="D41" i="13" s="1"/>
  <c r="K39" i="13"/>
  <c r="G39" i="13" s="1"/>
  <c r="F39" i="13"/>
  <c r="K38" i="13"/>
  <c r="G38" i="13" s="1"/>
  <c r="K37" i="13"/>
  <c r="D37" i="13" s="1"/>
  <c r="F37" i="13"/>
  <c r="F36" i="13"/>
  <c r="F34" i="13"/>
  <c r="F33" i="13"/>
  <c r="D33" i="13"/>
  <c r="F32" i="13"/>
  <c r="K28" i="13"/>
  <c r="K27" i="13" s="1"/>
  <c r="D27" i="13" s="1"/>
  <c r="K29" i="13"/>
  <c r="D29" i="13" s="1"/>
  <c r="F30" i="13"/>
  <c r="F29" i="13"/>
  <c r="P28" i="13"/>
  <c r="O28" i="13"/>
  <c r="F28" i="13"/>
  <c r="G26" i="13"/>
  <c r="D26" i="13"/>
  <c r="G25" i="13"/>
  <c r="D25" i="13"/>
  <c r="K20" i="13"/>
  <c r="D20" i="13" s="1"/>
  <c r="F20" i="13"/>
  <c r="G14" i="13"/>
  <c r="B14" i="13"/>
  <c r="G13" i="13"/>
  <c r="B13" i="13"/>
  <c r="G11" i="13"/>
  <c r="G12" i="13" s="1"/>
  <c r="B12" i="13"/>
  <c r="G10" i="13"/>
  <c r="B10" i="13"/>
  <c r="B9" i="13"/>
  <c r="G8" i="13"/>
  <c r="I18" i="12"/>
  <c r="F18" i="12" s="1"/>
  <c r="I19" i="12"/>
  <c r="E19" i="12" s="1"/>
  <c r="E20" i="12" s="1"/>
  <c r="H22" i="12"/>
  <c r="I23" i="12"/>
  <c r="I24" i="12"/>
  <c r="E24" i="12"/>
  <c r="I25" i="12"/>
  <c r="H25" i="12" s="1"/>
  <c r="I26" i="12"/>
  <c r="E26" i="12" s="1"/>
  <c r="H26" i="12"/>
  <c r="H28" i="12"/>
  <c r="I31" i="12"/>
  <c r="E31" i="12" s="1"/>
  <c r="I32" i="12"/>
  <c r="I34" i="12"/>
  <c r="F34" i="12" s="1"/>
  <c r="H34" i="12"/>
  <c r="I35" i="12"/>
  <c r="I37" i="12"/>
  <c r="H37" i="12" s="1"/>
  <c r="I42" i="12"/>
  <c r="F42" i="12" s="1"/>
  <c r="H42" i="12"/>
  <c r="I44" i="12"/>
  <c r="F44" i="12" s="1"/>
  <c r="I45" i="12"/>
  <c r="F45" i="12" s="1"/>
  <c r="I46" i="12"/>
  <c r="H46" i="12" s="1"/>
  <c r="I49" i="12"/>
  <c r="E49" i="12" s="1"/>
  <c r="F31" i="12"/>
  <c r="E30" i="12"/>
  <c r="F28" i="12"/>
  <c r="F25" i="12"/>
  <c r="E25" i="12"/>
  <c r="F11" i="12"/>
  <c r="B11" i="12"/>
  <c r="F10" i="12"/>
  <c r="F8" i="12"/>
  <c r="B9" i="12"/>
  <c r="B7" i="12"/>
  <c r="B6" i="12"/>
  <c r="F5" i="12"/>
  <c r="F22" i="8"/>
  <c r="F20" i="8"/>
  <c r="BI36" i="8"/>
  <c r="AC36" i="8"/>
  <c r="AB36" i="8"/>
  <c r="F24" i="8"/>
  <c r="BI37" i="8"/>
  <c r="AC37" i="8"/>
  <c r="AB37" i="8"/>
  <c r="BI40" i="8"/>
  <c r="AC40" i="8"/>
  <c r="AB40" i="8"/>
  <c r="F21" i="8"/>
  <c r="BI35" i="8"/>
  <c r="AC35" i="8"/>
  <c r="AB35" i="8"/>
  <c r="C42" i="8"/>
  <c r="CW41" i="8"/>
  <c r="CV41" i="8"/>
  <c r="CU41" i="8"/>
  <c r="CT41" i="8"/>
  <c r="CS41" i="8"/>
  <c r="CR41" i="8"/>
  <c r="CQ41" i="8"/>
  <c r="CP41" i="8"/>
  <c r="CO41" i="8"/>
  <c r="CN41" i="8"/>
  <c r="CM41" i="8"/>
  <c r="CL41" i="8"/>
  <c r="CK41" i="8"/>
  <c r="CJ41" i="8"/>
  <c r="CI41" i="8"/>
  <c r="CH41" i="8"/>
  <c r="CG41" i="8"/>
  <c r="CF41" i="8"/>
  <c r="CE41" i="8"/>
  <c r="CD41" i="8"/>
  <c r="CC41" i="8"/>
  <c r="CB41" i="8"/>
  <c r="CA41" i="8"/>
  <c r="BZ41" i="8"/>
  <c r="BW41" i="8"/>
  <c r="BV41" i="8"/>
  <c r="BU41" i="8"/>
  <c r="BT41" i="8"/>
  <c r="BS41" i="8"/>
  <c r="BR41" i="8"/>
  <c r="BQ41" i="8"/>
  <c r="BP41" i="8"/>
  <c r="BO41" i="8"/>
  <c r="BN41" i="8"/>
  <c r="BM41" i="8"/>
  <c r="BL41" i="8"/>
  <c r="BK41" i="8"/>
  <c r="BJ41" i="8"/>
  <c r="BI41" i="8"/>
  <c r="BG41" i="8"/>
  <c r="BF41" i="8"/>
  <c r="BE41" i="8"/>
  <c r="BD41" i="8"/>
  <c r="BC41" i="8"/>
  <c r="BA41" i="8"/>
  <c r="AZ41" i="8"/>
  <c r="AY41" i="8"/>
  <c r="AX41" i="8"/>
  <c r="AW41" i="8"/>
  <c r="AV41" i="8"/>
  <c r="AU41" i="8"/>
  <c r="AS41" i="8"/>
  <c r="AR41" i="8"/>
  <c r="AQ41" i="8"/>
  <c r="AP41" i="8"/>
  <c r="AO41" i="8"/>
  <c r="AN41" i="8"/>
  <c r="AM41" i="8"/>
  <c r="AL41" i="8"/>
  <c r="AK41" i="8"/>
  <c r="AJ41" i="8"/>
  <c r="AI41" i="8"/>
  <c r="AH41" i="8"/>
  <c r="AG41" i="8"/>
  <c r="AF41" i="8"/>
  <c r="AD41" i="8"/>
  <c r="AC41" i="8"/>
  <c r="AB41" i="8"/>
  <c r="AA41" i="8"/>
  <c r="Z41" i="8"/>
  <c r="F23" i="8"/>
  <c r="CW40" i="8"/>
  <c r="CV40" i="8"/>
  <c r="CU40" i="8"/>
  <c r="CT40" i="8"/>
  <c r="CS40" i="8"/>
  <c r="CR40" i="8"/>
  <c r="CQ40" i="8"/>
  <c r="CP40" i="8"/>
  <c r="CO40" i="8"/>
  <c r="CN40" i="8"/>
  <c r="CM40" i="8"/>
  <c r="CL40" i="8"/>
  <c r="CK40" i="8"/>
  <c r="CJ40" i="8"/>
  <c r="CI40" i="8"/>
  <c r="CH40" i="8"/>
  <c r="CG40" i="8"/>
  <c r="CF40" i="8"/>
  <c r="CE40" i="8"/>
  <c r="CD40" i="8"/>
  <c r="CC40" i="8"/>
  <c r="CB40" i="8"/>
  <c r="CA40" i="8"/>
  <c r="BZ40" i="8"/>
  <c r="BW40" i="8"/>
  <c r="BV40" i="8"/>
  <c r="BU40" i="8"/>
  <c r="BT40" i="8"/>
  <c r="BS40" i="8"/>
  <c r="BR40" i="8"/>
  <c r="BQ40" i="8"/>
  <c r="BP40" i="8"/>
  <c r="BO40" i="8"/>
  <c r="BN40" i="8"/>
  <c r="BM40" i="8"/>
  <c r="BL40" i="8"/>
  <c r="BK40" i="8"/>
  <c r="BG40" i="8"/>
  <c r="BF40" i="8"/>
  <c r="BE40" i="8"/>
  <c r="BD40" i="8"/>
  <c r="BC40" i="8"/>
  <c r="BA40" i="8"/>
  <c r="AZ40" i="8"/>
  <c r="AY40" i="8"/>
  <c r="AX40" i="8"/>
  <c r="AW40" i="8"/>
  <c r="AV40" i="8"/>
  <c r="AU40" i="8"/>
  <c r="AT40" i="8"/>
  <c r="AS40" i="8"/>
  <c r="AR40" i="8"/>
  <c r="AQ40" i="8"/>
  <c r="AP40" i="8"/>
  <c r="AO40" i="8"/>
  <c r="AN40" i="8"/>
  <c r="AM40" i="8"/>
  <c r="AL40" i="8"/>
  <c r="AK40" i="8"/>
  <c r="AJ40" i="8"/>
  <c r="AI40" i="8"/>
  <c r="AH40" i="8"/>
  <c r="AG40" i="8"/>
  <c r="AF40" i="8"/>
  <c r="AE40" i="8"/>
  <c r="AD40" i="8"/>
  <c r="AA40" i="8"/>
  <c r="Z40" i="8"/>
  <c r="CV39" i="8"/>
  <c r="CU39" i="8"/>
  <c r="CT39" i="8"/>
  <c r="CS39" i="8"/>
  <c r="CR39" i="8"/>
  <c r="CQ39" i="8"/>
  <c r="CP39" i="8"/>
  <c r="CO39" i="8"/>
  <c r="CN39" i="8"/>
  <c r="CM39" i="8"/>
  <c r="CL39" i="8"/>
  <c r="CK39" i="8"/>
  <c r="CJ39" i="8"/>
  <c r="CI39" i="8"/>
  <c r="CH39" i="8"/>
  <c r="CG39" i="8"/>
  <c r="CF39" i="8"/>
  <c r="CE39" i="8"/>
  <c r="CD39" i="8"/>
  <c r="CC39" i="8"/>
  <c r="CB39" i="8"/>
  <c r="CA39" i="8"/>
  <c r="BZ39" i="8"/>
  <c r="BW39" i="8"/>
  <c r="BV39" i="8"/>
  <c r="BU39" i="8"/>
  <c r="BT39" i="8"/>
  <c r="BS39" i="8"/>
  <c r="BR39" i="8"/>
  <c r="BQ39" i="8"/>
  <c r="BP39" i="8"/>
  <c r="BO39" i="8"/>
  <c r="BN39" i="8"/>
  <c r="BM39" i="8"/>
  <c r="BL39" i="8"/>
  <c r="BK39" i="8"/>
  <c r="BJ39" i="8"/>
  <c r="BI39" i="8"/>
  <c r="BG39" i="8"/>
  <c r="BF39" i="8"/>
  <c r="BE39" i="8"/>
  <c r="BD39" i="8"/>
  <c r="BC39" i="8"/>
  <c r="BA39" i="8"/>
  <c r="AZ39" i="8"/>
  <c r="AY39" i="8"/>
  <c r="AX39" i="8"/>
  <c r="AW39" i="8"/>
  <c r="AV39" i="8"/>
  <c r="AU39" i="8"/>
  <c r="AT39" i="8"/>
  <c r="AS39" i="8"/>
  <c r="AR39" i="8"/>
  <c r="AQ39" i="8"/>
  <c r="AP39" i="8"/>
  <c r="AO39" i="8"/>
  <c r="AN39" i="8"/>
  <c r="AM39" i="8"/>
  <c r="AL39" i="8"/>
  <c r="AK39" i="8"/>
  <c r="AJ39" i="8"/>
  <c r="AI39" i="8"/>
  <c r="AH39" i="8"/>
  <c r="AG39" i="8"/>
  <c r="AF39" i="8"/>
  <c r="AE39" i="8"/>
  <c r="AD39" i="8"/>
  <c r="AC39" i="8"/>
  <c r="AB39" i="8"/>
  <c r="AA39" i="8"/>
  <c r="Z39" i="8"/>
  <c r="CW38" i="8"/>
  <c r="CV38" i="8"/>
  <c r="CU38" i="8"/>
  <c r="CT38" i="8"/>
  <c r="CS38" i="8"/>
  <c r="CR38" i="8"/>
  <c r="CQ38" i="8"/>
  <c r="CP38" i="8"/>
  <c r="CO38" i="8"/>
  <c r="CN38" i="8"/>
  <c r="CM38" i="8"/>
  <c r="CL38" i="8"/>
  <c r="CK38" i="8"/>
  <c r="CJ38" i="8"/>
  <c r="CI38" i="8"/>
  <c r="CH38" i="8"/>
  <c r="CG38" i="8"/>
  <c r="CF38" i="8"/>
  <c r="CE38" i="8"/>
  <c r="CD38" i="8"/>
  <c r="CC38" i="8"/>
  <c r="CB38" i="8"/>
  <c r="CA38" i="8"/>
  <c r="BZ38" i="8"/>
  <c r="BW38" i="8"/>
  <c r="BV38" i="8"/>
  <c r="BU38" i="8"/>
  <c r="BS38" i="8"/>
  <c r="BR38" i="8"/>
  <c r="BQ38" i="8"/>
  <c r="BP38" i="8"/>
  <c r="BO38" i="8"/>
  <c r="BN38" i="8"/>
  <c r="BM38" i="8"/>
  <c r="BL38" i="8"/>
  <c r="BK38" i="8"/>
  <c r="BI38" i="8"/>
  <c r="BH38" i="8"/>
  <c r="BG38" i="8"/>
  <c r="BE38" i="8"/>
  <c r="BD38" i="8"/>
  <c r="BC38" i="8"/>
  <c r="BB38" i="8"/>
  <c r="BA38" i="8"/>
  <c r="AZ38" i="8"/>
  <c r="AY38" i="8"/>
  <c r="AX38" i="8"/>
  <c r="AW38" i="8"/>
  <c r="AV38" i="8"/>
  <c r="AU38" i="8"/>
  <c r="AT38" i="8"/>
  <c r="AS38" i="8"/>
  <c r="AR38" i="8"/>
  <c r="AQ38" i="8"/>
  <c r="AP38" i="8"/>
  <c r="AO38" i="8"/>
  <c r="AN38" i="8"/>
  <c r="AM38" i="8"/>
  <c r="AL38" i="8"/>
  <c r="AK38" i="8"/>
  <c r="AJ38" i="8"/>
  <c r="AI38" i="8"/>
  <c r="AH38" i="8"/>
  <c r="AG38" i="8"/>
  <c r="AF38" i="8"/>
  <c r="AE38" i="8"/>
  <c r="AD38" i="8"/>
  <c r="AC38" i="8"/>
  <c r="AB38" i="8"/>
  <c r="AA38" i="8"/>
  <c r="Z38" i="8"/>
  <c r="CW37" i="8"/>
  <c r="CV37" i="8"/>
  <c r="CU37" i="8"/>
  <c r="CT37" i="8"/>
  <c r="CS37" i="8"/>
  <c r="CR37" i="8"/>
  <c r="CQ37" i="8"/>
  <c r="CP37" i="8"/>
  <c r="CO37" i="8"/>
  <c r="CN37" i="8"/>
  <c r="CM37" i="8"/>
  <c r="CL37" i="8"/>
  <c r="CK37" i="8"/>
  <c r="CJ37" i="8"/>
  <c r="CI37" i="8"/>
  <c r="CH37" i="8"/>
  <c r="CG37" i="8"/>
  <c r="CF37" i="8"/>
  <c r="CE37" i="8"/>
  <c r="CD37" i="8"/>
  <c r="CC37" i="8"/>
  <c r="CB37" i="8"/>
  <c r="CA37" i="8"/>
  <c r="BZ37" i="8"/>
  <c r="BW37" i="8"/>
  <c r="BV37" i="8"/>
  <c r="BU37" i="8"/>
  <c r="BT37" i="8"/>
  <c r="BS37" i="8"/>
  <c r="BR37" i="8"/>
  <c r="BQ37" i="8"/>
  <c r="BP37" i="8"/>
  <c r="BO37" i="8"/>
  <c r="BN37" i="8"/>
  <c r="BM37" i="8"/>
  <c r="BL37" i="8"/>
  <c r="BK37" i="8"/>
  <c r="BJ37" i="8"/>
  <c r="BH37" i="8"/>
  <c r="BG37" i="8"/>
  <c r="BF37" i="8"/>
  <c r="BE37" i="8"/>
  <c r="BD37" i="8"/>
  <c r="BC37" i="8"/>
  <c r="BB37" i="8"/>
  <c r="BA37" i="8"/>
  <c r="AZ37" i="8"/>
  <c r="AY37" i="8"/>
  <c r="AX37" i="8"/>
  <c r="AW37" i="8"/>
  <c r="AV37" i="8"/>
  <c r="AU37" i="8"/>
  <c r="AT37" i="8"/>
  <c r="AS37" i="8"/>
  <c r="AR37" i="8"/>
  <c r="AQ37" i="8"/>
  <c r="AP37" i="8"/>
  <c r="AO37" i="8"/>
  <c r="AN37" i="8"/>
  <c r="AM37" i="8"/>
  <c r="AL37" i="8"/>
  <c r="AK37" i="8"/>
  <c r="AJ37" i="8"/>
  <c r="AI37" i="8"/>
  <c r="AH37" i="8"/>
  <c r="AG37" i="8"/>
  <c r="AF37" i="8"/>
  <c r="AE37" i="8"/>
  <c r="AD37" i="8"/>
  <c r="AA37" i="8"/>
  <c r="Z37" i="8"/>
  <c r="CW36" i="8"/>
  <c r="CV36" i="8"/>
  <c r="CU36" i="8"/>
  <c r="CT36" i="8"/>
  <c r="CS36" i="8"/>
  <c r="CR36" i="8"/>
  <c r="CQ36" i="8"/>
  <c r="CP36" i="8"/>
  <c r="CO36" i="8"/>
  <c r="CN36" i="8"/>
  <c r="CM36" i="8"/>
  <c r="CL36" i="8"/>
  <c r="CK36" i="8"/>
  <c r="CJ36" i="8"/>
  <c r="CI36" i="8"/>
  <c r="CH36" i="8"/>
  <c r="CG36" i="8"/>
  <c r="CF36" i="8"/>
  <c r="CE36" i="8"/>
  <c r="CD36" i="8"/>
  <c r="CC36" i="8"/>
  <c r="CB36" i="8"/>
  <c r="CA36" i="8"/>
  <c r="BZ36" i="8"/>
  <c r="BW36" i="8"/>
  <c r="BV36" i="8"/>
  <c r="BU36" i="8"/>
  <c r="BT36" i="8"/>
  <c r="BS36" i="8"/>
  <c r="BR36" i="8"/>
  <c r="BQ36" i="8"/>
  <c r="BP36" i="8"/>
  <c r="BO36" i="8"/>
  <c r="BN36" i="8"/>
  <c r="BM36" i="8"/>
  <c r="BL36" i="8"/>
  <c r="BK36" i="8"/>
  <c r="BJ36" i="8"/>
  <c r="BH36" i="8"/>
  <c r="BG36" i="8"/>
  <c r="BF36" i="8"/>
  <c r="BE36" i="8"/>
  <c r="BD36" i="8"/>
  <c r="BC36" i="8"/>
  <c r="BB36" i="8"/>
  <c r="BA36" i="8"/>
  <c r="AZ36" i="8"/>
  <c r="AY36" i="8"/>
  <c r="AX36" i="8"/>
  <c r="AW36" i="8"/>
  <c r="AV36" i="8"/>
  <c r="AU36" i="8"/>
  <c r="AT36" i="8"/>
  <c r="AS36" i="8"/>
  <c r="AR36" i="8"/>
  <c r="AQ36" i="8"/>
  <c r="AP36" i="8"/>
  <c r="AO36" i="8"/>
  <c r="AN36" i="8"/>
  <c r="AM36" i="8"/>
  <c r="AL36" i="8"/>
  <c r="AK36" i="8"/>
  <c r="AJ36" i="8"/>
  <c r="AI36" i="8"/>
  <c r="AH36" i="8"/>
  <c r="AG36" i="8"/>
  <c r="AF36" i="8"/>
  <c r="AE36" i="8"/>
  <c r="AD36" i="8"/>
  <c r="AA36" i="8"/>
  <c r="Z36" i="8"/>
  <c r="CW35" i="8"/>
  <c r="CU35" i="8"/>
  <c r="CS35" i="8"/>
  <c r="CQ35" i="8"/>
  <c r="CP35" i="8"/>
  <c r="CO35" i="8"/>
  <c r="CN35" i="8"/>
  <c r="CM35" i="8"/>
  <c r="CL35" i="8"/>
  <c r="CK35" i="8"/>
  <c r="CJ35" i="8"/>
  <c r="CI35" i="8"/>
  <c r="CH35" i="8"/>
  <c r="CG35" i="8"/>
  <c r="CF35" i="8"/>
  <c r="CE35" i="8"/>
  <c r="CD35" i="8"/>
  <c r="CC35" i="8"/>
  <c r="CB35" i="8"/>
  <c r="CA35" i="8"/>
  <c r="BZ35" i="8"/>
  <c r="BW35" i="8"/>
  <c r="BV35" i="8"/>
  <c r="BU35" i="8"/>
  <c r="BT35" i="8"/>
  <c r="BS35" i="8"/>
  <c r="BR35" i="8"/>
  <c r="BQ35" i="8"/>
  <c r="BP35" i="8"/>
  <c r="BO35" i="8"/>
  <c r="BN35" i="8"/>
  <c r="BM35" i="8"/>
  <c r="BL35" i="8"/>
  <c r="BK35" i="8"/>
  <c r="BJ35" i="8"/>
  <c r="BH35" i="8"/>
  <c r="BG35" i="8"/>
  <c r="BF35" i="8"/>
  <c r="BE35" i="8"/>
  <c r="BD35" i="8"/>
  <c r="BC35" i="8"/>
  <c r="BB35" i="8"/>
  <c r="BA35" i="8"/>
  <c r="AZ35" i="8"/>
  <c r="AY35" i="8"/>
  <c r="AX35" i="8"/>
  <c r="AW35" i="8"/>
  <c r="AV35" i="8"/>
  <c r="AU35" i="8"/>
  <c r="AT35" i="8"/>
  <c r="AS35" i="8"/>
  <c r="AR35" i="8"/>
  <c r="AQ35" i="8"/>
  <c r="AP35" i="8"/>
  <c r="AO35" i="8"/>
  <c r="AN35" i="8"/>
  <c r="AM35" i="8"/>
  <c r="AL35" i="8"/>
  <c r="AK35" i="8"/>
  <c r="AJ35" i="8"/>
  <c r="AI35" i="8"/>
  <c r="AH35" i="8"/>
  <c r="AG35" i="8"/>
  <c r="AF35" i="8"/>
  <c r="AE35" i="8"/>
  <c r="AD35" i="8"/>
  <c r="AA35" i="8"/>
  <c r="Z35" i="8"/>
  <c r="F33" i="8"/>
  <c r="F32" i="8"/>
  <c r="F31" i="8"/>
  <c r="F30" i="8"/>
  <c r="F29" i="8"/>
  <c r="F26" i="8"/>
  <c r="F27" i="8" s="1"/>
  <c r="I15" i="8"/>
  <c r="D13" i="8"/>
  <c r="I13" i="8"/>
  <c r="D14" i="8"/>
  <c r="I11" i="8"/>
  <c r="I12" i="8" s="1"/>
  <c r="D12" i="8"/>
  <c r="I10" i="8"/>
  <c r="D10" i="8"/>
  <c r="D9" i="8"/>
  <c r="I8" i="8"/>
  <c r="F21" i="7"/>
  <c r="E53" i="7"/>
  <c r="F53" i="7"/>
  <c r="E52" i="7"/>
  <c r="F52" i="7"/>
  <c r="E51" i="7"/>
  <c r="F51" i="7"/>
  <c r="E50" i="7"/>
  <c r="F50" i="7" s="1"/>
  <c r="E49" i="7"/>
  <c r="F49" i="7"/>
  <c r="E48" i="7"/>
  <c r="F48" i="7" s="1"/>
  <c r="E47" i="7"/>
  <c r="F47" i="7"/>
  <c r="E46" i="7"/>
  <c r="F46" i="7" s="1"/>
  <c r="AV45" i="7"/>
  <c r="E45" i="7"/>
  <c r="F45" i="7" s="1"/>
  <c r="E44" i="7"/>
  <c r="F44" i="7"/>
  <c r="E43" i="7"/>
  <c r="F43" i="7" s="1"/>
  <c r="E42" i="7"/>
  <c r="F42" i="7"/>
  <c r="E41" i="7"/>
  <c r="F41" i="7" s="1"/>
  <c r="E40" i="7"/>
  <c r="F40" i="7" s="1"/>
  <c r="R4" i="6"/>
  <c r="E39" i="7" s="1"/>
  <c r="F39" i="7" s="1"/>
  <c r="E38" i="7"/>
  <c r="F38" i="7"/>
  <c r="E37" i="7"/>
  <c r="F37" i="7"/>
  <c r="E36" i="7"/>
  <c r="F36" i="7"/>
  <c r="E35" i="7"/>
  <c r="F35" i="7" s="1"/>
  <c r="E34" i="7"/>
  <c r="F34" i="7"/>
  <c r="E26" i="7"/>
  <c r="E27" i="7"/>
  <c r="E31" i="7"/>
  <c r="F31" i="7"/>
  <c r="E25" i="7"/>
  <c r="E30" i="7" s="1"/>
  <c r="F30" i="7" s="1"/>
  <c r="E29" i="7"/>
  <c r="F29" i="7" s="1"/>
  <c r="F28" i="7"/>
  <c r="F27" i="7"/>
  <c r="G26" i="7"/>
  <c r="F26" i="7"/>
  <c r="F25" i="7"/>
  <c r="F24" i="7"/>
  <c r="F22" i="7"/>
  <c r="G21" i="7"/>
  <c r="G12" i="7"/>
  <c r="G10" i="7"/>
  <c r="G11" i="7" s="1"/>
  <c r="B11" i="7"/>
  <c r="B10" i="7"/>
  <c r="G9" i="7"/>
  <c r="B9" i="7"/>
  <c r="B8" i="7"/>
  <c r="G7" i="7"/>
  <c r="O15" i="6"/>
  <c r="K32" i="1"/>
  <c r="G32" i="1" s="1"/>
  <c r="D34" i="1"/>
  <c r="E34" i="1"/>
  <c r="E26" i="1"/>
  <c r="E32" i="1"/>
  <c r="D32" i="1"/>
  <c r="D26" i="1"/>
  <c r="D25" i="1"/>
  <c r="R26" i="1"/>
  <c r="G26" i="1" s="1"/>
  <c r="K26" i="1"/>
  <c r="R35" i="1"/>
  <c r="R34" i="1"/>
  <c r="R33" i="1"/>
  <c r="R32" i="1"/>
  <c r="R27" i="1"/>
  <c r="R28" i="1"/>
  <c r="R29" i="1"/>
  <c r="R30" i="1"/>
  <c r="E25" i="1"/>
  <c r="R25" i="1"/>
  <c r="G25" i="1" s="1"/>
  <c r="K25" i="1"/>
  <c r="K24" i="4"/>
  <c r="G24" i="4" s="1"/>
  <c r="K31" i="4"/>
  <c r="G31" i="4" s="1"/>
  <c r="K32" i="4"/>
  <c r="G32" i="4" s="1"/>
  <c r="K33" i="4"/>
  <c r="G33" i="4" s="1"/>
  <c r="K34" i="4"/>
  <c r="G34" i="4" s="1"/>
  <c r="K25" i="4"/>
  <c r="G25" i="4" s="1"/>
  <c r="K26" i="4"/>
  <c r="G26" i="4" s="1"/>
  <c r="K27" i="4"/>
  <c r="G27" i="4" s="1"/>
  <c r="K28" i="4"/>
  <c r="G28" i="4" s="1"/>
  <c r="K29" i="4"/>
  <c r="K41" i="4"/>
  <c r="D41" i="4" s="1"/>
  <c r="O41" i="4" s="1"/>
  <c r="F41" i="4"/>
  <c r="K40" i="4"/>
  <c r="D40" i="4" s="1"/>
  <c r="O40" i="4" s="1"/>
  <c r="G40" i="4" s="1"/>
  <c r="F40" i="4"/>
  <c r="K39" i="4"/>
  <c r="D39" i="4" s="1"/>
  <c r="O39" i="4" s="1"/>
  <c r="G39" i="4" s="1"/>
  <c r="F39" i="4"/>
  <c r="K38" i="4"/>
  <c r="F38" i="4"/>
  <c r="K37" i="4"/>
  <c r="D37" i="4" s="1"/>
  <c r="O37" i="4" s="1"/>
  <c r="F37" i="4"/>
  <c r="K35" i="4"/>
  <c r="G35" i="4" s="1"/>
  <c r="F34" i="4"/>
  <c r="E34" i="4"/>
  <c r="D34" i="4"/>
  <c r="F33" i="4"/>
  <c r="E33" i="4"/>
  <c r="D33" i="4"/>
  <c r="F32" i="4"/>
  <c r="E32" i="4"/>
  <c r="D32" i="4"/>
  <c r="F31" i="4"/>
  <c r="E31" i="4"/>
  <c r="D31" i="4"/>
  <c r="D30" i="4"/>
  <c r="M29" i="4"/>
  <c r="E29" i="4"/>
  <c r="D29" i="4"/>
  <c r="F28" i="4"/>
  <c r="E28" i="4"/>
  <c r="D28" i="4"/>
  <c r="F27" i="4"/>
  <c r="E27" i="4"/>
  <c r="D27" i="4"/>
  <c r="F26" i="4"/>
  <c r="E26" i="4"/>
  <c r="D26" i="4"/>
  <c r="F25" i="4"/>
  <c r="E25" i="4"/>
  <c r="D25" i="4"/>
  <c r="F24" i="4"/>
  <c r="E24" i="4"/>
  <c r="D24" i="4"/>
  <c r="M22" i="4"/>
  <c r="L22" i="4"/>
  <c r="F22" i="4" s="1"/>
  <c r="K20" i="4"/>
  <c r="D22" i="4" s="1"/>
  <c r="K21" i="4"/>
  <c r="F21" i="4"/>
  <c r="D21" i="4"/>
  <c r="F20" i="4"/>
  <c r="D20" i="4"/>
  <c r="K19" i="4"/>
  <c r="G19" i="4" s="1"/>
  <c r="F19" i="4"/>
  <c r="D19" i="4"/>
  <c r="N18" i="4"/>
  <c r="G14" i="4"/>
  <c r="B14" i="4"/>
  <c r="G13" i="4"/>
  <c r="B13" i="4"/>
  <c r="G11" i="4"/>
  <c r="G12" i="4" s="1"/>
  <c r="B12" i="4"/>
  <c r="B11" i="4"/>
  <c r="G10" i="4"/>
  <c r="B10" i="4"/>
  <c r="G9" i="4"/>
  <c r="B9" i="4"/>
  <c r="G8" i="4"/>
  <c r="B8" i="4"/>
  <c r="G7" i="4"/>
  <c r="B7" i="4"/>
  <c r="C1" i="4"/>
  <c r="K21" i="1"/>
  <c r="G21" i="1" s="1"/>
  <c r="G22" i="1" s="1"/>
  <c r="D22" i="1"/>
  <c r="K22" i="1"/>
  <c r="F22" i="1"/>
  <c r="D21" i="1"/>
  <c r="K20" i="1"/>
  <c r="G20" i="1" s="1"/>
  <c r="G15" i="1"/>
  <c r="B13" i="1"/>
  <c r="K42" i="1"/>
  <c r="G42" i="1" s="1"/>
  <c r="K41" i="1"/>
  <c r="D41" i="1" s="1"/>
  <c r="O41" i="1" s="1"/>
  <c r="K40" i="1"/>
  <c r="K39" i="1"/>
  <c r="D39" i="1" s="1"/>
  <c r="O39" i="1" s="1"/>
  <c r="K38" i="1"/>
  <c r="D38" i="1" s="1"/>
  <c r="O38" i="1" s="1"/>
  <c r="G38" i="1" s="1"/>
  <c r="D35" i="1"/>
  <c r="D33" i="1"/>
  <c r="D30" i="1"/>
  <c r="D29" i="1"/>
  <c r="D28" i="1"/>
  <c r="D27" i="1"/>
  <c r="K33" i="1"/>
  <c r="K34" i="1"/>
  <c r="G34" i="1" s="1"/>
  <c r="K35" i="1"/>
  <c r="G35" i="1" s="1"/>
  <c r="K27" i="1"/>
  <c r="G27" i="1" s="1"/>
  <c r="K28" i="1"/>
  <c r="G28" i="1" s="1"/>
  <c r="K29" i="1"/>
  <c r="G29" i="1" s="1"/>
  <c r="K30" i="1"/>
  <c r="E35" i="1"/>
  <c r="E33" i="1"/>
  <c r="E30" i="1"/>
  <c r="E29" i="1"/>
  <c r="E28" i="1"/>
  <c r="E27" i="1"/>
  <c r="B12" i="1"/>
  <c r="B10" i="1"/>
  <c r="D20" i="1"/>
  <c r="L23" i="1"/>
  <c r="F23" i="1" s="1"/>
  <c r="M23" i="1"/>
  <c r="N19" i="1"/>
  <c r="M30" i="1"/>
  <c r="K36" i="1"/>
  <c r="E36" i="1" s="1"/>
  <c r="D31" i="1"/>
  <c r="F33" i="1"/>
  <c r="F20" i="1"/>
  <c r="F21" i="1"/>
  <c r="F42" i="1"/>
  <c r="F41" i="1"/>
  <c r="F40" i="1"/>
  <c r="F39" i="1"/>
  <c r="F38" i="1"/>
  <c r="F29" i="1"/>
  <c r="F28" i="1"/>
  <c r="F27" i="1"/>
  <c r="F35" i="1"/>
  <c r="F32" i="1"/>
  <c r="F34" i="1"/>
  <c r="F26" i="1"/>
  <c r="F25" i="1"/>
  <c r="B8" i="1"/>
  <c r="B9" i="1"/>
  <c r="B11" i="1"/>
  <c r="G10" i="1"/>
  <c r="F24" i="12"/>
  <c r="F26" i="12"/>
  <c r="H24" i="12"/>
  <c r="E34" i="12"/>
  <c r="H44" i="12"/>
  <c r="H38" i="12"/>
  <c r="A7" i="21" l="1"/>
  <c r="C2" i="21" s="1"/>
  <c r="AW1" i="15"/>
  <c r="AW2" i="15" s="1"/>
  <c r="V3" i="15"/>
  <c r="R20" i="19"/>
  <c r="Q4" i="19"/>
  <c r="E26" i="19"/>
  <c r="G73" i="19"/>
  <c r="X84" i="19"/>
  <c r="E73" i="19"/>
  <c r="AY52" i="19"/>
  <c r="S52" i="19"/>
  <c r="R42" i="19"/>
  <c r="N11" i="19"/>
  <c r="T63" i="19"/>
  <c r="J63" i="19" s="1"/>
  <c r="T59" i="19"/>
  <c r="J59" i="19" s="1"/>
  <c r="K59" i="19" s="1"/>
  <c r="AC77" i="19"/>
  <c r="D54" i="19"/>
  <c r="V67" i="19"/>
  <c r="O52" i="19"/>
  <c r="P52" i="19"/>
  <c r="M31" i="19"/>
  <c r="F35" i="12"/>
  <c r="H35" i="12"/>
  <c r="E35" i="12"/>
  <c r="H31" i="12"/>
  <c r="E46" i="19"/>
  <c r="D46" i="19"/>
  <c r="J73" i="19"/>
  <c r="T71" i="19"/>
  <c r="F11" i="19"/>
  <c r="AJ57" i="19"/>
  <c r="AL57" i="19" s="1"/>
  <c r="AM58" i="19" s="1"/>
  <c r="F32" i="12"/>
  <c r="H32" i="12"/>
  <c r="G25" i="7"/>
  <c r="E23" i="12"/>
  <c r="H23" i="12"/>
  <c r="AL71" i="19"/>
  <c r="K69" i="19"/>
  <c r="AB77" i="19"/>
  <c r="D51" i="18"/>
  <c r="D61" i="18"/>
  <c r="D52" i="18"/>
  <c r="D62" i="18"/>
  <c r="D56" i="18"/>
  <c r="D65" i="18"/>
  <c r="I8" i="19"/>
  <c r="F8" i="19"/>
  <c r="H19" i="12"/>
  <c r="F7" i="12"/>
  <c r="F9" i="12"/>
  <c r="AJ69" i="19"/>
  <c r="AJ71" i="19" s="1"/>
  <c r="N67" i="19"/>
  <c r="X80" i="19" s="1"/>
  <c r="E67" i="19" s="1"/>
  <c r="P67" i="19"/>
  <c r="Q67" i="19" s="1"/>
  <c r="S69" i="19"/>
  <c r="W69" i="19" s="1"/>
  <c r="D69" i="19" s="1"/>
  <c r="S75" i="19"/>
  <c r="AL54" i="19"/>
  <c r="D48" i="19"/>
  <c r="P69" i="19"/>
  <c r="Q69" i="19" s="1"/>
  <c r="O75" i="19"/>
  <c r="D10" i="21"/>
  <c r="F11" i="21"/>
  <c r="E13" i="21" s="1"/>
  <c r="C1" i="7"/>
  <c r="AW2" i="7"/>
  <c r="O36" i="19"/>
  <c r="R38" i="19"/>
  <c r="O71" i="19"/>
  <c r="N71" i="19" s="1"/>
  <c r="X82" i="19" s="1"/>
  <c r="E71" i="19" s="1"/>
  <c r="O24" i="19"/>
  <c r="D46" i="18"/>
  <c r="D49" i="18"/>
  <c r="D53" i="18"/>
  <c r="D58" i="18"/>
  <c r="D63" i="18"/>
  <c r="D47" i="18"/>
  <c r="D50" i="18"/>
  <c r="D55" i="18"/>
  <c r="D59" i="18"/>
  <c r="D64" i="18"/>
  <c r="R28" i="19"/>
  <c r="D39" i="19" s="1"/>
  <c r="R24" i="19"/>
  <c r="N36" i="19" s="1"/>
  <c r="D298" i="18"/>
  <c r="D292" i="18"/>
  <c r="D299" i="18"/>
  <c r="D291" i="18"/>
  <c r="D300" i="18"/>
  <c r="P33" i="19"/>
  <c r="E20" i="19"/>
  <c r="AC69" i="19"/>
  <c r="Z71" i="19"/>
  <c r="Z63" i="19"/>
  <c r="T61" i="19"/>
  <c r="J61" i="19" s="1"/>
  <c r="D288" i="18"/>
  <c r="C148" i="19" s="1"/>
  <c r="F9" i="21"/>
  <c r="F10" i="21"/>
  <c r="C13" i="21" s="1"/>
  <c r="B31" i="15"/>
  <c r="C33" i="15"/>
  <c r="C31" i="15" s="1"/>
  <c r="B37" i="15"/>
  <c r="C37" i="15" s="1"/>
  <c r="A6" i="16"/>
  <c r="B6" i="16" s="1"/>
  <c r="F9" i="16"/>
  <c r="K22" i="4"/>
  <c r="G22" i="4" s="1"/>
  <c r="F19" i="12"/>
  <c r="F27" i="12"/>
  <c r="E42" i="12"/>
  <c r="E36" i="12"/>
  <c r="H27" i="12"/>
  <c r="F23" i="12"/>
  <c r="H49" i="12"/>
  <c r="F38" i="12"/>
  <c r="Q41" i="8"/>
  <c r="Q37" i="8"/>
  <c r="Q39" i="8"/>
  <c r="P35" i="8"/>
  <c r="Q38" i="8"/>
  <c r="P37" i="8"/>
  <c r="P39" i="8"/>
  <c r="Q35" i="8"/>
  <c r="P36" i="8"/>
  <c r="P38" i="8"/>
  <c r="P40" i="8"/>
  <c r="Q36" i="8"/>
  <c r="Q40" i="8"/>
  <c r="P41" i="8"/>
  <c r="R20" i="8"/>
  <c r="S36" i="8"/>
  <c r="S38" i="8"/>
  <c r="S40" i="8"/>
  <c r="R35" i="8"/>
  <c r="S21" i="8"/>
  <c r="R37" i="8"/>
  <c r="R41" i="8"/>
  <c r="R32" i="8"/>
  <c r="S29" i="8"/>
  <c r="R27" i="8"/>
  <c r="R22" i="8"/>
  <c r="S32" i="8"/>
  <c r="R26" i="8"/>
  <c r="R23" i="8"/>
  <c r="R36" i="8"/>
  <c r="R38" i="8"/>
  <c r="R40" i="8"/>
  <c r="S35" i="8"/>
  <c r="R31" i="8"/>
  <c r="R33" i="8"/>
  <c r="S26" i="8"/>
  <c r="S20" i="8"/>
  <c r="S24" i="8"/>
  <c r="R24" i="8"/>
  <c r="S31" i="8"/>
  <c r="S33" i="8"/>
  <c r="S27" i="8"/>
  <c r="R21" i="8"/>
  <c r="R39" i="8"/>
  <c r="R30" i="8"/>
  <c r="S22" i="8"/>
  <c r="S37" i="8"/>
  <c r="S39" i="8"/>
  <c r="S41" i="8"/>
  <c r="S30" i="8"/>
  <c r="R29" i="8"/>
  <c r="S23" i="8"/>
  <c r="I66" i="15"/>
  <c r="J66" i="15" s="1"/>
  <c r="U27" i="15"/>
  <c r="U29" i="15" s="1"/>
  <c r="T44" i="15" s="1"/>
  <c r="V27" i="15"/>
  <c r="A1" i="16"/>
  <c r="A7" i="16" s="1"/>
  <c r="C1" i="16" s="1"/>
  <c r="G20" i="4"/>
  <c r="G21" i="4" s="1"/>
  <c r="G29" i="4"/>
  <c r="D36" i="1"/>
  <c r="G30" i="1"/>
  <c r="AW1" i="4"/>
  <c r="G32" i="13"/>
  <c r="D35" i="4"/>
  <c r="E35" i="4"/>
  <c r="G36" i="1"/>
  <c r="D42" i="1"/>
  <c r="O42" i="1" s="1"/>
  <c r="G41" i="4"/>
  <c r="D40" i="1"/>
  <c r="O40" i="1" s="1"/>
  <c r="G40" i="1" s="1"/>
  <c r="G41" i="1"/>
  <c r="A42" i="4"/>
  <c r="K23" i="1"/>
  <c r="G23" i="1" s="1"/>
  <c r="A43" i="1"/>
  <c r="G39" i="1"/>
  <c r="G37" i="4"/>
  <c r="V3" i="1"/>
  <c r="D23" i="1"/>
  <c r="D38" i="4"/>
  <c r="O38" i="4" s="1"/>
  <c r="G38" i="4" s="1"/>
  <c r="G33" i="1"/>
  <c r="F30" i="1"/>
  <c r="F29" i="4"/>
  <c r="I8" i="21"/>
  <c r="U28" i="15"/>
  <c r="C53" i="15"/>
  <c r="I64" i="15"/>
  <c r="J64" i="15" s="1"/>
  <c r="V28" i="15"/>
  <c r="V58" i="15"/>
  <c r="I58" i="15" s="1"/>
  <c r="J58" i="15" s="1"/>
  <c r="I62" i="15"/>
  <c r="J62" i="15" s="1"/>
  <c r="D9" i="16"/>
  <c r="F10" i="16"/>
  <c r="D12" i="16"/>
  <c r="L20" i="15"/>
  <c r="C35" i="15"/>
  <c r="C51" i="15"/>
  <c r="I31" i="15"/>
  <c r="T42" i="15"/>
  <c r="L42" i="15" s="1"/>
  <c r="Q62" i="15"/>
  <c r="F62" i="15" s="1"/>
  <c r="F11" i="16"/>
  <c r="L57" i="13"/>
  <c r="Q57" i="13" s="1"/>
  <c r="D57" i="13" s="1"/>
  <c r="G41" i="13"/>
  <c r="G36" i="13"/>
  <c r="D44" i="13"/>
  <c r="G42" i="13"/>
  <c r="D42" i="13"/>
  <c r="G47" i="13"/>
  <c r="D39" i="13"/>
  <c r="L53" i="13"/>
  <c r="Q53" i="13" s="1"/>
  <c r="D53" i="13" s="1"/>
  <c r="G22" i="13"/>
  <c r="L59" i="13"/>
  <c r="Q59" i="13" s="1"/>
  <c r="D59" i="13" s="1"/>
  <c r="L58" i="13"/>
  <c r="Q58" i="13" s="1"/>
  <c r="D58" i="13" s="1"/>
  <c r="AW1" i="13"/>
  <c r="D43" i="13"/>
  <c r="D49" i="13"/>
  <c r="D38" i="13"/>
  <c r="L55" i="13"/>
  <c r="S55" i="13" s="1"/>
  <c r="F55" i="13" s="1"/>
  <c r="G43" i="13"/>
  <c r="G48" i="13"/>
  <c r="G28" i="13"/>
  <c r="D34" i="13"/>
  <c r="L54" i="13"/>
  <c r="S54" i="13" s="1"/>
  <c r="F54" i="13" s="1"/>
  <c r="L56" i="13"/>
  <c r="U58" i="13"/>
  <c r="H58" i="13" s="1"/>
  <c r="G50" i="13"/>
  <c r="D28" i="13"/>
  <c r="G34" i="13"/>
  <c r="V3" i="13"/>
  <c r="G20" i="13"/>
  <c r="G27" i="13"/>
  <c r="G29" i="13"/>
  <c r="K30" i="13"/>
  <c r="G37" i="13"/>
  <c r="F37" i="8"/>
  <c r="I30" i="12"/>
  <c r="E29" i="12"/>
  <c r="F49" i="12"/>
  <c r="E46" i="12"/>
  <c r="F22" i="12"/>
  <c r="H45" i="12"/>
  <c r="H36" i="12"/>
  <c r="E18" i="12"/>
  <c r="H18" i="12" s="1"/>
  <c r="F46" i="12"/>
  <c r="F37" i="12"/>
  <c r="E37" i="12"/>
  <c r="AW1" i="12"/>
  <c r="V3" i="12"/>
  <c r="F38" i="8"/>
  <c r="F41" i="8"/>
  <c r="AY1" i="8"/>
  <c r="F40" i="8"/>
  <c r="V3" i="8"/>
  <c r="F36" i="8"/>
  <c r="F35" i="8"/>
  <c r="F39" i="8"/>
  <c r="X37" i="8"/>
  <c r="X35" i="8"/>
  <c r="W41" i="8"/>
  <c r="X36" i="8"/>
  <c r="W40" i="8"/>
  <c r="X39" i="8"/>
  <c r="X40" i="8"/>
  <c r="X41" i="8"/>
  <c r="W35" i="8"/>
  <c r="W37" i="8"/>
  <c r="X38" i="8"/>
  <c r="W39" i="8"/>
  <c r="W38" i="8"/>
  <c r="W36" i="8"/>
  <c r="D375" i="18"/>
  <c r="C118" i="19" s="1"/>
  <c r="C1" i="21" l="1"/>
  <c r="I19" i="21"/>
  <c r="I23" i="21"/>
  <c r="I27" i="21"/>
  <c r="C14" i="21"/>
  <c r="I20" i="21"/>
  <c r="I24" i="21"/>
  <c r="I28" i="21"/>
  <c r="I17" i="21"/>
  <c r="I21" i="21"/>
  <c r="I25" i="21"/>
  <c r="I29" i="21"/>
  <c r="I26" i="21"/>
  <c r="I18" i="21"/>
  <c r="I22" i="21"/>
  <c r="D101" i="18"/>
  <c r="D103" i="18"/>
  <c r="D107" i="18"/>
  <c r="K61" i="19"/>
  <c r="D108" i="18"/>
  <c r="K18" i="19"/>
  <c r="M24" i="19"/>
  <c r="D102" i="18" s="1"/>
  <c r="D304" i="18"/>
  <c r="D308" i="18"/>
  <c r="D305" i="18"/>
  <c r="D306" i="18"/>
  <c r="D307" i="18"/>
  <c r="E39" i="19"/>
  <c r="G69" i="19"/>
  <c r="X81" i="19"/>
  <c r="E69" i="19" s="1"/>
  <c r="AL69" i="19"/>
  <c r="K67" i="19" s="1"/>
  <c r="M67" i="19"/>
  <c r="X59" i="19"/>
  <c r="K63" i="19"/>
  <c r="D249" i="18"/>
  <c r="D253" i="18"/>
  <c r="D251" i="18"/>
  <c r="AU32" i="19"/>
  <c r="D290" i="18"/>
  <c r="D294" i="18" s="1"/>
  <c r="D296" i="18"/>
  <c r="W33" i="19"/>
  <c r="R33" i="19"/>
  <c r="D297" i="18"/>
  <c r="G33" i="19"/>
  <c r="E33" i="19"/>
  <c r="N75" i="19"/>
  <c r="K48" i="19" s="1"/>
  <c r="P75" i="19"/>
  <c r="G71" i="19"/>
  <c r="M34" i="19"/>
  <c r="Q36" i="19" s="1"/>
  <c r="M33" i="19"/>
  <c r="N34" i="19" s="1"/>
  <c r="O63" i="19"/>
  <c r="E54" i="19"/>
  <c r="X71" i="19"/>
  <c r="P63" i="19"/>
  <c r="R63" i="19" s="1"/>
  <c r="Z75" i="19"/>
  <c r="Y75" i="19"/>
  <c r="O59" i="19" s="1"/>
  <c r="D67" i="18"/>
  <c r="C113" i="19" s="1"/>
  <c r="D330" i="18"/>
  <c r="D327" i="18"/>
  <c r="D332" i="18" s="1"/>
  <c r="C121" i="19" s="1"/>
  <c r="D328" i="18"/>
  <c r="D329" i="18"/>
  <c r="K73" i="19"/>
  <c r="K43" i="19" s="1"/>
  <c r="J43" i="19"/>
  <c r="Q2" i="19"/>
  <c r="Q3" i="19"/>
  <c r="AC75" i="19"/>
  <c r="AC78" i="19" s="1"/>
  <c r="P61" i="19" s="1"/>
  <c r="AB75" i="19"/>
  <c r="AB78" i="19" s="1"/>
  <c r="O61" i="19" s="1"/>
  <c r="E378" i="18"/>
  <c r="D383" i="18" s="1"/>
  <c r="C126" i="19" s="1"/>
  <c r="E382" i="18"/>
  <c r="E379" i="18"/>
  <c r="E380" i="18"/>
  <c r="AS59" i="19"/>
  <c r="E381" i="18"/>
  <c r="D323" i="18"/>
  <c r="V3" i="19"/>
  <c r="D320" i="18"/>
  <c r="D325" i="18" s="1"/>
  <c r="C158" i="19" s="1"/>
  <c r="D324" i="18"/>
  <c r="D85" i="18"/>
  <c r="D89" i="18"/>
  <c r="D72" i="18"/>
  <c r="D76" i="18"/>
  <c r="D321" i="18"/>
  <c r="D86" i="18"/>
  <c r="D90" i="18"/>
  <c r="D73" i="18"/>
  <c r="D77" i="18"/>
  <c r="D88" i="18"/>
  <c r="D70" i="18"/>
  <c r="D79" i="18" s="1"/>
  <c r="C114" i="19" s="1"/>
  <c r="P53" i="19"/>
  <c r="Q53" i="19" s="1"/>
  <c r="D313" i="18"/>
  <c r="D318" i="18" s="1"/>
  <c r="D128" i="18"/>
  <c r="D83" i="18"/>
  <c r="D93" i="18" s="1"/>
  <c r="C116" i="19" s="1"/>
  <c r="D91" i="18"/>
  <c r="D71" i="18"/>
  <c r="E48" i="19"/>
  <c r="D314" i="18"/>
  <c r="D129" i="18"/>
  <c r="D84" i="18"/>
  <c r="D74" i="18"/>
  <c r="N53" i="19"/>
  <c r="N26" i="19"/>
  <c r="N24" i="19" s="1"/>
  <c r="K22" i="19" s="1"/>
  <c r="N2" i="19"/>
  <c r="D315" i="18"/>
  <c r="D126" i="18"/>
  <c r="D133" i="18" s="1"/>
  <c r="D130" i="18"/>
  <c r="U3" i="19"/>
  <c r="N5" i="19" s="1"/>
  <c r="F135" i="19" s="1"/>
  <c r="D131" i="18"/>
  <c r="D69" i="18"/>
  <c r="D316" i="18"/>
  <c r="D127" i="18"/>
  <c r="D87" i="18"/>
  <c r="D322" i="18"/>
  <c r="U4" i="19"/>
  <c r="D75" i="18"/>
  <c r="D142" i="18"/>
  <c r="D143" i="18"/>
  <c r="D144" i="18"/>
  <c r="D140" i="18"/>
  <c r="D141" i="18"/>
  <c r="G52" i="19"/>
  <c r="D52" i="19"/>
  <c r="T52" i="19"/>
  <c r="G67" i="19"/>
  <c r="C30" i="16"/>
  <c r="I8" i="16"/>
  <c r="L18" i="15" s="1"/>
  <c r="A17" i="16"/>
  <c r="N35" i="8"/>
  <c r="S58" i="13"/>
  <c r="F58" i="13" s="1"/>
  <c r="V29" i="15"/>
  <c r="U44" i="15" s="1"/>
  <c r="U46" i="15" s="1"/>
  <c r="U57" i="13"/>
  <c r="H57" i="13" s="1"/>
  <c r="J42" i="15"/>
  <c r="T46" i="15"/>
  <c r="C62" i="15"/>
  <c r="C2" i="16"/>
  <c r="C13" i="16"/>
  <c r="S57" i="13"/>
  <c r="F57" i="13" s="1"/>
  <c r="S59" i="13"/>
  <c r="F59" i="13" s="1"/>
  <c r="U59" i="13"/>
  <c r="H59" i="13" s="1"/>
  <c r="O36" i="8"/>
  <c r="H27" i="8"/>
  <c r="U55" i="13"/>
  <c r="H55" i="13" s="1"/>
  <c r="U53" i="13"/>
  <c r="H53" i="13" s="1"/>
  <c r="Q55" i="13"/>
  <c r="D55" i="13" s="1"/>
  <c r="S53" i="13"/>
  <c r="F53" i="13" s="1"/>
  <c r="Q54" i="13"/>
  <c r="D54" i="13" s="1"/>
  <c r="U54" i="13"/>
  <c r="H54" i="13" s="1"/>
  <c r="U56" i="13"/>
  <c r="H56" i="13" s="1"/>
  <c r="Q56" i="13"/>
  <c r="D56" i="13" s="1"/>
  <c r="S56" i="13"/>
  <c r="F56" i="13" s="1"/>
  <c r="G30" i="13"/>
  <c r="D30" i="13"/>
  <c r="M37" i="8"/>
  <c r="M33" i="8"/>
  <c r="F30" i="12"/>
  <c r="H30" i="12"/>
  <c r="H15" i="12" s="1"/>
  <c r="A57" i="12" s="1"/>
  <c r="I26" i="8"/>
  <c r="M38" i="8"/>
  <c r="M36" i="8"/>
  <c r="M39" i="8"/>
  <c r="M35" i="8"/>
  <c r="H26" i="8"/>
  <c r="M40" i="8"/>
  <c r="U29" i="8"/>
  <c r="O29" i="8" s="1"/>
  <c r="V29" i="8" s="1"/>
  <c r="H29" i="8"/>
  <c r="N37" i="8"/>
  <c r="O37" i="8"/>
  <c r="M29" i="8"/>
  <c r="M41" i="8"/>
  <c r="O35" i="8"/>
  <c r="I27" i="8"/>
  <c r="U27" i="8"/>
  <c r="O27" i="8" s="1"/>
  <c r="V27" i="8" s="1"/>
  <c r="U23" i="8"/>
  <c r="O23" i="8" s="1"/>
  <c r="V23" i="8" s="1"/>
  <c r="H23" i="8"/>
  <c r="U26" i="8"/>
  <c r="M32" i="8"/>
  <c r="H30" i="8"/>
  <c r="U30" i="8"/>
  <c r="O30" i="8" s="1"/>
  <c r="V30" i="8" s="1"/>
  <c r="H31" i="8"/>
  <c r="U31" i="8"/>
  <c r="O31" i="8" s="1"/>
  <c r="V31" i="8" s="1"/>
  <c r="U22" i="8"/>
  <c r="O22" i="8" s="1"/>
  <c r="V22" i="8" s="1"/>
  <c r="H22" i="8"/>
  <c r="H32" i="8"/>
  <c r="U32" i="8"/>
  <c r="O32" i="8" s="1"/>
  <c r="V32" i="8" s="1"/>
  <c r="O41" i="8"/>
  <c r="N41" i="8"/>
  <c r="O38" i="8"/>
  <c r="N38" i="8"/>
  <c r="M31" i="8"/>
  <c r="N40" i="8"/>
  <c r="O40" i="8"/>
  <c r="O39" i="8"/>
  <c r="N39" i="8"/>
  <c r="M30" i="8"/>
  <c r="U24" i="8"/>
  <c r="H24" i="8"/>
  <c r="N36" i="8"/>
  <c r="H33" i="8"/>
  <c r="U33" i="8"/>
  <c r="O33" i="8" s="1"/>
  <c r="V33" i="8" s="1"/>
  <c r="U20" i="8"/>
  <c r="H20" i="8"/>
  <c r="U21" i="8"/>
  <c r="H21" i="8"/>
  <c r="D302" i="18" l="1"/>
  <c r="C152" i="19" s="1"/>
  <c r="AY54" i="19"/>
  <c r="AZ52" i="19" s="1"/>
  <c r="AY56" i="19" s="1"/>
  <c r="AB61" i="19"/>
  <c r="G61" i="19" s="1"/>
  <c r="D174" i="18"/>
  <c r="D178" i="18"/>
  <c r="D182" i="18"/>
  <c r="D179" i="18"/>
  <c r="D175" i="18"/>
  <c r="D183" i="18"/>
  <c r="AA61" i="19"/>
  <c r="R61" i="19"/>
  <c r="D152" i="18"/>
  <c r="D153" i="18"/>
  <c r="D157" i="18"/>
  <c r="D154" i="18"/>
  <c r="D158" i="18"/>
  <c r="D151" i="18"/>
  <c r="D160" i="18"/>
  <c r="D155" i="18"/>
  <c r="D163" i="18"/>
  <c r="D159" i="18"/>
  <c r="D156" i="18"/>
  <c r="D162" i="18"/>
  <c r="D161" i="18"/>
  <c r="BA54" i="19"/>
  <c r="BB54" i="19" s="1"/>
  <c r="D172" i="18"/>
  <c r="D176" i="18"/>
  <c r="D180" i="18"/>
  <c r="AC61" i="19"/>
  <c r="D173" i="18"/>
  <c r="D177" i="18"/>
  <c r="D181" i="18"/>
  <c r="X63" i="19"/>
  <c r="X52" i="19"/>
  <c r="E52" i="19"/>
  <c r="AB63" i="19"/>
  <c r="AU33" i="19"/>
  <c r="AV32" i="19" s="1"/>
  <c r="AU34" i="19" s="1"/>
  <c r="D236" i="18"/>
  <c r="D240" i="18"/>
  <c r="D244" i="18"/>
  <c r="D245" i="18"/>
  <c r="D241" i="18"/>
  <c r="D237" i="18"/>
  <c r="Q75" i="19"/>
  <c r="M48" i="19"/>
  <c r="D188" i="18"/>
  <c r="D192" i="18"/>
  <c r="D190" i="18"/>
  <c r="D104" i="18"/>
  <c r="D105" i="18"/>
  <c r="I33" i="21"/>
  <c r="AW33" i="19"/>
  <c r="D234" i="18"/>
  <c r="D238" i="18"/>
  <c r="D242" i="18"/>
  <c r="D235" i="18"/>
  <c r="D239" i="18"/>
  <c r="D243" i="18"/>
  <c r="AC63" i="19"/>
  <c r="AC114" i="19"/>
  <c r="AC116" i="19" s="1"/>
  <c r="AS66" i="19"/>
  <c r="AS67" i="19" s="1"/>
  <c r="AS61" i="19"/>
  <c r="AS63" i="19" s="1"/>
  <c r="AK58" i="19"/>
  <c r="AJ58" i="19"/>
  <c r="D119" i="18"/>
  <c r="G59" i="19"/>
  <c r="D120" i="18"/>
  <c r="D118" i="18"/>
  <c r="AA59" i="19"/>
  <c r="R59" i="19"/>
  <c r="R36" i="19"/>
  <c r="R37" i="19"/>
  <c r="AA63" i="19"/>
  <c r="M22" i="19"/>
  <c r="D106" i="18"/>
  <c r="D99" i="18"/>
  <c r="J52" i="19"/>
  <c r="D97" i="18"/>
  <c r="D113" i="18" s="1"/>
  <c r="C117" i="19" s="1"/>
  <c r="D98" i="18"/>
  <c r="T54" i="19"/>
  <c r="AX33" i="19"/>
  <c r="D311" i="18"/>
  <c r="C154" i="19" s="1"/>
  <c r="L44" i="15"/>
  <c r="J44" i="15"/>
  <c r="L46" i="15"/>
  <c r="J46" i="15"/>
  <c r="D43" i="18"/>
  <c r="C109" i="19" s="1"/>
  <c r="AB24" i="19"/>
  <c r="AB28" i="19"/>
  <c r="AB32" i="19"/>
  <c r="C14" i="16"/>
  <c r="AB25" i="19"/>
  <c r="AB29" i="19"/>
  <c r="AB33" i="19"/>
  <c r="C106" i="19"/>
  <c r="AB22" i="19"/>
  <c r="AB26" i="19"/>
  <c r="AB30" i="19"/>
  <c r="AB34" i="19"/>
  <c r="D24" i="18"/>
  <c r="C107" i="19" s="1"/>
  <c r="AB23" i="19"/>
  <c r="AB27" i="19"/>
  <c r="AB31" i="19"/>
  <c r="O20" i="8"/>
  <c r="V20" i="8" s="1"/>
  <c r="P20" i="8" s="1"/>
  <c r="K20" i="8"/>
  <c r="J20" i="8"/>
  <c r="O21" i="8"/>
  <c r="V21" i="8" s="1"/>
  <c r="T21" i="8" s="1"/>
  <c r="K21" i="8"/>
  <c r="J31" i="8"/>
  <c r="K31" i="8"/>
  <c r="J21" i="8"/>
  <c r="K33" i="8"/>
  <c r="J33" i="8"/>
  <c r="P29" i="8"/>
  <c r="U38" i="8"/>
  <c r="J24" i="8"/>
  <c r="K24" i="8"/>
  <c r="U41" i="8"/>
  <c r="J32" i="8"/>
  <c r="K32" i="8"/>
  <c r="K23" i="8"/>
  <c r="P23" i="8"/>
  <c r="T23" i="8"/>
  <c r="J23" i="8"/>
  <c r="J29" i="8"/>
  <c r="K29" i="8"/>
  <c r="U35" i="8"/>
  <c r="U37" i="8"/>
  <c r="U36" i="8"/>
  <c r="O24" i="8"/>
  <c r="V24" i="8" s="1"/>
  <c r="P24" i="8" s="1"/>
  <c r="U40" i="8"/>
  <c r="K22" i="8"/>
  <c r="P22" i="8"/>
  <c r="T22" i="8"/>
  <c r="U39" i="8"/>
  <c r="J22" i="8"/>
  <c r="K30" i="8"/>
  <c r="J30" i="8"/>
  <c r="O26" i="8"/>
  <c r="V26" i="8" s="1"/>
  <c r="T26" i="8" s="1"/>
  <c r="T27" i="8"/>
  <c r="D122" i="18" l="1"/>
  <c r="X58" i="19"/>
  <c r="N7" i="19"/>
  <c r="D252" i="18"/>
  <c r="D250" i="18"/>
  <c r="D257" i="18" s="1"/>
  <c r="D254" i="18"/>
  <c r="D204" i="18"/>
  <c r="D208" i="18"/>
  <c r="D205" i="18"/>
  <c r="D206" i="18"/>
  <c r="D203" i="18"/>
  <c r="D211" i="18" s="1"/>
  <c r="C140" i="19" s="1"/>
  <c r="D207" i="18"/>
  <c r="D164" i="18"/>
  <c r="C137" i="19" s="1"/>
  <c r="D138" i="18"/>
  <c r="D139" i="18"/>
  <c r="AJ73" i="19"/>
  <c r="AJ75" i="19" s="1"/>
  <c r="D136" i="18"/>
  <c r="D137" i="18"/>
  <c r="G63" i="19"/>
  <c r="D265" i="18"/>
  <c r="D266" i="18"/>
  <c r="D269" i="18"/>
  <c r="D267" i="18"/>
  <c r="D264" i="18"/>
  <c r="D270" i="18" s="1"/>
  <c r="C146" i="19" s="1"/>
  <c r="D268" i="18"/>
  <c r="K52" i="19"/>
  <c r="O2" i="19"/>
  <c r="AS64" i="19"/>
  <c r="AS65" i="19" s="1"/>
  <c r="AY48" i="19"/>
  <c r="AZ56" i="19" s="1"/>
  <c r="D247" i="18"/>
  <c r="D185" i="18"/>
  <c r="I20" i="16"/>
  <c r="I24" i="16"/>
  <c r="I28" i="16"/>
  <c r="I17" i="16"/>
  <c r="I21" i="16"/>
  <c r="I25" i="16"/>
  <c r="I29" i="16"/>
  <c r="F17" i="15"/>
  <c r="I18" i="16"/>
  <c r="I22" i="16"/>
  <c r="I26" i="16"/>
  <c r="I19" i="16"/>
  <c r="I23" i="16"/>
  <c r="I27" i="16"/>
  <c r="AB38" i="19"/>
  <c r="M26" i="19" s="1"/>
  <c r="T20" i="8"/>
  <c r="M20" i="8" s="1"/>
  <c r="P21" i="8"/>
  <c r="M22" i="8"/>
  <c r="B143" i="9" s="1"/>
  <c r="J39" i="8"/>
  <c r="H39" i="8"/>
  <c r="K39" i="8"/>
  <c r="K40" i="8"/>
  <c r="J40" i="8"/>
  <c r="H40" i="8"/>
  <c r="J36" i="8"/>
  <c r="K36" i="8"/>
  <c r="H36" i="8"/>
  <c r="M23" i="8"/>
  <c r="M21" i="8"/>
  <c r="B171" i="9"/>
  <c r="J41" i="8"/>
  <c r="K41" i="8"/>
  <c r="H41" i="8"/>
  <c r="K37" i="8"/>
  <c r="J37" i="8"/>
  <c r="H37" i="8"/>
  <c r="T24" i="8"/>
  <c r="M24" i="8" s="1"/>
  <c r="J38" i="8"/>
  <c r="K38" i="8"/>
  <c r="H38" i="8"/>
  <c r="H35" i="8"/>
  <c r="J35" i="8"/>
  <c r="K35" i="8"/>
  <c r="D191" i="18" l="1"/>
  <c r="D189" i="18"/>
  <c r="D196" i="18" s="1"/>
  <c r="D193" i="18"/>
  <c r="N6" i="19"/>
  <c r="F142" i="19" s="1"/>
  <c r="D148" i="18"/>
  <c r="C133" i="19" s="1"/>
  <c r="I33" i="16"/>
  <c r="I22" i="15" s="1"/>
  <c r="B115" i="9"/>
  <c r="B119" i="9"/>
  <c r="B140" i="9"/>
  <c r="B148" i="9"/>
  <c r="B114" i="9"/>
  <c r="B159" i="9"/>
  <c r="B105" i="9"/>
  <c r="B108" i="9"/>
  <c r="B170" i="9"/>
  <c r="B121" i="9"/>
  <c r="B100" i="9"/>
  <c r="B99" i="9"/>
  <c r="B101" i="9"/>
  <c r="B160" i="9"/>
  <c r="B104" i="9"/>
  <c r="B134" i="9"/>
  <c r="B125" i="9"/>
  <c r="B166" i="9"/>
  <c r="B176" i="9"/>
  <c r="B150" i="9"/>
  <c r="B110" i="9"/>
  <c r="B175" i="9"/>
  <c r="B155" i="9"/>
  <c r="B153" i="9"/>
  <c r="B138" i="9"/>
  <c r="B158" i="9"/>
  <c r="B109" i="9"/>
  <c r="B106" i="9"/>
  <c r="B169" i="9"/>
  <c r="B132" i="9"/>
  <c r="B130" i="9"/>
  <c r="B142" i="9"/>
  <c r="B120" i="9"/>
  <c r="B144" i="9"/>
  <c r="B137" i="9"/>
  <c r="B164" i="9"/>
  <c r="B174" i="9"/>
  <c r="B116" i="9"/>
  <c r="B165" i="9"/>
  <c r="B139" i="9"/>
  <c r="B149" i="9"/>
  <c r="B126" i="9"/>
  <c r="B154" i="9"/>
  <c r="B124" i="9"/>
  <c r="B6" i="9"/>
  <c r="B24" i="9"/>
  <c r="B16" i="9"/>
  <c r="B29" i="9"/>
  <c r="B20" i="9"/>
  <c r="B22" i="9"/>
  <c r="B8" i="9"/>
  <c r="B38" i="9"/>
  <c r="B34" i="9"/>
  <c r="B17" i="9"/>
  <c r="B13" i="9"/>
  <c r="B15" i="9"/>
  <c r="B10" i="9"/>
  <c r="B27" i="9"/>
  <c r="B36" i="9"/>
  <c r="B31" i="9"/>
  <c r="B49" i="9"/>
  <c r="B90" i="9"/>
  <c r="B78" i="9"/>
  <c r="B80" i="9"/>
  <c r="B76" i="9"/>
  <c r="B70" i="9"/>
  <c r="B56" i="9"/>
  <c r="B50" i="9"/>
  <c r="B46" i="9"/>
  <c r="B77" i="9"/>
  <c r="B60" i="9"/>
  <c r="B73" i="9"/>
  <c r="B66" i="9"/>
  <c r="B87" i="9"/>
  <c r="B63" i="9"/>
  <c r="B59" i="9"/>
  <c r="B61" i="9"/>
  <c r="B86" i="9"/>
  <c r="B51" i="9"/>
  <c r="B53" i="9"/>
  <c r="B68" i="9"/>
  <c r="B88" i="9"/>
  <c r="B83" i="9"/>
  <c r="D215" i="18" l="1"/>
  <c r="D219" i="18"/>
  <c r="D223" i="18"/>
  <c r="D216" i="18"/>
  <c r="D220" i="18"/>
  <c r="D224" i="18"/>
  <c r="D213" i="18"/>
  <c r="D217" i="18"/>
  <c r="D221" i="18"/>
  <c r="D225" i="18"/>
  <c r="D214" i="18"/>
  <c r="D218" i="18"/>
  <c r="D222" i="18"/>
  <c r="A99" i="9"/>
  <c r="C45" i="8" s="1"/>
  <c r="A46" i="9"/>
  <c r="C44" i="8" s="1"/>
  <c r="A6" i="9"/>
  <c r="C43" i="8" s="1"/>
  <c r="D231" i="18" l="1"/>
  <c r="C143" i="19" s="1"/>
  <c r="AE7"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FARAJ</author>
  </authors>
  <commentList>
    <comment ref="AK50" authorId="0" shapeId="0" xr:uid="{00000000-0006-0000-0900-000001000000}">
      <text>
        <r>
          <rPr>
            <b/>
            <sz val="8"/>
            <color indexed="81"/>
            <rFont val="Tahoma"/>
            <family val="2"/>
          </rPr>
          <t>FARAJ:</t>
        </r>
        <r>
          <rPr>
            <sz val="8"/>
            <color indexed="81"/>
            <rFont val="Tahoma"/>
            <family val="2"/>
          </rPr>
          <t xml:space="preserve">
MAUVISE OXYG2NATION DU SOL</t>
        </r>
      </text>
    </comment>
    <comment ref="AL50" authorId="0" shapeId="0" xr:uid="{00000000-0006-0000-0900-000002000000}">
      <text>
        <r>
          <rPr>
            <b/>
            <sz val="8"/>
            <color indexed="81"/>
            <rFont val="Tahoma"/>
            <family val="2"/>
          </rPr>
          <t>FARAJ:</t>
        </r>
        <r>
          <rPr>
            <sz val="8"/>
            <color indexed="81"/>
            <rFont val="Tahoma"/>
            <family val="2"/>
          </rPr>
          <t xml:space="preserve">
MAJORATION SOL ARGILEU
</t>
        </r>
      </text>
    </comment>
    <comment ref="AT56" authorId="0" shapeId="0" xr:uid="{00000000-0006-0000-0900-000003000000}">
      <text>
        <r>
          <rPr>
            <b/>
            <sz val="8"/>
            <color indexed="81"/>
            <rFont val="Tahoma"/>
            <family val="2"/>
          </rPr>
          <t>FARAJ:</t>
        </r>
        <r>
          <rPr>
            <sz val="8"/>
            <color indexed="81"/>
            <rFont val="Tahoma"/>
            <family val="2"/>
          </rPr>
          <t xml:space="preserve">
indice texture</t>
        </r>
      </text>
    </comment>
    <comment ref="AT57" authorId="0" shapeId="0" xr:uid="{00000000-0006-0000-0900-000004000000}">
      <text>
        <r>
          <rPr>
            <b/>
            <sz val="8"/>
            <color indexed="81"/>
            <rFont val="Tahoma"/>
            <family val="2"/>
          </rPr>
          <t>FARAJ:</t>
        </r>
        <r>
          <rPr>
            <sz val="8"/>
            <color indexed="81"/>
            <rFont val="Tahoma"/>
            <family val="2"/>
          </rPr>
          <t xml:space="preserve">
indice région</t>
        </r>
      </text>
    </comment>
    <comment ref="AT58" authorId="0" shapeId="0" xr:uid="{00000000-0006-0000-0900-000005000000}">
      <text>
        <r>
          <rPr>
            <b/>
            <sz val="8"/>
            <color indexed="81"/>
            <rFont val="Tahoma"/>
            <family val="2"/>
          </rPr>
          <t>FARAJ:</t>
        </r>
        <r>
          <rPr>
            <sz val="8"/>
            <color indexed="81"/>
            <rFont val="Tahoma"/>
            <family val="2"/>
          </rPr>
          <t xml:space="preserve">
région= nord, sud, centre,E
</t>
        </r>
      </text>
    </comment>
    <comment ref="AJ65" authorId="0" shapeId="0" xr:uid="{00000000-0006-0000-0900-000006000000}">
      <text>
        <r>
          <rPr>
            <b/>
            <sz val="8"/>
            <color indexed="81"/>
            <rFont val="Tahoma"/>
            <family val="2"/>
          </rPr>
          <t>FARAJ:</t>
        </r>
        <r>
          <rPr>
            <sz val="8"/>
            <color indexed="81"/>
            <rFont val="Tahoma"/>
            <family val="2"/>
          </rPr>
          <t xml:space="preserve">
sol montmorillonite: tirs sidi sliman, argile dahara=%argile.
Sol montmorillonite faible à moyenn hamri, dess: 2/3 % argile
autres sols: 1/3 %argile
</t>
        </r>
      </text>
    </comment>
    <comment ref="Z69" authorId="0" shapeId="0" xr:uid="{00000000-0006-0000-0900-000007000000}">
      <text>
        <r>
          <rPr>
            <b/>
            <sz val="8"/>
            <color indexed="81"/>
            <rFont val="Tahoma"/>
            <family val="2"/>
          </rPr>
          <t>FARAJ:</t>
        </r>
        <r>
          <rPr>
            <sz val="8"/>
            <color indexed="81"/>
            <rFont val="Tahoma"/>
            <family val="2"/>
          </rPr>
          <t xml:space="preserve">
enter val MO%</t>
        </r>
      </text>
    </comment>
    <comment ref="AC69" authorId="0" shapeId="0" xr:uid="{00000000-0006-0000-0900-000008000000}">
      <text>
        <r>
          <rPr>
            <b/>
            <sz val="8"/>
            <color indexed="81"/>
            <rFont val="Tahoma"/>
            <family val="2"/>
          </rPr>
          <t>FARAJ:</t>
        </r>
        <r>
          <rPr>
            <sz val="8"/>
            <color indexed="81"/>
            <rFont val="Tahoma"/>
            <family val="2"/>
          </rPr>
          <t xml:space="preserve">
entrer Val argile %</t>
        </r>
      </text>
    </comment>
    <comment ref="Z71" authorId="0" shapeId="0" xr:uid="{00000000-0006-0000-0900-000009000000}">
      <text>
        <r>
          <rPr>
            <b/>
            <sz val="8"/>
            <color indexed="81"/>
            <rFont val="Tahoma"/>
            <family val="2"/>
          </rPr>
          <t>FARAJ:</t>
        </r>
        <r>
          <rPr>
            <sz val="8"/>
            <color indexed="81"/>
            <rFont val="Tahoma"/>
            <family val="2"/>
          </rPr>
          <t xml:space="preserve">
entrer Val argile %</t>
        </r>
      </text>
    </comment>
    <comment ref="Y75" authorId="0" shapeId="0" xr:uid="{00000000-0006-0000-0900-00000A000000}">
      <text>
        <r>
          <rPr>
            <b/>
            <sz val="8"/>
            <color indexed="81"/>
            <rFont val="Tahoma"/>
            <family val="2"/>
          </rPr>
          <t>FARAJ:</t>
        </r>
        <r>
          <rPr>
            <sz val="8"/>
            <color indexed="81"/>
            <rFont val="Tahoma"/>
            <family val="2"/>
          </rPr>
          <t xml:space="preserve">
MIN Souhaitable</t>
        </r>
      </text>
    </comment>
    <comment ref="Z75" authorId="0" shapeId="0" xr:uid="{00000000-0006-0000-0900-00000B000000}">
      <text>
        <r>
          <rPr>
            <b/>
            <sz val="8"/>
            <color indexed="81"/>
            <rFont val="Tahoma"/>
            <family val="2"/>
          </rPr>
          <t>FARAJ:</t>
        </r>
        <r>
          <rPr>
            <sz val="8"/>
            <color indexed="81"/>
            <rFont val="Tahoma"/>
            <family val="2"/>
          </rPr>
          <t xml:space="preserve">
Max souhaitable</t>
        </r>
      </text>
    </comment>
  </commentList>
</comments>
</file>

<file path=xl/sharedStrings.xml><?xml version="1.0" encoding="utf-8"?>
<sst xmlns="http://schemas.openxmlformats.org/spreadsheetml/2006/main" count="3047" uniqueCount="1301">
  <si>
    <t>Adresse</t>
  </si>
  <si>
    <t>Culture</t>
  </si>
  <si>
    <t>Paramètres</t>
  </si>
  <si>
    <t>Sym.</t>
  </si>
  <si>
    <t>Appréciation</t>
  </si>
  <si>
    <t>K</t>
  </si>
  <si>
    <t>Mg</t>
  </si>
  <si>
    <t>Ca</t>
  </si>
  <si>
    <t>Na</t>
  </si>
  <si>
    <t>Cl</t>
  </si>
  <si>
    <t>OLIGO-ELEMENTS</t>
  </si>
  <si>
    <t>Zinc</t>
  </si>
  <si>
    <t>Zn</t>
  </si>
  <si>
    <t>Cuivre</t>
  </si>
  <si>
    <t>Cu</t>
  </si>
  <si>
    <t>Manganèse</t>
  </si>
  <si>
    <t>Mn</t>
  </si>
  <si>
    <t>Fer</t>
  </si>
  <si>
    <t>Fe</t>
  </si>
  <si>
    <t>Bore</t>
  </si>
  <si>
    <t>B</t>
  </si>
  <si>
    <t>-</t>
  </si>
  <si>
    <t>Elément</t>
  </si>
  <si>
    <t>Test 1</t>
  </si>
  <si>
    <t>Test 2</t>
  </si>
  <si>
    <t>Test 3</t>
  </si>
  <si>
    <t>Test 4</t>
  </si>
  <si>
    <t>Commentaire</t>
  </si>
  <si>
    <t>AZOTE</t>
  </si>
  <si>
    <t>N Très Faible</t>
  </si>
  <si>
    <t>N/Ca faible</t>
  </si>
  <si>
    <t>Teneur très limitée en azote aussi bien en niveau qu'en équlibre avec le calcium. Cela traduit un végétal plus sénescent que la référence. Vérifier la disponibilité azotée et hydrique sur cette parcelle (en terme de quantité et de régularité des apports).</t>
  </si>
  <si>
    <t>N/Ca correct</t>
  </si>
  <si>
    <t>Teneur très faible en azote, mais en équilibre correct vis-à-vis du calcium. Cela montre un déséquilibre végétatif très important ou un phénomène de dilution.</t>
  </si>
  <si>
    <t>N/Ca élevé</t>
  </si>
  <si>
    <t xml:space="preserve"> Très faibles teneurs en azote et en calcium, montrant un phénomène de dilution. Le rapport N/Ca élevé, traduit des feuilles trop juvéniles. Ne pas accentuer les apports en azote et vérifier impérativement la disponibilité en calcium.</t>
  </si>
  <si>
    <t>N Faible</t>
  </si>
  <si>
    <t>Teneur limitée en azote aussi bien en niveau qu'en équlibre avec le calcium. Cela traduit un végétal plus sénescent que la référence. Vérifier la disponibilité azotée et hydrique sur cette parcelle (en terme de quantité et de régularité des apports).</t>
  </si>
  <si>
    <t>Calcium="faible"</t>
  </si>
  <si>
    <t xml:space="preserve">Teneur faible en azote, mais en équilibre correct vis-à-vis du calcium. Cela montre un déséquilibre végétatif important ou un phénomène de dilution. </t>
  </si>
  <si>
    <t>Teneur faible en azote. Vérifier l'équilibre végétatif et la disponibilité azotée et hydrique sur cette parcelle.</t>
  </si>
  <si>
    <t>Faibles teneurs en azote et en calcium, montrant un phénomène de dilution. Le rapport N/Ca élevé, traduit des feuilles trop juvéniles. Ne pas accentuer les apports en azote. Vérifier impérativement la disponibilité en calcium du sol.</t>
  </si>
  <si>
    <t>N Correct</t>
  </si>
  <si>
    <t>Niveau correct en azote, mais trop moyen par rapport au calcium. Vérifier l'équilibre végétatif et la disponibilité azotée et hydrique sur cette parcelle.</t>
  </si>
  <si>
    <t>Niveau correct en azote et en équilibre favorable vis-à-vis du calcium, montrant une bonne gestion de la fertilisation azotée.</t>
  </si>
  <si>
    <t>Teneur correcte en azote, mais trop élevée par rapport au calcium, montrant des feuilles plus juvéniles que la référence. Ne pas accentuer les apports azotés et vérifier la disponibilité en calcium du sol.</t>
  </si>
  <si>
    <t>N Elevé</t>
  </si>
  <si>
    <t>Niveaux soutenus en azote et calcium liés à un effet de concentration, mais le rapport N/Ca est limité. Vérifier l'équilibre végétatif / fructifère et la disponibilité hydrique.</t>
  </si>
  <si>
    <t>Niveau déja soutenu en azote, mais en équilibre correct avec le calcium, ne pas accentuer les apports d'azote sur cette parcelle.</t>
  </si>
  <si>
    <t>Teneur soutenue en azote, accentuée par le moindre niveau en calcium. Cela traduit un retard végétatif ou une disponibilité trop soutenue en azote. Ne pas accentuer les apports azotés ou hydrique sur cette parcelle.</t>
  </si>
  <si>
    <t>N Très Elevé</t>
  </si>
  <si>
    <t>Niveaux très soutenus en azote et calcium liés à un effet de concentration, mais le rapport N/Ca est limité. Vérifier l'équilibre végétatif et fructifère et la disponibilité hydrique.</t>
  </si>
  <si>
    <t>Niveau très élevé en azote, mais en équilibre correct avec le calcium, ne pas accentuer les apports d'azote sur cette parcelle.</t>
  </si>
  <si>
    <t>Teneur très soutenue en azote, accentuée par le moindre niveau en calcium. Cela traduit un retard végétatif ou une disponibilité trop soutenue en azote. Ne pas accentuer les apports azotés ou hydrique sur cette parcelle.</t>
  </si>
  <si>
    <t>PHOSPHORE</t>
  </si>
  <si>
    <t>P Très Faible</t>
  </si>
  <si>
    <t>N/P faible</t>
  </si>
  <si>
    <t>Teneur en phosphore  très limitée mais en équilibre correct avec l'azote. Maintenir ce rapport favorable en augmentant proportionnellement la disponibilité en azote et en phosphore.</t>
  </si>
  <si>
    <t>N/P correct</t>
  </si>
  <si>
    <t xml:space="preserve"> </t>
  </si>
  <si>
    <t>Les teneurs réduites en anions (N,P) montrent une difficulté végétative importante. La disponibilité du phosphore a été insuffisante ici.</t>
  </si>
  <si>
    <t>Teneur très faible en phosphore, mais en équilibre correct avec l'azote. Cela traduit un déséquilibre végétatif ou un phénomène de dilution.</t>
  </si>
  <si>
    <t>Teneur très faible en phosphore, mais en équilibre correct avec l'azote. Cela traduit un déséquilibre végétatif et ne justifie pas d'augmenter les apports de P2O5.</t>
  </si>
  <si>
    <t>N/P élevé</t>
  </si>
  <si>
    <t xml:space="preserve"> Teneur en phosphore  très faible, insister sur les apports en cet élément après avoir vérifié sa disponibilité au sol. Attention à un éventuel blocage par l'azote.</t>
  </si>
  <si>
    <t>P Faible</t>
  </si>
  <si>
    <t>Teneur en phosphore  faible, insister sur les apports en cet élément après avoir vérifié sa disponibilité au sol. Attention à un éventuel blocage par l'azote.</t>
  </si>
  <si>
    <t>Teneur  faible en phosphore, mais en équilibre correct avec l'azote. Cela traduit un déséquilibre végétatif ou un phénomène de dilution.</t>
  </si>
  <si>
    <t>Teneur  faible en phosphore, mais en équilibre correct avec l'azote. Cela traduit un déséquilibre végétatif et ne justifie pas d'augmenter les apports de P2O5.</t>
  </si>
  <si>
    <t xml:space="preserve"> Teneur en phosphore  faible, insister sur les apports en cet élément après avoir vérifié sa disponibilité au sol. Attention à un éventuel blocage par l'azote.</t>
  </si>
  <si>
    <t>P Correct</t>
  </si>
  <si>
    <t>Niveau correct en phosphore.  Il est inutile d'augmenter ici les apports en cet élément.</t>
  </si>
  <si>
    <t>Teneur favorable en phosphore, en niveau et en équilibre avec l'azote.</t>
  </si>
  <si>
    <t>Teneur correcte en phosphore, mais en équilibre défavorable par rapport à l'azote. Maintenir une disponibilité suffisante en phosphore et vérifier le fonctionnement du sol et l'équilibre N / P2O5 de la fertilisation.</t>
  </si>
  <si>
    <t>P Elevé</t>
  </si>
  <si>
    <t>Teneur élevée en phosphore mais non pénalisante. Cela traduit souvent un manque précoce d'azote. Vérifier l'équilibre N / P2O5 de la fertilisation.</t>
  </si>
  <si>
    <t xml:space="preserve">Teneur soutenue en phosphore, là aussi ne pas accentuer les apports de P2O5. </t>
  </si>
  <si>
    <t>Teneur élevée en phosphore, liée à un phénomène de concentration. Ne pas diminuer, s'il y a lieu les apports en P2O5.</t>
  </si>
  <si>
    <t>Teneur soutenue en anions (azote, phosphore) montrant un végétal juvénile.</t>
  </si>
  <si>
    <t>Niveau soutenu en phosphore mais en équilibre trop faible par rapport à l'azote. Maintenir, s'il y a lieu, des apports suffisants en P2O5.</t>
  </si>
  <si>
    <t>P Très Elevé</t>
  </si>
  <si>
    <t>Teneur très élevée en phosphore mais non pénalisante. Cela traduit souvent un manque précoce d'azote. Vérifier l'équilibre N / P2O5 de la fertilisation.</t>
  </si>
  <si>
    <t>Teneur très soutenue en anions (azote, phosphore) montrant un végétal juvénile.</t>
  </si>
  <si>
    <t>Teneur très élevée en phosphore, liée à un phénomène de concentration. Ne pas diminuer, s'il y a lieu les apports en P2O5.</t>
  </si>
  <si>
    <t xml:space="preserve">Teneur très soutenue en phosphore, là aussi ne pas accentuer les apports de P2O5. </t>
  </si>
  <si>
    <t>Niveau très soutenu en phosphore mais en équilibre trop faible par rapport à l'azote. Maintenir, s'il y a lieu, des apports suffisants en P2O5.</t>
  </si>
  <si>
    <t>POTASSIUM</t>
  </si>
  <si>
    <t>K Très Faible</t>
  </si>
  <si>
    <t>N/K faible</t>
  </si>
  <si>
    <t>Teneur très limitée en potassium montrant avec l'azote un problème de disponibilité minérale ou hydrique sur cette parcelle. Vérifier les réserves du sol en potasse et les apports de K2O (niveau, fractionnement,...etc).</t>
  </si>
  <si>
    <t>Très faible teneur en potassium liée à un phénomène de dilution, il est inutile d'augmenter les apports de K2O.</t>
  </si>
  <si>
    <t>Très faible teneur en potassium liée à un phénomène de dilution, il est inutile d'augmenter les apports en K2O.</t>
  </si>
  <si>
    <t>N/K correct</t>
  </si>
  <si>
    <t>Très faible teneur en potassium, montrant un problème important de disponibilité en K2O (sol, fertilisation) ou en eau.</t>
  </si>
  <si>
    <t>N/K élevé</t>
  </si>
  <si>
    <t>Teneur  très faible en potassium ; vérifier la disponibilité en potasse du sol ; les apports en K2O sont-ils suffisants (niveau, fractionnement...) ?</t>
  </si>
  <si>
    <t>K Faible</t>
  </si>
  <si>
    <t>Teneur limitée en potassium montrant avec l'azote un problème de disponibilité minérale ou hydrique sur cette parcelle. Vérifier les réserves du sol en potasse et les apports de K2O (niveau, fractionnement,...etc).</t>
  </si>
  <si>
    <t>Faible teneur en potassium liée à un phénomène de dilution, il est inutile d'augmenter les apports de K2O.</t>
  </si>
  <si>
    <t>Faible teneur en potassium liée à un phénomène de dilution, il est inutile d'augmenter les apports en K2O.</t>
  </si>
  <si>
    <t>Faible teneur en potassium, montrant un problème important de disponibilité en K2O (sol, fertilisation) ou en eau.</t>
  </si>
  <si>
    <t>Teneur  faible en potassium ; vérifier la disponibilité en potasse du sol ; les apports en K2O sont-ils suffisants (niveau, fractionnement...) ?</t>
  </si>
  <si>
    <t>K correct</t>
  </si>
  <si>
    <t>K/Ca faible</t>
  </si>
  <si>
    <t>Niveau correct en potassium, mais en équilibre faible vis-à-vis du calcium. Vérifier la disponibilité en K2O (sol, fertilisation) et surtout en eau sur cette parcelle.</t>
  </si>
  <si>
    <t>ET(Potassium="correct";NsurK="Faible";NsurCa="Faible")</t>
  </si>
  <si>
    <t>Teneur correcte en potassium, il est inutile d'accentuer les apports en cet élément.</t>
  </si>
  <si>
    <t>K/Ca correct</t>
  </si>
  <si>
    <t>ET(Potassium="correct";NsurK="Faible";NsurCa="correct")</t>
  </si>
  <si>
    <t>K/Ca élevé</t>
  </si>
  <si>
    <t>ET(Potassium="correct";NsurK="Faible";NsurCa="Elevé")</t>
  </si>
  <si>
    <t>Niveau correct en potassium, mais en équilibre trop faible vis-à-vis du calcium. Vérifier la disponibilité en K2O (sol, fertilisation) et surtout en eau sur cette parcelle.</t>
  </si>
  <si>
    <t>Niveau favorable en potassium, en équilibre avec l'azote. Ne pas accentuer les apports en K2O.</t>
  </si>
  <si>
    <t>Niveau correct en potassium, mais trop élevé par rapport au calcium. Attention à l'antagonisme entre ces deux éléments.</t>
  </si>
  <si>
    <t>Teneur correcte en potassium mais trop faible par rapport à l'azote. Contrôler l'équilibre N / K2O de la fertilisation et du sol.</t>
  </si>
  <si>
    <t>K élevé</t>
  </si>
  <si>
    <t>Teneur élevée en potassium liée essentiellement à un manque de disponibilité azotée. Cela ne justifie pas forcément de diminuer les apports de K2O.</t>
  </si>
  <si>
    <t>Teneur élevée en potassium par rapport aux autres éléments majeurs. Attention aux risques de limitation végétative. Ne pas augmenter, voire diminuer les apports de K2O.</t>
  </si>
  <si>
    <t>Potassium soutenu, lié à un phénomène de concentration, cela ne justifie pas forcément de diminuer les apports en K2O.</t>
  </si>
  <si>
    <t>Niveau élevé en potassium, montrant une disponibilité potassique ou hydrique très soutenue. Ne pas accentuer, voire diminuer, les apports en K2O. Attention à l'antagonisme potassium / calcium.</t>
  </si>
  <si>
    <t>K très élevé</t>
  </si>
  <si>
    <t>Teneur très élevée en potassium liée essentiellement à un manque de disponibilité azotée. Cela ne justifie pas forcément de diminuer les apports de K2O.</t>
  </si>
  <si>
    <t>Teneur très élevée en potassium par rapport aux autres éléments majeurs. Attention aux risques de limitation végétative. Ne pas augmenter, voire diminuer les apports de K2O.</t>
  </si>
  <si>
    <t>Potassium très soutenu, lié à un phénomène de concentration, cela ne justifie pas forcément de diminuer les apports en K2O.</t>
  </si>
  <si>
    <t>Niveau très élevé en potassium, montrant une disponibilité potassique ou hydrique très soutenue. Ne pas accentuer, voire diminuer, les apports en K2O. Attention à l'antagonisme potassium / calcium.</t>
  </si>
  <si>
    <t>MAGNESIUM</t>
  </si>
  <si>
    <t>Mg très faible</t>
  </si>
  <si>
    <t>K faible</t>
  </si>
  <si>
    <t>Ca faible</t>
  </si>
  <si>
    <t>N faible</t>
  </si>
  <si>
    <t>Teneur très limitée en magnésium, à relier plutôt à un phénomène de dilution.</t>
  </si>
  <si>
    <t>N correct</t>
  </si>
  <si>
    <t>Teneur très limitée en magnésium, à relier à l'état juvénile de ces feuilles ; vérifier la disponibilité en magnésium.</t>
  </si>
  <si>
    <t>N élevé</t>
  </si>
  <si>
    <t>Teneur très réduite en magnésium, attention à un éventuel antagonisme avec le potassium. Vérifier la disponibilité du MgO au sol et dans la fertilisation.</t>
  </si>
  <si>
    <t>Ca correct</t>
  </si>
  <si>
    <t>Teneur très réduite en magnésium, attention à un éventuel antagonisme avec le calcium.. Vérifier la disponibilité du MgO au sol et dans la fertilisation.</t>
  </si>
  <si>
    <t>Teneur très réduite en magnésium, attention à un éventuel antagonisme avec le potassium et calcium. Vérifier la disponibilité du MgO au sol et dans la fertilisation.</t>
  </si>
  <si>
    <t>Teneur très réduite en magnésium, attention à l'antagonisme avec le potassium. Vérifier la disponibilité du MgO au sol et dans la fertilisation.</t>
  </si>
  <si>
    <t>Ca élevé</t>
  </si>
  <si>
    <t>Teneur très réduite en magnésium, attention à l'antagonisme avec le calcium.. Vérifier la disponibilité du MgO au sol et dans la fertilisation.</t>
  </si>
  <si>
    <t>Teneur très réduite en magnésium, attention à l'antagonisme avec le potassium et calcium. Vérifier la disponibilité du MgO au sol et dans la fertilisation.</t>
  </si>
  <si>
    <t>Mg faible</t>
  </si>
  <si>
    <t>Teneur limitée en magnésium, à relier plutôt à un phénomène de dilution.</t>
  </si>
  <si>
    <t>Teneur limitée en magnésium, à relier à l'état juvénile de ces feuilles ; vérifier la disponibilité en magnésium.</t>
  </si>
  <si>
    <t>Teneur réduite en magnésium, attention à un éventuel antagonisme avec le potassium. Vérifier la disponibilité du MgO au sol et dans la fertilisation.</t>
  </si>
  <si>
    <t>Teneur réduite en magnésium, attention à un éventuel antagonisme avec le calcium.. Vérifier la disponibilité du MgO au sol et dans la fertilisation.</t>
  </si>
  <si>
    <t>Teneur réduite en magnésium, attention à un éventuel antagonisme avec le potassium et calcium. Vérifier la disponibilité du MgO au sol et dans la fertilisation.</t>
  </si>
  <si>
    <t>Teneur réduite en magnésium, attention à l'antagonisme avec le potassium. Vérifier la disponibilité du MgO au sol et dans la fertilisation.</t>
  </si>
  <si>
    <t>Teneur réduite en magnésium, attention à l'antagonisme avec le calcium.. Vérifier la disponibilité du MgO au sol et dans la fertilisation.</t>
  </si>
  <si>
    <t>Teneur réduite en magnésium, attention à l'antagonisme avec le potassium et calcium. Vérifier la disponibilité du MgO au sol et dans la fertilisation.</t>
  </si>
  <si>
    <t>Mg correct</t>
  </si>
  <si>
    <t xml:space="preserve"> Teneur correcte en soi en magnésium, mais déja soutenue par rapport au calcium et potassium . Attention à un éventuel antagonisme.</t>
  </si>
  <si>
    <t>Teneur correcte en soi en magnésium mais un peu élevée par rapport au potassium. Attention à l'équilibre entre ces deux éléments.</t>
  </si>
  <si>
    <t>Teneur correcte en soi en magnésium, mais trop limitée par rapport au calcium . Accentuer le soutien en MgO.</t>
  </si>
  <si>
    <t>K/Mg faible</t>
  </si>
  <si>
    <t>Niveau satisfaisant en magnésium ; vérifier cependant à ce que cela ne participe pas à limiter les prélèvements en calcium ; attention le rapport K / Mg s'établit trop en faveur du magnésium</t>
  </si>
  <si>
    <t>K/Mg correct</t>
  </si>
  <si>
    <t>Niveau satisfaisant en magnésium ; vérifier cependant à ce que cela ne participe pas à limiter les prélèvements en calcium.</t>
  </si>
  <si>
    <t>K/Mg élevé</t>
  </si>
  <si>
    <t>Niveau satisfaisant en magnésium ; attention, cependant,  le rapport K / Mg s'établit trop en faveur du potassium</t>
  </si>
  <si>
    <t>Teneur correcte en soi en magnésium ; veiller cependant à ce que cet élément ne s'oppose pas au prélèvement du potassium.</t>
  </si>
  <si>
    <t>Teneur correcte en magnésium ne justifiant pas d'augmenter les apports en cet élément.</t>
  </si>
  <si>
    <t>Teneur correcte en soi en magnésium mais un peu faible par rapport au potassium.</t>
  </si>
  <si>
    <t>Teneur correcte en soi en magnésium, mais trop limitée par rapport au calcium . Accentuer le soutien en MgO en surveillant le rapport K / Mg..</t>
  </si>
  <si>
    <t>Teneur correcte en soi en magnésium mais faible par rapport au potassium. Attention à l'équilibre entre ces deux éléments.</t>
  </si>
  <si>
    <t>Teneur correcte en soi en magnésium, mais trop limitée par rapport au calcium et potassium. Accentuer le soutien en MgO.</t>
  </si>
  <si>
    <t>Mg élevé</t>
  </si>
  <si>
    <t>Niveau soutenu en magnésium qui peut participer à limiter les prélèvements du calcium et du potassium. Limiter, voire éviter, les apports de MgO au sol.</t>
  </si>
  <si>
    <t>Niveau soutenu en magnésium, au risque de participer aux difficultés de nutrition en potassium. Diminuer, s'il y a lieu, les apports de MgO.</t>
  </si>
  <si>
    <t>Niveau soutenu en magnésium et calcium, au risque de participer aux difficultés de nutrition en potassium. Diminuer, s'il y a lieu, les apports de MgO.</t>
  </si>
  <si>
    <t>Niveau soutenu en magnésium qui peut participer à limiter les prélèvements du calcium. Limiter, voire éviter, les apports de MgO au sol.</t>
  </si>
  <si>
    <t>Niveau soutenu en magnésium qui peut participer à limiter les prélèvements du calcium. Attention, le rapport K / Mg s'établit en défaveur du magnésium.</t>
  </si>
  <si>
    <t>Niveau soutenu en magnésium, ne pas accentuer les apports en cet élément. Attention, le rapport K / Mg s'établit en défaveur du potassium.</t>
  </si>
  <si>
    <t>Niveau soutenu en magnésium, ne pas accentuer les apports en cet élément.</t>
  </si>
  <si>
    <t>Niveau soutenu en magnésium ;  attention cependant le rapport K / Mg s'établit en défaveur du magnésium.</t>
  </si>
  <si>
    <t>Teneur soutenue en magnésium, en équilibre correct vis à vis des autres cations. Il n'y a pas lieu de modifier la fertilisation en MgO.</t>
  </si>
  <si>
    <t>Mg très élevé</t>
  </si>
  <si>
    <t>Niveau très soutenu en magnésium qui participe à limiter les prélèvements du calcium et du potassium. Limiter, voire éviter, les apports de MgO au sol.</t>
  </si>
  <si>
    <t>Niveau très soutenu en magnésium qui participe aux difficultés de nutrition en potassium. Diminuer, s'il y a lieu, les apports de MgO.</t>
  </si>
  <si>
    <t>Niveaux très soutenus en magnésium et calcium qui participent aux difficultés de nutrition en potassium. Diminuer, s'il y a lieu, les apports de MgO.</t>
  </si>
  <si>
    <t>Niveau très soutenu en magnésium qui participe à limiter les prélèvements du calcium et à réduire l'efficacité du potassium. Limiter, voire éviter, les apports de MgO au sol.</t>
  </si>
  <si>
    <t>Niveau très soutenu en magnésium qui  participe à réduire l'efficacité du calcium et du potassium. Limiter, voire éviter, les apports de MgO au sol.</t>
  </si>
  <si>
    <t>Niveau très soutenu en magnésium qui participe à limiter l'efficacité de la nutrition en potassium. Diminuer, s'il y a lieu, les apports de MgO.</t>
  </si>
  <si>
    <t>Niveau très soutenu en magnésium qui participe à limiter les prélèvements du calcium. Limiter, voire éviter, les apports de MgO au sol.</t>
  </si>
  <si>
    <t>Niveau très soutenu en magnésium qui participe à limiter les prélèvements du calcium. Attention, le rapport K / Mg s'établit en défaveur du magnésium.</t>
  </si>
  <si>
    <t>Niveau très soutenu en magnésium, ne pas accentuer les apports en cet élément. Attention, le rapport K / Mg s'établit en défaveur du potassium.</t>
  </si>
  <si>
    <t>Niveau très soutenu en magnésium, ne pas accentuer les apports en cet élément.</t>
  </si>
  <si>
    <t>Niveau très soutenu en magnésium ;  attention cependant le rapport K / Mg s'établit en défaveur du magnésium.</t>
  </si>
  <si>
    <t>Teneur très soutenue en magnésium, mais en équilibre correct vis à vis des autres cations. Il n'y a pas lieu de modifier la fertilisation en MgO.</t>
  </si>
  <si>
    <t>OLIGO - ELEMENTS</t>
  </si>
  <si>
    <t>Fer, Manganèse, Zinc, Cuivre, Bore</t>
  </si>
  <si>
    <t xml:space="preserve">Si </t>
  </si>
  <si>
    <t>N faible et</t>
  </si>
  <si>
    <t>Ca  faible et</t>
  </si>
  <si>
    <t xml:space="preserve"> =&gt; </t>
  </si>
  <si>
    <t>pas de commentaire sur les faibles teneurs en oligo-éléments</t>
  </si>
  <si>
    <t>N élevé et</t>
  </si>
  <si>
    <t>Ca  élevé et</t>
  </si>
  <si>
    <t>pas de commentaire sur les teneurs élevées en oligo-éléments</t>
  </si>
  <si>
    <t>x = dosage de l'élément X</t>
  </si>
  <si>
    <t>si x, y... compris entre</t>
  </si>
  <si>
    <t>1,2 fois et</t>
  </si>
  <si>
    <t>1,99 fois</t>
  </si>
  <si>
    <t>la valeur centrale</t>
  </si>
  <si>
    <t>commentaire         =</t>
  </si>
  <si>
    <t>ne pas accentuer, s'il y a lieu les apports en X, Y..</t>
  </si>
  <si>
    <t>si x, y.. compris entre</t>
  </si>
  <si>
    <t>0,8 fois</t>
  </si>
  <si>
    <t>0,2 fois</t>
  </si>
  <si>
    <t>insister, s'il y a lieu, sur les apports en X, Y….</t>
  </si>
  <si>
    <t xml:space="preserve">si x, y...  </t>
  </si>
  <si>
    <t>&gt; 2 fois</t>
  </si>
  <si>
    <t>attention aux risques de toxicité en X, Y….</t>
  </si>
  <si>
    <t xml:space="preserve"> &lt; 0,2 fois</t>
  </si>
  <si>
    <t>attention aux risques de carence en X, Y…</t>
  </si>
  <si>
    <t>Spécifique à Mn :</t>
  </si>
  <si>
    <t>Code</t>
  </si>
  <si>
    <t>Exploiteur</t>
  </si>
  <si>
    <t>Reçu le</t>
  </si>
  <si>
    <t>Mois</t>
  </si>
  <si>
    <t>Année</t>
  </si>
  <si>
    <t>Q</t>
  </si>
  <si>
    <t>Matrice</t>
  </si>
  <si>
    <t>Nature</t>
  </si>
  <si>
    <t>Référence</t>
  </si>
  <si>
    <t>Varièté</t>
  </si>
  <si>
    <t>Menu</t>
  </si>
  <si>
    <t>Prélevé le</t>
  </si>
  <si>
    <t>Commercial</t>
  </si>
  <si>
    <t>Zone</t>
  </si>
  <si>
    <t>TAT WD</t>
  </si>
  <si>
    <t>Deadline</t>
  </si>
  <si>
    <t>Rapport</t>
  </si>
  <si>
    <t>TAT</t>
  </si>
  <si>
    <t>Horizon 1</t>
  </si>
  <si>
    <t>Horizon 2</t>
  </si>
  <si>
    <t>GPS 1</t>
  </si>
  <si>
    <t>GPS 2</t>
  </si>
  <si>
    <t>Organisme</t>
  </si>
  <si>
    <t>Adresse_Org</t>
  </si>
  <si>
    <t>Ville2</t>
  </si>
  <si>
    <t>Chlorure</t>
  </si>
  <si>
    <t>CIN</t>
  </si>
  <si>
    <r>
      <t xml:space="preserve">Coordinatrice du laboratoire                     </t>
    </r>
    <r>
      <rPr>
        <sz val="12"/>
        <color theme="1"/>
        <rFont val="Verdana"/>
        <family val="2"/>
      </rPr>
      <t>Asmaa Ben Hida</t>
    </r>
  </si>
  <si>
    <r>
      <t xml:space="preserve">Responsable Laboratoire               </t>
    </r>
    <r>
      <rPr>
        <sz val="12"/>
        <color theme="1"/>
        <rFont val="Verdana"/>
        <family val="2"/>
      </rPr>
      <t xml:space="preserve">RACHAK Zouhair </t>
    </r>
    <r>
      <rPr>
        <b/>
        <sz val="12"/>
        <color theme="1"/>
        <rFont val="Verdana"/>
        <family val="2"/>
      </rPr>
      <t xml:space="preserve">                                                    </t>
    </r>
  </si>
  <si>
    <t>Nitrates</t>
  </si>
  <si>
    <t>Ammonium</t>
  </si>
  <si>
    <t>Sulfates</t>
  </si>
  <si>
    <t>Phosphates</t>
  </si>
  <si>
    <t>Bicarbonates</t>
  </si>
  <si>
    <t>Carbonates</t>
  </si>
  <si>
    <t>pH</t>
  </si>
  <si>
    <t>EC</t>
  </si>
  <si>
    <t>TDS</t>
  </si>
  <si>
    <t>NO3</t>
  </si>
  <si>
    <t>NO2</t>
  </si>
  <si>
    <t>NH4</t>
  </si>
  <si>
    <t>SO4</t>
  </si>
  <si>
    <t>HCO3</t>
  </si>
  <si>
    <t>CO3</t>
  </si>
  <si>
    <t>Unité pH</t>
  </si>
  <si>
    <t>mS/Cm</t>
  </si>
  <si>
    <t>Méthodes</t>
  </si>
  <si>
    <t>NF EN ISO 11732</t>
  </si>
  <si>
    <t xml:space="preserve">NF T 90-040 </t>
  </si>
  <si>
    <t xml:space="preserve">NF EN ISO 15682 </t>
  </si>
  <si>
    <t xml:space="preserve">NM ISO 15681-2 </t>
  </si>
  <si>
    <t>Min</t>
  </si>
  <si>
    <t>Max</t>
  </si>
  <si>
    <t xml:space="preserve">NF EN ISO 13395 </t>
  </si>
  <si>
    <t>SAR</t>
  </si>
  <si>
    <t>Sodium absorption Ratio</t>
  </si>
  <si>
    <t>Calcul.</t>
  </si>
  <si>
    <t>H2PO4</t>
  </si>
  <si>
    <t>CARACTERISTIQUES DE L'EAU</t>
  </si>
  <si>
    <t xml:space="preserve"> -/+</t>
  </si>
  <si>
    <t>Temp</t>
  </si>
  <si>
    <t>°C</t>
  </si>
  <si>
    <t>ppm</t>
  </si>
  <si>
    <r>
      <t xml:space="preserve">Seuils </t>
    </r>
    <r>
      <rPr>
        <sz val="8"/>
        <rFont val="Verdana"/>
        <family val="2"/>
      </rPr>
      <t>(mg/L)</t>
    </r>
  </si>
  <si>
    <r>
      <t xml:space="preserve">Résultats </t>
    </r>
    <r>
      <rPr>
        <sz val="10"/>
        <rFont val="Verdana"/>
        <family val="2"/>
      </rPr>
      <t>(Unité)</t>
    </r>
  </si>
  <si>
    <t>Faible</t>
  </si>
  <si>
    <t>Moyen</t>
  </si>
  <si>
    <t>Fort</t>
  </si>
  <si>
    <t>Salinité (teneur en sels totaux)</t>
  </si>
  <si>
    <t>BILAN IONIQUE</t>
  </si>
  <si>
    <t>Température à la réception :</t>
  </si>
  <si>
    <t>Teneur</t>
  </si>
  <si>
    <t>Prélevé par :</t>
  </si>
  <si>
    <t>Référence de l'échantillon :</t>
  </si>
  <si>
    <t>Date de réception :</t>
  </si>
  <si>
    <t>Date de prélèvement :</t>
  </si>
  <si>
    <t>Date d'analyse :</t>
  </si>
  <si>
    <t>Date d'édition  :</t>
  </si>
  <si>
    <t>Référence client :</t>
  </si>
  <si>
    <t>Variété :</t>
  </si>
  <si>
    <t>Adresse :</t>
  </si>
  <si>
    <t>N° CIN :</t>
  </si>
  <si>
    <t>Client :</t>
  </si>
  <si>
    <t>Culture irriguée:</t>
  </si>
  <si>
    <t>Nature d'échantillon :</t>
  </si>
  <si>
    <t>NF EN ISO 11885</t>
  </si>
  <si>
    <t>NM ISO 9963-1</t>
  </si>
  <si>
    <t>EAU</t>
  </si>
  <si>
    <t>ELEPHANT VERT MAROC S.A.</t>
  </si>
  <si>
    <t>LAB03F61-Vc</t>
  </si>
  <si>
    <t xml:space="preserve">Le présent rapport ne concerne que les objets soumis à l'essai. Il comporte une seule page et ne doit pas être reproduit partiellement sans l’approbation du laboratoire. Seule une reproduction sous sa forme intégrale est autorisée. </t>
  </si>
  <si>
    <t>Les échantillons sont conservés au Laboratoire 7 jours maximum après communication des résultats aux clients.</t>
  </si>
  <si>
    <t>Note : La durée de conservation maximale recommandée avant analyse selon la norme PNM ISO 5677-3 est non respectée.</t>
  </si>
  <si>
    <t>Coordonées GPS :</t>
  </si>
  <si>
    <t>Organisme :</t>
  </si>
  <si>
    <t>(A) Accepté</t>
  </si>
  <si>
    <t>(S) Suffisante</t>
  </si>
  <si>
    <t>_</t>
  </si>
  <si>
    <t>NM ISO 10523</t>
  </si>
  <si>
    <t>NM ISO 7888</t>
  </si>
  <si>
    <r>
      <t>Calcium</t>
    </r>
    <r>
      <rPr>
        <sz val="11"/>
        <color rgb="FFFF0000"/>
        <rFont val="Verdana"/>
        <family val="2"/>
      </rPr>
      <t>*</t>
    </r>
  </si>
  <si>
    <r>
      <t>Magnésium</t>
    </r>
    <r>
      <rPr>
        <sz val="11"/>
        <color rgb="FFFF0000"/>
        <rFont val="Verdana"/>
        <family val="2"/>
      </rPr>
      <t>*</t>
    </r>
  </si>
  <si>
    <r>
      <t>Potassium</t>
    </r>
    <r>
      <rPr>
        <sz val="11"/>
        <color rgb="FFFF0000"/>
        <rFont val="Verdana"/>
        <family val="2"/>
      </rPr>
      <t>*</t>
    </r>
  </si>
  <si>
    <r>
      <t>Sodium</t>
    </r>
    <r>
      <rPr>
        <sz val="11"/>
        <color rgb="FFFF0000"/>
        <rFont val="Verdana"/>
        <family val="2"/>
      </rPr>
      <t>*</t>
    </r>
  </si>
  <si>
    <r>
      <t xml:space="preserve">Conductivité éléctrique </t>
    </r>
    <r>
      <rPr>
        <sz val="8"/>
        <rFont val="Verdana"/>
        <family val="2"/>
      </rPr>
      <t>à 25°C</t>
    </r>
  </si>
  <si>
    <r>
      <t>Potentiel hydrogène</t>
    </r>
    <r>
      <rPr>
        <sz val="11"/>
        <color rgb="FFFF0000"/>
        <rFont val="Verdana"/>
        <family val="2"/>
      </rPr>
      <t>*</t>
    </r>
    <r>
      <rPr>
        <sz val="11"/>
        <rFont val="Verdana"/>
        <family val="2"/>
      </rPr>
      <t xml:space="preserve"> </t>
    </r>
    <r>
      <rPr>
        <sz val="8"/>
        <rFont val="Verdana"/>
        <family val="2"/>
      </rPr>
      <t>à 25°C</t>
    </r>
  </si>
  <si>
    <r>
      <t>Conductivité éléctrique</t>
    </r>
    <r>
      <rPr>
        <sz val="11"/>
        <color rgb="FFFF0000"/>
        <rFont val="Verdana"/>
        <family val="2"/>
      </rPr>
      <t>*</t>
    </r>
    <r>
      <rPr>
        <sz val="11"/>
        <rFont val="Verdana"/>
        <family val="2"/>
      </rPr>
      <t xml:space="preserve"> </t>
    </r>
    <r>
      <rPr>
        <sz val="8"/>
        <rFont val="Verdana"/>
        <family val="2"/>
      </rPr>
      <t>à 25°C</t>
    </r>
  </si>
  <si>
    <t>Les incertitudes de mesures sont calculées selon l'approche contrôle interne et sont communiquées sur demande.</t>
  </si>
  <si>
    <t xml:space="preserve">L’accréditation atteste uniquement de la compétence du laboratoire pour les seuls essais couverts par l’accréditation. </t>
  </si>
  <si>
    <t>Les avis et interprétations contenus dans ce rapport ne sont pas couverts par l'accréditation.</t>
  </si>
  <si>
    <r>
      <rPr>
        <sz val="12"/>
        <color rgb="FFFF0000"/>
        <rFont val="Verdana"/>
        <family val="2"/>
      </rPr>
      <t>*</t>
    </r>
    <r>
      <rPr>
        <sz val="12"/>
        <color theme="1"/>
        <rFont val="Verdana"/>
        <family val="2"/>
      </rPr>
      <t xml:space="preserve">: Paramètre accrédité ISO 17025 V 2005. </t>
    </r>
  </si>
  <si>
    <t>EAU DE PUITS</t>
  </si>
  <si>
    <t>N° MCI/CE AL 93/2018</t>
  </si>
  <si>
    <r>
      <rPr>
        <sz val="11"/>
        <color rgb="FFFF0000"/>
        <rFont val="Verdana"/>
        <family val="2"/>
      </rPr>
      <t>*</t>
    </r>
    <r>
      <rPr>
        <sz val="11"/>
        <color theme="1"/>
        <rFont val="Verdana"/>
        <family val="2"/>
      </rPr>
      <t xml:space="preserve"> Paramètre accrédité</t>
    </r>
  </si>
  <si>
    <t>MS</t>
  </si>
  <si>
    <t>M/V</t>
  </si>
  <si>
    <t>NTK</t>
  </si>
  <si>
    <t>P2O5</t>
  </si>
  <si>
    <t>K2O</t>
  </si>
  <si>
    <t>Na2O</t>
  </si>
  <si>
    <t>CaO</t>
  </si>
  <si>
    <t>MgO</t>
  </si>
  <si>
    <t>M.O</t>
  </si>
  <si>
    <t>N-NH4</t>
  </si>
  <si>
    <t>N-NO3</t>
  </si>
  <si>
    <t>As</t>
  </si>
  <si>
    <t>Cd</t>
  </si>
  <si>
    <t>Co</t>
  </si>
  <si>
    <t>Cr</t>
  </si>
  <si>
    <t>Hg</t>
  </si>
  <si>
    <t>Mo</t>
  </si>
  <si>
    <t>Ni</t>
  </si>
  <si>
    <t>Pb</t>
  </si>
  <si>
    <t>Al</t>
  </si>
  <si>
    <t>%</t>
  </si>
  <si>
    <t>kg/m³</t>
  </si>
  <si>
    <t>mg/kg</t>
  </si>
  <si>
    <t>g/kg</t>
  </si>
  <si>
    <t>Humidité</t>
  </si>
  <si>
    <t>PT</t>
  </si>
  <si>
    <t>g</t>
  </si>
  <si>
    <t>LAB03F63-Vc</t>
  </si>
  <si>
    <t>Culture :</t>
  </si>
  <si>
    <t>Date d'édition :</t>
  </si>
  <si>
    <t xml:space="preserve">CARACTERISATION DE LA VALEUR AGRONOMIQUE </t>
  </si>
  <si>
    <t>Unité</t>
  </si>
  <si>
    <t>Résultats</t>
  </si>
  <si>
    <t>Observations et
paramètres calculés</t>
  </si>
  <si>
    <t>Sec</t>
  </si>
  <si>
    <t>Brut</t>
  </si>
  <si>
    <t>ANALYSE SUR PRODUIT BRUT</t>
  </si>
  <si>
    <t>Matière sèche</t>
  </si>
  <si>
    <t>NF EN 12880</t>
  </si>
  <si>
    <t>Masse volumique</t>
  </si>
  <si>
    <t>Kg/m3</t>
  </si>
  <si>
    <t>Potentiel hydrogène</t>
  </si>
  <si>
    <t>NF EN 13037</t>
  </si>
  <si>
    <t>Conductivité électrique</t>
  </si>
  <si>
    <t>mS/cm</t>
  </si>
  <si>
    <t>NF EN 13038</t>
  </si>
  <si>
    <t>Matière organique</t>
  </si>
  <si>
    <t>NF EN 12879</t>
  </si>
  <si>
    <t xml:space="preserve">Azote total Kjeldahl </t>
  </si>
  <si>
    <t>NF EN 13342</t>
  </si>
  <si>
    <t>Azote ammoniacal</t>
  </si>
  <si>
    <t>Azote nitrique</t>
  </si>
  <si>
    <t>NF EN ISO 13395</t>
  </si>
  <si>
    <t>Inf à 10</t>
  </si>
  <si>
    <t>Acide fulviques</t>
  </si>
  <si>
    <t>AF</t>
  </si>
  <si>
    <t>NF EN ISO 12782-5</t>
  </si>
  <si>
    <t>Acide humique</t>
  </si>
  <si>
    <t>AH</t>
  </si>
  <si>
    <t>Azote organique</t>
  </si>
  <si>
    <t>N-org</t>
  </si>
  <si>
    <t>Méthode interne</t>
  </si>
  <si>
    <t>Matière en suspension</t>
  </si>
  <si>
    <t>MES</t>
  </si>
  <si>
    <t>mg/L</t>
  </si>
  <si>
    <t>NF EN 872</t>
  </si>
  <si>
    <t>COMPOSITION DU PRODUIT</t>
  </si>
  <si>
    <t>Phosphore</t>
  </si>
  <si>
    <t>L'expression des résultats en g.kg-1 est équivalente à l'expression en kg/T, vous pouvez ainsi apprécier directement l'apport de chaque élément.</t>
  </si>
  <si>
    <t>Potassium</t>
  </si>
  <si>
    <t>Magnésium</t>
  </si>
  <si>
    <t>Calcium</t>
  </si>
  <si>
    <t>Sodium</t>
  </si>
  <si>
    <t>LQ</t>
  </si>
  <si>
    <t>Arsenic</t>
  </si>
  <si>
    <t>Cadmium</t>
  </si>
  <si>
    <t>Cobalt</t>
  </si>
  <si>
    <t>Chrome</t>
  </si>
  <si>
    <t>Mercure</t>
  </si>
  <si>
    <t>Molybdène</t>
  </si>
  <si>
    <t>Nickel</t>
  </si>
  <si>
    <t>Plomb</t>
  </si>
  <si>
    <t>Aluminium</t>
  </si>
  <si>
    <t>Se</t>
  </si>
  <si>
    <t>Commentaire :</t>
  </si>
  <si>
    <t>Les éléments dosés sont, sauf indication contraire, les éléments totaux.</t>
  </si>
  <si>
    <t xml:space="preserve">Responsable Laboratoire                                                </t>
  </si>
  <si>
    <t xml:space="preserve">Coordinatreur du laboratoire  </t>
  </si>
  <si>
    <t>Zouhair RACHAK</t>
  </si>
  <si>
    <t>Asmaa Ben HIDA</t>
  </si>
  <si>
    <t>En cours d'analyse</t>
  </si>
  <si>
    <t>FRAMBOISE</t>
  </si>
  <si>
    <t>ABRICOTIER</t>
  </si>
  <si>
    <t>AGRUMES</t>
  </si>
  <si>
    <t>Amandier</t>
  </si>
  <si>
    <t>AVOCATIER</t>
  </si>
  <si>
    <t>CERISIER</t>
  </si>
  <si>
    <t>CLEMENTINIER</t>
  </si>
  <si>
    <t>FIGUIER</t>
  </si>
  <si>
    <t>FRAISIER</t>
  </si>
  <si>
    <t>HARICOT</t>
  </si>
  <si>
    <t>KIWI</t>
  </si>
  <si>
    <t>MAIS</t>
  </si>
  <si>
    <t>NECTARINIER</t>
  </si>
  <si>
    <t>OLIVIER</t>
  </si>
  <si>
    <t>PECHER</t>
  </si>
  <si>
    <t>POIRIER</t>
  </si>
  <si>
    <t>POMME DE TERRE</t>
  </si>
  <si>
    <t>POMMIER</t>
  </si>
  <si>
    <t>TOMATE</t>
  </si>
  <si>
    <t>Citronnier</t>
  </si>
  <si>
    <t>Myrtilles</t>
  </si>
  <si>
    <t>GRENADIER</t>
  </si>
  <si>
    <t>VIGNE</t>
  </si>
  <si>
    <t>PALMIER DATTIER</t>
  </si>
  <si>
    <t>Bananier</t>
  </si>
  <si>
    <t>BETTERAVE</t>
  </si>
  <si>
    <t>LAB03F62-Vc</t>
  </si>
  <si>
    <t>Client</t>
  </si>
  <si>
    <t>Prélevé par</t>
  </si>
  <si>
    <t>N° CIN</t>
  </si>
  <si>
    <t>Référence de l'échantillon</t>
  </si>
  <si>
    <t>Date de prélèvement</t>
  </si>
  <si>
    <t>Date de réception</t>
  </si>
  <si>
    <t>Variété</t>
  </si>
  <si>
    <t>Date d'analyse</t>
  </si>
  <si>
    <t>Référence client</t>
  </si>
  <si>
    <t xml:space="preserve">Date d'édition </t>
  </si>
  <si>
    <t>Coordonnées GPS</t>
  </si>
  <si>
    <t>Abricotier</t>
  </si>
  <si>
    <t>Avocatier</t>
  </si>
  <si>
    <t>Cerisier</t>
  </si>
  <si>
    <t>Figuier</t>
  </si>
  <si>
    <t>Fraisier</t>
  </si>
  <si>
    <t>Haricot</t>
  </si>
  <si>
    <t>Kiwi</t>
  </si>
  <si>
    <t>Mais</t>
  </si>
  <si>
    <t>Nectarine</t>
  </si>
  <si>
    <t>Pécher</t>
  </si>
  <si>
    <t>Poirier</t>
  </si>
  <si>
    <t>Poivron</t>
  </si>
  <si>
    <t>Pomme de Terre</t>
  </si>
  <si>
    <t>Pommier</t>
  </si>
  <si>
    <t>TOMATES</t>
  </si>
  <si>
    <t>RAISIN DE CUVE</t>
  </si>
  <si>
    <t>RAISIN DE TABLE Limbes</t>
  </si>
  <si>
    <t>RAISIN DE TABLE Pétioles</t>
  </si>
  <si>
    <t>Fruits</t>
  </si>
  <si>
    <t>RAISIN DE TABLE FEUILLE</t>
  </si>
  <si>
    <t>KAKI</t>
  </si>
  <si>
    <t>bananier</t>
  </si>
  <si>
    <t>MELON</t>
  </si>
  <si>
    <t>BLE</t>
  </si>
  <si>
    <t>PRUNIER</t>
  </si>
  <si>
    <t>CITRONIER</t>
  </si>
  <si>
    <t>PIMENT</t>
  </si>
  <si>
    <t>COURGETTE</t>
  </si>
  <si>
    <t>Palmier dattier</t>
  </si>
  <si>
    <t xml:space="preserve">Résultats </t>
  </si>
  <si>
    <t>Niveau souhaitable</t>
  </si>
  <si>
    <t>ELEMENTS MAJEURS</t>
  </si>
  <si>
    <t>Min/Moyen</t>
  </si>
  <si>
    <t>Très faible</t>
  </si>
  <si>
    <t>Min.</t>
  </si>
  <si>
    <t>Max.</t>
  </si>
  <si>
    <t>Très élevé</t>
  </si>
  <si>
    <t>Moy.</t>
  </si>
  <si>
    <t>Coef</t>
  </si>
  <si>
    <t>M</t>
  </si>
  <si>
    <t>S</t>
  </si>
  <si>
    <t>Azote total</t>
  </si>
  <si>
    <t>% MS</t>
  </si>
  <si>
    <t>N</t>
  </si>
  <si>
    <t>P</t>
  </si>
  <si>
    <t>ELEMENTS NEFASTES</t>
  </si>
  <si>
    <t>mg/kg MS</t>
  </si>
  <si>
    <t>EQUILIBRES NUTRITIONNELS</t>
  </si>
  <si>
    <t>N/P</t>
  </si>
  <si>
    <t>N/K</t>
  </si>
  <si>
    <t>N/Ca</t>
  </si>
  <si>
    <t>Ca/P</t>
  </si>
  <si>
    <t>K/Mg</t>
  </si>
  <si>
    <t>K/Ca</t>
  </si>
  <si>
    <t>Ca/Mg</t>
  </si>
  <si>
    <t>VEG</t>
  </si>
  <si>
    <t>myrtilles</t>
  </si>
  <si>
    <t>Cl2</t>
  </si>
  <si>
    <t>O2</t>
  </si>
  <si>
    <t>Oxydabilité</t>
  </si>
  <si>
    <t>Turbidité</t>
  </si>
  <si>
    <t>Ba</t>
  </si>
  <si>
    <t>F</t>
  </si>
  <si>
    <t>CN</t>
  </si>
  <si>
    <t>Chloroforme</t>
  </si>
  <si>
    <t>Bromoforme</t>
  </si>
  <si>
    <t>Dibrochlorométhane</t>
  </si>
  <si>
    <t>Bromodichlorométhane</t>
  </si>
  <si>
    <t>NTU</t>
  </si>
  <si>
    <t>ppb</t>
  </si>
  <si>
    <t>commentaire</t>
  </si>
  <si>
    <t>Oxygène dissous</t>
  </si>
  <si>
    <t>RAPPORT D'ANALYSE PHYSICO-CHIMIQUE D'EAU</t>
  </si>
  <si>
    <t>◉</t>
  </si>
  <si>
    <t>LAB03F132-Va</t>
  </si>
  <si>
    <t>Dossier suivi par :</t>
  </si>
  <si>
    <t>Coordonnées GPS :</t>
  </si>
  <si>
    <t>Unités</t>
  </si>
  <si>
    <t>N.S</t>
  </si>
  <si>
    <t xml:space="preserve">Critères                                    </t>
  </si>
  <si>
    <t>Odeur</t>
  </si>
  <si>
    <t>TON</t>
  </si>
  <si>
    <t>NF EN 1622</t>
  </si>
  <si>
    <t>Néant</t>
  </si>
  <si>
    <t>Couleur</t>
  </si>
  <si>
    <t>NF EN ISO 7887</t>
  </si>
  <si>
    <t>Flaveur</t>
  </si>
  <si>
    <t>TFN</t>
  </si>
  <si>
    <t>6,5 _ 8,5</t>
  </si>
  <si>
    <t>μS/cm</t>
  </si>
  <si>
    <t>Résidus secs à 105 °C</t>
  </si>
  <si>
    <t>RS</t>
  </si>
  <si>
    <t>NF T90-029</t>
  </si>
  <si>
    <t>Oxy-mètre</t>
  </si>
  <si>
    <t>mgO2/L</t>
  </si>
  <si>
    <t>5 à 8</t>
  </si>
  <si>
    <t>Nitrites</t>
  </si>
  <si>
    <t>Chlorures</t>
  </si>
  <si>
    <t>Non spécifié</t>
  </si>
  <si>
    <t>Dureté total</t>
  </si>
  <si>
    <t>THt</t>
  </si>
  <si>
    <t>Cacul.</t>
  </si>
  <si>
    <t>°f</t>
  </si>
  <si>
    <t>Alcalinité</t>
  </si>
  <si>
    <t>TAC</t>
  </si>
  <si>
    <t>Oxydabilité ay KMnO4</t>
  </si>
  <si>
    <t>NM 03 7 015</t>
  </si>
  <si>
    <r>
      <t>mgO</t>
    </r>
    <r>
      <rPr>
        <vertAlign val="subscript"/>
        <sz val="12"/>
        <color theme="1"/>
        <rFont val="Verdana"/>
        <family val="2"/>
      </rPr>
      <t>2</t>
    </r>
    <r>
      <rPr>
        <sz val="12"/>
        <color theme="1"/>
        <rFont val="Verdana"/>
        <family val="2"/>
      </rPr>
      <t>/L</t>
    </r>
  </si>
  <si>
    <t>Sulfures</t>
  </si>
  <si>
    <t>DIN 38405 D26</t>
  </si>
  <si>
    <t>mg/l</t>
  </si>
  <si>
    <t>Non détectable</t>
  </si>
  <si>
    <t>NM 03 7 010</t>
  </si>
  <si>
    <t>Cyanure</t>
  </si>
  <si>
    <t>NF EN ISO 14403</t>
  </si>
  <si>
    <t>μg/L</t>
  </si>
  <si>
    <t>Inf à 5</t>
  </si>
  <si>
    <t>Fluorures</t>
  </si>
  <si>
    <t>F-</t>
  </si>
  <si>
    <t>NF EN ISO 10304-1</t>
  </si>
  <si>
    <t>Baryum</t>
  </si>
  <si>
    <t>NF EN ISO 1185</t>
  </si>
  <si>
    <t>Inf à 1</t>
  </si>
  <si>
    <t>Selenium</t>
  </si>
  <si>
    <t>Inf à 2</t>
  </si>
  <si>
    <t>Carbone organique  total</t>
  </si>
  <si>
    <t>COT</t>
  </si>
  <si>
    <t>NF EN 1484</t>
  </si>
  <si>
    <t>Inf à 0,5</t>
  </si>
  <si>
    <t xml:space="preserve">NF EN 872 </t>
  </si>
  <si>
    <t xml:space="preserve">Le présent rapport ne concerne que les objets soumis à l'essai. </t>
  </si>
  <si>
    <t>Il comporte une seule page et ne doit pas être reproduit partiellement sans l’approbation du laboratoire. Seule une reproduction sous sa forme intégrale est autorisée.</t>
  </si>
  <si>
    <t>Les échantillons sont conservés au Laboratoire 7 jours maximum après communication des résultats aux clients.</t>
  </si>
  <si>
    <r>
      <rPr>
        <sz val="12"/>
        <color rgb="FFFF0000"/>
        <rFont val="Verdana"/>
        <family val="2"/>
      </rPr>
      <t xml:space="preserve">◉ </t>
    </r>
    <r>
      <rPr>
        <sz val="12"/>
        <color theme="1"/>
        <rFont val="Verdana"/>
        <family val="2"/>
      </rPr>
      <t>: Résultat non satisfaisant</t>
    </r>
  </si>
  <si>
    <t xml:space="preserve">Commentaire : </t>
  </si>
  <si>
    <t>Satisfaisant</t>
  </si>
  <si>
    <t>Elevé</t>
  </si>
  <si>
    <t>pH H2O à 25°C</t>
  </si>
  <si>
    <t>unité pH</t>
  </si>
  <si>
    <t>pH KCl à 25°C</t>
  </si>
  <si>
    <t>Conductivité éléctrique à 25°C</t>
  </si>
  <si>
    <t>Inf à 0,40</t>
  </si>
  <si>
    <t>Salinité total</t>
  </si>
  <si>
    <t>Calcaire total</t>
  </si>
  <si>
    <t>CT</t>
  </si>
  <si>
    <t>Inf à 100</t>
  </si>
  <si>
    <t>calcaire actif</t>
  </si>
  <si>
    <t>CA</t>
  </si>
  <si>
    <t>Inf à 30</t>
  </si>
  <si>
    <t>Carbone Organique</t>
  </si>
  <si>
    <t>C.O</t>
  </si>
  <si>
    <t>Matière organqiue</t>
  </si>
  <si>
    <t>Rapport C/N</t>
  </si>
  <si>
    <t>C/N</t>
  </si>
  <si>
    <t>Bilan ionique</t>
  </si>
  <si>
    <t>NNO3</t>
  </si>
  <si>
    <t>Azote nitreux</t>
  </si>
  <si>
    <t>NNO2</t>
  </si>
  <si>
    <t>3,8</t>
  </si>
  <si>
    <t>NNH4</t>
  </si>
  <si>
    <t>PO4</t>
  </si>
  <si>
    <t>Equilibres /Stades physiologiques</t>
  </si>
  <si>
    <t>Croisssance</t>
  </si>
  <si>
    <t>Mise en Fruit</t>
  </si>
  <si>
    <t>Maintien végétatif</t>
  </si>
  <si>
    <t>Croissance</t>
  </si>
  <si>
    <t>Mise à Fruit</t>
  </si>
  <si>
    <t>NO3 / NH4</t>
  </si>
  <si>
    <t>N / K2O</t>
  </si>
  <si>
    <t>N / P2O5</t>
  </si>
  <si>
    <t>N / CaO</t>
  </si>
  <si>
    <t>K2O / CaO</t>
  </si>
  <si>
    <t>K2O / MgO</t>
  </si>
  <si>
    <t>CaO / MgO</t>
  </si>
  <si>
    <t>pH Kcl</t>
  </si>
  <si>
    <t>Zn EDTA</t>
  </si>
  <si>
    <t>Cu EDTA</t>
  </si>
  <si>
    <t>Mn EDTA</t>
  </si>
  <si>
    <t>Fe EDTA</t>
  </si>
  <si>
    <t>NT</t>
  </si>
  <si>
    <t>‰</t>
  </si>
  <si>
    <t>Terre végétale</t>
  </si>
  <si>
    <t>SOL</t>
  </si>
  <si>
    <t xml:space="preserve">Client :                                                                                      </t>
  </si>
  <si>
    <t>Profondeur (cm) :</t>
  </si>
  <si>
    <t>ETAT PHYSIQUE</t>
  </si>
  <si>
    <r>
      <t xml:space="preserve">Argile ‰ </t>
    </r>
    <r>
      <rPr>
        <i/>
        <sz val="11"/>
        <color theme="0" tint="-0.499984740745262"/>
        <rFont val="Verdana"/>
        <family val="2"/>
      </rPr>
      <t>(&lt;2 µm):</t>
    </r>
  </si>
  <si>
    <t>Indice de battance :</t>
  </si>
  <si>
    <r>
      <t xml:space="preserve">Limons ‰ </t>
    </r>
    <r>
      <rPr>
        <i/>
        <sz val="11"/>
        <color theme="0" tint="-0.499984740745262"/>
        <rFont val="Verdana"/>
        <family val="2"/>
      </rPr>
      <t>(2 à 50 µm):</t>
    </r>
  </si>
  <si>
    <t>Indice de porosité :</t>
  </si>
  <si>
    <r>
      <t xml:space="preserve">Sables ‰ </t>
    </r>
    <r>
      <rPr>
        <i/>
        <sz val="11"/>
        <color theme="0" tint="-0.499984740745262"/>
        <rFont val="Verdana"/>
        <family val="2"/>
      </rPr>
      <t>(50 à 2000 µm):</t>
    </r>
  </si>
  <si>
    <t>ETAT HUMIQUE</t>
  </si>
  <si>
    <t>SALINITE</t>
  </si>
  <si>
    <t>Seuils</t>
  </si>
  <si>
    <r>
      <t xml:space="preserve">Carbone organique en </t>
    </r>
    <r>
      <rPr>
        <b/>
        <sz val="8"/>
        <rFont val="Verdana"/>
        <family val="2"/>
      </rPr>
      <t xml:space="preserve">g/kg </t>
    </r>
    <r>
      <rPr>
        <b/>
        <sz val="8"/>
        <color rgb="FFFF0000"/>
        <rFont val="Verdana"/>
        <family val="2"/>
      </rPr>
      <t>(*)</t>
    </r>
  </si>
  <si>
    <r>
      <t xml:space="preserve">Conductivité éléctrique </t>
    </r>
    <r>
      <rPr>
        <b/>
        <sz val="8"/>
        <rFont val="Verdana"/>
        <family val="2"/>
      </rPr>
      <t xml:space="preserve">mS/cm </t>
    </r>
    <r>
      <rPr>
        <b/>
        <sz val="8"/>
        <color rgb="FFFF0000"/>
        <rFont val="Verdana"/>
        <family val="2"/>
      </rPr>
      <t>(*)</t>
    </r>
  </si>
  <si>
    <r>
      <t>Sodium (Na</t>
    </r>
    <r>
      <rPr>
        <b/>
        <vertAlign val="subscript"/>
        <sz val="11"/>
        <rFont val="Verdana"/>
        <family val="2"/>
      </rPr>
      <t>2</t>
    </r>
    <r>
      <rPr>
        <b/>
        <sz val="11"/>
        <rFont val="Verdana"/>
        <family val="2"/>
      </rPr>
      <t xml:space="preserve">O) </t>
    </r>
    <r>
      <rPr>
        <b/>
        <sz val="8"/>
        <rFont val="Verdana"/>
        <family val="2"/>
      </rPr>
      <t xml:space="preserve">g/kg </t>
    </r>
    <r>
      <rPr>
        <b/>
        <sz val="8"/>
        <color rgb="FFFF0000"/>
        <rFont val="Verdana"/>
        <family val="2"/>
      </rPr>
      <t>(*)</t>
    </r>
  </si>
  <si>
    <t>Inf à 0,34</t>
  </si>
  <si>
    <t>NF × 31 -108</t>
  </si>
  <si>
    <t>Azote total en g/kg</t>
  </si>
  <si>
    <r>
      <t xml:space="preserve">Chlorures (Cl ) </t>
    </r>
    <r>
      <rPr>
        <b/>
        <sz val="8"/>
        <rFont val="Verdana"/>
        <family val="2"/>
      </rPr>
      <t>mg/kg</t>
    </r>
  </si>
  <si>
    <t>Extrait aqueux  1/5 Flux continu</t>
  </si>
  <si>
    <r>
      <t xml:space="preserve">Conductivité éléctrique </t>
    </r>
    <r>
      <rPr>
        <b/>
        <sz val="8"/>
        <rFont val="Verdana"/>
        <family val="2"/>
      </rPr>
      <t xml:space="preserve">mS/m </t>
    </r>
    <r>
      <rPr>
        <b/>
        <sz val="8"/>
        <color rgb="FFFF0000"/>
        <rFont val="Verdana"/>
        <family val="2"/>
      </rPr>
      <t>(*)</t>
    </r>
  </si>
  <si>
    <t>Inf à 40</t>
  </si>
  <si>
    <t>STATUT ACIDO-BASIQUE</t>
  </si>
  <si>
    <t xml:space="preserve">ELEMENTS MAJEURS </t>
  </si>
  <si>
    <t>MO</t>
  </si>
  <si>
    <t>AGRILE</t>
  </si>
  <si>
    <r>
      <t xml:space="preserve">Calcaire total </t>
    </r>
    <r>
      <rPr>
        <b/>
        <sz val="8"/>
        <rFont val="Verdana"/>
        <family val="2"/>
      </rPr>
      <t>g/kg</t>
    </r>
  </si>
  <si>
    <r>
      <t>Phosphore (P</t>
    </r>
    <r>
      <rPr>
        <b/>
        <vertAlign val="subscript"/>
        <sz val="11"/>
        <rFont val="Verdana"/>
        <family val="2"/>
      </rPr>
      <t>2</t>
    </r>
    <r>
      <rPr>
        <b/>
        <sz val="11"/>
        <rFont val="Verdana"/>
        <family val="2"/>
      </rPr>
      <t>O</t>
    </r>
    <r>
      <rPr>
        <b/>
        <vertAlign val="subscript"/>
        <sz val="11"/>
        <rFont val="Verdana"/>
        <family val="2"/>
      </rPr>
      <t>5</t>
    </r>
    <r>
      <rPr>
        <b/>
        <sz val="11"/>
        <rFont val="Verdana"/>
        <family val="2"/>
      </rPr>
      <t xml:space="preserve">) </t>
    </r>
    <r>
      <rPr>
        <b/>
        <sz val="8"/>
        <rFont val="Verdana"/>
        <family val="2"/>
      </rPr>
      <t xml:space="preserve">mg/kg </t>
    </r>
    <r>
      <rPr>
        <b/>
        <sz val="8"/>
        <color rgb="FFFF0000"/>
        <rFont val="Verdana"/>
        <family val="2"/>
      </rPr>
      <t>(*)</t>
    </r>
  </si>
  <si>
    <t>NF ISO 10693</t>
  </si>
  <si>
    <t>NF ISO 11263 (Olsen)</t>
  </si>
  <si>
    <r>
      <t xml:space="preserve">Calcaire actif </t>
    </r>
    <r>
      <rPr>
        <b/>
        <sz val="8"/>
        <rFont val="Verdana"/>
        <family val="2"/>
      </rPr>
      <t>g/kg</t>
    </r>
  </si>
  <si>
    <r>
      <t>Potasse (K</t>
    </r>
    <r>
      <rPr>
        <b/>
        <vertAlign val="subscript"/>
        <sz val="11"/>
        <rFont val="Verdana"/>
        <family val="2"/>
      </rPr>
      <t>2</t>
    </r>
    <r>
      <rPr>
        <b/>
        <sz val="11"/>
        <rFont val="Verdana"/>
        <family val="2"/>
      </rPr>
      <t xml:space="preserve">O) </t>
    </r>
    <r>
      <rPr>
        <b/>
        <sz val="8"/>
        <rFont val="Verdana"/>
        <family val="2"/>
      </rPr>
      <t xml:space="preserve">g/kg </t>
    </r>
    <r>
      <rPr>
        <b/>
        <sz val="8"/>
        <color rgb="FFFF0000"/>
        <rFont val="Verdana"/>
        <family val="2"/>
      </rPr>
      <t>(*)</t>
    </r>
  </si>
  <si>
    <t>NF X 31-106</t>
  </si>
  <si>
    <r>
      <t xml:space="preserve">pH eau </t>
    </r>
    <r>
      <rPr>
        <b/>
        <sz val="8"/>
        <rFont val="Verdana"/>
        <family val="2"/>
      </rPr>
      <t xml:space="preserve">corrigé à 25°C </t>
    </r>
    <r>
      <rPr>
        <b/>
        <sz val="8"/>
        <color rgb="FFFF0000"/>
        <rFont val="Verdana"/>
        <family val="2"/>
      </rPr>
      <t>(*)</t>
    </r>
  </si>
  <si>
    <r>
      <t xml:space="preserve">Magnésie (MgO) </t>
    </r>
    <r>
      <rPr>
        <b/>
        <sz val="8"/>
        <rFont val="Verdana"/>
        <family val="2"/>
      </rPr>
      <t xml:space="preserve">g/kg </t>
    </r>
    <r>
      <rPr>
        <b/>
        <sz val="8"/>
        <color rgb="FFFF0000"/>
        <rFont val="Verdana"/>
        <family val="2"/>
      </rPr>
      <t>(*)</t>
    </r>
  </si>
  <si>
    <t>NF ISO 10390</t>
  </si>
  <si>
    <r>
      <t xml:space="preserve">pH KCl </t>
    </r>
    <r>
      <rPr>
        <b/>
        <sz val="8"/>
        <rFont val="Verdana"/>
        <family val="2"/>
      </rPr>
      <t xml:space="preserve">corrigé à 25°C </t>
    </r>
    <r>
      <rPr>
        <b/>
        <sz val="8"/>
        <color rgb="FFFF0000"/>
        <rFont val="Verdana"/>
        <family val="2"/>
      </rPr>
      <t>(*)</t>
    </r>
  </si>
  <si>
    <t>AZOTE MINERAL DU SOL</t>
  </si>
  <si>
    <r>
      <t xml:space="preserve">Calcium (CaO) </t>
    </r>
    <r>
      <rPr>
        <b/>
        <sz val="8"/>
        <rFont val="Verdana"/>
        <family val="2"/>
      </rPr>
      <t xml:space="preserve">g/kg </t>
    </r>
    <r>
      <rPr>
        <b/>
        <sz val="8"/>
        <color rgb="FFFF0000"/>
        <rFont val="Verdana"/>
        <family val="2"/>
      </rPr>
      <t>(*)</t>
    </r>
  </si>
  <si>
    <r>
      <t xml:space="preserve">Azote Nitrique N-NO3 </t>
    </r>
    <r>
      <rPr>
        <b/>
        <sz val="8"/>
        <rFont val="Arial"/>
        <family val="2"/>
      </rPr>
      <t>(Kg/ha)</t>
    </r>
  </si>
  <si>
    <r>
      <t xml:space="preserve">CEC Metson  </t>
    </r>
    <r>
      <rPr>
        <b/>
        <sz val="8"/>
        <rFont val="Verdana"/>
        <family val="2"/>
      </rPr>
      <t>Cmol/kg</t>
    </r>
  </si>
  <si>
    <r>
      <t xml:space="preserve">Azote Ammoniacal N-NH4 </t>
    </r>
    <r>
      <rPr>
        <b/>
        <sz val="8"/>
        <rFont val="Arial"/>
        <family val="2"/>
      </rPr>
      <t>(Kg/ha)</t>
    </r>
  </si>
  <si>
    <r>
      <t xml:space="preserve">Ca/CEC </t>
    </r>
    <r>
      <rPr>
        <b/>
        <sz val="8"/>
        <color theme="1"/>
        <rFont val="Verdana"/>
        <family val="2"/>
      </rPr>
      <t>(%)</t>
    </r>
  </si>
  <si>
    <t>EQUILIBRES</t>
  </si>
  <si>
    <r>
      <t xml:space="preserve">K/CEC </t>
    </r>
    <r>
      <rPr>
        <b/>
        <sz val="8"/>
        <color theme="1"/>
        <rFont val="Verdana"/>
        <family val="2"/>
      </rPr>
      <t>(%)</t>
    </r>
  </si>
  <si>
    <r>
      <t xml:space="preserve">Mg/CEC </t>
    </r>
    <r>
      <rPr>
        <b/>
        <sz val="8"/>
        <color theme="1"/>
        <rFont val="Verdana"/>
        <family val="2"/>
      </rPr>
      <t>(%)</t>
    </r>
  </si>
  <si>
    <r>
      <t xml:space="preserve">Bore </t>
    </r>
    <r>
      <rPr>
        <b/>
        <sz val="8"/>
        <rFont val="Verdana"/>
        <family val="2"/>
      </rPr>
      <t>mg/kg</t>
    </r>
  </si>
  <si>
    <r>
      <t>*</t>
    </r>
    <r>
      <rPr>
        <i/>
        <sz val="12"/>
        <color rgb="FF000000"/>
        <rFont val="Arial"/>
        <family val="2"/>
      </rPr>
      <t xml:space="preserve">: Paramètres accrédités </t>
    </r>
  </si>
  <si>
    <t xml:space="preserve">Echantillon séché à 40°C, broyé manuellement et tamisé à 2mm selon la norme NF ISO 11464. Moyens utilisés: Diviseur multifentes. 
Description de l’échantillon: Echantillon reçu dans un emballage en plastique fermé en absence des pierres, fragments de verre ou toute substance susceptible d’avoir une influence sur la qualité des analyses . </t>
  </si>
  <si>
    <t>Les échantillons sont conservés au Laboratoire 15 jours maximum après communication des résultats aux clients.</t>
  </si>
  <si>
    <t>ARGIL</t>
  </si>
  <si>
    <t>LIMON</t>
  </si>
  <si>
    <t>ARILE</t>
  </si>
  <si>
    <t>CEC</t>
  </si>
  <si>
    <t>Texture grossière sableuse</t>
  </si>
  <si>
    <t>0,7 mm d'eau /cm de sol</t>
  </si>
  <si>
    <t>Texture moyenne sableuse</t>
  </si>
  <si>
    <t>1,2 mm d'eau /cm de sol</t>
  </si>
  <si>
    <t>Texture grossière de limon sableux</t>
  </si>
  <si>
    <t>1,55 mm d'eau /cm de sol</t>
  </si>
  <si>
    <t>Texture moyenne de limon sablo-argileux</t>
  </si>
  <si>
    <t>1,65 mm d'eau /cm de sol</t>
  </si>
  <si>
    <t>Texture fine limono-argilo-sableuse</t>
  </si>
  <si>
    <t>1,8 mm d'eau /cm de sol</t>
  </si>
  <si>
    <t>Texture fine d'argile limono-sableuse</t>
  </si>
  <si>
    <t>1,85 mm d'eau /cm de sol</t>
  </si>
  <si>
    <t>Texture moyenne limoneuse</t>
  </si>
  <si>
    <t>1,9 mm d'eau /cm de sol</t>
  </si>
  <si>
    <t>Texture fine de limon argileux</t>
  </si>
  <si>
    <t>2 mm d'eau /cm de sol</t>
  </si>
  <si>
    <t>Texture très fine argileuse</t>
  </si>
  <si>
    <t>1,7 mm d'eau /cm de sol</t>
  </si>
  <si>
    <t>Texture fine argilo-sableuse</t>
  </si>
  <si>
    <t>Référence LACQ</t>
  </si>
  <si>
    <t xml:space="preserve">Date de réception </t>
  </si>
  <si>
    <t>TAT WD (Délai souhaitable de remise des résultats)</t>
  </si>
  <si>
    <t>Deadline de remise des résultats</t>
  </si>
  <si>
    <t>Date d'édition du Rapport</t>
  </si>
  <si>
    <t>Revue</t>
  </si>
  <si>
    <t>Cond</t>
  </si>
  <si>
    <t>T°C</t>
  </si>
  <si>
    <t>Qté</t>
  </si>
  <si>
    <t>Qualité</t>
  </si>
  <si>
    <t>Délai</t>
  </si>
  <si>
    <t>Commentaires</t>
  </si>
  <si>
    <t>Granulométrie 5 fractions</t>
  </si>
  <si>
    <t>Granulométrie 3 fractions</t>
  </si>
  <si>
    <t>Agrile</t>
  </si>
  <si>
    <t>LF</t>
  </si>
  <si>
    <t>LG</t>
  </si>
  <si>
    <t>SF</t>
  </si>
  <si>
    <t>SG</t>
  </si>
  <si>
    <t>pH KCl</t>
  </si>
  <si>
    <t>Limon</t>
  </si>
  <si>
    <t>Sable</t>
  </si>
  <si>
    <t>Cmol/kg</t>
  </si>
  <si>
    <t>S2</t>
  </si>
  <si>
    <t>*De très faible stabilité structurale, avec des risques importants  de tassement et de manque d'oxygène</t>
  </si>
  <si>
    <t>* Sol à faible stabilité structurale,  avec des risques de manque d'oxygénation de la sphère racinaire</t>
  </si>
  <si>
    <t xml:space="preserve">*La poroportion importante des limons sensibilise ce sol aux manques d'oxygène </t>
  </si>
  <si>
    <t xml:space="preserve">*Sol meuble et filtrant favorable au bon fonctionnement des racines, mais très sensible à la séchresse. Bien gérer les apports hydriques sur ce type de sol, en terme de quantité et de régularité </t>
  </si>
  <si>
    <t>*De faible stabilité structurale, attention aux risques de tassement et de manque d'oxygène sur ce type de sol</t>
  </si>
  <si>
    <t>Texture fine d'argile limono sableuse</t>
  </si>
  <si>
    <t>*Attention aux risques d'asphyxie racinaire, bien gérer les apports hydriques sur ce type de sol</t>
  </si>
  <si>
    <t>*Sol lourd, attention aux excès d'eau sur ce type de sol, risque d'asphyxie racinaire</t>
  </si>
  <si>
    <t>*De  stabilité structurale moyenne, tout risque de compactage et de tassement n'est pas à exclure</t>
  </si>
  <si>
    <t xml:space="preserve">*Sol meuble et filtrant favorable au bon fonctionnement des racines, mais sensible à la sécheresse.Bien gérer les apports hydriques sur ce type de sol, en terme de quantité et de régularité </t>
  </si>
  <si>
    <t>*A  bon potentiel de stabilité structurale</t>
  </si>
  <si>
    <t>*Sol très fragile à améliorer et protéger (Gestion organique, travail de sol,...etc)</t>
  </si>
  <si>
    <t>*Sol fragile à améliorer (Gestion organique, travail de sol,...etc)</t>
  </si>
  <si>
    <t>*Sol fragile à protéger (Gestion organique, travail de sol,...etc)</t>
  </si>
  <si>
    <t>*L'apport d'amendement organique permettera d'améliorer la capacité de rétention en eau et en éléments nutritifs de ce type de sol.</t>
  </si>
  <si>
    <t>* La gestion organique  et le travail de sol permettront d'améliorer le fonctionnment du système racinaire</t>
  </si>
  <si>
    <t>*Réchauffement tardif du sol à la sortie d'hiver,  risque de décalage du fonctionnement des racines par rapport à la partie végétative;</t>
  </si>
  <si>
    <t>*Mise en route souvent difficile du système racinaire au printemps, veuiller à bien soutenir le végétal au démarage. Eviter aussi dfe travailler ce sol en condition humide.</t>
  </si>
  <si>
    <t>*Valoriser les techniques protégeant la structure de sol (gestion organique…etc)</t>
  </si>
  <si>
    <t>*La bonne gestion de l'état organique limitera la sensibilité de ce sol au lessivage et au stress hydrique</t>
  </si>
  <si>
    <t>* tout tassement n'est pas à exclure si excès d'eau ou travail de sol en condition humide</t>
  </si>
  <si>
    <t>CT&lt;10</t>
  </si>
  <si>
    <t>*Sol non calcaire</t>
  </si>
  <si>
    <t>CT&lt;50</t>
  </si>
  <si>
    <t>*Sol faiblement calcaire</t>
  </si>
  <si>
    <t>CT&lt;200</t>
  </si>
  <si>
    <t>CA&lt;10</t>
  </si>
  <si>
    <t xml:space="preserve">*Sol calcaire, mais faible présence de calcaire actif </t>
  </si>
  <si>
    <t>CA&lt;40</t>
  </si>
  <si>
    <t>*Sol calcaire, mais  calcaire actif peu présent</t>
  </si>
  <si>
    <t>CA&lt;90</t>
  </si>
  <si>
    <t>*Sol calcaire, tout risque de chlorose n'est pas à exclure ici</t>
  </si>
  <si>
    <t>CA&lt;150</t>
  </si>
  <si>
    <t>*Sol calcaire, avec des risques élevés de chlorose</t>
  </si>
  <si>
    <t>CA&gt;=150</t>
  </si>
  <si>
    <t>*Sol calcaire, avec des risques très élevés de chlorose</t>
  </si>
  <si>
    <t>CT&lt;400</t>
  </si>
  <si>
    <t>*Sol fortement calcaire, mais faible présence de calcaire actif</t>
  </si>
  <si>
    <t>*Sol fortement calcaire, mais  calcaire actif peu présent</t>
  </si>
  <si>
    <t>*Sol fortement calcaire, tout risque de chlorose n'est pas à exclure ici</t>
  </si>
  <si>
    <t>*Sol fortement calcaire, avec des risques élevés de chlorose</t>
  </si>
  <si>
    <t>*Sol fortement calcaire, avec des risques très élevés de chlorose</t>
  </si>
  <si>
    <t>CT&gt;=400</t>
  </si>
  <si>
    <t>*Sol très fortement calcaire, mais faible présence de calcaire actif</t>
  </si>
  <si>
    <t>*Sol très fortement calcaire, mais  calcaire actif peu présent</t>
  </si>
  <si>
    <t>*Sol très fortement calcaire, tout risque de chlorose n'est pas à exclure ici</t>
  </si>
  <si>
    <t>*Sol très fortement calcaire, avec des risques élevés de chlorose</t>
  </si>
  <si>
    <t>*Sol très fortement calcaire, avec des risques très élevés de chlorose</t>
  </si>
  <si>
    <t>&lt;5,5</t>
  </si>
  <si>
    <t>*pH très acide</t>
  </si>
  <si>
    <t>&lt;6,5</t>
  </si>
  <si>
    <t>*pH acide</t>
  </si>
  <si>
    <t>&lt;6,8</t>
  </si>
  <si>
    <t>*pH légèrement acide</t>
  </si>
  <si>
    <t>&lt;7,2</t>
  </si>
  <si>
    <t>*pH neutre</t>
  </si>
  <si>
    <t>&lt;7,5</t>
  </si>
  <si>
    <t>*pH légèrement basique</t>
  </si>
  <si>
    <t>&lt;8,3</t>
  </si>
  <si>
    <t>*Mais à pH basique</t>
  </si>
  <si>
    <t>CT&gt;=50</t>
  </si>
  <si>
    <t>*pH basique</t>
  </si>
  <si>
    <t>&gt;=8,3</t>
  </si>
  <si>
    <t>*Mais à pH très basique</t>
  </si>
  <si>
    <t>*pH très basique</t>
  </si>
  <si>
    <t>*pH impropre au bon fonctionnement du système racinaire, un chaulage est impératif</t>
  </si>
  <si>
    <t xml:space="preserve">&lt;=6 </t>
  </si>
  <si>
    <t>*pH trop faible pour le bon fonctionnment des racines et du sol, un chaulage (correction/entretien) est nécessaire</t>
  </si>
  <si>
    <t>*pH encore favorable à la bonne assimilation des éléments nutritifs de sol</t>
  </si>
  <si>
    <t>*pH favorable avec peu de risque de blocage des éléments minéraux</t>
  </si>
  <si>
    <t>&lt;7,6</t>
  </si>
  <si>
    <t>*pH pouvant commencer à perturber les prélevements nutritionnels ( phosphore et oligo-éléments)</t>
  </si>
  <si>
    <t>&lt;8</t>
  </si>
  <si>
    <t>*Risque important de perturbation de la nutrition ( phosphore et oligo-éléments)</t>
  </si>
  <si>
    <t xml:space="preserve">&lt;8,3 </t>
  </si>
  <si>
    <t>*Risques élevés de blocage, notamment du phosphore et des oligo-éléments. Prévoir des soutiens foliaires en oligo-éléments et une fertilisation adéquate en phosphore</t>
  </si>
  <si>
    <t>&lt;8,6</t>
  </si>
  <si>
    <t>*Risques très élevés de perturbation de la nutrition, il est nécessaire d'adapter le niveau de la fertilisation et le type d'engrais à apporter notament du phosphore et des oligo-éléments</t>
  </si>
  <si>
    <t>&gt;8,6</t>
  </si>
  <si>
    <t>*Les échanges nutritionels sont fortement perturbés par le pH. Il est impératif d'adapter le niveau de la fertilisation et le type de d'engrais à apporter ( oligo-éléments et phosphore)</t>
  </si>
  <si>
    <t>L'apport de substances organiques (fumier, acide humique,...etc), de substances soufrées et/ou des engrais acidifiants permetra d'améliorer la disponibilité des éléments nutritifs à la plante sous ces conditions basiques du milieu</t>
  </si>
  <si>
    <t>Ca_CEC&lt;45</t>
  </si>
  <si>
    <t>*Sol très pauvre en calcium, un apport calcique est impératif</t>
  </si>
  <si>
    <t>Ca_sur_CEC&lt;60</t>
  </si>
  <si>
    <t>*Sol faiblement saturé en calcium, un entretien calcique est nécessaire</t>
  </si>
  <si>
    <t>Ca_sur_CEC&lt;80</t>
  </si>
  <si>
    <t>Sol moyennement saturé en calcium, attention aux risques de blocage de cet élément par le potassium/magnésium</t>
  </si>
  <si>
    <t>Ca_sur_CEC&gt;80</t>
  </si>
  <si>
    <t>(Mg_CEC&lt;Mgssup;K_CEC&lt;KsSUP;IP&gt;2)</t>
  </si>
  <si>
    <t>*Sol saturé en calcium avec une bonne disponibilité en cet élément.</t>
  </si>
  <si>
    <t>(Mg_CEC&lt;Mgssup;K_CEC&lt;KsSUP;IP&lt;2)</t>
  </si>
  <si>
    <t>*Sol saturé en calcium mais avec des risques de faible disponibilité  liés au manque d'aération au niveau de la rhizosphère.</t>
  </si>
  <si>
    <t>(Mg_CEC&lt;Mgssup;K_CEC&gt;KsSUP;IP&lt;2)</t>
  </si>
  <si>
    <t>*Sol saturé en calcium mais avec des risques de faible disponibilité en raison du déséquilibre vis-à-vis du potassium</t>
  </si>
  <si>
    <t>(Mg_CEC&gt;Mgssup;K_CEC&lt;KsSUP;IP&gt;2)</t>
  </si>
  <si>
    <t>*Sol saturé en calcium mais avec des risques de faible disponibilité en raison du déséquilibre vis-à-vis  du magnésium</t>
  </si>
  <si>
    <t>Mg_CEC&lt;Mgssup;K_CEC&gt;KsSUP;IP&lt;2)</t>
  </si>
  <si>
    <t>*Sol saturé en calcium mais avec des risques de faible disponibilité liés au manque d'aération et au déséquilibre vis-à-vis du potassium</t>
  </si>
  <si>
    <t>(Mg_CEC&gt;Mgssup;K_CEC&lt;KsSUP;IP&lt;2)</t>
  </si>
  <si>
    <t>*Sol saturé en calcium mais avec des risques de faible disponibilité liés au manque d'aération et au déséquilibre vis-à-vis du magnésium</t>
  </si>
  <si>
    <t>(Mg_CEC&gt;Mgssup;K_CEC&gt;KsSUP;IP&gt;2)</t>
  </si>
  <si>
    <t>*Sol saturé en calcium mais avec des risques de faible disponibilité en raison du déséquilibre vis-à-vis du potassium et du magnésium</t>
  </si>
  <si>
    <t>(Mg_CEC&gt;Mgssup;K_CEC&gt;KsSUP;IP&lt;2)</t>
  </si>
  <si>
    <t xml:space="preserve">*Sol saturé en calcium mais avec des risques de faible disponibilité en raison du manque d'aération et du déséquilibre vis-à-vis du potassium et du magnésium </t>
  </si>
  <si>
    <t>Psol&gt;2*Psup</t>
  </si>
  <si>
    <t>Psol&gt;Psup</t>
  </si>
  <si>
    <t>Psol&gt;Pinf</t>
  </si>
  <si>
    <t>Psol&lt;Pinf/2</t>
  </si>
  <si>
    <t>Pinf&gt;Psol&gt;Pinf/2</t>
  </si>
  <si>
    <t>pHeau&lt;5,8</t>
  </si>
  <si>
    <t>Elevés</t>
  </si>
  <si>
    <t>pHeau&lt;6,8</t>
  </si>
  <si>
    <t>Faibles</t>
  </si>
  <si>
    <t>pHeau&lt;7,3</t>
  </si>
  <si>
    <t>Moyens</t>
  </si>
  <si>
    <t>pHeau&gt;=8,3</t>
  </si>
  <si>
    <t>calcairetot&gt;100</t>
  </si>
  <si>
    <t>Très élevés</t>
  </si>
  <si>
    <t>pHeau&lt;8,3</t>
  </si>
  <si>
    <t>Psol&lt;Pinf</t>
  </si>
  <si>
    <t>DéficitP2O5&gt;300</t>
  </si>
  <si>
    <t>Le très fort déficit du sol sera corrigé sur plusieurs années;</t>
  </si>
  <si>
    <t>DéficitP2O5&gt;150</t>
  </si>
  <si>
    <t>Prévoir  une fumure de correction du déficit en phosphore à répartir sur plusieurs années</t>
  </si>
  <si>
    <t>DéficitP2O5&gt;70</t>
  </si>
  <si>
    <t>Effectuer un apport de correction du déficit ou augmenter la fumue d'entretien annuelle</t>
  </si>
  <si>
    <t>DéficitP2O5&gt;0</t>
  </si>
  <si>
    <t>Augmenter la fumure d'entretien annuelle en phosphore</t>
  </si>
  <si>
    <t>correct</t>
  </si>
  <si>
    <t>Niveau de réserve correct en Phosphore. Aucun redressement  (engrais de fond) du sol en cet élément n'est nécessaire. Toutefois un apport d'entretien est recommandé.</t>
  </si>
  <si>
    <t>Réserves &gt;400</t>
  </si>
  <si>
    <t>Les très fortes réserves en phosphore indiquent un problème de fonctionnement du sol ou une surfertilisation en cet élément</t>
  </si>
  <si>
    <t>Réserves &gt;300</t>
  </si>
  <si>
    <t>Fortes réserves en phosphore indiquant une surfertilisation ou blocage au niveau du sol</t>
  </si>
  <si>
    <t>Réserves &gt;200</t>
  </si>
  <si>
    <t>Réserves élevées en phosphore mais sans risque pour la nutrition végétale</t>
  </si>
  <si>
    <t>Réserves &gt;0</t>
  </si>
  <si>
    <t>Réserves soutenues en phosphore mais encore cohérentes pour ce type de sol</t>
  </si>
  <si>
    <t>Les paramètres de sol sont favorables pour la bonne assimilation du phosphore</t>
  </si>
  <si>
    <t>Risque peu élevé de blocage du phosphore. Il est inutile de tenir compte des facteurs de blocage dans la fertilisation</t>
  </si>
  <si>
    <t>Risque de blocage du phosphore dans le sol. Il est nécessaire d'en tenir compte dans la fertilisation</t>
  </si>
  <si>
    <t>Risque significatif de blocage du phosphore dans le sol. L'équilibre et le programme de la fertilisation doivent en tenir compte</t>
  </si>
  <si>
    <t>Risque très significatif de blocage du phosphore dans le sol. Il est  nécessaire d'adapter le niveau et les équilibres de la fertilisation.</t>
  </si>
  <si>
    <t xml:space="preserve">Risque important de blocage du phosphore dans le sol, rendant nécessaire l'adaptation de la fertilisation (Niveau, fractionnement, nature de produit,…etc) </t>
  </si>
  <si>
    <t xml:space="preserve">Risque très important de blocage du phosphore dans le sol, obligeant à adapter la fertilisation (Niveau, fractionnement, nature de produit,…etc) </t>
  </si>
  <si>
    <t>Risque élevé de blocage du phosphore dans le sol, rendant nécessaire l'appropéation du mode de conduite de la fertilisation phosphatées;</t>
  </si>
  <si>
    <t>Risque très élevé de blocage du phosphore dans le sol, rendant impératif l'appropéation du mode de conduite de la fertilisation phosphatées;</t>
  </si>
  <si>
    <t>Très faible disponibilité du phophore, rendant impératif l'adaptation du mode de conduite de la fertilisation phosphatées</t>
  </si>
  <si>
    <t>Disponibilité particulièrment faible du phosphore dans ce type de sol, rendant impératif l'appropéation du mode de conduite de la fertilisation phosphatées (Niveau, fractionnement, nature de produit,…etc);</t>
  </si>
  <si>
    <t>Les conditions du sol sont particulièrement défavorable à la disponibilité du phosphore rendant la nutrution en cet élément difficile</t>
  </si>
  <si>
    <t>Les paramètres de sol indiquent que le phosphore  de ce sol est particulièrement très peu disponible rendant impératif l'adaptation du mode de conduite de la fertilisation phosphatées;</t>
  </si>
  <si>
    <t>Argile&gt;300</t>
  </si>
  <si>
    <t>Ksol&gt;0,86</t>
  </si>
  <si>
    <t>Ksol&gt;Ksup</t>
  </si>
  <si>
    <t>Ksol&gt;Kinf</t>
  </si>
  <si>
    <t>Argile&gt;=100</t>
  </si>
  <si>
    <t>Ksol&gt;0,6</t>
  </si>
  <si>
    <t>Argile&lt;100</t>
  </si>
  <si>
    <t>Ksol&gt;0,36</t>
  </si>
  <si>
    <t>MgsurK&gt;10</t>
  </si>
  <si>
    <t>CasurK&gt;30</t>
  </si>
  <si>
    <t>MgsurK&gt;6,25</t>
  </si>
  <si>
    <t>CasurK&gt;25</t>
  </si>
  <si>
    <t>MgsurK&gt;2,857</t>
  </si>
  <si>
    <t>CasurK&gt;15</t>
  </si>
  <si>
    <t>Déficit particulièrement important en potassium à corriger impérativement (Sur plusieur années)</t>
  </si>
  <si>
    <t>Le très fort déficit du sol en potassium sera corrigé sur plusieurs années;</t>
  </si>
  <si>
    <t>Prévoir  une fumure de correction du déficit en potassium à répartir sur plusieurs années</t>
  </si>
  <si>
    <t>Effectuer un apport de correction du déficit en potassium ou augmenter la fumure d'entretien annuelle</t>
  </si>
  <si>
    <t>Augmenter la fumure d'entretien annuelle en potassium</t>
  </si>
  <si>
    <t>Niveau de réserve correct en Potassium. Aucun redressement  (engrais de fond) du sol en cet élément n'est nécessaire. Toutefois un apport d'entretien est recommandé.</t>
  </si>
  <si>
    <t>Réserves excessives en potassium, attention aux excès de la fertilisation en cet élément</t>
  </si>
  <si>
    <t>Réserves très élevées en potassium, eviter les trop de fumure en cet élément</t>
  </si>
  <si>
    <t>Réserves élevées en potassium ne pas augmenter les apports en cet élément</t>
  </si>
  <si>
    <t>Réserves très soutenues en potassium, attention aux fumures trop élevées en cet élément</t>
  </si>
  <si>
    <t>réserves soutenues en potassium, mais encore cohérentes pour ce type de sol</t>
  </si>
  <si>
    <t>Les conditions de sol sont favorables pour la bonne assimilation du potassium</t>
  </si>
  <si>
    <t>Risque peu élevé de blocage du potassium. Il est inutile de tenir compte des facteurs de blocage dans la fertilisation</t>
  </si>
  <si>
    <t>Risque de blocage du potassium dans le sol. Il est nécessaire d'en tenir compte dans la fertilisation</t>
  </si>
  <si>
    <t>Risque significatif de blocage du potassium dans le sol. L'équilibre et le programme de la fertilisation doivent en tenir compte</t>
  </si>
  <si>
    <t>Risque très significatif de blocage du  potassium dans le sol. Il est  nécessaire d'adapter le niveau et les équilibres de la fertilisation.</t>
  </si>
  <si>
    <t xml:space="preserve">Risque important de blocage du  potassium de ce sol, rendant nécessaire l'adaptation de la fertilisation (Niveau, fractionnement, nature de produit,…etc) </t>
  </si>
  <si>
    <t xml:space="preserve">Risque très important de blocage du  potassium de ce sol, obligeant à adapter la fertilisation (Niveau, fractionnement, nature de produit,…etc) </t>
  </si>
  <si>
    <t>Risque élevé de blocage du  potassium dans le sol, rendant nécessaire l'appropriation du mode de conduite de la fertilisation potassique;</t>
  </si>
  <si>
    <t>Risque très élevé de blocage du  potassium dans le sol, rendant impératif l'appropriation du mode de conduite de la fertilisation potassique;</t>
  </si>
  <si>
    <t>Très faible disponibilité du  potassium, rendant impératif l'adaptation du mode de conduite de la fertilisation potassique</t>
  </si>
  <si>
    <t>Disponibilité particulièrment faible du potassium dans ce type de sol, rendant impératif l'appropriation du mode de conduite de la fertilisation potassique (Niveau, fractionnement, nature de produit,…etc);</t>
  </si>
  <si>
    <t>Les conditions du sol sont particulièrement défavorables à la disponibilité du  potassium rendant la nutrition en cet élément difficile</t>
  </si>
  <si>
    <t>Les paramètres indiquent que le  potassium  de ce sol est particulièrement peu disponible rendant impératif l'adaptation du mode de conduite de la fertilisation potassique;</t>
  </si>
  <si>
    <t>Mgsol&gt;1,35</t>
  </si>
  <si>
    <t>Mgsol&gt;Mgsup</t>
  </si>
  <si>
    <t>Mgsol&gt;Mginf</t>
  </si>
  <si>
    <t>Mgsol&gt;1,05</t>
  </si>
  <si>
    <t>Mgsol&gt;0,625</t>
  </si>
  <si>
    <t>KsurMgsol&gt;0,7</t>
  </si>
  <si>
    <t>Très Elevés</t>
  </si>
  <si>
    <t>CasurMg&gt;10</t>
  </si>
  <si>
    <t>KsurMgsol&gt;0,5</t>
  </si>
  <si>
    <t>SI(CasurMg&gt;7;</t>
  </si>
  <si>
    <t>KsurMgsol&gt;0,16</t>
  </si>
  <si>
    <t>CasurMg&gt;3</t>
  </si>
  <si>
    <t>Déficit particulièrement important en magnésium à corriger impérativement (Sur plusieur années)</t>
  </si>
  <si>
    <t>Le très fort déficit du sol en magnésium sera corrigé sur plusieurs années;</t>
  </si>
  <si>
    <t>Prévoir  une fumure de correction du déficit en magnésium à répartir sur plusieurs années</t>
  </si>
  <si>
    <t>Effectuer un apport de correction du déficit en magnésium ou augmenter la fumure d'entretien annuelle</t>
  </si>
  <si>
    <t>Augmenter la fumure d'entretien annuelle en magnésium</t>
  </si>
  <si>
    <t>Niveau de réserve correct en magnésium. Aucun redressement  (engrais de fond) du sol en cet élément n'est nécessaire. Un entretien est toutefois recommandé ( Sol ou foliaire)</t>
  </si>
  <si>
    <t>Réserves excessives en magnésium,éviter impérativement tout apport au sol.</t>
  </si>
  <si>
    <t>Réserves très élevées en Magnésium, éviter tout apport au sol</t>
  </si>
  <si>
    <t>Réserves  élevées en Magnésium, éviter les apports au sol en cet élément</t>
  </si>
  <si>
    <t>Réserves très soutenues en magnésium limiter les apports au sol</t>
  </si>
  <si>
    <t>Réserves soutenues en magnésium mais enore cohérentes pour ce type de sol.</t>
  </si>
  <si>
    <t>Si l'analyse foliaire montre  une déficience (liée aux conditions climatiques, à une dégradation racinaire…etc), intervenir par voie foliaire;</t>
  </si>
  <si>
    <t>Les conditions de sol sont favorables pour la bonne assimilation du magnésium</t>
  </si>
  <si>
    <t>Risque peu élevé de blocage du magnésium. Il est inutile de tenir compte des facteurs de blocage dans la fertilisation</t>
  </si>
  <si>
    <t>Risque de blocage du magnésium dans le sol.  Il est nécessaire d'en tenir compte dans la fertilisation</t>
  </si>
  <si>
    <t>Risque significatif de blocage du magnésium dans le sol. L'équilibre et le programme de la fertilisation doivent en tenir compte</t>
  </si>
  <si>
    <t>Risque très significatif de blocage du  magnésium dans le sol. Il est  nécessaire d'adapter le mode de conduite de la fertilisation en magnésium (éventuel soutien foliaire)</t>
  </si>
  <si>
    <t xml:space="preserve">Risque important de blocage du  magnésium dans le sol, rendant nécessaire l'adaptation de la fertilisation (Niveau, fractionnement, nature de produit,…etc) </t>
  </si>
  <si>
    <t xml:space="preserve">Risque très important de blocage du  magnésium dans le sol, obligeant à adapter la fertilisation (Niveau, fractionnement, nature de produit,…etc) </t>
  </si>
  <si>
    <t>Risque élevé de blocage du  magnésium dans le sol, rendant nécessaire l'appropriation du mode de conduite de la fertilisation magnésique;</t>
  </si>
  <si>
    <t>Risque très élevé de blocage du  magnésium dans le sol, rendant impératif l'appropriation du mode de conduite de la fertilisation magnésique;</t>
  </si>
  <si>
    <t>Très faible disponibilité du  magnésium, rendant impératif l'adaptation du mode de conduite de la fertilisation magnésium</t>
  </si>
  <si>
    <t>Disponibilité particulièrment faible du magnésium dans ce type de sol, rendant impératif l'appropriation du mode de conduite de la fertilisation magnésium (Niveau, fractionnement, nature de produit,…etc);</t>
  </si>
  <si>
    <t>Les conditions du sol sont particulièrement défavorables à la disponibilité du  magnésium rendant la nutrition en cet élément difficile</t>
  </si>
  <si>
    <t>Les paramètres indiquent que le  magnésium  de ce sol est particulièrement peu disponible rendant impératif l'adaptation du mode de conduite de la fertilisation magnésique;</t>
  </si>
  <si>
    <t>MOsol&gt;MOsup</t>
  </si>
  <si>
    <t>MOsol&gt;=MOinf</t>
  </si>
  <si>
    <t>Bien pourvu</t>
  </si>
  <si>
    <t>MOsol&lt;MOinf</t>
  </si>
  <si>
    <t>Niveau très élevé en matière organique par rapport à la texture de sol. Vérifier impérativement le niveau d'évolution du potentiel en place</t>
  </si>
  <si>
    <t>Niveau élevé en matière organique par rapport à la texture de sol. Eviter tout apport de produit grossier et vérifier l'évolution du potentiel en place</t>
  </si>
  <si>
    <t>Niveau correct en matière organique par rapport à la texture de sol, un apport de correction n'est pas nécessaire. Entretenir ce potentiel par des apports réguliers</t>
  </si>
  <si>
    <t>Faible teneur en matière organique.Un entretien  est nécessaire par rapport à la texture de sol</t>
  </si>
  <si>
    <t>Très faible niveau en matière organique. Un apport de redressement est à envisager en utilisant des produits grossiers.</t>
  </si>
  <si>
    <t>Rapport C/N très limité montrant une dégradation très rapide du potentiel en place, mais une bonne participation de la MO du sol à la nutrition;</t>
  </si>
  <si>
    <t>Rapport C/N  limité montrant une dégradation rapide du potentiel en place, mais une bonne participation de la MO du sol à la nutrition</t>
  </si>
  <si>
    <t>Rapport C/N correct à la fois pour la nutrition du végétal et pour l'effet positif de la MO sur l'état du sol;</t>
  </si>
  <si>
    <t>Rapport C/N soutenu montrant une matière organique peu active participant peu à la nutrition du végétal et au fonctionnement du sol</t>
  </si>
  <si>
    <t>Rapport C/N très élevé montrant une matière organique très peu active et peu efficace sur la nutrition du végétal et sur le fonctionnement du sol</t>
  </si>
  <si>
    <t>pHeau&gt;=8</t>
  </si>
  <si>
    <t>pHeau&gt;=7,3</t>
  </si>
  <si>
    <t>pHeau&gt;6,8</t>
  </si>
  <si>
    <t>Risques particulièrement élevés de blocage des Oligo-éléments. Des apports sont impératifs (fertigation/voie foliaire)</t>
  </si>
  <si>
    <t>Risques de blocage très élevés de l'assimilation des oligo-éléments de sol . Des apports sont à prévoir (Au sol : fertigation ou par voie foliaire)</t>
  </si>
  <si>
    <t>Risques de blocage élevés de l'assimilation des oligo-éléments de sol. Des apports sont à prévoir  (Au sol : fertigation ou par voie foliaire)</t>
  </si>
  <si>
    <t>Risques moyens de blocage des oligo-éléments ne justifiant pas d'insister sur les apports</t>
  </si>
  <si>
    <t>Faibles risques de blocage des oligo-éléments. Eviter les apports trop important au sol</t>
  </si>
  <si>
    <t>CEsol&lt;=0,4</t>
  </si>
  <si>
    <t>*Pas de risque de salinité</t>
  </si>
  <si>
    <t>CEsol&lt;=0,8</t>
  </si>
  <si>
    <t>*Risque possible de salinité, selon les conditions du milieu, à évaluer par l'analyse de la salinité  de l'extrait de la pâte saturée</t>
  </si>
  <si>
    <t>CEsol&lt;1,2</t>
  </si>
  <si>
    <t>*Risque important de salinité, selon les conditions du milieu, à évaluer par l'analyse de la salinité  de l'extrait de la pâte saturée</t>
  </si>
  <si>
    <t>Cesol&gt;=1,2</t>
  </si>
  <si>
    <t>*Salinité excessive. Risque de forte réduction du potentiel de production</t>
  </si>
  <si>
    <t>*Une analyse réguilière par l'extrait aqueux (pâte saturée ou 1/5ème) peut aider à appécier la disponibilité instantanée des éléments minéraux sur ce sol;</t>
  </si>
  <si>
    <t>*Le suivi par l'analyse foliaire et/ou l'extrait aqueux (pâte saturée ou 1/5ème) permettra de connaître la qualité de la nutrition sur cette parcelle. Contacter le laboratoire pour les protocoles de prélèvement.</t>
  </si>
  <si>
    <t>*Pour contrôler la qualité de la fertilisation et le mode de conduite sur cette parcelle, effectuer réguilièrement des analyses foliaires (Contacter le laboratoire pour les protocoles de prélèvement)</t>
  </si>
  <si>
    <t>*Contrôler la réalisation de la nutrition sur cette parcelle par l'analyse foliaire (Contacter le laboratoire pour les protocoles de prélèvement)</t>
  </si>
  <si>
    <t>*L'analyse foliaire est un moyen efficace pour contrôler la qualité de la fertilisation et le mode de conduite (Contacter le laboratoire pour les protocoles de prélèvement)</t>
  </si>
  <si>
    <t>*Analyse de contrôle du sol à prévoir dans un maximum de 5 ans ou moins si des apports de redressement sont effectués.</t>
  </si>
  <si>
    <t>*Du fait des risques de blocage qui peuvent avoir lieu, prévoir des contrôles réguliers de la nutrition par des analyses foliaires (Contacter le laboratoire pour les protocoles de prélèvement)</t>
  </si>
  <si>
    <t>*Vérifier régulièrement la performance racinaire et l'efficacité des apports d'engrais par l'analyse foliaire (Contacter le laboratoire pour les protocoles de prélèvement);</t>
  </si>
  <si>
    <t>*Dans le cas d'un niveau élevé de la fertilisation ou de redressement minéral ou organique, effectuer une analyse de terre de cotrôle pour vérifier les nouveaux équilibres.</t>
  </si>
  <si>
    <t>*Il est possible de mieux caractériser l'état et le fonctionnement organique de cette parcelle et de déterminer par la suite le type de produit à apporter. Contacter le laboratoire pour les protocoles de prélèvement.</t>
  </si>
  <si>
    <t>*Le suivi par l'analyse foliaire et/ou l'extrait aqueux (pâte saturée ou 1/5ème) permettra de connaître la qualité de la nutrition sur cette parcelle. Contacter le laboratoire pour les protocoles de prélèvement</t>
  </si>
  <si>
    <t>*Faible potentiel de participation du sol (azote organique) à la nutrition azotée</t>
  </si>
  <si>
    <t>*Potentiel moyen de participation du sol (azote organique) à la nutrition azotée</t>
  </si>
  <si>
    <t>*Le sol participe de façon significative à la nutrition azotée du végétal</t>
  </si>
  <si>
    <t>*Fort potentiel de participation du sol (azote organique) à la nutrition azotée du végétal</t>
  </si>
  <si>
    <t>*Risque de forte libération d'azote (azote organique) par le sol</t>
  </si>
  <si>
    <t>TF/F</t>
  </si>
  <si>
    <t>F/N</t>
  </si>
  <si>
    <t>N/E</t>
  </si>
  <si>
    <t>E/TE</t>
  </si>
  <si>
    <t>EXPLOITANT</t>
  </si>
  <si>
    <t>ORGANISME</t>
  </si>
  <si>
    <t>Argile</t>
  </si>
  <si>
    <t>Limons</t>
  </si>
  <si>
    <t>NoteP</t>
  </si>
  <si>
    <t>NOTE K</t>
  </si>
  <si>
    <t>Note Mg</t>
  </si>
  <si>
    <t xml:space="preserve">SAID HAMOUCHI </t>
  </si>
  <si>
    <t>BELFAA CHTOUKA AGADIR</t>
  </si>
  <si>
    <t>TIFSSA 3 S6</t>
  </si>
  <si>
    <t>FROMBOISE</t>
  </si>
  <si>
    <t>MOHAMED AIT M'HAMED</t>
  </si>
  <si>
    <t>DOMAINE TIFSSA</t>
  </si>
  <si>
    <t>COORDONNEES GPS :</t>
  </si>
  <si>
    <t>ANALYSE DE SUBSTRAT</t>
  </si>
  <si>
    <t>Granulométrie (En %)</t>
  </si>
  <si>
    <t>Argile (&lt;2 µm):</t>
  </si>
  <si>
    <t>Texture selon le triangle GEPPA:</t>
  </si>
  <si>
    <t>Limons fins (2 à 20 µm):</t>
  </si>
  <si>
    <t xml:space="preserve">  </t>
  </si>
  <si>
    <t>Limons grossiers (20 à 50 µm):</t>
  </si>
  <si>
    <t>Idice de porosité          :</t>
  </si>
  <si>
    <t>Sables fins ( 50 à 200 µm):</t>
  </si>
  <si>
    <t xml:space="preserve">Réserve Utile estimée   : </t>
  </si>
  <si>
    <t>Sables grossiers ( 0,2 à 2 mm):</t>
  </si>
  <si>
    <t>NO3-</t>
  </si>
  <si>
    <r>
      <t>NH4</t>
    </r>
    <r>
      <rPr>
        <vertAlign val="superscript"/>
        <sz val="12"/>
        <rFont val="Verdana"/>
        <family val="2"/>
      </rPr>
      <t>+</t>
    </r>
  </si>
  <si>
    <t>Estimation du coefficient k2                :</t>
  </si>
  <si>
    <t>H2PO4-</t>
  </si>
  <si>
    <t>Souhaitable</t>
  </si>
  <si>
    <t>Stock en matières organiques (MO)     :</t>
  </si>
  <si>
    <t>K+</t>
  </si>
  <si>
    <t>MgO sol</t>
  </si>
  <si>
    <r>
      <t xml:space="preserve">Matières organiques </t>
    </r>
    <r>
      <rPr>
        <i/>
        <sz val="12"/>
        <rFont val="Verdana"/>
        <family val="2"/>
      </rPr>
      <t>(%)</t>
    </r>
  </si>
  <si>
    <t>Estimation des pertes annuelles en MO:</t>
  </si>
  <si>
    <t>Mg++</t>
  </si>
  <si>
    <t>MgO souhaité</t>
  </si>
  <si>
    <t>NF ISO 14235                                                                                                                                                                                                                                                                                                   (MO=Carb. Org*1,72)</t>
  </si>
  <si>
    <t>Estimation de l'azote minéralisable      :</t>
  </si>
  <si>
    <t>Ca++</t>
  </si>
  <si>
    <t>redressement</t>
  </si>
  <si>
    <t>Décomposition de la MO</t>
  </si>
  <si>
    <t>Na+</t>
  </si>
  <si>
    <r>
      <t xml:space="preserve">Azote total </t>
    </r>
    <r>
      <rPr>
        <i/>
        <sz val="12"/>
        <rFont val="Verdana"/>
        <family val="2"/>
      </rPr>
      <t>(%)</t>
    </r>
  </si>
  <si>
    <t>Cl-</t>
  </si>
  <si>
    <r>
      <t xml:space="preserve">Azote minéral du sol </t>
    </r>
    <r>
      <rPr>
        <i/>
        <sz val="12"/>
        <rFont val="Verdana"/>
        <family val="2"/>
      </rPr>
      <t>(NF ISO 14256-2)</t>
    </r>
  </si>
  <si>
    <t>Rapide</t>
  </si>
  <si>
    <t>Lente</t>
  </si>
  <si>
    <t>DOSE IRRIGATION</t>
  </si>
  <si>
    <t>Azote Nitrique N-NO3 (Kg/ha)   :</t>
  </si>
  <si>
    <t>TENEUR EN AZOTE NH4</t>
  </si>
  <si>
    <t>Azote Ammoniacal N-NH4 (Kg/ha) :</t>
  </si>
  <si>
    <t>TENEUR EN AZOTE NO3</t>
  </si>
  <si>
    <r>
      <t xml:space="preserve">Conductivité éléctrique </t>
    </r>
    <r>
      <rPr>
        <b/>
        <i/>
        <sz val="12"/>
        <color indexed="10"/>
        <rFont val="Verdana"/>
        <family val="2"/>
      </rPr>
      <t xml:space="preserve">* </t>
    </r>
    <r>
      <rPr>
        <b/>
        <i/>
        <sz val="12"/>
        <rFont val="Verdana"/>
        <family val="2"/>
      </rPr>
      <t xml:space="preserve">                                                       </t>
    </r>
    <r>
      <rPr>
        <i/>
        <sz val="12"/>
        <rFont val="Verdana"/>
        <family val="2"/>
      </rPr>
      <t xml:space="preserve">corrigé à 25°C  (mS/m)                             NF ISO 11265          </t>
    </r>
    <r>
      <rPr>
        <b/>
        <i/>
        <sz val="12"/>
        <rFont val="Verdana"/>
        <family val="2"/>
      </rPr>
      <t xml:space="preserve">            </t>
    </r>
  </si>
  <si>
    <r>
      <t xml:space="preserve">Calcaire total </t>
    </r>
    <r>
      <rPr>
        <b/>
        <i/>
        <sz val="12"/>
        <color indexed="10"/>
        <rFont val="Verdana"/>
        <family val="2"/>
      </rPr>
      <t>*</t>
    </r>
    <r>
      <rPr>
        <i/>
        <sz val="12"/>
        <rFont val="Verdana"/>
        <family val="2"/>
      </rPr>
      <t xml:space="preserve">%)    </t>
    </r>
  </si>
  <si>
    <t>inférieur à 10</t>
  </si>
  <si>
    <r>
      <t xml:space="preserve">Calcaire actif </t>
    </r>
    <r>
      <rPr>
        <i/>
        <sz val="12"/>
        <rFont val="Verdana"/>
        <family val="2"/>
      </rPr>
      <t>(%)</t>
    </r>
    <r>
      <rPr>
        <b/>
        <i/>
        <sz val="12"/>
        <rFont val="Verdana"/>
        <family val="2"/>
      </rPr>
      <t xml:space="preserve">  </t>
    </r>
  </si>
  <si>
    <t>inférieur à 3</t>
  </si>
  <si>
    <t>CALCUL DOSE PHOSPHORE</t>
  </si>
  <si>
    <t>APPORT EAU</t>
  </si>
  <si>
    <r>
      <t xml:space="preserve">pH eau corrigé à 25°C </t>
    </r>
    <r>
      <rPr>
        <b/>
        <i/>
        <sz val="12"/>
        <color indexed="10"/>
        <rFont val="Verdana"/>
        <family val="2"/>
      </rPr>
      <t>*</t>
    </r>
  </si>
  <si>
    <r>
      <t>Bore</t>
    </r>
    <r>
      <rPr>
        <i/>
        <sz val="12"/>
        <rFont val="Verdana"/>
        <family val="2"/>
      </rPr>
      <t xml:space="preserve"> (mg/Kg)</t>
    </r>
  </si>
  <si>
    <t>%limon</t>
  </si>
  <si>
    <t>tassement</t>
  </si>
  <si>
    <t>Fumier</t>
  </si>
  <si>
    <t>calcul lessivage</t>
  </si>
  <si>
    <t>Potasse</t>
  </si>
  <si>
    <t>teneurs en argile %</t>
  </si>
  <si>
    <t>fumier</t>
  </si>
  <si>
    <t>Tenuenr en argile%</t>
  </si>
  <si>
    <t>Taux de saturation en calcium :</t>
  </si>
  <si>
    <t>Désaturé</t>
  </si>
  <si>
    <t>Saturé</t>
  </si>
  <si>
    <r>
      <t xml:space="preserve">CaO </t>
    </r>
    <r>
      <rPr>
        <i/>
        <sz val="12"/>
        <rFont val="Verdana"/>
        <family val="2"/>
      </rPr>
      <t>(g/kg)</t>
    </r>
  </si>
  <si>
    <t xml:space="preserve">  Ca/CEC (%)</t>
  </si>
  <si>
    <t>&gt; 85</t>
  </si>
  <si>
    <t>calcaire total %</t>
  </si>
  <si>
    <t>correction calcaire</t>
  </si>
  <si>
    <t>Rendement objectif</t>
  </si>
  <si>
    <t>Potassium initial sol ppm</t>
  </si>
  <si>
    <t xml:space="preserve"> NF × 31-108</t>
  </si>
  <si>
    <r>
      <t xml:space="preserve">CEC Metson  </t>
    </r>
    <r>
      <rPr>
        <i/>
        <sz val="12"/>
        <rFont val="Verdana"/>
        <family val="2"/>
      </rPr>
      <t xml:space="preserve">                                                                                                                                                                                                                                                                                                                                             (Cmol+/kg)    NF × 31 -130</t>
    </r>
  </si>
  <si>
    <t>&gt; 90</t>
  </si>
  <si>
    <t>Cl dans l eau ppm</t>
  </si>
  <si>
    <t>Exportation</t>
  </si>
  <si>
    <t>niveau souihaitable ppm</t>
  </si>
  <si>
    <t>Rendement Objectif</t>
  </si>
  <si>
    <t>lessivage irrigation</t>
  </si>
  <si>
    <t>Equilibres</t>
  </si>
  <si>
    <t>Exportation P</t>
  </si>
  <si>
    <t>Redressement</t>
  </si>
  <si>
    <t>P2O5 Sol</t>
  </si>
  <si>
    <t>dénutrification+volatilisation</t>
  </si>
  <si>
    <t>En  mg/kg</t>
  </si>
  <si>
    <t>Ca:k</t>
  </si>
  <si>
    <t>Psouhaité</t>
  </si>
  <si>
    <t>lessivage pluie hiver</t>
  </si>
  <si>
    <t>E</t>
  </si>
  <si>
    <t>Estimation des besoins</t>
  </si>
  <si>
    <r>
      <t>Phosphore (P</t>
    </r>
    <r>
      <rPr>
        <b/>
        <i/>
        <vertAlign val="subscript"/>
        <sz val="12"/>
        <rFont val="Verdana"/>
        <family val="2"/>
      </rPr>
      <t>2</t>
    </r>
    <r>
      <rPr>
        <b/>
        <i/>
        <sz val="12"/>
        <rFont val="Verdana"/>
        <family val="2"/>
      </rPr>
      <t>O</t>
    </r>
    <r>
      <rPr>
        <b/>
        <i/>
        <vertAlign val="subscript"/>
        <sz val="12"/>
        <rFont val="Verdana"/>
        <family val="2"/>
      </rPr>
      <t>5</t>
    </r>
    <r>
      <rPr>
        <b/>
        <i/>
        <sz val="12"/>
        <rFont val="Verdana"/>
        <family val="2"/>
      </rPr>
      <t xml:space="preserve">) </t>
    </r>
    <r>
      <rPr>
        <b/>
        <i/>
        <sz val="12"/>
        <color indexed="10"/>
        <rFont val="Verdana"/>
        <family val="2"/>
      </rPr>
      <t>*</t>
    </r>
  </si>
  <si>
    <t>K/CEC (%)</t>
  </si>
  <si>
    <t>Mg/K</t>
  </si>
  <si>
    <t>P apporté par fumier</t>
  </si>
  <si>
    <t>MO sol</t>
  </si>
  <si>
    <t>pouvoir fixateur</t>
  </si>
  <si>
    <r>
      <t>Potasse (K</t>
    </r>
    <r>
      <rPr>
        <b/>
        <i/>
        <vertAlign val="subscript"/>
        <sz val="12"/>
        <rFont val="Verdana"/>
        <family val="2"/>
      </rPr>
      <t>2</t>
    </r>
    <r>
      <rPr>
        <b/>
        <i/>
        <sz val="12"/>
        <rFont val="Verdana"/>
        <family val="2"/>
      </rPr>
      <t xml:space="preserve">O) </t>
    </r>
    <r>
      <rPr>
        <b/>
        <i/>
        <sz val="12"/>
        <color indexed="10"/>
        <rFont val="Verdana"/>
        <family val="2"/>
      </rPr>
      <t>*</t>
    </r>
  </si>
  <si>
    <t>Mg/CEC (%)</t>
  </si>
  <si>
    <t>Total à apporter</t>
  </si>
  <si>
    <t>correction présence calcaire</t>
  </si>
  <si>
    <r>
      <t xml:space="preserve">Magnésie (MgO) </t>
    </r>
    <r>
      <rPr>
        <b/>
        <i/>
        <sz val="12"/>
        <color indexed="10"/>
        <rFont val="Verdana"/>
        <family val="2"/>
      </rPr>
      <t>*</t>
    </r>
    <r>
      <rPr>
        <i/>
        <vertAlign val="superscript"/>
        <sz val="12"/>
        <rFont val="Verdana"/>
        <family val="2"/>
      </rPr>
      <t xml:space="preserve"> </t>
    </r>
    <r>
      <rPr>
        <i/>
        <sz val="12"/>
        <rFont val="Verdana"/>
        <family val="2"/>
      </rPr>
      <t xml:space="preserve">                                                                                                                                                                                                                                                                        NF × 31 -108</t>
    </r>
  </si>
  <si>
    <t>correction présence chlore dans l eau</t>
  </si>
  <si>
    <t>fixation par l argile</t>
  </si>
  <si>
    <t>Ext. EDTA (mg/kg)</t>
  </si>
  <si>
    <t>oxygénation sol</t>
  </si>
  <si>
    <r>
      <t xml:space="preserve">Cuivre </t>
    </r>
    <r>
      <rPr>
        <b/>
        <i/>
        <sz val="12"/>
        <color indexed="10"/>
        <rFont val="Verdana"/>
        <family val="2"/>
      </rPr>
      <t>*</t>
    </r>
    <r>
      <rPr>
        <b/>
        <i/>
        <sz val="12"/>
        <rFont val="Verdana"/>
        <family val="2"/>
      </rPr>
      <t xml:space="preserve">                                                                                                                                                                                                                                                                                  </t>
    </r>
    <r>
      <rPr>
        <i/>
        <sz val="12"/>
        <rFont val="Verdana"/>
        <family val="2"/>
      </rPr>
      <t>NF × 31 -120</t>
    </r>
  </si>
  <si>
    <r>
      <t>Sodium (Na</t>
    </r>
    <r>
      <rPr>
        <b/>
        <i/>
        <vertAlign val="subscript"/>
        <sz val="12"/>
        <rFont val="Verdana"/>
        <family val="2"/>
      </rPr>
      <t>2</t>
    </r>
    <r>
      <rPr>
        <b/>
        <i/>
        <sz val="12"/>
        <rFont val="Verdana"/>
        <family val="2"/>
      </rPr>
      <t>O)</t>
    </r>
    <r>
      <rPr>
        <i/>
        <sz val="12"/>
        <rFont val="Verdana"/>
        <family val="2"/>
      </rPr>
      <t xml:space="preserve"> </t>
    </r>
    <r>
      <rPr>
        <b/>
        <i/>
        <sz val="12"/>
        <color indexed="10"/>
        <rFont val="Verdana"/>
        <family val="2"/>
      </rPr>
      <t>*</t>
    </r>
    <r>
      <rPr>
        <i/>
        <sz val="12"/>
        <rFont val="Verdana"/>
        <family val="2"/>
      </rPr>
      <t xml:space="preserve">                                                                                                                                                                                                                                                                                                                                                                                                                                                                                                                                                                                                                                            (g/kg)                NF × 31 -108</t>
    </r>
  </si>
  <si>
    <t>P2O5 SASMA</t>
  </si>
  <si>
    <r>
      <t xml:space="preserve">Zinc </t>
    </r>
    <r>
      <rPr>
        <b/>
        <i/>
        <sz val="12"/>
        <color indexed="10"/>
        <rFont val="Verdana"/>
        <family val="2"/>
      </rPr>
      <t>*</t>
    </r>
    <r>
      <rPr>
        <b/>
        <i/>
        <sz val="12"/>
        <rFont val="Verdana"/>
        <family val="2"/>
      </rPr>
      <t xml:space="preserve">                                                                                                                                                                                                                                                                          </t>
    </r>
    <r>
      <rPr>
        <i/>
        <sz val="12"/>
        <rFont val="Verdana"/>
        <family val="2"/>
      </rPr>
      <t>NF × 31 -120</t>
    </r>
  </si>
  <si>
    <r>
      <t xml:space="preserve">Chlorures (Cl )                                               </t>
    </r>
    <r>
      <rPr>
        <i/>
        <sz val="12"/>
        <rFont val="Verdana"/>
        <family val="2"/>
      </rPr>
      <t>(mg/kg)</t>
    </r>
  </si>
  <si>
    <t>MO%</t>
  </si>
  <si>
    <t>Argile %</t>
  </si>
  <si>
    <t>Total SANS correction sol</t>
  </si>
  <si>
    <r>
      <t xml:space="preserve">Manganèse </t>
    </r>
    <r>
      <rPr>
        <b/>
        <i/>
        <sz val="12"/>
        <color indexed="10"/>
        <rFont val="Verdana"/>
        <family val="2"/>
      </rPr>
      <t>*</t>
    </r>
    <r>
      <rPr>
        <b/>
        <i/>
        <sz val="12"/>
        <rFont val="Verdana"/>
        <family val="2"/>
      </rPr>
      <t xml:space="preserve">                                                                                                                                                                                                                                                                     </t>
    </r>
    <r>
      <rPr>
        <i/>
        <sz val="12"/>
        <rFont val="Verdana"/>
        <family val="2"/>
      </rPr>
      <t>NF × 31 -120</t>
    </r>
  </si>
  <si>
    <r>
      <t xml:space="preserve">Fer                                                                                                                                         </t>
    </r>
    <r>
      <rPr>
        <i/>
        <sz val="12"/>
        <rFont val="Verdana"/>
        <family val="2"/>
      </rPr>
      <t>NF × 31 -120</t>
    </r>
  </si>
  <si>
    <r>
      <t xml:space="preserve">Conductivité                                                        corrigé à 25°C </t>
    </r>
    <r>
      <rPr>
        <i/>
        <sz val="12"/>
        <rFont val="Verdana"/>
        <family val="2"/>
      </rPr>
      <t xml:space="preserve"> (mS/cm)         </t>
    </r>
    <r>
      <rPr>
        <b/>
        <i/>
        <sz val="12"/>
        <rFont val="Verdana"/>
        <family val="2"/>
      </rPr>
      <t xml:space="preserve">                    </t>
    </r>
    <r>
      <rPr>
        <i/>
        <sz val="12"/>
        <rFont val="Verdana"/>
        <family val="2"/>
      </rPr>
      <t xml:space="preserve">NF ISO 11265                      </t>
    </r>
    <r>
      <rPr>
        <b/>
        <i/>
        <sz val="12"/>
        <rFont val="Verdana"/>
        <family val="2"/>
      </rPr>
      <t xml:space="preserve"> </t>
    </r>
    <r>
      <rPr>
        <sz val="6.5"/>
        <rFont val="Verdana"/>
        <family val="2"/>
      </rPr>
      <t/>
    </r>
  </si>
  <si>
    <t>Correction fertilité sol</t>
  </si>
  <si>
    <t>NF × 31 -120</t>
  </si>
  <si>
    <t>annuité</t>
  </si>
  <si>
    <t>Avis et interprétations</t>
  </si>
  <si>
    <t>LAB03F71-Vb</t>
  </si>
  <si>
    <t xml:space="preserve">EXPORTATION </t>
  </si>
  <si>
    <t>P205</t>
  </si>
  <si>
    <t>K205</t>
  </si>
  <si>
    <t>Clémentine</t>
  </si>
  <si>
    <t xml:space="preserve"> Etat physique</t>
  </si>
  <si>
    <t>ORANGES</t>
  </si>
  <si>
    <t>pH - Etat calcique</t>
  </si>
  <si>
    <t>Salinité :</t>
  </si>
  <si>
    <t xml:space="preserve">. </t>
  </si>
  <si>
    <t>Azote (N)</t>
  </si>
  <si>
    <t xml:space="preserve"> Toutefois un apport d'entretien bien fractionné est recommandé</t>
  </si>
  <si>
    <t>*La participation de l'azote minéralisable du sol et de celui d'un éventuel apport organique dans la nutrition du végétal est totalement sous la dépendence des conditions climatiques et du milieu. Pour une bonne gestion de la fertilisation azotée, effectuer un suivi des reliquats azotés dans le sol.</t>
  </si>
  <si>
    <t>Phosphore (P2O5)</t>
  </si>
  <si>
    <t xml:space="preserve">Note de risques de  blocage </t>
  </si>
  <si>
    <t>Note de risques de blocage du Phosphore dans le sol :  
De 0 pas de risques à 15 : risques très élevés</t>
  </si>
  <si>
    <t>Potassium (K2O)</t>
  </si>
  <si>
    <t>Magnésium (MgO)</t>
  </si>
  <si>
    <t>Matière Organique (M.O)</t>
  </si>
  <si>
    <t>Oligo-éléments</t>
  </si>
  <si>
    <t>Commentaire, plans de fertilisation et conseils approfondis : nous consulter.</t>
  </si>
  <si>
    <t>Num</t>
  </si>
  <si>
    <t>Nom</t>
  </si>
  <si>
    <t>ADRESSE</t>
  </si>
  <si>
    <t>COMMUNE</t>
  </si>
  <si>
    <t>Ville</t>
  </si>
  <si>
    <t>Date_Rec</t>
  </si>
  <si>
    <t>Analyse demandée</t>
  </si>
  <si>
    <t>BC</t>
  </si>
  <si>
    <t>Nature_Echantillon</t>
  </si>
  <si>
    <t>Qtité</t>
  </si>
  <si>
    <t>Sem théo</t>
  </si>
  <si>
    <t>Semaine</t>
  </si>
  <si>
    <t>REFERENCE</t>
  </si>
  <si>
    <t>DATE_ENVOI</t>
  </si>
  <si>
    <t>Horizon_1</t>
  </si>
  <si>
    <t>Horizon_2</t>
  </si>
  <si>
    <t>Date_Plt</t>
  </si>
  <si>
    <t>Préleveur</t>
  </si>
  <si>
    <t>Sous_traitance</t>
  </si>
  <si>
    <t>CE</t>
  </si>
  <si>
    <t>Carbone</t>
  </si>
  <si>
    <t>NTD</t>
  </si>
  <si>
    <t>Users:asmaabenhida:Documents:Gestion laboratoire:BD Rapport:BD2_LACQ2.xlsx</t>
  </si>
  <si>
    <t>Users:asmaabenhida:Documents:Gestion laboratoire:BD Rapport:BD1_LACQ2.xlsx</t>
  </si>
  <si>
    <t>SOL1</t>
  </si>
  <si>
    <t>M. MUSTAPHA EL HOUARI</t>
  </si>
  <si>
    <t>ENA</t>
  </si>
  <si>
    <t>KM 10 RTE HAJ KADDOUR MEKNES</t>
  </si>
  <si>
    <t>BIOF</t>
  </si>
  <si>
    <t>Amendement organique</t>
  </si>
  <si>
    <t>CPT 10% 70J</t>
  </si>
  <si>
    <t>ORG1</t>
  </si>
  <si>
    <t>M. ANAS ELGHALI</t>
  </si>
  <si>
    <t>BENACER KHOUYA</t>
  </si>
  <si>
    <t>SIDI MOHAMED DALIL COOP CHICHAOUA</t>
  </si>
  <si>
    <t>VA 82563</t>
  </si>
  <si>
    <t>ABRICOT</t>
  </si>
  <si>
    <t>KANINO</t>
  </si>
  <si>
    <t>PARCELLE N°2</t>
  </si>
  <si>
    <t>8°37 883</t>
  </si>
  <si>
    <t>8° 37 883</t>
  </si>
  <si>
    <r>
      <t>Matière organique en</t>
    </r>
    <r>
      <rPr>
        <b/>
        <sz val="8"/>
        <rFont val="Verdana"/>
        <family val="2"/>
      </rPr>
      <t xml:space="preserve"> g/kg</t>
    </r>
  </si>
  <si>
    <t>LAB03F60-Vd</t>
  </si>
  <si>
    <t>Si l'échantillonnage est assuré par le client, le laboratoire dégage toute résponsablité par rapport à la technique d'échantillonnage utilisée.</t>
  </si>
  <si>
    <t>Echantillon prélevé et conservé selon les recommondations de la norme NF ISO 5667-1.
L'échantillonnage est réalisé selon les recommandations de la norme NF ISO 5667-3 relatives aux eaux naturelles et souterraines.
La technique d'échantillonnage utilisée : Echantillonnage ponctuel.
Si l'échantillonnage est assuré par le client, le laboratoire dégage toute résponsablité par rapport à la technique d'échantillonnage utilisée.
Le présent rapport ne concerne que les objets soumis à l'essai. Il comporte une seule page et ne doit pas être reproduit partiellement sans
l’approbation du laboratoire. Seule une reproduction sous sa forme intégrale est autorisée.
Les échantillons sont conservés au Laboratoire 7 jours maximum après communication des résultats aux clients.                                                  Les avis et interprétations contenus dans ce rapport ne sont pas couverts par l'accréditation.</t>
  </si>
  <si>
    <t>WPOTA</t>
  </si>
  <si>
    <t>C:\Users\Amine Bouslamti\Documents\mes docs\GESTION LAB\BD2.xlsx</t>
  </si>
  <si>
    <t>C:\Users\Amine Bouslamti\Documents\mes docs\GESTION LAB\BD1.xlsx</t>
  </si>
  <si>
    <t xml:space="preserve">OUSSAMA ZBITA </t>
  </si>
  <si>
    <t>MYRTILLE</t>
  </si>
  <si>
    <t>Inf à 1600</t>
  </si>
  <si>
    <t>Mûrier</t>
  </si>
  <si>
    <t>MOHAMED AZOULY</t>
  </si>
  <si>
    <t>MEKNES</t>
  </si>
  <si>
    <t>VA 53919</t>
  </si>
  <si>
    <t>PUITS</t>
  </si>
  <si>
    <t>Feuilles entières</t>
  </si>
  <si>
    <t>FOL2</t>
  </si>
  <si>
    <t>Concombre</t>
  </si>
  <si>
    <t>CLIENT</t>
  </si>
  <si>
    <t>EAU1</t>
  </si>
  <si>
    <t>SOLM1</t>
  </si>
  <si>
    <t>PAPAYE</t>
  </si>
  <si>
    <r>
      <t>Potentiel hydrogène</t>
    </r>
    <r>
      <rPr>
        <sz val="9"/>
        <color rgb="FFFF0000"/>
        <rFont val="Verdana"/>
        <family val="2"/>
      </rPr>
      <t>(*)</t>
    </r>
  </si>
  <si>
    <r>
      <t>Conductivité éléctrique</t>
    </r>
    <r>
      <rPr>
        <sz val="9"/>
        <color rgb="FFFF0000"/>
        <rFont val="Verdana"/>
        <family val="2"/>
      </rPr>
      <t>(*)</t>
    </r>
  </si>
  <si>
    <r>
      <t>Calcium</t>
    </r>
    <r>
      <rPr>
        <sz val="9"/>
        <color rgb="FFFF0000"/>
        <rFont val="Verdana"/>
        <family val="2"/>
      </rPr>
      <t>(*)</t>
    </r>
  </si>
  <si>
    <r>
      <t>Magnésium</t>
    </r>
    <r>
      <rPr>
        <sz val="9"/>
        <color rgb="FFFF0000"/>
        <rFont val="Verdana"/>
        <family val="2"/>
      </rPr>
      <t>(*)</t>
    </r>
  </si>
  <si>
    <r>
      <t>Cuivre</t>
    </r>
    <r>
      <rPr>
        <sz val="9"/>
        <color rgb="FFFF0000"/>
        <rFont val="Verdana"/>
        <family val="2"/>
      </rPr>
      <t>(*)</t>
    </r>
  </si>
  <si>
    <r>
      <t>Zinc</t>
    </r>
    <r>
      <rPr>
        <sz val="9"/>
        <color rgb="FFFF0000"/>
        <rFont val="Verdana"/>
        <family val="2"/>
      </rPr>
      <t>(*)</t>
    </r>
  </si>
  <si>
    <r>
      <t>Mangénèse</t>
    </r>
    <r>
      <rPr>
        <sz val="9"/>
        <color rgb="FFFF0000"/>
        <rFont val="Verdana"/>
        <family val="2"/>
      </rPr>
      <t>(*)</t>
    </r>
  </si>
  <si>
    <r>
      <t>Fer</t>
    </r>
    <r>
      <rPr>
        <sz val="9"/>
        <color rgb="FFFF0000"/>
        <rFont val="Verdana"/>
        <family val="2"/>
      </rPr>
      <t>(*)</t>
    </r>
  </si>
  <si>
    <t>NM ISO 10523:V2012</t>
  </si>
  <si>
    <t>NM ISO 10523:V2001</t>
  </si>
  <si>
    <t>NM ISO 7888: V2001</t>
  </si>
  <si>
    <t>NF EN ISO 11732:V2005</t>
  </si>
  <si>
    <t>NF EN ISO 11885:V2009</t>
  </si>
  <si>
    <t xml:space="preserve">NM ISO 15681-2: V2007 </t>
  </si>
  <si>
    <t>NF T 90-040: V1986</t>
  </si>
  <si>
    <t>NM ISO 9963-1:V2001</t>
  </si>
  <si>
    <t xml:space="preserve">NF EN ISO 15682:V2001 </t>
  </si>
  <si>
    <r>
      <t>Zinc</t>
    </r>
    <r>
      <rPr>
        <sz val="11"/>
        <color rgb="FFFF0000"/>
        <rFont val="Verdana"/>
        <family val="2"/>
      </rPr>
      <t>*</t>
    </r>
  </si>
  <si>
    <r>
      <t>Cuivre</t>
    </r>
    <r>
      <rPr>
        <sz val="11"/>
        <color rgb="FFFF0000"/>
        <rFont val="Verdana"/>
        <family val="2"/>
      </rPr>
      <t>*</t>
    </r>
  </si>
  <si>
    <r>
      <t>Manganèse</t>
    </r>
    <r>
      <rPr>
        <sz val="11"/>
        <color rgb="FFFF0000"/>
        <rFont val="Verdana"/>
        <family val="2"/>
      </rPr>
      <t>*</t>
    </r>
  </si>
  <si>
    <r>
      <t>Fer</t>
    </r>
    <r>
      <rPr>
        <sz val="11"/>
        <color rgb="FFFF0000"/>
        <rFont val="Verdana"/>
        <family val="2"/>
      </rPr>
      <t>*</t>
    </r>
  </si>
  <si>
    <t>NF EN 27888:V2001</t>
  </si>
  <si>
    <t>NF EN ISO 13395:V1996</t>
  </si>
  <si>
    <t>NF EN ISO 15682:V2001</t>
  </si>
  <si>
    <t>NF T 90-040:V1986</t>
  </si>
  <si>
    <t>NF EN ISO 11885: V2009</t>
  </si>
  <si>
    <t>ISO 11265: V1995</t>
  </si>
  <si>
    <t>NF ISO 14235:V1998</t>
  </si>
  <si>
    <t>NF ISO 14235: V1998 (MO=Carb. Org*1,72)</t>
  </si>
  <si>
    <t>NF ISO 11261: V1995</t>
  </si>
  <si>
    <t>NF × 31 -108: V2002</t>
  </si>
  <si>
    <t>ISO 11265 :V1995</t>
  </si>
  <si>
    <t>NF ISO 11263: V1995 (Olsen)</t>
  </si>
  <si>
    <t>NF ISO 10693:V2014</t>
  </si>
  <si>
    <t>NF X 31-106:V 2002</t>
  </si>
  <si>
    <t>NF ISO 10390: V2005</t>
  </si>
  <si>
    <t>NF × 31 -130:V 1999</t>
  </si>
  <si>
    <t>LAB03MO49:Vb du 22/04/2019</t>
  </si>
  <si>
    <r>
      <rPr>
        <sz val="11"/>
        <color rgb="FFFF0000"/>
        <rFont val="Verdana"/>
        <family val="2"/>
      </rPr>
      <t>*</t>
    </r>
    <r>
      <rPr>
        <sz val="11"/>
        <color theme="1"/>
        <rFont val="Verdana"/>
        <family val="2"/>
      </rPr>
      <t xml:space="preserve">: Paramètres accrédités </t>
    </r>
  </si>
  <si>
    <r>
      <t xml:space="preserve">Cuivre </t>
    </r>
    <r>
      <rPr>
        <b/>
        <sz val="8"/>
        <rFont val="Verdana"/>
        <family val="2"/>
      </rPr>
      <t xml:space="preserve">mg/kg </t>
    </r>
    <r>
      <rPr>
        <b/>
        <sz val="11"/>
        <rFont val="Verdana"/>
        <family val="2"/>
      </rPr>
      <t xml:space="preserve"> </t>
    </r>
    <r>
      <rPr>
        <b/>
        <sz val="10"/>
        <color rgb="FFFF0000"/>
        <rFont val="Verdana"/>
        <family val="2"/>
      </rPr>
      <t>(*)</t>
    </r>
  </si>
  <si>
    <r>
      <t xml:space="preserve">Zinc </t>
    </r>
    <r>
      <rPr>
        <b/>
        <sz val="8"/>
        <rFont val="Verdana"/>
        <family val="2"/>
      </rPr>
      <t>mg/kg</t>
    </r>
    <r>
      <rPr>
        <b/>
        <sz val="11"/>
        <rFont val="Verdana"/>
        <family val="2"/>
      </rPr>
      <t xml:space="preserve"> </t>
    </r>
    <r>
      <rPr>
        <b/>
        <sz val="10"/>
        <color rgb="FFFF0000"/>
        <rFont val="Verdana"/>
        <family val="2"/>
      </rPr>
      <t>(*)</t>
    </r>
  </si>
  <si>
    <r>
      <t xml:space="preserve">Manganèse </t>
    </r>
    <r>
      <rPr>
        <b/>
        <sz val="8"/>
        <rFont val="Verdana"/>
        <family val="2"/>
      </rPr>
      <t>mg/kg</t>
    </r>
    <r>
      <rPr>
        <b/>
        <sz val="11"/>
        <rFont val="Verdana"/>
        <family val="2"/>
      </rPr>
      <t xml:space="preserve"> </t>
    </r>
    <r>
      <rPr>
        <b/>
        <sz val="10"/>
        <color rgb="FFFF0000"/>
        <rFont val="Verdana"/>
        <family val="2"/>
      </rPr>
      <t>(*)</t>
    </r>
  </si>
  <si>
    <r>
      <t xml:space="preserve">Fer </t>
    </r>
    <r>
      <rPr>
        <b/>
        <sz val="8"/>
        <rFont val="Verdana"/>
        <family val="2"/>
      </rPr>
      <t>mg/kg</t>
    </r>
    <r>
      <rPr>
        <b/>
        <sz val="11"/>
        <rFont val="Verdana"/>
        <family val="2"/>
      </rPr>
      <t xml:space="preserve"> </t>
    </r>
    <r>
      <rPr>
        <b/>
        <sz val="10"/>
        <color rgb="FFFF0000"/>
        <rFont val="Verdana"/>
        <family val="2"/>
      </rPr>
      <t>(*)</t>
    </r>
  </si>
  <si>
    <t>EAP</t>
  </si>
  <si>
    <t xml:space="preserve">NF EN ISO 13395:V1996 </t>
  </si>
  <si>
    <t>Laboratoire d'Analyses et Contrôle Qualité</t>
  </si>
  <si>
    <t>LABDALLAOUI NABIL</t>
  </si>
  <si>
    <t>E2</t>
  </si>
  <si>
    <t>LAB03F61-Vf</t>
  </si>
  <si>
    <t>LAB03F62-Vd</t>
  </si>
  <si>
    <t>M. MOHAMED AIT M'HAMED</t>
  </si>
  <si>
    <t>INAGRITECH</t>
  </si>
  <si>
    <t xml:space="preserve">Z.I AIT MELLOULE </t>
  </si>
  <si>
    <t>RC 7275</t>
  </si>
  <si>
    <t>AAOUNAT SIDI BENOUR</t>
  </si>
  <si>
    <t xml:space="preserve">AMINE CHEBLI </t>
  </si>
  <si>
    <t>IAT-260-21 BIO SOLUTION AGRICOLE</t>
  </si>
  <si>
    <t>30° 34 09 34</t>
  </si>
  <si>
    <t>9° 48 88 80</t>
  </si>
  <si>
    <t xml:space="preserve">Vigne </t>
  </si>
  <si>
    <t>KASMI MOUSSA</t>
  </si>
  <si>
    <t>B 769210</t>
  </si>
  <si>
    <t>MOUSSA</t>
  </si>
  <si>
    <t>32° 43 02</t>
  </si>
  <si>
    <t>8° 11 03</t>
  </si>
  <si>
    <t>ABDELLAOUI ANDALOUSSI MAANE MOHAMED</t>
  </si>
  <si>
    <t>SECT 11 BLOC F N°9 HAY RIAD RABAT</t>
  </si>
  <si>
    <t>A 206731</t>
  </si>
  <si>
    <t>S1</t>
  </si>
  <si>
    <t>HASS</t>
  </si>
  <si>
    <t>33° 48 497</t>
  </si>
  <si>
    <t>6° 53 08 7</t>
  </si>
  <si>
    <t>PLAN-F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</si>
</sst>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
    <numFmt numFmtId="166" formatCode="0.000"/>
    <numFmt numFmtId="167" formatCode="d/m/yy\ h:mm;@"/>
    <numFmt numFmtId="168" formatCode="0.0000"/>
    <numFmt numFmtId="169" formatCode="##,###"/>
    <numFmt numFmtId="170" formatCode="[$-40C]d\ mmmm\ yyyy;@"/>
    <numFmt numFmtId="171" formatCode="d/m/yy\ h:mm"/>
    <numFmt numFmtId="172" formatCode="d\-mm\-yy"/>
    <numFmt numFmtId="173" formatCode="dd/mm/yy;@"/>
    <numFmt numFmtId="174" formatCode="#,#00"/>
    <numFmt numFmtId="175" formatCode="0.000000000"/>
    <numFmt numFmtId="176" formatCode="[$-40C]d\-mmm\-yy;@"/>
  </numFmts>
  <fonts count="203">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b/>
      <sz val="12"/>
      <color theme="0"/>
      <name val="Calibri"/>
      <family val="2"/>
      <charset val="204"/>
      <scheme val="minor"/>
    </font>
    <font>
      <sz val="12"/>
      <color theme="1"/>
      <name val="Verdana"/>
      <family val="2"/>
    </font>
    <font>
      <b/>
      <sz val="16"/>
      <color rgb="FF008000"/>
      <name val="Verdana"/>
      <family val="2"/>
    </font>
    <font>
      <sz val="10"/>
      <name val="Helv"/>
    </font>
    <font>
      <sz val="8"/>
      <name val="Verdana"/>
      <family val="2"/>
    </font>
    <font>
      <b/>
      <sz val="12"/>
      <color rgb="FF008000"/>
      <name val="Verdana"/>
      <family val="2"/>
    </font>
    <font>
      <b/>
      <sz val="10"/>
      <color theme="1"/>
      <name val="Verdana"/>
      <family val="2"/>
    </font>
    <font>
      <b/>
      <sz val="12"/>
      <color theme="1"/>
      <name val="Verdana"/>
      <family val="2"/>
    </font>
    <font>
      <i/>
      <sz val="10"/>
      <color theme="1"/>
      <name val="Verdana"/>
      <family val="2"/>
    </font>
    <font>
      <sz val="10"/>
      <color theme="1"/>
      <name val="Verdana"/>
      <family val="2"/>
    </font>
    <font>
      <b/>
      <sz val="11"/>
      <name val="Verdana"/>
      <family val="2"/>
    </font>
    <font>
      <sz val="11"/>
      <name val="Verdana"/>
      <family val="2"/>
    </font>
    <font>
      <sz val="10"/>
      <name val="Verdana"/>
      <family val="2"/>
    </font>
    <font>
      <sz val="10"/>
      <name val="Arial"/>
      <family val="2"/>
    </font>
    <font>
      <b/>
      <sz val="18"/>
      <name val="Arial"/>
      <family val="2"/>
    </font>
    <font>
      <b/>
      <sz val="14"/>
      <name val="Arial"/>
      <family val="2"/>
    </font>
    <font>
      <sz val="14"/>
      <name val="Arial"/>
      <family val="2"/>
    </font>
    <font>
      <sz val="11"/>
      <name val="Arial"/>
      <family val="2"/>
    </font>
    <font>
      <sz val="12"/>
      <name val="Arial"/>
      <family val="2"/>
    </font>
    <font>
      <sz val="10"/>
      <color rgb="FF008000"/>
      <name val="Arial"/>
      <family val="2"/>
    </font>
    <font>
      <sz val="14"/>
      <color rgb="FF008000"/>
      <name val="Arial"/>
      <family val="2"/>
    </font>
    <font>
      <b/>
      <sz val="14"/>
      <color rgb="FF008000"/>
      <name val="Arial"/>
      <family val="2"/>
    </font>
    <font>
      <sz val="11"/>
      <color rgb="FF008000"/>
      <name val="Arial"/>
      <family val="2"/>
    </font>
    <font>
      <sz val="12"/>
      <color rgb="FF008000"/>
      <name val="Calibri"/>
      <family val="2"/>
      <charset val="204"/>
      <scheme val="minor"/>
    </font>
    <font>
      <sz val="14"/>
      <color rgb="FFDD0806"/>
      <name val="Arial"/>
      <family val="2"/>
    </font>
    <font>
      <sz val="14"/>
      <color indexed="10"/>
      <name val="Arial"/>
      <family val="2"/>
    </font>
    <font>
      <sz val="11"/>
      <color rgb="FFDD0806"/>
      <name val="Arial"/>
      <family val="2"/>
    </font>
    <font>
      <sz val="12"/>
      <color indexed="10"/>
      <name val="Arial"/>
      <family val="2"/>
    </font>
    <font>
      <sz val="12"/>
      <color rgb="FFDD0806"/>
      <name val="Arial"/>
      <family val="2"/>
    </font>
    <font>
      <b/>
      <sz val="18"/>
      <color rgb="FF008000"/>
      <name val="Arial"/>
      <family val="2"/>
    </font>
    <font>
      <sz val="8"/>
      <name val="Calibri"/>
      <family val="2"/>
      <charset val="204"/>
      <scheme val="minor"/>
    </font>
    <font>
      <b/>
      <sz val="12"/>
      <name val="Franklin Gothic Book"/>
      <family val="2"/>
    </font>
    <font>
      <b/>
      <sz val="12"/>
      <color rgb="FF0000FF"/>
      <name val="Franklin Gothic Book"/>
      <family val="2"/>
    </font>
    <font>
      <b/>
      <sz val="12"/>
      <color rgb="FFFF0000"/>
      <name val="Franklin Gothic Book"/>
      <family val="2"/>
    </font>
    <font>
      <u/>
      <sz val="12"/>
      <color theme="10"/>
      <name val="Calibri"/>
      <family val="2"/>
      <charset val="204"/>
      <scheme val="minor"/>
    </font>
    <font>
      <u/>
      <sz val="12"/>
      <color theme="11"/>
      <name val="Calibri"/>
      <family val="2"/>
      <charset val="204"/>
      <scheme val="minor"/>
    </font>
    <font>
      <sz val="12"/>
      <color theme="0"/>
      <name val="Calibri"/>
      <family val="2"/>
      <charset val="204"/>
      <scheme val="minor"/>
    </font>
    <font>
      <b/>
      <sz val="11"/>
      <color rgb="FF008000"/>
      <name val="Impact"/>
      <family val="2"/>
    </font>
    <font>
      <sz val="9"/>
      <name val="Verdana"/>
      <family val="2"/>
    </font>
    <font>
      <b/>
      <sz val="12"/>
      <color rgb="FF008000"/>
      <name val="Arial"/>
      <family val="2"/>
    </font>
    <font>
      <sz val="12"/>
      <color rgb="FF000000"/>
      <name val="Verdana"/>
      <family val="2"/>
    </font>
    <font>
      <sz val="12"/>
      <color rgb="FF333333"/>
      <name val="Courier New"/>
      <family val="1"/>
    </font>
    <font>
      <sz val="12"/>
      <color theme="1"/>
      <name val="Calibri"/>
      <family val="2"/>
    </font>
    <font>
      <sz val="11"/>
      <color theme="1"/>
      <name val="Verdana"/>
      <family val="2"/>
    </font>
    <font>
      <sz val="11"/>
      <color rgb="FFFF0000"/>
      <name val="Verdana"/>
      <family val="2"/>
    </font>
    <font>
      <sz val="12"/>
      <color rgb="FFFF0000"/>
      <name val="Verdana"/>
      <family val="2"/>
    </font>
    <font>
      <b/>
      <sz val="12"/>
      <color theme="0"/>
      <name val="Arial"/>
      <family val="2"/>
    </font>
    <font>
      <sz val="12"/>
      <color rgb="FF800000"/>
      <name val="Verdana"/>
      <family val="2"/>
    </font>
    <font>
      <sz val="12"/>
      <color rgb="FFFF0000"/>
      <name val="Calibri"/>
      <family val="2"/>
      <scheme val="minor"/>
    </font>
    <font>
      <sz val="12"/>
      <name val="Calibri"/>
      <family val="2"/>
      <scheme val="minor"/>
    </font>
    <font>
      <sz val="12"/>
      <color indexed="9"/>
      <name val="Calibri"/>
      <family val="2"/>
      <scheme val="minor"/>
    </font>
    <font>
      <b/>
      <sz val="12"/>
      <name val="Calibri"/>
      <family val="2"/>
      <scheme val="minor"/>
    </font>
    <font>
      <sz val="14"/>
      <color theme="1"/>
      <name val="Calibri"/>
      <family val="2"/>
    </font>
    <font>
      <i/>
      <sz val="11"/>
      <color theme="1"/>
      <name val="Verdana"/>
      <family val="2"/>
    </font>
    <font>
      <b/>
      <sz val="11"/>
      <color theme="1"/>
      <name val="Verdana"/>
      <family val="2"/>
    </font>
    <font>
      <i/>
      <sz val="12"/>
      <color theme="1"/>
      <name val="Verdana"/>
      <family val="2"/>
    </font>
    <font>
      <i/>
      <sz val="12"/>
      <color theme="0"/>
      <name val="Verdana"/>
      <family val="2"/>
    </font>
    <font>
      <b/>
      <i/>
      <u/>
      <sz val="12"/>
      <color theme="1"/>
      <name val="Verdana"/>
      <family val="2"/>
    </font>
    <font>
      <sz val="12"/>
      <name val="Verdana"/>
      <family val="2"/>
    </font>
    <font>
      <sz val="12"/>
      <color indexed="9"/>
      <name val="Verdana"/>
      <family val="2"/>
    </font>
    <font>
      <b/>
      <sz val="8"/>
      <name val="Verdana"/>
      <family val="2"/>
    </font>
    <font>
      <b/>
      <sz val="10"/>
      <name val="Verdana"/>
      <family val="2"/>
    </font>
    <font>
      <sz val="11"/>
      <color rgb="FF000000"/>
      <name val="Verdana"/>
      <family val="2"/>
    </font>
    <font>
      <b/>
      <sz val="12"/>
      <color rgb="FF008000"/>
      <name val="Impact"/>
      <family val="2"/>
    </font>
    <font>
      <sz val="9"/>
      <color theme="1"/>
      <name val="Verdana"/>
      <family val="2"/>
    </font>
    <font>
      <sz val="12"/>
      <color rgb="FF0000FF"/>
      <name val="Franklin Gothic Book"/>
      <family val="2"/>
    </font>
    <font>
      <sz val="12"/>
      <color indexed="206"/>
      <name val="Franklin Gothic Book"/>
      <family val="2"/>
      <charset val="204"/>
    </font>
    <font>
      <sz val="12"/>
      <color rgb="FFFF0000"/>
      <name val="Franklin Gothic Book"/>
      <family val="2"/>
    </font>
    <font>
      <sz val="12"/>
      <name val="Franklin Gothic Book"/>
      <family val="2"/>
    </font>
    <font>
      <sz val="18"/>
      <name val="Verdana"/>
      <family val="2"/>
    </font>
    <font>
      <sz val="18"/>
      <color theme="1"/>
      <name val="Calibri"/>
      <family val="2"/>
      <scheme val="minor"/>
    </font>
    <font>
      <b/>
      <sz val="12"/>
      <name val="Calibri"/>
      <family val="2"/>
    </font>
    <font>
      <b/>
      <sz val="12"/>
      <color rgb="FF0432FF"/>
      <name val="Calibri"/>
      <family val="2"/>
    </font>
    <font>
      <b/>
      <i/>
      <sz val="12"/>
      <color rgb="FF008000"/>
      <name val="Calibri"/>
      <family val="2"/>
    </font>
    <font>
      <b/>
      <sz val="12"/>
      <color theme="0"/>
      <name val="Calibri"/>
      <family val="2"/>
    </font>
    <font>
      <sz val="14"/>
      <color rgb="FF000000"/>
      <name val="Calibri"/>
      <family val="2"/>
      <scheme val="minor"/>
    </font>
    <font>
      <sz val="26"/>
      <color rgb="FFFF0000"/>
      <name val="Verdana"/>
      <family val="2"/>
    </font>
    <font>
      <vertAlign val="subscript"/>
      <sz val="12"/>
      <color theme="1"/>
      <name val="Verdana"/>
      <family val="2"/>
    </font>
    <font>
      <b/>
      <sz val="14"/>
      <color theme="1"/>
      <name val="Calibri"/>
      <family val="2"/>
      <scheme val="minor"/>
    </font>
    <font>
      <b/>
      <u/>
      <sz val="14"/>
      <name val="Verdana"/>
      <family val="2"/>
    </font>
    <font>
      <i/>
      <sz val="14"/>
      <name val="Verdana"/>
      <family val="2"/>
    </font>
    <font>
      <b/>
      <sz val="9"/>
      <name val="Verdana"/>
      <family val="2"/>
    </font>
    <font>
      <b/>
      <sz val="12"/>
      <color rgb="FFFF0000"/>
      <name val="Calibri"/>
      <family val="2"/>
      <scheme val="minor"/>
    </font>
    <font>
      <sz val="11"/>
      <color theme="1"/>
      <name val="Arial"/>
      <family val="2"/>
    </font>
    <font>
      <b/>
      <sz val="11"/>
      <color theme="1"/>
      <name val="Arial"/>
      <family val="2"/>
    </font>
    <font>
      <sz val="11"/>
      <color rgb="FF800000"/>
      <name val="Arial"/>
      <family val="2"/>
    </font>
    <font>
      <b/>
      <sz val="11"/>
      <color rgb="FF008000"/>
      <name val="Calibri"/>
      <family val="2"/>
      <scheme val="minor"/>
    </font>
    <font>
      <i/>
      <sz val="12"/>
      <name val="Verdana"/>
      <family val="2"/>
    </font>
    <font>
      <b/>
      <i/>
      <sz val="12"/>
      <color theme="1"/>
      <name val="Arial"/>
      <family val="2"/>
    </font>
    <font>
      <i/>
      <sz val="12"/>
      <color theme="1"/>
      <name val="Arial"/>
      <family val="2"/>
    </font>
    <font>
      <i/>
      <sz val="11"/>
      <color theme="1"/>
      <name val="Arial"/>
      <family val="2"/>
    </font>
    <font>
      <i/>
      <sz val="12"/>
      <color rgb="FF000000"/>
      <name val="Arial"/>
      <family val="2"/>
    </font>
    <font>
      <i/>
      <sz val="12"/>
      <color theme="0"/>
      <name val="Arial"/>
      <family val="2"/>
    </font>
    <font>
      <b/>
      <i/>
      <sz val="12"/>
      <name val="Verdana"/>
      <family val="2"/>
    </font>
    <font>
      <b/>
      <i/>
      <sz val="11"/>
      <color theme="1"/>
      <name val="Arial"/>
      <family val="2"/>
    </font>
    <font>
      <b/>
      <i/>
      <sz val="11"/>
      <color theme="1"/>
      <name val="Verdana"/>
      <family val="2"/>
    </font>
    <font>
      <i/>
      <sz val="11"/>
      <color theme="0" tint="-0.499984740745262"/>
      <name val="Verdana"/>
      <family val="2"/>
    </font>
    <font>
      <b/>
      <sz val="12"/>
      <name val="Arial"/>
      <family val="2"/>
    </font>
    <font>
      <sz val="12"/>
      <color theme="1"/>
      <name val="Arial"/>
      <family val="2"/>
    </font>
    <font>
      <b/>
      <sz val="12"/>
      <color theme="1"/>
      <name val="Arial"/>
      <family val="2"/>
    </font>
    <font>
      <b/>
      <i/>
      <sz val="10.5"/>
      <color theme="1"/>
      <name val="Arial"/>
      <family val="2"/>
    </font>
    <font>
      <b/>
      <sz val="10.5"/>
      <name val="Arial"/>
      <family val="2"/>
    </font>
    <font>
      <b/>
      <sz val="10.5"/>
      <color theme="1"/>
      <name val="Arial"/>
      <family val="2"/>
    </font>
    <font>
      <b/>
      <sz val="11"/>
      <color rgb="FF996633"/>
      <name val="Arial"/>
      <family val="2"/>
    </font>
    <font>
      <b/>
      <sz val="11"/>
      <color theme="0"/>
      <name val="Arial"/>
      <family val="2"/>
    </font>
    <font>
      <sz val="10"/>
      <name val="Helvetica"/>
      <family val="2"/>
    </font>
    <font>
      <b/>
      <sz val="11"/>
      <color indexed="10"/>
      <name val="Arial"/>
      <family val="2"/>
    </font>
    <font>
      <sz val="9"/>
      <name val="Arial"/>
      <family val="2"/>
    </font>
    <font>
      <i/>
      <sz val="9"/>
      <name val="Arial"/>
      <family val="2"/>
    </font>
    <font>
      <b/>
      <sz val="8"/>
      <color rgb="FFFF0000"/>
      <name val="Verdana"/>
      <family val="2"/>
    </font>
    <font>
      <b/>
      <sz val="10"/>
      <name val="Arial"/>
      <family val="2"/>
    </font>
    <font>
      <sz val="11"/>
      <color indexed="60"/>
      <name val="Arial"/>
      <family val="2"/>
    </font>
    <font>
      <b/>
      <sz val="11"/>
      <name val="Arial"/>
      <family val="2"/>
    </font>
    <font>
      <sz val="8"/>
      <color theme="0" tint="-0.499984740745262"/>
      <name val="Verdana"/>
      <family val="2"/>
    </font>
    <font>
      <b/>
      <vertAlign val="subscript"/>
      <sz val="11"/>
      <name val="Verdana"/>
      <family val="2"/>
    </font>
    <font>
      <sz val="10"/>
      <color indexed="60"/>
      <name val="Helvetica"/>
      <family val="2"/>
    </font>
    <font>
      <sz val="8"/>
      <color indexed="60"/>
      <name val="Arial"/>
      <family val="2"/>
    </font>
    <font>
      <i/>
      <sz val="8"/>
      <name val="Verdana"/>
      <family val="2"/>
    </font>
    <font>
      <sz val="11"/>
      <color rgb="FFFF0000"/>
      <name val="Arial"/>
      <family val="2"/>
    </font>
    <font>
      <b/>
      <sz val="8"/>
      <name val="Arial"/>
      <family val="2"/>
    </font>
    <font>
      <b/>
      <sz val="10"/>
      <color indexed="60"/>
      <name val="Helvetica"/>
      <family val="2"/>
    </font>
    <font>
      <sz val="8"/>
      <color indexed="60"/>
      <name val="Verdana"/>
      <family val="2"/>
    </font>
    <font>
      <sz val="8"/>
      <color theme="0" tint="-0.499984740745262"/>
      <name val="Arial"/>
      <family val="2"/>
    </font>
    <font>
      <sz val="8"/>
      <name val="Arial"/>
      <family val="2"/>
    </font>
    <font>
      <b/>
      <sz val="8"/>
      <color theme="1"/>
      <name val="Verdana"/>
      <family val="2"/>
    </font>
    <font>
      <i/>
      <sz val="12"/>
      <color rgb="FFFF0000"/>
      <name val="Arial"/>
      <family val="2"/>
    </font>
    <font>
      <b/>
      <i/>
      <sz val="12"/>
      <name val="Arial"/>
      <family val="2"/>
    </font>
    <font>
      <b/>
      <i/>
      <sz val="12"/>
      <color rgb="FF008000"/>
      <name val="Arial"/>
      <family val="2"/>
    </font>
    <font>
      <b/>
      <i/>
      <sz val="12"/>
      <color rgb="FF000000"/>
      <name val="Arial"/>
      <family val="2"/>
    </font>
    <font>
      <sz val="11"/>
      <color rgb="FF000000"/>
      <name val="Arial"/>
      <family val="2"/>
    </font>
    <font>
      <sz val="10"/>
      <name val="Times New Roman"/>
      <family val="1"/>
    </font>
    <font>
      <sz val="9"/>
      <name val="Helvetica"/>
      <family val="2"/>
    </font>
    <font>
      <sz val="9"/>
      <name val="Times New Roman"/>
      <family val="1"/>
    </font>
    <font>
      <b/>
      <sz val="12"/>
      <color theme="1"/>
      <name val="Calibri (Corps)"/>
    </font>
    <font>
      <b/>
      <sz val="12"/>
      <color theme="0"/>
      <name val="Calibri (Corps)"/>
    </font>
    <font>
      <sz val="10"/>
      <color indexed="9"/>
      <name val="Arial"/>
      <family val="2"/>
    </font>
    <font>
      <sz val="10"/>
      <color indexed="43"/>
      <name val="Arial"/>
      <family val="2"/>
    </font>
    <font>
      <sz val="10"/>
      <color indexed="10"/>
      <name val="Arial"/>
      <family val="2"/>
    </font>
    <font>
      <b/>
      <i/>
      <sz val="12"/>
      <color indexed="60"/>
      <name val="Verdana"/>
      <family val="2"/>
    </font>
    <font>
      <b/>
      <sz val="12"/>
      <color indexed="12"/>
      <name val="Verdana"/>
      <family val="2"/>
    </font>
    <font>
      <b/>
      <i/>
      <sz val="12"/>
      <color indexed="9"/>
      <name val="Verdana"/>
      <family val="2"/>
    </font>
    <font>
      <b/>
      <sz val="12"/>
      <name val="Verdana"/>
      <family val="2"/>
    </font>
    <font>
      <i/>
      <sz val="12"/>
      <color theme="1"/>
      <name val="Calibri"/>
      <family val="2"/>
    </font>
    <font>
      <i/>
      <sz val="12"/>
      <color rgb="FFFF0000"/>
      <name val="Calibri"/>
      <family val="2"/>
    </font>
    <font>
      <i/>
      <sz val="12"/>
      <color rgb="FF0432FF"/>
      <name val="Calibri"/>
      <family val="2"/>
    </font>
    <font>
      <sz val="12"/>
      <color rgb="FF0000FF"/>
      <name val="Calibri"/>
      <family val="2"/>
    </font>
    <font>
      <sz val="12"/>
      <color indexed="206"/>
      <name val="Calibri"/>
      <family val="2"/>
    </font>
    <font>
      <sz val="12"/>
      <color rgb="FFFF0000"/>
      <name val="Calibri"/>
      <family val="2"/>
    </font>
    <font>
      <sz val="12"/>
      <name val="Calibri"/>
      <family val="2"/>
    </font>
    <font>
      <b/>
      <sz val="12"/>
      <color rgb="FF0000FF"/>
      <name val="Calibri"/>
      <family val="2"/>
    </font>
    <font>
      <i/>
      <sz val="12"/>
      <color indexed="52"/>
      <name val="Verdana"/>
      <family val="2"/>
    </font>
    <font>
      <b/>
      <i/>
      <sz val="12"/>
      <color theme="5" tint="-0.499984740745262"/>
      <name val="Verdana"/>
      <family val="2"/>
    </font>
    <font>
      <b/>
      <i/>
      <sz val="12"/>
      <color indexed="18"/>
      <name val="Verdana"/>
      <family val="2"/>
    </font>
    <font>
      <b/>
      <sz val="12"/>
      <color indexed="9"/>
      <name val="Verdana"/>
      <family val="2"/>
    </font>
    <font>
      <b/>
      <sz val="12"/>
      <color indexed="60"/>
      <name val="Verdana"/>
      <family val="2"/>
    </font>
    <font>
      <vertAlign val="superscript"/>
      <sz val="12"/>
      <name val="Verdana"/>
      <family val="2"/>
    </font>
    <font>
      <b/>
      <i/>
      <sz val="12"/>
      <color indexed="10"/>
      <name val="Verdana"/>
      <family val="2"/>
    </font>
    <font>
      <i/>
      <sz val="12"/>
      <color indexed="60"/>
      <name val="Verdana"/>
      <family val="2"/>
    </font>
    <font>
      <b/>
      <i/>
      <sz val="12"/>
      <color rgb="FF993500"/>
      <name val="Verdana"/>
      <family val="2"/>
    </font>
    <font>
      <i/>
      <sz val="12"/>
      <color rgb="FF663300"/>
      <name val="Verdana"/>
      <family val="2"/>
    </font>
    <font>
      <i/>
      <sz val="12"/>
      <color rgb="FF993500"/>
      <name val="Verdana"/>
      <family val="2"/>
    </font>
    <font>
      <b/>
      <i/>
      <vertAlign val="subscript"/>
      <sz val="12"/>
      <name val="Verdana"/>
      <family val="2"/>
    </font>
    <font>
      <sz val="12"/>
      <color indexed="10"/>
      <name val="Verdana"/>
      <family val="2"/>
    </font>
    <font>
      <i/>
      <vertAlign val="superscript"/>
      <sz val="12"/>
      <name val="Verdana"/>
      <family val="2"/>
    </font>
    <font>
      <b/>
      <i/>
      <sz val="12"/>
      <color indexed="52"/>
      <name val="Verdana"/>
      <family val="2"/>
    </font>
    <font>
      <b/>
      <sz val="12"/>
      <color indexed="10"/>
      <name val="Verdana"/>
      <family val="2"/>
    </font>
    <font>
      <sz val="6.5"/>
      <name val="Verdana"/>
      <family val="2"/>
    </font>
    <font>
      <b/>
      <i/>
      <sz val="20"/>
      <color rgb="FF007F25"/>
      <name val="Verdana"/>
      <family val="2"/>
    </font>
    <font>
      <i/>
      <sz val="12"/>
      <color rgb="FF000000"/>
      <name val="Verdana"/>
      <family val="2"/>
    </font>
    <font>
      <b/>
      <i/>
      <sz val="12"/>
      <color rgb="FF008000"/>
      <name val="Verdana"/>
      <family val="2"/>
    </font>
    <font>
      <b/>
      <i/>
      <sz val="12"/>
      <color theme="1"/>
      <name val="Verdana"/>
      <family val="2"/>
    </font>
    <font>
      <b/>
      <i/>
      <sz val="12"/>
      <color indexed="8"/>
      <name val="Verdana"/>
      <family val="2"/>
    </font>
    <font>
      <i/>
      <sz val="12"/>
      <color theme="0" tint="-0.499984740745262"/>
      <name val="Verdana"/>
      <family val="2"/>
    </font>
    <font>
      <i/>
      <sz val="12"/>
      <color indexed="12"/>
      <name val="Verdana"/>
      <family val="2"/>
    </font>
    <font>
      <i/>
      <sz val="12"/>
      <color indexed="10"/>
      <name val="Verdana"/>
      <family val="2"/>
    </font>
    <font>
      <b/>
      <sz val="8"/>
      <color indexed="81"/>
      <name val="Tahoma"/>
      <family val="2"/>
    </font>
    <font>
      <sz val="8"/>
      <color indexed="81"/>
      <name val="Tahoma"/>
      <family val="2"/>
    </font>
    <font>
      <b/>
      <i/>
      <sz val="9"/>
      <color rgb="FFFF0000"/>
      <name val="Verdana"/>
      <family val="2"/>
    </font>
    <font>
      <sz val="14"/>
      <name val="Calibri"/>
      <family val="2"/>
    </font>
    <font>
      <sz val="16"/>
      <color theme="1"/>
      <name val="Calibri"/>
      <family val="2"/>
    </font>
    <font>
      <sz val="14"/>
      <color theme="1"/>
      <name val="Calibri"/>
      <family val="2"/>
      <scheme val="minor"/>
    </font>
    <font>
      <sz val="14"/>
      <color rgb="FFFF0000"/>
      <name val="Calibri"/>
      <family val="2"/>
      <scheme val="minor"/>
    </font>
    <font>
      <b/>
      <sz val="14"/>
      <color theme="5" tint="-0.499984740745262"/>
      <name val="Calibri"/>
      <family val="2"/>
      <scheme val="minor"/>
    </font>
    <font>
      <sz val="12"/>
      <color rgb="FF000000"/>
      <name val="Lucida Grande"/>
    </font>
    <font>
      <b/>
      <sz val="10"/>
      <color rgb="FF000000"/>
      <name val="Arial"/>
      <family val="2"/>
    </font>
    <font>
      <b/>
      <sz val="8"/>
      <color rgb="FF000000"/>
      <name val="Arial"/>
      <family val="2"/>
    </font>
    <font>
      <b/>
      <sz val="11"/>
      <color rgb="FF000000"/>
      <name val="Arial"/>
      <family val="2"/>
    </font>
    <font>
      <sz val="12"/>
      <name val="Verdana"/>
      <family val="2"/>
    </font>
    <font>
      <b/>
      <sz val="9"/>
      <color theme="1"/>
      <name val="Verdana"/>
      <family val="2"/>
    </font>
    <font>
      <sz val="9"/>
      <color rgb="FFFF0000"/>
      <name val="Verdana"/>
      <family val="2"/>
    </font>
    <font>
      <b/>
      <sz val="14"/>
      <color rgb="FF008000"/>
      <name val="Verdana"/>
      <family val="2"/>
    </font>
    <font>
      <sz val="14"/>
      <color theme="5" tint="-0.249977111117893"/>
      <name val="Calibri"/>
      <family val="2"/>
      <scheme val="minor"/>
    </font>
    <font>
      <sz val="8"/>
      <color theme="1"/>
      <name val="Verdana"/>
      <family val="2"/>
    </font>
    <font>
      <b/>
      <sz val="10"/>
      <color rgb="FFFF0000"/>
      <name val="Verdana"/>
      <family val="2"/>
    </font>
    <font>
      <sz val="14"/>
      <color theme="1" tint="4.9989318521683403E-2"/>
      <name val="Calibri"/>
      <family val="2"/>
      <scheme val="minor"/>
    </font>
    <font>
      <sz val="16"/>
      <name val="Calibri"/>
      <family val="2"/>
    </font>
    <font>
      <sz val="14"/>
      <color rgb="FF00B050"/>
      <name val="Calibri"/>
      <family val="2"/>
    </font>
  </fonts>
  <fills count="36">
    <fill>
      <patternFill patternType="none"/>
    </fill>
    <fill>
      <patternFill patternType="gray125"/>
    </fill>
    <fill>
      <patternFill patternType="solid">
        <fgColor rgb="FFCCFFCC"/>
        <bgColor indexed="64"/>
      </patternFill>
    </fill>
    <fill>
      <patternFill patternType="solid">
        <fgColor rgb="FF3366FF"/>
        <bgColor indexed="64"/>
      </patternFill>
    </fill>
    <fill>
      <patternFill patternType="solid">
        <fgColor theme="0" tint="-0.14999847407452621"/>
        <bgColor indexed="64"/>
      </patternFill>
    </fill>
    <fill>
      <patternFill patternType="solid">
        <fgColor indexed="17"/>
        <bgColor indexed="64"/>
      </patternFill>
    </fill>
    <fill>
      <patternFill patternType="solid">
        <fgColor rgb="FF660066"/>
        <bgColor indexed="64"/>
      </patternFill>
    </fill>
    <fill>
      <patternFill patternType="solid">
        <fgColor rgb="FF008000"/>
        <bgColor indexed="64"/>
      </patternFill>
    </fill>
    <fill>
      <patternFill patternType="solid">
        <fgColor theme="0" tint="-4.9989318521683403E-2"/>
        <bgColor indexed="64"/>
      </patternFill>
    </fill>
    <fill>
      <patternFill patternType="solid">
        <fgColor indexed="65"/>
        <bgColor indexed="64"/>
      </patternFill>
    </fill>
    <fill>
      <patternFill patternType="gray0625">
        <fgColor theme="5" tint="0.59999389629810485"/>
        <bgColor auto="1"/>
      </patternFill>
    </fill>
    <fill>
      <patternFill patternType="solid">
        <fgColor indexed="13"/>
        <bgColor indexed="64"/>
      </patternFill>
    </fill>
    <fill>
      <patternFill patternType="solid">
        <fgColor theme="8" tint="0.79998168889431442"/>
        <bgColor indexed="64"/>
      </patternFill>
    </fill>
    <fill>
      <patternFill patternType="solid">
        <fgColor indexed="65"/>
        <bgColor auto="1"/>
      </patternFill>
    </fill>
    <fill>
      <patternFill patternType="solid">
        <fgColor theme="0"/>
        <bgColor indexed="64"/>
      </patternFill>
    </fill>
    <fill>
      <patternFill patternType="solid">
        <fgColor indexed="9"/>
        <bgColor indexed="64"/>
      </patternFill>
    </fill>
    <fill>
      <patternFill patternType="solid">
        <fgColor theme="8" tint="0.39997558519241921"/>
        <bgColor indexed="64"/>
      </patternFill>
    </fill>
    <fill>
      <patternFill patternType="solid">
        <fgColor theme="0"/>
        <bgColor rgb="FF000000"/>
      </patternFill>
    </fill>
    <fill>
      <patternFill patternType="solid">
        <fgColor rgb="FFFFFF00"/>
        <bgColor indexed="64"/>
      </patternFill>
    </fill>
    <fill>
      <patternFill patternType="solid">
        <fgColor rgb="FFFF6600"/>
        <bgColor indexed="64"/>
      </patternFill>
    </fill>
    <fill>
      <patternFill patternType="solid">
        <fgColor theme="5" tint="-0.249977111117893"/>
        <bgColor indexed="64"/>
      </patternFill>
    </fill>
    <fill>
      <patternFill patternType="solid">
        <fgColor indexed="60"/>
        <bgColor indexed="64"/>
      </patternFill>
    </fill>
    <fill>
      <patternFill patternType="solid">
        <fgColor rgb="FFD4F50F"/>
        <bgColor indexed="64"/>
      </patternFill>
    </fill>
    <fill>
      <patternFill patternType="solid">
        <fgColor indexed="52"/>
        <bgColor indexed="64"/>
      </patternFill>
    </fill>
    <fill>
      <patternFill patternType="solid">
        <fgColor indexed="47"/>
        <bgColor indexed="64"/>
      </patternFill>
    </fill>
    <fill>
      <patternFill patternType="solid">
        <fgColor indexed="15"/>
        <bgColor indexed="64"/>
      </patternFill>
    </fill>
    <fill>
      <patternFill patternType="solid">
        <fgColor indexed="41"/>
        <bgColor indexed="64"/>
      </patternFill>
    </fill>
    <fill>
      <patternFill patternType="solid">
        <fgColor indexed="42"/>
        <bgColor indexed="64"/>
      </patternFill>
    </fill>
    <fill>
      <patternFill patternType="solid">
        <fgColor indexed="51"/>
        <bgColor indexed="64"/>
      </patternFill>
    </fill>
    <fill>
      <patternFill patternType="solid">
        <fgColor indexed="27"/>
        <bgColor indexed="64"/>
      </patternFill>
    </fill>
    <fill>
      <patternFill patternType="solid">
        <fgColor theme="5" tint="-0.499984740745262"/>
        <bgColor indexed="64"/>
      </patternFill>
    </fill>
    <fill>
      <patternFill patternType="solid">
        <fgColor rgb="FFD9D9D9"/>
        <bgColor rgb="FFD9D9D9"/>
      </patternFill>
    </fill>
    <fill>
      <patternFill patternType="solid">
        <fgColor theme="7"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6" tint="0.59999389629810485"/>
        <bgColor indexed="64"/>
      </patternFill>
    </fill>
  </fills>
  <borders count="192">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bottom style="dotted">
        <color theme="0" tint="-0.34998626667073579"/>
      </bottom>
      <diagonal/>
    </border>
    <border>
      <left style="thin">
        <color auto="1"/>
      </left>
      <right/>
      <top/>
      <bottom style="dotted">
        <color theme="0" tint="-0.34998626667073579"/>
      </bottom>
      <diagonal/>
    </border>
    <border>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top style="dotted">
        <color theme="0" tint="-0.34998626667073579"/>
      </top>
      <bottom/>
      <diagonal/>
    </border>
    <border>
      <left style="dotted">
        <color theme="0" tint="-0.34998626667073579"/>
      </left>
      <right style="thin">
        <color auto="1"/>
      </right>
      <top style="thin">
        <color auto="1"/>
      </top>
      <bottom/>
      <diagonal/>
    </border>
    <border>
      <left style="dotted">
        <color theme="0" tint="-0.34998626667073579"/>
      </left>
      <right style="thin">
        <color auto="1"/>
      </right>
      <top/>
      <bottom style="dotted">
        <color theme="0" tint="-0.34998626667073579"/>
      </bottom>
      <diagonal/>
    </border>
    <border>
      <left style="dotted">
        <color theme="0" tint="-0.34998626667073579"/>
      </left>
      <right style="thin">
        <color auto="1"/>
      </right>
      <top style="dotted">
        <color theme="0" tint="-0.34998626667073579"/>
      </top>
      <bottom/>
      <diagonal/>
    </border>
    <border>
      <left style="dotted">
        <color theme="0" tint="-0.34998626667073579"/>
      </left>
      <right style="thin">
        <color auto="1"/>
      </right>
      <top/>
      <bottom/>
      <diagonal/>
    </border>
    <border>
      <left style="dotted">
        <color theme="0" tint="-0.34998626667073579"/>
      </left>
      <right style="thin">
        <color auto="1"/>
      </right>
      <top/>
      <bottom style="thin">
        <color auto="1"/>
      </bottom>
      <diagonal/>
    </border>
    <border>
      <left style="thin">
        <color auto="1"/>
      </left>
      <right style="dotted">
        <color theme="0" tint="-0.34998626667073579"/>
      </right>
      <top style="thin">
        <color auto="1"/>
      </top>
      <bottom/>
      <diagonal/>
    </border>
    <border>
      <left style="thin">
        <color auto="1"/>
      </left>
      <right style="dotted">
        <color theme="0" tint="-0.34998626667073579"/>
      </right>
      <top/>
      <bottom style="dotted">
        <color theme="0" tint="-0.34998626667073579"/>
      </bottom>
      <diagonal/>
    </border>
    <border>
      <left style="thin">
        <color auto="1"/>
      </left>
      <right style="thin">
        <color auto="1"/>
      </right>
      <top style="dotted">
        <color theme="0" tint="-0.34998626667073579"/>
      </top>
      <bottom style="thin">
        <color auto="1"/>
      </bottom>
      <diagonal/>
    </border>
    <border>
      <left style="thin">
        <color auto="1"/>
      </left>
      <right/>
      <top style="dotted">
        <color theme="0" tint="-0.34998626667073579"/>
      </top>
      <bottom style="thin">
        <color auto="1"/>
      </bottom>
      <diagonal/>
    </border>
    <border>
      <left/>
      <right style="thin">
        <color auto="1"/>
      </right>
      <top style="dotted">
        <color theme="0" tint="-0.34998626667073579"/>
      </top>
      <bottom style="thin">
        <color auto="1"/>
      </bottom>
      <diagonal/>
    </border>
    <border>
      <left/>
      <right/>
      <top style="dotted">
        <color theme="0" tint="-0.34998626667073579"/>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top/>
      <bottom style="thin">
        <color auto="1"/>
      </bottom>
      <diagonal/>
    </border>
    <border>
      <left/>
      <right/>
      <top style="dotted">
        <color rgb="FF008000"/>
      </top>
      <bottom style="dotted">
        <color rgb="FF008000"/>
      </bottom>
      <diagonal/>
    </border>
    <border>
      <left/>
      <right/>
      <top style="dotted">
        <color rgb="FF008000"/>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thin">
        <color auto="1"/>
      </left>
      <right style="thin">
        <color indexed="23"/>
      </right>
      <top style="thin">
        <color auto="1"/>
      </top>
      <bottom/>
      <diagonal/>
    </border>
    <border>
      <left style="thin">
        <color indexed="23"/>
      </left>
      <right style="thin">
        <color indexed="23"/>
      </right>
      <top style="thin">
        <color auto="1"/>
      </top>
      <bottom/>
      <diagonal/>
    </border>
    <border>
      <left style="medium">
        <color auto="1"/>
      </left>
      <right style="medium">
        <color auto="1"/>
      </right>
      <top style="medium">
        <color auto="1"/>
      </top>
      <bottom style="medium">
        <color auto="1"/>
      </bottom>
      <diagonal/>
    </border>
    <border>
      <left/>
      <right/>
      <top/>
      <bottom style="thin">
        <color rgb="FF008000"/>
      </bottom>
      <diagonal/>
    </border>
    <border>
      <left style="thin">
        <color rgb="FF008000"/>
      </left>
      <right style="thin">
        <color rgb="FF008000"/>
      </right>
      <top style="thin">
        <color rgb="FF008000"/>
      </top>
      <bottom style="thin">
        <color rgb="FF008000"/>
      </bottom>
      <diagonal/>
    </border>
    <border>
      <left style="thin">
        <color rgb="FF008000"/>
      </left>
      <right/>
      <top style="thin">
        <color rgb="FF008000"/>
      </top>
      <bottom style="thin">
        <color rgb="FF008000"/>
      </bottom>
      <diagonal/>
    </border>
    <border>
      <left/>
      <right/>
      <top style="thin">
        <color rgb="FF008000"/>
      </top>
      <bottom style="thin">
        <color rgb="FF008000"/>
      </bottom>
      <diagonal/>
    </border>
    <border>
      <left/>
      <right style="thin">
        <color rgb="FF008000"/>
      </right>
      <top style="thin">
        <color rgb="FF008000"/>
      </top>
      <bottom style="thin">
        <color rgb="FF008000"/>
      </bottom>
      <diagonal/>
    </border>
    <border>
      <left/>
      <right/>
      <top style="thin">
        <color rgb="FF008000"/>
      </top>
      <bottom/>
      <diagonal/>
    </border>
    <border>
      <left style="thin">
        <color rgb="FF008000"/>
      </left>
      <right/>
      <top style="thin">
        <color rgb="FF008000"/>
      </top>
      <bottom/>
      <diagonal/>
    </border>
    <border>
      <left/>
      <right style="thin">
        <color rgb="FF008000"/>
      </right>
      <top style="thin">
        <color rgb="FF008000"/>
      </top>
      <bottom/>
      <diagonal/>
    </border>
    <border>
      <left style="thin">
        <color rgb="FF008000"/>
      </left>
      <right/>
      <top/>
      <bottom/>
      <diagonal/>
    </border>
    <border>
      <left/>
      <right style="thin">
        <color rgb="FF008000"/>
      </right>
      <top/>
      <bottom/>
      <diagonal/>
    </border>
    <border>
      <left style="thin">
        <color rgb="FF008000"/>
      </left>
      <right/>
      <top/>
      <bottom style="thin">
        <color rgb="FF008000"/>
      </bottom>
      <diagonal/>
    </border>
    <border>
      <left/>
      <right style="thin">
        <color rgb="FF008000"/>
      </right>
      <top/>
      <bottom style="thin">
        <color rgb="FF008000"/>
      </bottom>
      <diagonal/>
    </border>
    <border>
      <left style="thin">
        <color rgb="FF008000"/>
      </left>
      <right style="thin">
        <color rgb="FF008000"/>
      </right>
      <top style="thin">
        <color rgb="FF008000"/>
      </top>
      <bottom/>
      <diagonal/>
    </border>
    <border>
      <left style="thin">
        <color rgb="FF008000"/>
      </left>
      <right style="thin">
        <color rgb="FF008000"/>
      </right>
      <top/>
      <bottom/>
      <diagonal/>
    </border>
    <border>
      <left style="thin">
        <color rgb="FF008000"/>
      </left>
      <right style="thin">
        <color rgb="FF008000"/>
      </right>
      <top style="dotted">
        <color theme="0" tint="-4.9989318521683403E-2"/>
      </top>
      <bottom/>
      <diagonal/>
    </border>
    <border>
      <left style="thin">
        <color rgb="FF008000"/>
      </left>
      <right style="thin">
        <color rgb="FF008000"/>
      </right>
      <top/>
      <bottom style="dotted">
        <color theme="0" tint="-4.9989318521683403E-2"/>
      </bottom>
      <diagonal/>
    </border>
    <border>
      <left style="thin">
        <color rgb="FF008000"/>
      </left>
      <right style="thin">
        <color rgb="FF008000"/>
      </right>
      <top/>
      <bottom style="thin">
        <color rgb="FF008000"/>
      </bottom>
      <diagonal/>
    </border>
    <border>
      <left style="thin">
        <color indexed="60"/>
      </left>
      <right/>
      <top style="thin">
        <color indexed="60"/>
      </top>
      <bottom/>
      <diagonal/>
    </border>
    <border>
      <left/>
      <right/>
      <top style="thin">
        <color indexed="60"/>
      </top>
      <bottom/>
      <diagonal/>
    </border>
    <border>
      <left/>
      <right style="thin">
        <color indexed="8"/>
      </right>
      <top style="thin">
        <color indexed="60"/>
      </top>
      <bottom/>
      <diagonal/>
    </border>
    <border>
      <left style="thin">
        <color indexed="8"/>
      </left>
      <right/>
      <top style="thin">
        <color indexed="60"/>
      </top>
      <bottom/>
      <diagonal/>
    </border>
    <border>
      <left/>
      <right style="thin">
        <color indexed="60"/>
      </right>
      <top style="thin">
        <color indexed="60"/>
      </top>
      <bottom/>
      <diagonal/>
    </border>
    <border>
      <left style="thin">
        <color indexed="60"/>
      </left>
      <right/>
      <top/>
      <bottom/>
      <diagonal/>
    </border>
    <border>
      <left/>
      <right style="thin">
        <color indexed="8"/>
      </right>
      <top/>
      <bottom/>
      <diagonal/>
    </border>
    <border>
      <left style="thin">
        <color indexed="8"/>
      </left>
      <right/>
      <top/>
      <bottom/>
      <diagonal/>
    </border>
    <border>
      <left/>
      <right style="thin">
        <color indexed="60"/>
      </right>
      <top/>
      <bottom/>
      <diagonal/>
    </border>
    <border>
      <left style="thin">
        <color indexed="60"/>
      </left>
      <right/>
      <top/>
      <bottom style="thin">
        <color indexed="60"/>
      </bottom>
      <diagonal/>
    </border>
    <border>
      <left/>
      <right/>
      <top/>
      <bottom style="thin">
        <color indexed="60"/>
      </bottom>
      <diagonal/>
    </border>
    <border>
      <left/>
      <right style="thin">
        <color indexed="8"/>
      </right>
      <top/>
      <bottom style="thin">
        <color indexed="60"/>
      </bottom>
      <diagonal/>
    </border>
    <border>
      <left style="thin">
        <color indexed="8"/>
      </left>
      <right/>
      <top/>
      <bottom style="thin">
        <color indexed="60"/>
      </bottom>
      <diagonal/>
    </border>
    <border>
      <left/>
      <right style="thin">
        <color indexed="60"/>
      </right>
      <top/>
      <bottom style="thin">
        <color indexed="60"/>
      </bottom>
      <diagonal/>
    </border>
    <border>
      <left style="double">
        <color indexed="10"/>
      </left>
      <right/>
      <top style="double">
        <color indexed="10"/>
      </top>
      <bottom/>
      <diagonal/>
    </border>
    <border>
      <left/>
      <right/>
      <top style="double">
        <color indexed="10"/>
      </top>
      <bottom/>
      <diagonal/>
    </border>
    <border>
      <left/>
      <right/>
      <top style="double">
        <color indexed="10"/>
      </top>
      <bottom style="double">
        <color indexed="10"/>
      </bottom>
      <diagonal/>
    </border>
    <border>
      <left style="double">
        <color indexed="10"/>
      </left>
      <right/>
      <top style="double">
        <color indexed="10"/>
      </top>
      <bottom style="double">
        <color indexed="10"/>
      </bottom>
      <diagonal/>
    </border>
    <border>
      <left/>
      <right style="double">
        <color indexed="10"/>
      </right>
      <top style="double">
        <color indexed="10"/>
      </top>
      <bottom style="double">
        <color indexed="10"/>
      </bottom>
      <diagonal/>
    </border>
    <border>
      <left style="medium">
        <color indexed="60"/>
      </left>
      <right/>
      <top style="medium">
        <color indexed="60"/>
      </top>
      <bottom/>
      <diagonal/>
    </border>
    <border>
      <left/>
      <right/>
      <top style="medium">
        <color indexed="60"/>
      </top>
      <bottom/>
      <diagonal/>
    </border>
    <border>
      <left/>
      <right style="medium">
        <color indexed="60"/>
      </right>
      <top style="medium">
        <color indexed="60"/>
      </top>
      <bottom/>
      <diagonal/>
    </border>
    <border>
      <left/>
      <right/>
      <top/>
      <bottom style="medium">
        <color indexed="60"/>
      </bottom>
      <diagonal/>
    </border>
    <border>
      <left style="medium">
        <color indexed="60"/>
      </left>
      <right/>
      <top/>
      <bottom/>
      <diagonal/>
    </border>
    <border>
      <left/>
      <right style="medium">
        <color indexed="60"/>
      </right>
      <top/>
      <bottom/>
      <diagonal/>
    </border>
    <border>
      <left style="medium">
        <color indexed="60"/>
      </left>
      <right/>
      <top/>
      <bottom style="medium">
        <color indexed="60"/>
      </bottom>
      <diagonal/>
    </border>
    <border>
      <left/>
      <right style="medium">
        <color indexed="60"/>
      </right>
      <top/>
      <bottom style="medium">
        <color indexed="60"/>
      </bottom>
      <diagonal/>
    </border>
    <border>
      <left style="medium">
        <color indexed="60"/>
      </left>
      <right/>
      <top style="medium">
        <color indexed="60"/>
      </top>
      <bottom style="medium">
        <color indexed="60"/>
      </bottom>
      <diagonal/>
    </border>
    <border>
      <left/>
      <right/>
      <top style="medium">
        <color indexed="60"/>
      </top>
      <bottom style="medium">
        <color indexed="60"/>
      </bottom>
      <diagonal/>
    </border>
    <border>
      <left/>
      <right style="medium">
        <color indexed="60"/>
      </right>
      <top style="medium">
        <color indexed="60"/>
      </top>
      <bottom style="medium">
        <color indexed="60"/>
      </bottom>
      <diagonal/>
    </border>
    <border>
      <left style="medium">
        <color indexed="60"/>
      </left>
      <right/>
      <top/>
      <bottom style="thin">
        <color indexed="8"/>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style="medium">
        <color indexed="60"/>
      </right>
      <top/>
      <bottom/>
      <diagonal/>
    </border>
    <border>
      <left style="thin">
        <color indexed="8"/>
      </left>
      <right style="thin">
        <color indexed="8"/>
      </right>
      <top style="thin">
        <color indexed="8"/>
      </top>
      <bottom/>
      <diagonal/>
    </border>
    <border>
      <left/>
      <right/>
      <top style="thin">
        <color indexed="8"/>
      </top>
      <bottom/>
      <diagonal/>
    </border>
    <border>
      <left style="thin">
        <color indexed="8"/>
      </left>
      <right style="medium">
        <color indexed="60"/>
      </right>
      <top style="thin">
        <color indexed="8"/>
      </top>
      <bottom/>
      <diagonal/>
    </border>
    <border>
      <left style="thin">
        <color indexed="8"/>
      </left>
      <right style="thin">
        <color indexed="8"/>
      </right>
      <top/>
      <bottom/>
      <diagonal/>
    </border>
    <border>
      <left style="thin">
        <color indexed="8"/>
      </left>
      <right style="medium">
        <color auto="1"/>
      </right>
      <top/>
      <bottom/>
      <diagonal/>
    </border>
    <border>
      <left style="thin">
        <color indexed="8"/>
      </left>
      <right style="medium">
        <color indexed="60"/>
      </right>
      <top/>
      <bottom style="thin">
        <color indexed="8"/>
      </bottom>
      <diagonal/>
    </border>
    <border>
      <left style="thin">
        <color indexed="8"/>
      </left>
      <right style="medium">
        <color auto="1"/>
      </right>
      <top/>
      <bottom style="thin">
        <color indexed="8"/>
      </bottom>
      <diagonal/>
    </border>
    <border>
      <left style="thin">
        <color indexed="8"/>
      </left>
      <right/>
      <top style="thin">
        <color indexed="8"/>
      </top>
      <bottom/>
      <diagonal/>
    </border>
    <border>
      <left style="thin">
        <color indexed="8"/>
      </left>
      <right/>
      <top/>
      <bottom style="thin">
        <color indexed="8"/>
      </bottom>
      <diagonal/>
    </border>
    <border>
      <left/>
      <right style="medium">
        <color indexed="60"/>
      </right>
      <top/>
      <bottom style="thin">
        <color indexed="8"/>
      </bottom>
      <diagonal/>
    </border>
    <border>
      <left style="medium">
        <color indexed="60"/>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medium">
        <color indexed="60"/>
      </right>
      <top style="thin">
        <color indexed="8"/>
      </top>
      <bottom style="thin">
        <color indexed="8"/>
      </bottom>
      <diagonal/>
    </border>
    <border>
      <left style="medium">
        <color indexed="60"/>
      </left>
      <right style="thin">
        <color indexed="8"/>
      </right>
      <top style="thin">
        <color indexed="8"/>
      </top>
      <bottom/>
      <diagonal/>
    </border>
    <border>
      <left/>
      <right style="thin">
        <color indexed="8"/>
      </right>
      <top style="thin">
        <color indexed="8"/>
      </top>
      <bottom/>
      <diagonal/>
    </border>
    <border>
      <left style="medium">
        <color indexed="60"/>
      </left>
      <right style="thin">
        <color indexed="8"/>
      </right>
      <top/>
      <bottom style="medium">
        <color indexed="60"/>
      </bottom>
      <diagonal/>
    </border>
    <border>
      <left style="thin">
        <color indexed="8"/>
      </left>
      <right style="thin">
        <color indexed="8"/>
      </right>
      <top/>
      <bottom style="medium">
        <color indexed="60"/>
      </bottom>
      <diagonal/>
    </border>
    <border>
      <left/>
      <right style="thin">
        <color indexed="8"/>
      </right>
      <top/>
      <bottom style="medium">
        <color indexed="60"/>
      </bottom>
      <diagonal/>
    </border>
    <border>
      <left style="thin">
        <color indexed="8"/>
      </left>
      <right style="medium">
        <color indexed="60"/>
      </right>
      <top/>
      <bottom style="medium">
        <color indexed="60"/>
      </bottom>
      <diagonal/>
    </border>
    <border>
      <left style="thin">
        <color indexed="60"/>
      </left>
      <right/>
      <top style="thin">
        <color indexed="60"/>
      </top>
      <bottom style="thin">
        <color indexed="8"/>
      </bottom>
      <diagonal/>
    </border>
    <border>
      <left style="thin">
        <color indexed="8"/>
      </left>
      <right style="thin">
        <color indexed="8"/>
      </right>
      <top style="thin">
        <color indexed="60"/>
      </top>
      <bottom style="thin">
        <color indexed="8"/>
      </bottom>
      <diagonal/>
    </border>
    <border>
      <left/>
      <right/>
      <top style="thin">
        <color indexed="60"/>
      </top>
      <bottom style="thin">
        <color indexed="8"/>
      </bottom>
      <diagonal/>
    </border>
    <border>
      <left style="thin">
        <color indexed="8"/>
      </left>
      <right style="thin">
        <color indexed="60"/>
      </right>
      <top style="thin">
        <color indexed="60"/>
      </top>
      <bottom style="thin">
        <color indexed="8"/>
      </bottom>
      <diagonal/>
    </border>
    <border>
      <left style="thin">
        <color indexed="60"/>
      </left>
      <right style="thin">
        <color indexed="8"/>
      </right>
      <top style="thin">
        <color indexed="8"/>
      </top>
      <bottom/>
      <diagonal/>
    </border>
    <border>
      <left style="thin">
        <color indexed="8"/>
      </left>
      <right style="thin">
        <color indexed="60"/>
      </right>
      <top style="thin">
        <color indexed="8"/>
      </top>
      <bottom/>
      <diagonal/>
    </border>
    <border>
      <left style="medium">
        <color indexed="60"/>
      </left>
      <right/>
      <top style="thin">
        <color auto="1"/>
      </top>
      <bottom/>
      <diagonal/>
    </border>
    <border>
      <left style="thin">
        <color indexed="60"/>
      </left>
      <right style="thin">
        <color indexed="8"/>
      </right>
      <top/>
      <bottom/>
      <diagonal/>
    </border>
    <border>
      <left style="thin">
        <color indexed="8"/>
      </left>
      <right style="thin">
        <color indexed="60"/>
      </right>
      <top/>
      <bottom/>
      <diagonal/>
    </border>
    <border>
      <left style="thin">
        <color indexed="60"/>
      </left>
      <right style="thin">
        <color indexed="8"/>
      </right>
      <top/>
      <bottom style="thin">
        <color auto="1"/>
      </bottom>
      <diagonal/>
    </border>
    <border>
      <left/>
      <right style="thin">
        <color indexed="8"/>
      </right>
      <top/>
      <bottom style="thin">
        <color indexed="8"/>
      </bottom>
      <diagonal/>
    </border>
    <border>
      <left style="thin">
        <color indexed="8"/>
      </left>
      <right style="thin">
        <color indexed="60"/>
      </right>
      <top/>
      <bottom style="thin">
        <color indexed="8"/>
      </bottom>
      <diagonal/>
    </border>
    <border>
      <left style="thin">
        <color indexed="60"/>
      </left>
      <right style="thin">
        <color auto="1"/>
      </right>
      <top style="thin">
        <color auto="1"/>
      </top>
      <bottom/>
      <diagonal/>
    </border>
    <border>
      <left style="thin">
        <color auto="1"/>
      </left>
      <right style="thin">
        <color auto="1"/>
      </right>
      <top style="thin">
        <color indexed="8"/>
      </top>
      <bottom/>
      <diagonal/>
    </border>
    <border>
      <left style="thin">
        <color auto="1"/>
      </left>
      <right style="thin">
        <color indexed="60"/>
      </right>
      <top style="thin">
        <color indexed="8"/>
      </top>
      <bottom/>
      <diagonal/>
    </border>
    <border>
      <left style="thin">
        <color indexed="60"/>
      </left>
      <right style="thin">
        <color auto="1"/>
      </right>
      <top/>
      <bottom style="thin">
        <color auto="1"/>
      </bottom>
      <diagonal/>
    </border>
    <border>
      <left style="thin">
        <color auto="1"/>
      </left>
      <right style="thin">
        <color indexed="60"/>
      </right>
      <top/>
      <bottom style="thin">
        <color auto="1"/>
      </bottom>
      <diagonal/>
    </border>
    <border>
      <left style="thin">
        <color indexed="60"/>
      </left>
      <right/>
      <top style="thin">
        <color auto="1"/>
      </top>
      <bottom/>
      <diagonal/>
    </border>
    <border>
      <left/>
      <right style="thin">
        <color indexed="60"/>
      </right>
      <top style="thin">
        <color auto="1"/>
      </top>
      <bottom/>
      <diagonal/>
    </border>
    <border>
      <left style="thin">
        <color indexed="60"/>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60"/>
      </right>
      <top style="thin">
        <color indexed="8"/>
      </top>
      <bottom style="thin">
        <color indexed="8"/>
      </bottom>
      <diagonal/>
    </border>
    <border>
      <left style="thin">
        <color indexed="60"/>
      </left>
      <right style="thin">
        <color indexed="8"/>
      </right>
      <top/>
      <bottom style="thin">
        <color indexed="60"/>
      </bottom>
      <diagonal/>
    </border>
    <border>
      <left style="thin">
        <color indexed="8"/>
      </left>
      <right style="thin">
        <color indexed="8"/>
      </right>
      <top/>
      <bottom style="thin">
        <color indexed="60"/>
      </bottom>
      <diagonal/>
    </border>
    <border>
      <left style="thin">
        <color indexed="8"/>
      </left>
      <right style="thin">
        <color indexed="60"/>
      </right>
      <top/>
      <bottom style="thin">
        <color indexed="60"/>
      </bottom>
      <diagonal/>
    </border>
    <border>
      <left style="thin">
        <color indexed="60"/>
      </left>
      <right style="thin">
        <color auto="1"/>
      </right>
      <top style="thin">
        <color indexed="60"/>
      </top>
      <bottom/>
      <diagonal/>
    </border>
    <border>
      <left style="thin">
        <color auto="1"/>
      </left>
      <right style="thin">
        <color auto="1"/>
      </right>
      <top style="thin">
        <color indexed="60"/>
      </top>
      <bottom/>
      <diagonal/>
    </border>
    <border>
      <left style="thin">
        <color auto="1"/>
      </left>
      <right/>
      <top style="thin">
        <color indexed="60"/>
      </top>
      <bottom/>
      <diagonal/>
    </border>
    <border>
      <left/>
      <right style="thin">
        <color auto="1"/>
      </right>
      <top style="thin">
        <color indexed="60"/>
      </top>
      <bottom/>
      <diagonal/>
    </border>
    <border>
      <left style="thin">
        <color auto="1"/>
      </left>
      <right style="thin">
        <color indexed="60"/>
      </right>
      <top style="thin">
        <color indexed="60"/>
      </top>
      <bottom/>
      <diagonal/>
    </border>
    <border>
      <left style="thin">
        <color indexed="60"/>
      </left>
      <right style="thin">
        <color auto="1"/>
      </right>
      <top/>
      <bottom/>
      <diagonal/>
    </border>
    <border>
      <left style="thin">
        <color auto="1"/>
      </left>
      <right style="thin">
        <color indexed="60"/>
      </right>
      <top/>
      <bottom/>
      <diagonal/>
    </border>
    <border>
      <left/>
      <right style="thin">
        <color indexed="8"/>
      </right>
      <top style="thin">
        <color indexed="8"/>
      </top>
      <bottom style="thin">
        <color indexed="8"/>
      </bottom>
      <diagonal/>
    </border>
    <border>
      <left style="thin">
        <color indexed="60"/>
      </left>
      <right style="thin">
        <color auto="1"/>
      </right>
      <top/>
      <bottom style="thin">
        <color indexed="8"/>
      </bottom>
      <diagonal/>
    </border>
    <border>
      <left style="thin">
        <color auto="1"/>
      </left>
      <right style="thin">
        <color auto="1"/>
      </right>
      <top/>
      <bottom style="thin">
        <color indexed="8"/>
      </bottom>
      <diagonal/>
    </border>
    <border>
      <left style="thin">
        <color auto="1"/>
      </left>
      <right/>
      <top/>
      <bottom style="thin">
        <color indexed="8"/>
      </bottom>
      <diagonal/>
    </border>
    <border>
      <left/>
      <right style="thin">
        <color auto="1"/>
      </right>
      <top/>
      <bottom style="thin">
        <color indexed="8"/>
      </bottom>
      <diagonal/>
    </border>
    <border>
      <left style="thin">
        <color auto="1"/>
      </left>
      <right style="thin">
        <color indexed="60"/>
      </right>
      <top/>
      <bottom style="thin">
        <color indexed="8"/>
      </bottom>
      <diagonal/>
    </border>
    <border>
      <left style="thin">
        <color indexed="8"/>
      </left>
      <right style="thin">
        <color indexed="8"/>
      </right>
      <top/>
      <bottom style="medium">
        <color auto="1"/>
      </bottom>
      <diagonal/>
    </border>
    <border>
      <left style="thin">
        <color indexed="60"/>
      </left>
      <right style="medium">
        <color indexed="60"/>
      </right>
      <top/>
      <bottom style="thin">
        <color indexed="8"/>
      </bottom>
      <diagonal/>
    </border>
    <border>
      <left style="medium">
        <color indexed="60"/>
      </left>
      <right style="thin">
        <color indexed="8"/>
      </right>
      <top/>
      <bottom/>
      <diagonal/>
    </border>
    <border>
      <left style="thin">
        <color auto="1"/>
      </left>
      <right style="medium">
        <color indexed="60"/>
      </right>
      <top/>
      <bottom/>
      <diagonal/>
    </border>
    <border>
      <left style="thin">
        <color indexed="8"/>
      </left>
      <right/>
      <top/>
      <bottom style="medium">
        <color indexed="60"/>
      </bottom>
      <diagonal/>
    </border>
    <border>
      <left/>
      <right style="thin">
        <color auto="1"/>
      </right>
      <top/>
      <bottom style="medium">
        <color indexed="60"/>
      </bottom>
      <diagonal/>
    </border>
    <border>
      <left style="thin">
        <color auto="1"/>
      </left>
      <right style="medium">
        <color indexed="60"/>
      </right>
      <top/>
      <bottom style="medium">
        <color indexed="60"/>
      </bottom>
      <diagonal/>
    </border>
    <border>
      <left style="hair">
        <color auto="1"/>
      </left>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medium">
        <color auto="1"/>
      </left>
      <right style="medium">
        <color auto="1"/>
      </right>
      <top/>
      <bottom style="medium">
        <color auto="1"/>
      </bottom>
      <diagonal/>
    </border>
    <border>
      <left style="thin">
        <color auto="1"/>
      </left>
      <right style="thin">
        <color auto="1"/>
      </right>
      <top style="dotted">
        <color theme="0" tint="-0.14996795556505021"/>
      </top>
      <bottom style="thin">
        <color auto="1"/>
      </bottom>
      <diagonal/>
    </border>
    <border>
      <left style="thin">
        <color auto="1"/>
      </left>
      <right/>
      <top style="thin">
        <color auto="1"/>
      </top>
      <bottom style="dotted">
        <color theme="0" tint="-4.9989318521683403E-2"/>
      </bottom>
      <diagonal/>
    </border>
    <border>
      <left/>
      <right/>
      <top style="thin">
        <color auto="1"/>
      </top>
      <bottom style="dotted">
        <color theme="0" tint="-4.9989318521683403E-2"/>
      </bottom>
      <diagonal/>
    </border>
    <border>
      <left/>
      <right style="thin">
        <color auto="1"/>
      </right>
      <top style="thin">
        <color auto="1"/>
      </top>
      <bottom style="dotted">
        <color theme="0" tint="-4.9989318521683403E-2"/>
      </bottom>
      <diagonal/>
    </border>
    <border>
      <left style="thin">
        <color auto="1"/>
      </left>
      <right/>
      <top style="dotted">
        <color theme="0" tint="-4.9989318521683403E-2"/>
      </top>
      <bottom style="dotted">
        <color theme="0" tint="-4.9989318521683403E-2"/>
      </bottom>
      <diagonal/>
    </border>
    <border>
      <left/>
      <right/>
      <top style="dotted">
        <color theme="0" tint="-4.9989318521683403E-2"/>
      </top>
      <bottom style="dotted">
        <color theme="0" tint="-4.9989318521683403E-2"/>
      </bottom>
      <diagonal/>
    </border>
    <border>
      <left/>
      <right style="thin">
        <color auto="1"/>
      </right>
      <top style="dotted">
        <color theme="0" tint="-4.9989318521683403E-2"/>
      </top>
      <bottom style="dotted">
        <color theme="0" tint="-4.9989318521683403E-2"/>
      </bottom>
      <diagonal/>
    </border>
    <border>
      <left style="thin">
        <color auto="1"/>
      </left>
      <right/>
      <top style="dotted">
        <color theme="0" tint="-4.9989318521683403E-2"/>
      </top>
      <bottom style="thin">
        <color auto="1"/>
      </bottom>
      <diagonal/>
    </border>
    <border>
      <left/>
      <right/>
      <top style="dotted">
        <color theme="0" tint="-4.9989318521683403E-2"/>
      </top>
      <bottom style="thin">
        <color auto="1"/>
      </bottom>
      <diagonal/>
    </border>
    <border>
      <left/>
      <right style="thin">
        <color auto="1"/>
      </right>
      <top style="dotted">
        <color theme="0" tint="-4.9989318521683403E-2"/>
      </top>
      <bottom style="thin">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hair">
        <color indexed="16"/>
      </left>
      <right/>
      <top/>
      <bottom/>
      <diagonal/>
    </border>
    <border>
      <left style="medium">
        <color auto="1"/>
      </left>
      <right/>
      <top/>
      <bottom/>
      <diagonal/>
    </border>
    <border>
      <left/>
      <right style="medium">
        <color auto="1"/>
      </right>
      <top/>
      <bottom/>
      <diagonal/>
    </border>
    <border>
      <left style="medium">
        <color auto="1"/>
      </left>
      <right style="medium">
        <color auto="1"/>
      </right>
      <top/>
      <bottom/>
      <diagonal/>
    </border>
    <border>
      <left/>
      <right style="hair">
        <color indexed="16"/>
      </right>
      <top style="dotted">
        <color theme="0" tint="-4.9989318521683403E-2"/>
      </top>
      <bottom style="dotted">
        <color theme="0" tint="-4.9989318521683403E-2"/>
      </bottom>
      <diagonal/>
    </border>
    <border>
      <left style="hair">
        <color indexed="16"/>
      </left>
      <right/>
      <top style="dotted">
        <color theme="0" tint="-4.9989318521683403E-2"/>
      </top>
      <bottom style="dotted">
        <color theme="0" tint="-4.9989318521683403E-2"/>
      </bottom>
      <diagonal/>
    </border>
  </borders>
  <cellStyleXfs count="188">
    <xf numFmtId="0" fontId="0" fillId="0" borderId="0"/>
    <xf numFmtId="0" fontId="9" fillId="0" borderId="0"/>
    <xf numFmtId="0" fontId="19" fillId="0" borderId="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9" fontId="5" fillId="0" borderId="0" applyFon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111" fillId="0" borderId="0"/>
    <xf numFmtId="0" fontId="40" fillId="0" borderId="0" applyNumberFormat="0" applyFill="0" applyBorder="0" applyAlignment="0" applyProtection="0"/>
    <xf numFmtId="0" fontId="41" fillId="0" borderId="0" applyNumberFormat="0" applyFill="0" applyBorder="0" applyAlignment="0" applyProtection="0"/>
    <xf numFmtId="0" fontId="19" fillId="0" borderId="0"/>
    <xf numFmtId="0" fontId="19" fillId="0" borderId="0"/>
    <xf numFmtId="9" fontId="9" fillId="0" borderId="0" applyFont="0" applyFill="0" applyBorder="0" applyAlignment="0" applyProtection="0"/>
    <xf numFmtId="0" fontId="19" fillId="0" borderId="0"/>
    <xf numFmtId="0" fontId="4" fillId="0" borderId="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3" fillId="0" borderId="0"/>
    <xf numFmtId="0" fontId="3" fillId="0" borderId="0"/>
    <xf numFmtId="0" fontId="2" fillId="0" borderId="0"/>
    <xf numFmtId="0" fontId="1" fillId="0" borderId="0"/>
  </cellStyleXfs>
  <cellXfs count="1490">
    <xf numFmtId="0" fontId="0" fillId="0" borderId="0" xfId="0"/>
    <xf numFmtId="0" fontId="37" fillId="2" borderId="0" xfId="0" applyFont="1" applyFill="1" applyAlignment="1">
      <alignment horizontal="center" vertical="center"/>
    </xf>
    <xf numFmtId="14" fontId="37" fillId="2" borderId="0" xfId="0" applyNumberFormat="1" applyFont="1" applyFill="1" applyAlignment="1">
      <alignment horizontal="center" vertical="center"/>
    </xf>
    <xf numFmtId="0" fontId="38" fillId="2" borderId="0" xfId="0" applyFont="1" applyFill="1" applyAlignment="1">
      <alignment horizontal="center" vertical="center"/>
    </xf>
    <xf numFmtId="14" fontId="39" fillId="2" borderId="0" xfId="0" applyNumberFormat="1" applyFont="1" applyFill="1" applyAlignment="1">
      <alignment horizontal="center" vertical="center"/>
    </xf>
    <xf numFmtId="0" fontId="6" fillId="0" borderId="0" xfId="0" applyFont="1" applyAlignment="1">
      <alignment vertical="center"/>
    </xf>
    <xf numFmtId="1" fontId="37" fillId="2" borderId="0" xfId="0" applyNumberFormat="1" applyFont="1" applyFill="1" applyAlignment="1">
      <alignment horizontal="center" vertical="center"/>
    </xf>
    <xf numFmtId="165" fontId="6" fillId="3" borderId="0" xfId="0" applyNumberFormat="1" applyFont="1" applyFill="1" applyAlignment="1">
      <alignment horizontal="center"/>
    </xf>
    <xf numFmtId="0" fontId="6" fillId="3" borderId="0" xfId="0" applyFont="1" applyFill="1" applyAlignment="1">
      <alignment horizontal="center"/>
    </xf>
    <xf numFmtId="164" fontId="6" fillId="3" borderId="0" xfId="0" applyNumberFormat="1" applyFont="1" applyFill="1" applyAlignment="1">
      <alignment horizontal="center"/>
    </xf>
    <xf numFmtId="0" fontId="42" fillId="0" borderId="0" xfId="0" applyFont="1"/>
    <xf numFmtId="0" fontId="7" fillId="0" borderId="0" xfId="0" applyFont="1" applyProtection="1">
      <protection locked="0"/>
    </xf>
    <xf numFmtId="0" fontId="7" fillId="0" borderId="0" xfId="0" applyFont="1" applyAlignment="1" applyProtection="1">
      <alignment horizont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 fontId="7" fillId="0" borderId="0" xfId="0" applyNumberFormat="1" applyFont="1" applyAlignment="1" applyProtection="1">
      <alignment horizontal="center" vertical="center"/>
      <protection locked="0"/>
    </xf>
    <xf numFmtId="166" fontId="7" fillId="0" borderId="0" xfId="0" applyNumberFormat="1" applyFont="1" applyProtection="1">
      <protection locked="0"/>
    </xf>
    <xf numFmtId="0" fontId="7" fillId="0" borderId="0" xfId="0" applyFont="1"/>
    <xf numFmtId="0" fontId="12" fillId="0" borderId="0" xfId="0" applyFont="1" applyAlignment="1">
      <alignment horizontal="center"/>
    </xf>
    <xf numFmtId="0" fontId="13" fillId="0" borderId="0" xfId="0" applyFont="1" applyAlignment="1">
      <alignment horizontal="center"/>
    </xf>
    <xf numFmtId="0" fontId="7" fillId="0" borderId="0" xfId="0" applyFont="1" applyAlignment="1">
      <alignment horizontal="center"/>
    </xf>
    <xf numFmtId="0" fontId="17" fillId="2" borderId="11"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5" xfId="0" applyFont="1" applyFill="1" applyBorder="1" applyAlignment="1">
      <alignment horizontal="center" vertical="center" wrapText="1"/>
    </xf>
    <xf numFmtId="0" fontId="11" fillId="0" borderId="0" xfId="0" applyFont="1" applyAlignment="1">
      <alignment horizontal="left" vertical="center"/>
    </xf>
    <xf numFmtId="0" fontId="17" fillId="0" borderId="0" xfId="0" applyFont="1" applyAlignment="1">
      <alignment horizontal="center" vertical="center"/>
    </xf>
    <xf numFmtId="0" fontId="16" fillId="0" borderId="0" xfId="0" applyFont="1" applyAlignment="1">
      <alignment horizontal="center" vertical="center"/>
    </xf>
    <xf numFmtId="0" fontId="43" fillId="0" borderId="0" xfId="0" applyFont="1" applyAlignment="1">
      <alignment vertical="center"/>
    </xf>
    <xf numFmtId="0" fontId="16" fillId="0" borderId="0" xfId="0" applyFont="1" applyAlignment="1">
      <alignment horizontal="center" vertical="center" wrapText="1"/>
    </xf>
    <xf numFmtId="0" fontId="17" fillId="0" borderId="7" xfId="0" applyFont="1" applyBorder="1" applyAlignment="1">
      <alignment horizontal="left" vertical="center"/>
    </xf>
    <xf numFmtId="0" fontId="17" fillId="0" borderId="7" xfId="0" applyFont="1" applyBorder="1" applyAlignment="1">
      <alignment horizontal="center" vertical="center"/>
    </xf>
    <xf numFmtId="0" fontId="43" fillId="0" borderId="6" xfId="0" applyFont="1" applyBorder="1" applyAlignment="1">
      <alignment vertical="center"/>
    </xf>
    <xf numFmtId="0" fontId="16" fillId="2" borderId="2" xfId="0" applyFont="1" applyFill="1" applyBorder="1" applyAlignment="1">
      <alignment horizontal="center" vertical="top" wrapText="1"/>
    </xf>
    <xf numFmtId="0" fontId="16" fillId="0" borderId="3" xfId="0" applyFont="1" applyBorder="1" applyAlignment="1">
      <alignment horizontal="center" vertical="center" wrapText="1"/>
    </xf>
    <xf numFmtId="0" fontId="17" fillId="0" borderId="10" xfId="0" applyFont="1" applyBorder="1" applyAlignment="1">
      <alignment horizontal="left" vertical="center"/>
    </xf>
    <xf numFmtId="0" fontId="17" fillId="0" borderId="10" xfId="0" applyFont="1" applyBorder="1" applyAlignment="1">
      <alignment horizontal="center" vertical="center"/>
    </xf>
    <xf numFmtId="0" fontId="43" fillId="0" borderId="8" xfId="0" applyFont="1" applyBorder="1" applyAlignment="1">
      <alignment vertical="center"/>
    </xf>
    <xf numFmtId="0" fontId="16" fillId="2" borderId="0" xfId="0" applyFont="1" applyFill="1" applyAlignment="1">
      <alignment horizontal="center" vertical="center" wrapText="1"/>
    </xf>
    <xf numFmtId="0" fontId="16" fillId="0" borderId="9" xfId="0" applyFont="1" applyBorder="1" applyAlignment="1">
      <alignment horizontal="center" vertical="center" wrapText="1"/>
    </xf>
    <xf numFmtId="0" fontId="17" fillId="4" borderId="29" xfId="0" applyFont="1" applyFill="1" applyBorder="1" applyAlignment="1">
      <alignment horizontal="left" vertical="center"/>
    </xf>
    <xf numFmtId="0" fontId="17" fillId="4" borderId="29" xfId="0" applyFont="1" applyFill="1" applyBorder="1" applyAlignment="1">
      <alignment horizontal="center" vertical="center"/>
    </xf>
    <xf numFmtId="0" fontId="17" fillId="4" borderId="30" xfId="0" applyFont="1" applyFill="1" applyBorder="1" applyAlignment="1">
      <alignment horizontal="center" vertical="center"/>
    </xf>
    <xf numFmtId="0" fontId="43" fillId="4" borderId="30" xfId="0" applyFont="1" applyFill="1" applyBorder="1" applyAlignment="1">
      <alignment vertical="center"/>
    </xf>
    <xf numFmtId="0" fontId="16" fillId="4" borderId="32" xfId="0" applyFont="1" applyFill="1" applyBorder="1" applyAlignment="1">
      <alignment horizontal="center" vertical="center" wrapText="1"/>
    </xf>
    <xf numFmtId="0" fontId="16" fillId="4" borderId="31" xfId="0" applyFont="1" applyFill="1" applyBorder="1" applyAlignment="1">
      <alignment horizontal="center" vertical="center" wrapText="1"/>
    </xf>
    <xf numFmtId="0" fontId="17" fillId="0" borderId="27" xfId="0" applyFont="1" applyBorder="1" applyAlignment="1">
      <alignment horizontal="center" vertical="center"/>
    </xf>
    <xf numFmtId="0" fontId="44" fillId="0" borderId="22" xfId="0" applyFont="1" applyBorder="1" applyAlignment="1">
      <alignment horizontal="center" vertical="center"/>
    </xf>
    <xf numFmtId="0" fontId="17" fillId="0" borderId="13" xfId="0" applyFont="1" applyBorder="1" applyAlignment="1">
      <alignment horizontal="left" vertical="center"/>
    </xf>
    <xf numFmtId="0" fontId="17" fillId="0" borderId="13" xfId="0" applyFont="1" applyBorder="1" applyAlignment="1">
      <alignment horizontal="center" vertical="center"/>
    </xf>
    <xf numFmtId="0" fontId="17" fillId="0" borderId="28" xfId="0" applyFont="1" applyBorder="1" applyAlignment="1">
      <alignment horizontal="center" vertical="center"/>
    </xf>
    <xf numFmtId="0" fontId="44" fillId="0" borderId="23" xfId="0" applyFont="1" applyBorder="1" applyAlignment="1">
      <alignment horizontal="center" vertical="center"/>
    </xf>
    <xf numFmtId="0" fontId="43" fillId="0" borderId="14" xfId="0" applyFont="1" applyBorder="1" applyAlignment="1">
      <alignment vertical="center"/>
    </xf>
    <xf numFmtId="0" fontId="16" fillId="2" borderId="16" xfId="0" applyFont="1" applyFill="1" applyBorder="1" applyAlignment="1">
      <alignment horizontal="center" vertical="center" wrapText="1"/>
    </xf>
    <xf numFmtId="0" fontId="16" fillId="0" borderId="15" xfId="0" applyFont="1" applyBorder="1" applyAlignment="1">
      <alignment horizontal="center" vertical="center" wrapText="1"/>
    </xf>
    <xf numFmtId="1" fontId="44" fillId="0" borderId="24" xfId="0" applyNumberFormat="1" applyFont="1" applyBorder="1" applyAlignment="1">
      <alignment horizontal="center" vertical="center"/>
    </xf>
    <xf numFmtId="1" fontId="44" fillId="0" borderId="25" xfId="0" applyNumberFormat="1" applyFont="1" applyBorder="1" applyAlignment="1">
      <alignment horizontal="center" vertical="center"/>
    </xf>
    <xf numFmtId="0" fontId="44" fillId="0" borderId="25" xfId="0" applyFont="1" applyBorder="1" applyAlignment="1">
      <alignment horizontal="center" vertical="center"/>
    </xf>
    <xf numFmtId="0" fontId="17" fillId="0" borderId="14" xfId="0" applyFont="1" applyBorder="1" applyAlignment="1">
      <alignment horizontal="center" vertical="center"/>
    </xf>
    <xf numFmtId="1" fontId="44" fillId="0" borderId="23" xfId="0" applyNumberFormat="1" applyFont="1" applyBorder="1" applyAlignment="1">
      <alignment horizontal="center" vertical="center"/>
    </xf>
    <xf numFmtId="0" fontId="17" fillId="4" borderId="17" xfId="0" applyFont="1" applyFill="1" applyBorder="1" applyAlignment="1">
      <alignment horizontal="left" vertical="center"/>
    </xf>
    <xf numFmtId="0" fontId="17" fillId="4" borderId="17" xfId="0" applyFont="1" applyFill="1" applyBorder="1" applyAlignment="1">
      <alignment horizontal="center" vertical="center"/>
    </xf>
    <xf numFmtId="0" fontId="43" fillId="4" borderId="18" xfId="0" applyFont="1" applyFill="1" applyBorder="1" applyAlignment="1">
      <alignment vertical="center"/>
    </xf>
    <xf numFmtId="0" fontId="16" fillId="4" borderId="20" xfId="0" applyFont="1" applyFill="1" applyBorder="1" applyAlignment="1">
      <alignment horizontal="center" vertical="center" wrapText="1"/>
    </xf>
    <xf numFmtId="0" fontId="16" fillId="4" borderId="19" xfId="0" applyFont="1" applyFill="1" applyBorder="1" applyAlignment="1">
      <alignment horizontal="center" vertical="center" wrapText="1"/>
    </xf>
    <xf numFmtId="2" fontId="17" fillId="0" borderId="21" xfId="0" applyNumberFormat="1" applyFont="1" applyBorder="1" applyAlignment="1">
      <alignment horizontal="center" vertical="center"/>
    </xf>
    <xf numFmtId="2" fontId="44" fillId="0" borderId="24" xfId="0" applyNumberFormat="1" applyFont="1" applyBorder="1" applyAlignment="1">
      <alignment horizontal="center" vertical="center"/>
    </xf>
    <xf numFmtId="1" fontId="17" fillId="0" borderId="8" xfId="0" applyNumberFormat="1" applyFont="1" applyBorder="1" applyAlignment="1">
      <alignment horizontal="center" vertical="center"/>
    </xf>
    <xf numFmtId="0" fontId="17" fillId="0" borderId="12" xfId="0" applyFont="1" applyBorder="1" applyAlignment="1">
      <alignment horizontal="left" vertical="center"/>
    </xf>
    <xf numFmtId="0" fontId="17" fillId="0" borderId="12" xfId="0" applyFont="1" applyBorder="1" applyAlignment="1">
      <alignment horizontal="center" vertical="center"/>
    </xf>
    <xf numFmtId="0" fontId="44" fillId="0" borderId="26" xfId="0" applyFont="1" applyBorder="1" applyAlignment="1">
      <alignment horizontal="center" vertical="center"/>
    </xf>
    <xf numFmtId="0" fontId="43" fillId="0" borderId="11" xfId="0" applyFont="1" applyBorder="1" applyAlignment="1">
      <alignment vertical="center"/>
    </xf>
    <xf numFmtId="0" fontId="16" fillId="2" borderId="4" xfId="0" applyFont="1" applyFill="1" applyBorder="1" applyAlignment="1">
      <alignment horizontal="center" vertical="center" wrapText="1"/>
    </xf>
    <xf numFmtId="0" fontId="16" fillId="0" borderId="5" xfId="0" applyFont="1" applyBorder="1" applyAlignment="1">
      <alignment horizontal="center" vertical="center" wrapText="1"/>
    </xf>
    <xf numFmtId="0" fontId="45" fillId="0" borderId="0" xfId="0" applyFont="1"/>
    <xf numFmtId="0" fontId="16" fillId="0" borderId="0" xfId="0" applyFont="1" applyAlignment="1">
      <alignment horizontal="left" vertical="center"/>
    </xf>
    <xf numFmtId="0" fontId="17" fillId="0" borderId="0" xfId="0" applyFont="1" applyAlignment="1">
      <alignment horizontal="left"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46" fillId="0" borderId="0" xfId="0" applyFont="1"/>
    <xf numFmtId="0" fontId="11" fillId="0" borderId="0" xfId="0" applyFont="1" applyAlignment="1">
      <alignment vertical="center"/>
    </xf>
    <xf numFmtId="0" fontId="47" fillId="0" borderId="0" xfId="0" applyFont="1"/>
    <xf numFmtId="0" fontId="14" fillId="2" borderId="1" xfId="0" applyFont="1" applyFill="1" applyBorder="1" applyAlignment="1">
      <alignment horizontal="left" vertical="center"/>
    </xf>
    <xf numFmtId="0" fontId="17" fillId="0" borderId="6" xfId="0" applyFont="1" applyBorder="1" applyAlignment="1">
      <alignment horizontal="center" vertical="center"/>
    </xf>
    <xf numFmtId="0" fontId="17" fillId="0" borderId="8" xfId="0" applyFont="1" applyBorder="1" applyAlignment="1">
      <alignment horizontal="center" vertical="center"/>
    </xf>
    <xf numFmtId="0" fontId="17" fillId="0" borderId="11" xfId="0" applyFont="1" applyBorder="1" applyAlignment="1">
      <alignment horizontal="center" vertical="center"/>
    </xf>
    <xf numFmtId="0" fontId="16" fillId="2" borderId="2" xfId="0" applyFont="1" applyFill="1" applyBorder="1" applyAlignment="1">
      <alignment horizontal="center" vertical="center" wrapText="1"/>
    </xf>
    <xf numFmtId="0" fontId="13" fillId="0" borderId="0" xfId="0" applyFont="1" applyAlignment="1">
      <alignment horizontal="center" vertical="center" wrapText="1"/>
    </xf>
    <xf numFmtId="164" fontId="7" fillId="0" borderId="0" xfId="0" applyNumberFormat="1" applyFont="1" applyAlignment="1" applyProtection="1">
      <alignment horizontal="center" vertical="center"/>
      <protection locked="0"/>
    </xf>
    <xf numFmtId="1" fontId="7" fillId="0" borderId="0" xfId="0" applyNumberFormat="1" applyFont="1" applyAlignment="1" applyProtection="1">
      <alignment horizontal="center"/>
      <protection locked="0"/>
    </xf>
    <xf numFmtId="0" fontId="44" fillId="0" borderId="24" xfId="0" applyFont="1" applyBorder="1" applyAlignment="1">
      <alignment horizontal="center" vertical="center"/>
    </xf>
    <xf numFmtId="0" fontId="52" fillId="0" borderId="0" xfId="0" applyFont="1"/>
    <xf numFmtId="2" fontId="7" fillId="0" borderId="0" xfId="0" applyNumberFormat="1" applyFont="1" applyAlignment="1">
      <alignment horizontal="center"/>
    </xf>
    <xf numFmtId="2" fontId="7" fillId="0" borderId="0" xfId="0" applyNumberFormat="1" applyFont="1" applyAlignment="1">
      <alignment horizontal="center" vertical="center"/>
    </xf>
    <xf numFmtId="1" fontId="7" fillId="0" borderId="0" xfId="0" applyNumberFormat="1" applyFont="1" applyAlignment="1">
      <alignment horizontal="center"/>
    </xf>
    <xf numFmtId="164" fontId="7" fillId="0" borderId="0" xfId="0" applyNumberFormat="1" applyFont="1" applyAlignment="1">
      <alignment horizontal="center" vertical="center"/>
    </xf>
    <xf numFmtId="1" fontId="7" fillId="0" borderId="0" xfId="0" applyNumberFormat="1" applyFont="1" applyAlignment="1">
      <alignment horizontal="center" vertical="center"/>
    </xf>
    <xf numFmtId="166" fontId="7" fillId="0" borderId="0" xfId="0" applyNumberFormat="1" applyFont="1"/>
    <xf numFmtId="0" fontId="8" fillId="0" borderId="0" xfId="0" applyFont="1" applyAlignment="1">
      <alignment horizontal="center" vertical="center" wrapText="1"/>
    </xf>
    <xf numFmtId="14" fontId="54" fillId="0" borderId="0" xfId="0" applyNumberFormat="1" applyFont="1"/>
    <xf numFmtId="0" fontId="0" fillId="0" borderId="0" xfId="0" applyAlignment="1">
      <alignment horizontal="center"/>
    </xf>
    <xf numFmtId="14" fontId="54" fillId="0" borderId="0" xfId="0" applyNumberFormat="1" applyFont="1" applyAlignment="1">
      <alignment horizontal="center"/>
    </xf>
    <xf numFmtId="2" fontId="0" fillId="0" borderId="0" xfId="0" applyNumberFormat="1" applyAlignment="1">
      <alignment horizontal="center"/>
    </xf>
    <xf numFmtId="165" fontId="6" fillId="6" borderId="0" xfId="0" applyNumberFormat="1" applyFont="1" applyFill="1" applyAlignment="1">
      <alignment horizontal="center"/>
    </xf>
    <xf numFmtId="0" fontId="6" fillId="6" borderId="0" xfId="0" applyFont="1" applyFill="1" applyAlignment="1">
      <alignment horizontal="center"/>
    </xf>
    <xf numFmtId="165" fontId="6" fillId="7" borderId="0" xfId="0" applyNumberFormat="1" applyFont="1" applyFill="1" applyAlignment="1">
      <alignment horizontal="center"/>
    </xf>
    <xf numFmtId="0" fontId="6" fillId="7" borderId="0" xfId="0" applyFont="1" applyFill="1" applyAlignment="1">
      <alignment horizontal="center"/>
    </xf>
    <xf numFmtId="0" fontId="42" fillId="0" borderId="0" xfId="0" applyFont="1" applyAlignment="1">
      <alignment horizontal="center"/>
    </xf>
    <xf numFmtId="0" fontId="57" fillId="0" borderId="0" xfId="0" applyFont="1" applyAlignment="1">
      <alignment horizontal="center"/>
    </xf>
    <xf numFmtId="1" fontId="7" fillId="0" borderId="0" xfId="0" applyNumberFormat="1" applyFont="1"/>
    <xf numFmtId="0" fontId="11" fillId="0" borderId="0" xfId="0" applyFont="1"/>
    <xf numFmtId="0" fontId="59" fillId="2" borderId="1" xfId="0" applyFont="1" applyFill="1" applyBorder="1" applyAlignment="1">
      <alignment horizontal="left" vertical="center"/>
    </xf>
    <xf numFmtId="0" fontId="7" fillId="2" borderId="1" xfId="0" applyFont="1" applyFill="1" applyBorder="1" applyAlignment="1">
      <alignment horizontal="center" vertical="center"/>
    </xf>
    <xf numFmtId="0" fontId="7" fillId="0" borderId="0" xfId="0" applyFont="1" applyAlignment="1">
      <alignment vertical="center"/>
    </xf>
    <xf numFmtId="0" fontId="7" fillId="0" borderId="7" xfId="0" applyFont="1" applyBorder="1" applyAlignment="1">
      <alignment vertical="center"/>
    </xf>
    <xf numFmtId="0" fontId="7" fillId="0" borderId="7" xfId="0" applyFont="1" applyBorder="1" applyAlignment="1">
      <alignment horizontal="center" vertical="center"/>
    </xf>
    <xf numFmtId="0" fontId="49" fillId="0" borderId="7" xfId="0" applyFont="1" applyBorder="1" applyAlignment="1">
      <alignment horizontal="center" vertical="center"/>
    </xf>
    <xf numFmtId="0" fontId="7" fillId="0" borderId="10" xfId="0" applyFont="1" applyBorder="1" applyAlignment="1">
      <alignment vertical="center"/>
    </xf>
    <xf numFmtId="0" fontId="7" fillId="0" borderId="10" xfId="0" applyFont="1" applyBorder="1" applyAlignment="1">
      <alignment horizontal="center" vertical="center"/>
    </xf>
    <xf numFmtId="0" fontId="49" fillId="0" borderId="10" xfId="0" applyFont="1" applyBorder="1" applyAlignment="1">
      <alignment horizontal="center" vertical="center"/>
    </xf>
    <xf numFmtId="1" fontId="7" fillId="0" borderId="10" xfId="0" applyNumberFormat="1" applyFont="1" applyBorder="1" applyAlignment="1">
      <alignment horizontal="center" vertical="center"/>
    </xf>
    <xf numFmtId="0" fontId="61" fillId="0" borderId="8" xfId="0" applyFont="1" applyBorder="1" applyAlignment="1">
      <alignment horizontal="center" vertical="center"/>
    </xf>
    <xf numFmtId="0" fontId="61" fillId="0" borderId="0" xfId="0" applyFont="1" applyAlignment="1">
      <alignment horizontal="center" vertical="center"/>
    </xf>
    <xf numFmtId="0" fontId="61" fillId="0" borderId="9" xfId="0" applyFont="1" applyBorder="1" applyAlignment="1">
      <alignment horizontal="center" vertical="center"/>
    </xf>
    <xf numFmtId="2" fontId="7" fillId="0" borderId="10" xfId="0" applyNumberFormat="1" applyFont="1" applyBorder="1" applyAlignment="1">
      <alignment horizontal="center" vertical="center"/>
    </xf>
    <xf numFmtId="0" fontId="61" fillId="0" borderId="8" xfId="0" applyFont="1" applyBorder="1" applyAlignment="1">
      <alignment vertical="center"/>
    </xf>
    <xf numFmtId="0" fontId="61" fillId="0" borderId="0" xfId="0" applyFont="1" applyAlignment="1">
      <alignment vertical="center"/>
    </xf>
    <xf numFmtId="0" fontId="61" fillId="0" borderId="9" xfId="0" applyFont="1" applyBorder="1" applyAlignment="1">
      <alignment vertical="center"/>
    </xf>
    <xf numFmtId="164" fontId="7" fillId="0" borderId="10" xfId="0" applyNumberFormat="1" applyFont="1" applyBorder="1" applyAlignment="1">
      <alignment horizontal="center" vertical="center"/>
    </xf>
    <xf numFmtId="2" fontId="7" fillId="0" borderId="12" xfId="0" applyNumberFormat="1" applyFont="1" applyBorder="1" applyAlignment="1">
      <alignment vertical="center"/>
    </xf>
    <xf numFmtId="2" fontId="7" fillId="0" borderId="12" xfId="0" applyNumberFormat="1" applyFont="1" applyBorder="1" applyAlignment="1">
      <alignment horizontal="center" vertical="center"/>
    </xf>
    <xf numFmtId="2" fontId="49" fillId="0" borderId="12" xfId="0" applyNumberFormat="1" applyFont="1" applyBorder="1" applyAlignment="1">
      <alignment horizontal="center" vertical="center"/>
    </xf>
    <xf numFmtId="166" fontId="7" fillId="0" borderId="12" xfId="0" applyNumberFormat="1" applyFont="1" applyBorder="1" applyAlignment="1">
      <alignment horizontal="center" vertical="center"/>
    </xf>
    <xf numFmtId="2" fontId="61" fillId="9" borderId="10" xfId="0" applyNumberFormat="1" applyFont="1" applyFill="1" applyBorder="1" applyAlignment="1">
      <alignment vertical="center"/>
    </xf>
    <xf numFmtId="2" fontId="61" fillId="9" borderId="10" xfId="0" applyNumberFormat="1" applyFont="1" applyFill="1" applyBorder="1" applyAlignment="1">
      <alignment horizontal="center" vertical="center"/>
    </xf>
    <xf numFmtId="2" fontId="59" fillId="9" borderId="10" xfId="0" applyNumberFormat="1" applyFont="1" applyFill="1" applyBorder="1" applyAlignment="1">
      <alignment horizontal="center" vertical="center"/>
    </xf>
    <xf numFmtId="166" fontId="61" fillId="9" borderId="10" xfId="0" applyNumberFormat="1" applyFont="1" applyFill="1" applyBorder="1" applyAlignment="1">
      <alignment horizontal="center" vertical="center"/>
    </xf>
    <xf numFmtId="0" fontId="61" fillId="0" borderId="10" xfId="0" applyFont="1" applyBorder="1" applyAlignment="1">
      <alignment vertical="center"/>
    </xf>
    <xf numFmtId="0" fontId="61" fillId="0" borderId="10" xfId="0" applyFont="1" applyBorder="1" applyAlignment="1">
      <alignment horizontal="center" vertical="center"/>
    </xf>
    <xf numFmtId="1" fontId="61" fillId="0" borderId="10" xfId="0" applyNumberFormat="1" applyFont="1" applyBorder="1" applyAlignment="1">
      <alignment horizontal="center" vertical="center"/>
    </xf>
    <xf numFmtId="0" fontId="59" fillId="0" borderId="10" xfId="0" applyFont="1" applyBorder="1" applyAlignment="1">
      <alignment horizontal="center" vertical="center"/>
    </xf>
    <xf numFmtId="2" fontId="61" fillId="0" borderId="10" xfId="0" applyNumberFormat="1" applyFont="1" applyBorder="1" applyAlignment="1">
      <alignment horizontal="center" vertical="center"/>
    </xf>
    <xf numFmtId="166" fontId="7" fillId="0" borderId="10" xfId="0" applyNumberFormat="1" applyFont="1" applyBorder="1" applyAlignment="1">
      <alignment horizontal="center" vertical="center"/>
    </xf>
    <xf numFmtId="0" fontId="61" fillId="0" borderId="12" xfId="0" applyFont="1" applyBorder="1" applyAlignment="1">
      <alignment vertical="center"/>
    </xf>
    <xf numFmtId="0" fontId="61" fillId="0" borderId="12" xfId="0" applyFont="1" applyBorder="1" applyAlignment="1">
      <alignment horizontal="center" vertical="center"/>
    </xf>
    <xf numFmtId="0" fontId="59" fillId="0" borderId="12" xfId="0" applyFont="1" applyBorder="1" applyAlignment="1">
      <alignment horizontal="center" vertical="center"/>
    </xf>
    <xf numFmtId="164" fontId="61" fillId="0" borderId="12" xfId="0" applyNumberFormat="1" applyFont="1" applyBorder="1" applyAlignment="1">
      <alignment horizontal="center" vertical="center"/>
    </xf>
    <xf numFmtId="0" fontId="7" fillId="0" borderId="7" xfId="0" applyFont="1" applyBorder="1" applyAlignment="1">
      <alignment vertical="center" shrinkToFit="1"/>
    </xf>
    <xf numFmtId="0" fontId="7" fillId="0" borderId="7" xfId="0" applyFont="1" applyBorder="1" applyAlignment="1">
      <alignment horizontal="center" vertical="center" shrinkToFit="1"/>
    </xf>
    <xf numFmtId="0" fontId="49" fillId="0" borderId="7" xfId="0" applyFont="1" applyBorder="1" applyAlignment="1">
      <alignment horizontal="center" vertical="center" shrinkToFit="1"/>
    </xf>
    <xf numFmtId="2" fontId="7" fillId="0" borderId="7" xfId="0" applyNumberFormat="1" applyFont="1" applyBorder="1" applyAlignment="1">
      <alignment horizontal="center" vertical="center" shrinkToFit="1"/>
    </xf>
    <xf numFmtId="0" fontId="62" fillId="0" borderId="6" xfId="0" applyFont="1" applyBorder="1" applyAlignment="1">
      <alignment vertical="center" wrapText="1" shrinkToFit="1"/>
    </xf>
    <xf numFmtId="0" fontId="62" fillId="0" borderId="2" xfId="0" applyFont="1" applyBorder="1" applyAlignment="1">
      <alignment vertical="center" wrapText="1" shrinkToFit="1"/>
    </xf>
    <xf numFmtId="0" fontId="62" fillId="0" borderId="3" xfId="0" applyFont="1" applyBorder="1" applyAlignment="1">
      <alignment vertical="center" wrapText="1" shrinkToFit="1"/>
    </xf>
    <xf numFmtId="0" fontId="7" fillId="0" borderId="0" xfId="0" applyFont="1" applyAlignment="1">
      <alignment vertical="center" shrinkToFit="1"/>
    </xf>
    <xf numFmtId="0" fontId="7" fillId="0" borderId="10" xfId="0" applyFont="1" applyBorder="1" applyAlignment="1">
      <alignment vertical="center" shrinkToFit="1"/>
    </xf>
    <xf numFmtId="0" fontId="7" fillId="0" borderId="10" xfId="0" applyFont="1" applyBorder="1" applyAlignment="1">
      <alignment horizontal="center" vertical="center" shrinkToFit="1"/>
    </xf>
    <xf numFmtId="0" fontId="49" fillId="0" borderId="10" xfId="0" applyFont="1" applyBorder="1" applyAlignment="1">
      <alignment horizontal="center" vertical="center" shrinkToFit="1"/>
    </xf>
    <xf numFmtId="2" fontId="7" fillId="0" borderId="10" xfId="0" applyNumberFormat="1" applyFont="1" applyBorder="1" applyAlignment="1">
      <alignment horizontal="center" vertical="center" shrinkToFit="1"/>
    </xf>
    <xf numFmtId="0" fontId="62" fillId="0" borderId="8" xfId="0" applyFont="1" applyBorder="1" applyAlignment="1">
      <alignment vertical="center" wrapText="1" shrinkToFit="1"/>
    </xf>
    <xf numFmtId="0" fontId="62" fillId="0" borderId="0" xfId="0" applyFont="1" applyAlignment="1">
      <alignment vertical="center" wrapText="1" shrinkToFit="1"/>
    </xf>
    <xf numFmtId="0" fontId="62" fillId="0" borderId="9" xfId="0" applyFont="1" applyBorder="1" applyAlignment="1">
      <alignment vertical="center" wrapText="1" shrinkToFit="1"/>
    </xf>
    <xf numFmtId="0" fontId="7" fillId="0" borderId="36" xfId="0" applyFont="1" applyBorder="1" applyAlignment="1">
      <alignment vertical="center" shrinkToFit="1"/>
    </xf>
    <xf numFmtId="0" fontId="7" fillId="0" borderId="36" xfId="0" applyFont="1" applyBorder="1" applyAlignment="1">
      <alignment horizontal="center" vertical="center" shrinkToFit="1"/>
    </xf>
    <xf numFmtId="0" fontId="49" fillId="0" borderId="36" xfId="0" applyFont="1" applyBorder="1" applyAlignment="1">
      <alignment horizontal="center" vertical="center" shrinkToFit="1"/>
    </xf>
    <xf numFmtId="2" fontId="7" fillId="0" borderId="36" xfId="0" applyNumberFormat="1" applyFont="1" applyBorder="1" applyAlignment="1">
      <alignment horizontal="center" vertical="center" shrinkToFit="1"/>
    </xf>
    <xf numFmtId="0" fontId="7" fillId="10" borderId="10" xfId="0" applyFont="1" applyFill="1" applyBorder="1" applyAlignment="1">
      <alignment vertical="center"/>
    </xf>
    <xf numFmtId="0" fontId="7" fillId="10" borderId="10" xfId="0" applyFont="1" applyFill="1" applyBorder="1" applyAlignment="1">
      <alignment horizontal="center" vertical="center"/>
    </xf>
    <xf numFmtId="0" fontId="49" fillId="10" borderId="10" xfId="0" applyFont="1" applyFill="1" applyBorder="1" applyAlignment="1">
      <alignment horizontal="center" vertical="center"/>
    </xf>
    <xf numFmtId="2" fontId="7" fillId="10" borderId="10" xfId="0" applyNumberFormat="1" applyFont="1" applyFill="1" applyBorder="1" applyAlignment="1">
      <alignment horizontal="center" vertical="center"/>
    </xf>
    <xf numFmtId="0" fontId="7" fillId="0" borderId="37" xfId="0" applyFont="1" applyBorder="1" applyAlignment="1">
      <alignment vertical="center"/>
    </xf>
    <xf numFmtId="0" fontId="7" fillId="0" borderId="37" xfId="0" applyFont="1" applyBorder="1" applyAlignment="1">
      <alignment horizontal="center" vertical="center"/>
    </xf>
    <xf numFmtId="0" fontId="49" fillId="0" borderId="37" xfId="0" applyFont="1" applyBorder="1" applyAlignment="1">
      <alignment horizontal="center" vertical="center"/>
    </xf>
    <xf numFmtId="1" fontId="7" fillId="0" borderId="37" xfId="0" applyNumberFormat="1" applyFont="1" applyBorder="1" applyAlignment="1">
      <alignment horizontal="center" vertical="center"/>
    </xf>
    <xf numFmtId="164" fontId="7" fillId="0" borderId="37" xfId="0" applyNumberFormat="1" applyFont="1" applyBorder="1" applyAlignment="1">
      <alignment horizontal="center" vertical="center"/>
    </xf>
    <xf numFmtId="0" fontId="7" fillId="0" borderId="12" xfId="0" applyFont="1" applyBorder="1" applyAlignment="1">
      <alignment vertical="center"/>
    </xf>
    <xf numFmtId="0" fontId="7" fillId="0" borderId="12" xfId="0" applyFont="1" applyBorder="1" applyAlignment="1">
      <alignment horizontal="center" vertical="center"/>
    </xf>
    <xf numFmtId="0" fontId="49" fillId="0" borderId="12" xfId="0" applyFont="1" applyBorder="1" applyAlignment="1">
      <alignment horizontal="center" vertical="center"/>
    </xf>
    <xf numFmtId="164" fontId="7" fillId="0" borderId="12" xfId="0" applyNumberFormat="1" applyFont="1" applyBorder="1" applyAlignment="1">
      <alignment horizontal="center" vertical="center"/>
    </xf>
    <xf numFmtId="0" fontId="62" fillId="0" borderId="11" xfId="0" applyFont="1" applyBorder="1" applyAlignment="1">
      <alignment vertical="center" wrapText="1" shrinkToFit="1"/>
    </xf>
    <xf numFmtId="0" fontId="62" fillId="0" borderId="4" xfId="0" applyFont="1" applyBorder="1" applyAlignment="1">
      <alignment vertical="center" wrapText="1" shrinkToFit="1"/>
    </xf>
    <xf numFmtId="0" fontId="62" fillId="0" borderId="5" xfId="0" applyFont="1" applyBorder="1" applyAlignment="1">
      <alignment vertical="center" wrapText="1" shrinkToFit="1"/>
    </xf>
    <xf numFmtId="0" fontId="62" fillId="0" borderId="0" xfId="0" applyFont="1" applyAlignment="1">
      <alignment horizontal="center" vertical="center" wrapText="1" shrinkToFit="1"/>
    </xf>
    <xf numFmtId="0" fontId="62" fillId="0" borderId="9" xfId="0" applyFont="1" applyBorder="1" applyAlignment="1">
      <alignment horizontal="center" vertical="center" wrapText="1" shrinkToFit="1"/>
    </xf>
    <xf numFmtId="0" fontId="62" fillId="0" borderId="4" xfId="0" applyFont="1" applyBorder="1" applyAlignment="1">
      <alignment horizontal="center" vertical="center" wrapText="1" shrinkToFit="1"/>
    </xf>
    <xf numFmtId="0" fontId="62" fillId="0" borderId="5" xfId="0" applyFont="1" applyBorder="1" applyAlignment="1">
      <alignment horizontal="center" vertical="center" wrapText="1" shrinkToFit="1"/>
    </xf>
    <xf numFmtId="0" fontId="63" fillId="0" borderId="0" xfId="0" applyFont="1" applyAlignment="1">
      <alignment vertical="center"/>
    </xf>
    <xf numFmtId="0" fontId="49" fillId="0" borderId="0" xfId="0" applyFont="1" applyAlignment="1">
      <alignment vertical="top" wrapText="1"/>
    </xf>
    <xf numFmtId="0" fontId="64" fillId="0" borderId="0" xfId="0" applyFont="1"/>
    <xf numFmtId="0" fontId="65" fillId="0" borderId="0" xfId="0" applyFont="1"/>
    <xf numFmtId="0" fontId="66" fillId="2" borderId="1" xfId="1" applyFont="1" applyFill="1" applyBorder="1" applyAlignment="1">
      <alignment horizontal="center" vertical="center"/>
    </xf>
    <xf numFmtId="0" fontId="66" fillId="0" borderId="1" xfId="1" applyFont="1" applyBorder="1" applyAlignment="1">
      <alignment horizontal="center"/>
    </xf>
    <xf numFmtId="0" fontId="66" fillId="11" borderId="1" xfId="1" applyFont="1" applyFill="1" applyBorder="1" applyAlignment="1">
      <alignment horizontal="center"/>
    </xf>
    <xf numFmtId="0" fontId="7" fillId="2" borderId="0" xfId="0" applyFont="1" applyFill="1"/>
    <xf numFmtId="0" fontId="18" fillId="0" borderId="1" xfId="0" applyFont="1" applyBorder="1" applyAlignment="1">
      <alignment horizontal="center"/>
    </xf>
    <xf numFmtId="0" fontId="17" fillId="0" borderId="1" xfId="0" applyFont="1" applyBorder="1" applyAlignment="1">
      <alignment horizontal="center"/>
    </xf>
    <xf numFmtId="0" fontId="18" fillId="0" borderId="1" xfId="0" applyFont="1" applyBorder="1" applyAlignment="1">
      <alignment horizontal="center" vertical="center"/>
    </xf>
    <xf numFmtId="0" fontId="68" fillId="0" borderId="6" xfId="0" applyFont="1" applyBorder="1" applyAlignment="1">
      <alignment vertical="center"/>
    </xf>
    <xf numFmtId="0" fontId="68" fillId="0" borderId="3" xfId="0" applyFont="1" applyBorder="1" applyAlignment="1">
      <alignment horizontal="left" vertical="center"/>
    </xf>
    <xf numFmtId="0" fontId="15" fillId="0" borderId="7" xfId="0" applyFont="1" applyBorder="1" applyAlignment="1">
      <alignment horizontal="center"/>
    </xf>
    <xf numFmtId="0" fontId="7" fillId="0" borderId="6" xfId="0" applyFont="1" applyBorder="1"/>
    <xf numFmtId="0" fontId="69" fillId="0" borderId="38" xfId="0" applyFont="1" applyBorder="1" applyAlignment="1">
      <alignment horizontal="right"/>
    </xf>
    <xf numFmtId="0" fontId="69" fillId="0" borderId="39" xfId="0" applyFont="1" applyBorder="1"/>
    <xf numFmtId="0" fontId="7" fillId="0" borderId="3" xfId="0" applyFont="1" applyBorder="1"/>
    <xf numFmtId="2" fontId="51" fillId="0" borderId="0" xfId="0" applyNumberFormat="1" applyFont="1" applyAlignment="1">
      <alignment horizontal="center"/>
    </xf>
    <xf numFmtId="2" fontId="7" fillId="12" borderId="0" xfId="0" applyNumberFormat="1" applyFont="1" applyFill="1" applyAlignment="1">
      <alignment horizontal="center" vertical="center"/>
    </xf>
    <xf numFmtId="0" fontId="7" fillId="12" borderId="0" xfId="0" applyFont="1" applyFill="1" applyAlignment="1">
      <alignment horizontal="center" vertical="center"/>
    </xf>
    <xf numFmtId="0" fontId="17" fillId="0" borderId="1" xfId="0" applyFont="1" applyBorder="1" applyAlignment="1">
      <alignment horizontal="center" vertical="center"/>
    </xf>
    <xf numFmtId="0" fontId="68" fillId="0" borderId="8" xfId="0" applyFont="1" applyBorder="1" applyAlignment="1">
      <alignment vertical="center"/>
    </xf>
    <xf numFmtId="0" fontId="68" fillId="0" borderId="9" xfId="0" applyFont="1" applyBorder="1" applyAlignment="1">
      <alignment horizontal="left" vertical="center"/>
    </xf>
    <xf numFmtId="0" fontId="15" fillId="0" borderId="10" xfId="0" applyFont="1" applyBorder="1" applyAlignment="1">
      <alignment horizontal="center"/>
    </xf>
    <xf numFmtId="0" fontId="7" fillId="0" borderId="8" xfId="0" applyFont="1" applyBorder="1"/>
    <xf numFmtId="0" fontId="69" fillId="0" borderId="40" xfId="0" applyFont="1" applyBorder="1" applyAlignment="1">
      <alignment horizontal="right"/>
    </xf>
    <xf numFmtId="0" fontId="69" fillId="0" borderId="41" xfId="0" applyFont="1" applyBorder="1"/>
    <xf numFmtId="0" fontId="7" fillId="0" borderId="9" xfId="0" applyFont="1" applyBorder="1"/>
    <xf numFmtId="0" fontId="68" fillId="0" borderId="11" xfId="0" applyFont="1" applyBorder="1" applyAlignment="1">
      <alignment vertical="center"/>
    </xf>
    <xf numFmtId="0" fontId="68" fillId="0" borderId="5" xfId="0" applyFont="1" applyBorder="1" applyAlignment="1">
      <alignment horizontal="left" vertical="center"/>
    </xf>
    <xf numFmtId="0" fontId="15" fillId="0" borderId="12" xfId="0" applyFont="1" applyBorder="1" applyAlignment="1">
      <alignment horizontal="center"/>
    </xf>
    <xf numFmtId="0" fontId="7" fillId="0" borderId="11" xfId="0" applyFont="1" applyBorder="1"/>
    <xf numFmtId="0" fontId="69" fillId="0" borderId="42" xfId="0" applyFont="1" applyBorder="1" applyAlignment="1">
      <alignment horizontal="right"/>
    </xf>
    <xf numFmtId="0" fontId="69" fillId="0" borderId="43" xfId="0" applyFont="1" applyBorder="1"/>
    <xf numFmtId="0" fontId="7" fillId="0" borderId="5" xfId="0" applyFont="1" applyBorder="1"/>
    <xf numFmtId="0" fontId="67" fillId="0" borderId="33" xfId="0" applyFont="1" applyBorder="1" applyAlignment="1">
      <alignment vertical="center"/>
    </xf>
    <xf numFmtId="0" fontId="67" fillId="0" borderId="34" xfId="0" applyFont="1" applyBorder="1" applyAlignment="1">
      <alignment vertical="center"/>
    </xf>
    <xf numFmtId="0" fontId="67" fillId="0" borderId="35" xfId="0" applyFont="1" applyBorder="1" applyAlignment="1">
      <alignment vertical="center"/>
    </xf>
    <xf numFmtId="0" fontId="69" fillId="13" borderId="6" xfId="0" applyFont="1" applyFill="1" applyBorder="1"/>
    <xf numFmtId="0" fontId="69" fillId="13" borderId="11" xfId="0" applyFont="1" applyFill="1" applyBorder="1"/>
    <xf numFmtId="0" fontId="7" fillId="0" borderId="4" xfId="0" applyFont="1" applyBorder="1"/>
    <xf numFmtId="0" fontId="49" fillId="0" borderId="6" xfId="0" applyFont="1" applyBorder="1" applyAlignment="1">
      <alignment vertical="center"/>
    </xf>
    <xf numFmtId="0" fontId="49" fillId="0" borderId="3" xfId="0" applyFont="1" applyBorder="1" applyAlignment="1">
      <alignment horizontal="left" vertical="center"/>
    </xf>
    <xf numFmtId="0" fontId="69" fillId="0" borderId="2" xfId="0" applyFont="1" applyBorder="1" applyAlignment="1">
      <alignment horizontal="right"/>
    </xf>
    <xf numFmtId="0" fontId="49" fillId="0" borderId="8" xfId="0" applyFont="1" applyBorder="1" applyAlignment="1">
      <alignment vertical="center"/>
    </xf>
    <xf numFmtId="0" fontId="49" fillId="0" borderId="9" xfId="0" applyFont="1" applyBorder="1" applyAlignment="1">
      <alignment horizontal="left" vertical="center"/>
    </xf>
    <xf numFmtId="0" fontId="69" fillId="0" borderId="0" xfId="0" applyFont="1" applyAlignment="1">
      <alignment horizontal="right"/>
    </xf>
    <xf numFmtId="0" fontId="69" fillId="0" borderId="4" xfId="0" applyFont="1" applyBorder="1" applyAlignment="1">
      <alignment horizontal="right"/>
    </xf>
    <xf numFmtId="0" fontId="11" fillId="0" borderId="33" xfId="0" applyFont="1" applyBorder="1" applyAlignment="1">
      <alignment vertical="center"/>
    </xf>
    <xf numFmtId="0" fontId="11" fillId="0" borderId="34" xfId="0" applyFont="1" applyBorder="1" applyAlignment="1">
      <alignment vertical="center"/>
    </xf>
    <xf numFmtId="0" fontId="11" fillId="0" borderId="35" xfId="0" applyFont="1" applyBorder="1" applyAlignment="1">
      <alignment vertical="center"/>
    </xf>
    <xf numFmtId="0" fontId="18"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vertical="center"/>
    </xf>
    <xf numFmtId="0" fontId="49" fillId="0" borderId="2" xfId="0" applyFont="1" applyBorder="1" applyAlignment="1">
      <alignment horizontal="right" vertical="center"/>
    </xf>
    <xf numFmtId="0" fontId="70" fillId="0" borderId="7" xfId="0" applyFont="1" applyBorder="1" applyAlignment="1">
      <alignment horizontal="center" vertical="center"/>
    </xf>
    <xf numFmtId="2" fontId="15" fillId="0" borderId="7" xfId="0" applyNumberFormat="1" applyFont="1" applyBorder="1" applyAlignment="1">
      <alignment horizontal="center"/>
    </xf>
    <xf numFmtId="2" fontId="7" fillId="0" borderId="33" xfId="0" applyNumberFormat="1" applyFont="1" applyBorder="1" applyAlignment="1">
      <alignment horizontal="center" vertical="center"/>
    </xf>
    <xf numFmtId="0" fontId="49" fillId="0" borderId="0" xfId="0" applyFont="1" applyAlignment="1">
      <alignment horizontal="right" vertical="center"/>
    </xf>
    <xf numFmtId="0" fontId="70" fillId="0" borderId="10" xfId="0" applyFont="1" applyBorder="1" applyAlignment="1">
      <alignment horizontal="center" vertical="center"/>
    </xf>
    <xf numFmtId="2" fontId="15" fillId="0" borderId="10" xfId="0" applyNumberFormat="1" applyFont="1" applyBorder="1" applyAlignment="1">
      <alignment horizontal="center"/>
    </xf>
    <xf numFmtId="0" fontId="68" fillId="0" borderId="0" xfId="0" applyFont="1" applyAlignment="1">
      <alignment horizontal="right" vertical="center"/>
    </xf>
    <xf numFmtId="0" fontId="49" fillId="0" borderId="11" xfId="0" applyFont="1" applyBorder="1" applyAlignment="1">
      <alignment vertical="center"/>
    </xf>
    <xf numFmtId="0" fontId="68" fillId="0" borderId="4" xfId="0" applyFont="1" applyBorder="1" applyAlignment="1">
      <alignment horizontal="right" vertical="center"/>
    </xf>
    <xf numFmtId="0" fontId="70" fillId="0" borderId="12" xfId="0" applyFont="1" applyBorder="1" applyAlignment="1">
      <alignment horizontal="center" vertical="center"/>
    </xf>
    <xf numFmtId="2" fontId="15" fillId="0" borderId="12" xfId="0" applyNumberFormat="1" applyFont="1" applyBorder="1" applyAlignment="1">
      <alignment horizontal="center"/>
    </xf>
    <xf numFmtId="0" fontId="11" fillId="2" borderId="6" xfId="0" applyFont="1" applyFill="1" applyBorder="1" applyAlignment="1">
      <alignment vertical="center"/>
    </xf>
    <xf numFmtId="0" fontId="11" fillId="2" borderId="3" xfId="0" applyFont="1" applyFill="1" applyBorder="1" applyAlignment="1">
      <alignment vertical="center"/>
    </xf>
    <xf numFmtId="0" fontId="19" fillId="0" borderId="0" xfId="0" applyFont="1"/>
    <xf numFmtId="0" fontId="20" fillId="0" borderId="0" xfId="0" applyFont="1"/>
    <xf numFmtId="0" fontId="21" fillId="0" borderId="0" xfId="0" applyFont="1" applyAlignment="1">
      <alignment horizontal="left"/>
    </xf>
    <xf numFmtId="0" fontId="21" fillId="0" borderId="0" xfId="0" applyFont="1"/>
    <xf numFmtId="0" fontId="22" fillId="0" borderId="0" xfId="0" applyFont="1"/>
    <xf numFmtId="0" fontId="23" fillId="0" borderId="0" xfId="0" applyFont="1"/>
    <xf numFmtId="0" fontId="23" fillId="0" borderId="0" xfId="0" applyFont="1" applyAlignment="1">
      <alignment horizontal="left" vertical="center"/>
    </xf>
    <xf numFmtId="0" fontId="19" fillId="0" borderId="0" xfId="0" applyFont="1" applyAlignment="1">
      <alignment horizontal="left" vertical="center"/>
    </xf>
    <xf numFmtId="0" fontId="22" fillId="0" borderId="0" xfId="2" applyFont="1"/>
    <xf numFmtId="0" fontId="20" fillId="0" borderId="0" xfId="2" applyFont="1"/>
    <xf numFmtId="0" fontId="22" fillId="0" borderId="0" xfId="0" applyFont="1" applyAlignment="1">
      <alignment horizontal="right"/>
    </xf>
    <xf numFmtId="0" fontId="24" fillId="0" borderId="0" xfId="0" applyFont="1"/>
    <xf numFmtId="0" fontId="25" fillId="0" borderId="0" xfId="0" applyFont="1"/>
    <xf numFmtId="0" fontId="26" fillId="0" borderId="0" xfId="2" applyFont="1"/>
    <xf numFmtId="0" fontId="27" fillId="0" borderId="0" xfId="0" applyFont="1"/>
    <xf numFmtId="0" fontId="26" fillId="0" borderId="0" xfId="0" applyFont="1"/>
    <xf numFmtId="0" fontId="28" fillId="0" borderId="0" xfId="0" applyFont="1" applyAlignment="1">
      <alignment horizontal="left" vertical="center"/>
    </xf>
    <xf numFmtId="0" fontId="29" fillId="0" borderId="0" xfId="0" applyFont="1"/>
    <xf numFmtId="0" fontId="30" fillId="0" borderId="0" xfId="0" applyFont="1"/>
    <xf numFmtId="0" fontId="31" fillId="0" borderId="0" xfId="2" applyFont="1"/>
    <xf numFmtId="0" fontId="32" fillId="0" borderId="0" xfId="0" applyFont="1" applyAlignment="1">
      <alignment horizontal="left" vertical="center"/>
    </xf>
    <xf numFmtId="0" fontId="33" fillId="0" borderId="0" xfId="2" applyFont="1"/>
    <xf numFmtId="0" fontId="34" fillId="0" borderId="0" xfId="0" applyFont="1"/>
    <xf numFmtId="0" fontId="35" fillId="0" borderId="0" xfId="2" applyFont="1"/>
    <xf numFmtId="0" fontId="25" fillId="0" borderId="0" xfId="0" applyFont="1" applyAlignment="1">
      <alignment horizontal="left" vertical="center"/>
    </xf>
    <xf numFmtId="0" fontId="19" fillId="0" borderId="0" xfId="2"/>
    <xf numFmtId="0" fontId="22" fillId="0" borderId="0" xfId="0" applyFont="1" applyAlignment="1">
      <alignment horizontal="center"/>
    </xf>
    <xf numFmtId="0" fontId="21" fillId="0" borderId="0" xfId="2" applyFont="1"/>
    <xf numFmtId="0" fontId="71" fillId="0" borderId="0" xfId="0" applyFont="1" applyAlignment="1">
      <alignment horizontal="center"/>
    </xf>
    <xf numFmtId="14" fontId="0" fillId="0" borderId="0" xfId="0" applyNumberFormat="1" applyAlignment="1">
      <alignment horizontal="center"/>
    </xf>
    <xf numFmtId="0" fontId="72" fillId="0" borderId="0" xfId="0" applyFont="1" applyAlignment="1">
      <alignment horizontal="center"/>
    </xf>
    <xf numFmtId="14" fontId="73" fillId="0" borderId="0" xfId="0" applyNumberFormat="1" applyFont="1" applyAlignment="1">
      <alignment horizontal="center"/>
    </xf>
    <xf numFmtId="14" fontId="74" fillId="0" borderId="0" xfId="0" applyNumberFormat="1" applyFont="1" applyAlignment="1">
      <alignment horizontal="center"/>
    </xf>
    <xf numFmtId="0" fontId="75" fillId="2" borderId="1" xfId="1" applyFont="1" applyFill="1" applyBorder="1" applyAlignment="1" applyProtection="1">
      <alignment horizontal="center" vertical="center"/>
      <protection locked="0"/>
    </xf>
    <xf numFmtId="0" fontId="76" fillId="0" borderId="0" xfId="0" applyFont="1"/>
    <xf numFmtId="165" fontId="6" fillId="3" borderId="1" xfId="0" applyNumberFormat="1" applyFont="1" applyFill="1" applyBorder="1" applyAlignment="1">
      <alignment horizontal="center"/>
    </xf>
    <xf numFmtId="0" fontId="6" fillId="3" borderId="1" xfId="0" applyFont="1" applyFill="1" applyBorder="1" applyAlignment="1">
      <alignment horizontal="center"/>
    </xf>
    <xf numFmtId="164" fontId="6" fillId="3" borderId="1" xfId="0" applyNumberFormat="1" applyFont="1" applyFill="1" applyBorder="1" applyAlignment="1">
      <alignment horizontal="center"/>
    </xf>
    <xf numFmtId="1" fontId="77" fillId="2" borderId="0" xfId="0" applyNumberFormat="1" applyFont="1" applyFill="1" applyAlignment="1">
      <alignment horizontal="center" vertical="center"/>
    </xf>
    <xf numFmtId="0" fontId="77" fillId="2" borderId="0" xfId="0" applyFont="1" applyFill="1" applyAlignment="1">
      <alignment horizontal="left" vertical="center"/>
    </xf>
    <xf numFmtId="14" fontId="77" fillId="2" borderId="0" xfId="0" applyNumberFormat="1" applyFont="1" applyFill="1" applyAlignment="1">
      <alignment horizontal="left" vertical="center"/>
    </xf>
    <xf numFmtId="0" fontId="78" fillId="2" borderId="0" xfId="0" applyFont="1" applyFill="1" applyAlignment="1">
      <alignment horizontal="center" vertical="center"/>
    </xf>
    <xf numFmtId="0" fontId="77" fillId="2" borderId="0" xfId="0" applyFont="1" applyFill="1" applyAlignment="1">
      <alignment horizontal="center" vertical="center"/>
    </xf>
    <xf numFmtId="0" fontId="77" fillId="2" borderId="0" xfId="0" applyFont="1" applyFill="1" applyAlignment="1">
      <alignment vertical="center"/>
    </xf>
    <xf numFmtId="0" fontId="79" fillId="2" borderId="0" xfId="0" applyFont="1" applyFill="1" applyAlignment="1">
      <alignment horizontal="left" vertical="center"/>
    </xf>
    <xf numFmtId="1" fontId="77" fillId="2" borderId="0" xfId="0" applyNumberFormat="1" applyFont="1" applyFill="1" applyAlignment="1">
      <alignment horizontal="left" vertical="center"/>
    </xf>
    <xf numFmtId="0" fontId="80" fillId="0" borderId="0" xfId="0" applyFont="1" applyAlignment="1">
      <alignment horizontal="left" vertical="center"/>
    </xf>
    <xf numFmtId="0" fontId="0" fillId="0" borderId="0" xfId="0" applyAlignment="1">
      <alignment horizontal="left"/>
    </xf>
    <xf numFmtId="0" fontId="7" fillId="2" borderId="1" xfId="0" applyFont="1" applyFill="1" applyBorder="1" applyAlignment="1">
      <alignment horizontal="left" vertical="center"/>
    </xf>
    <xf numFmtId="14" fontId="15" fillId="0" borderId="0" xfId="0" applyNumberFormat="1" applyFont="1" applyAlignment="1">
      <alignment horizontal="center" vertical="center"/>
    </xf>
    <xf numFmtId="0" fontId="0" fillId="0" borderId="0" xfId="0" applyAlignment="1">
      <alignment horizontal="center" vertical="center"/>
    </xf>
    <xf numFmtId="0" fontId="0" fillId="0" borderId="0" xfId="0" applyAlignment="1">
      <alignment vertical="center"/>
    </xf>
    <xf numFmtId="0" fontId="13" fillId="2" borderId="1" xfId="0" applyFont="1" applyFill="1" applyBorder="1" applyAlignment="1">
      <alignment horizontal="left" vertical="center"/>
    </xf>
    <xf numFmtId="0" fontId="13" fillId="2" borderId="1" xfId="0" applyFont="1" applyFill="1" applyBorder="1" applyAlignment="1">
      <alignment horizontal="center" vertical="center"/>
    </xf>
    <xf numFmtId="0" fontId="13" fillId="2" borderId="1" xfId="0" applyFont="1" applyFill="1" applyBorder="1" applyAlignment="1">
      <alignment horizontal="center" vertical="center" wrapText="1"/>
    </xf>
    <xf numFmtId="0" fontId="7" fillId="0" borderId="7" xfId="0" applyFont="1" applyBorder="1" applyAlignment="1">
      <alignment horizontal="left" vertical="center"/>
    </xf>
    <xf numFmtId="0" fontId="82" fillId="0" borderId="10" xfId="0" applyFont="1" applyBorder="1" applyAlignment="1">
      <alignment horizontal="center" vertical="center"/>
    </xf>
    <xf numFmtId="0" fontId="7" fillId="0" borderId="10" xfId="0" applyFont="1" applyBorder="1" applyAlignment="1">
      <alignment horizontal="left" vertical="center"/>
    </xf>
    <xf numFmtId="0" fontId="55" fillId="0" borderId="0" xfId="0" applyFont="1" applyAlignment="1">
      <alignment horizontal="center" vertical="center"/>
    </xf>
    <xf numFmtId="0" fontId="55" fillId="0" borderId="0" xfId="0" applyFont="1" applyAlignment="1">
      <alignment horizontal="center"/>
    </xf>
    <xf numFmtId="0" fontId="55" fillId="0" borderId="0" xfId="0" applyFont="1"/>
    <xf numFmtId="0" fontId="55" fillId="0" borderId="0" xfId="0" applyFont="1" applyAlignment="1">
      <alignment horizontal="left"/>
    </xf>
    <xf numFmtId="0" fontId="42" fillId="0" borderId="0" xfId="0" applyFont="1" applyAlignment="1">
      <alignment horizontal="center" vertical="center"/>
    </xf>
    <xf numFmtId="0" fontId="84" fillId="0" borderId="0" xfId="0" applyFont="1" applyAlignment="1">
      <alignment horizontal="center"/>
    </xf>
    <xf numFmtId="0" fontId="59" fillId="0" borderId="0" xfId="0" applyFont="1" applyAlignment="1">
      <alignment horizontal="center" vertical="center"/>
    </xf>
    <xf numFmtId="0" fontId="85" fillId="0" borderId="0" xfId="0" applyFont="1" applyAlignment="1">
      <alignment horizontal="left" vertical="center"/>
    </xf>
    <xf numFmtId="0" fontId="86" fillId="0" borderId="0" xfId="0" applyFont="1" applyAlignment="1">
      <alignment horizontal="left" vertical="center"/>
    </xf>
    <xf numFmtId="0" fontId="7" fillId="0" borderId="1" xfId="0" applyFont="1" applyBorder="1" applyAlignment="1">
      <alignment horizontal="center" vertical="center"/>
    </xf>
    <xf numFmtId="0" fontId="10" fillId="0" borderId="34" xfId="0" applyFont="1" applyBorder="1" applyAlignment="1">
      <alignment horizontal="center" vertical="center"/>
    </xf>
    <xf numFmtId="0" fontId="69" fillId="2" borderId="2" xfId="0" applyFont="1" applyFill="1" applyBorder="1" applyAlignment="1">
      <alignment horizontal="right"/>
    </xf>
    <xf numFmtId="2" fontId="67" fillId="0" borderId="8" xfId="1" applyNumberFormat="1" applyFont="1" applyBorder="1" applyAlignment="1">
      <alignment vertical="center"/>
    </xf>
    <xf numFmtId="2" fontId="67" fillId="0" borderId="9" xfId="1" applyNumberFormat="1" applyFont="1" applyBorder="1" applyAlignment="1">
      <alignment vertical="center"/>
    </xf>
    <xf numFmtId="0" fontId="69" fillId="2" borderId="0" xfId="0" applyFont="1" applyFill="1" applyAlignment="1">
      <alignment horizontal="right"/>
    </xf>
    <xf numFmtId="0" fontId="69" fillId="2" borderId="4" xfId="0" applyFont="1" applyFill="1" applyBorder="1" applyAlignment="1">
      <alignment horizontal="right"/>
    </xf>
    <xf numFmtId="0" fontId="7" fillId="0" borderId="34" xfId="0" applyFont="1" applyBorder="1" applyAlignment="1">
      <alignment horizontal="center" vertical="center"/>
    </xf>
    <xf numFmtId="0" fontId="69" fillId="13" borderId="8" xfId="0" applyFont="1" applyFill="1" applyBorder="1"/>
    <xf numFmtId="164" fontId="7" fillId="0" borderId="0" xfId="0" applyNumberFormat="1" applyFont="1"/>
    <xf numFmtId="0" fontId="7" fillId="2" borderId="2" xfId="0" applyFont="1" applyFill="1" applyBorder="1"/>
    <xf numFmtId="0" fontId="7" fillId="2" borderId="0" xfId="0" applyFont="1" applyFill="1" applyAlignment="1">
      <alignment horizontal="center"/>
    </xf>
    <xf numFmtId="0" fontId="7" fillId="2" borderId="4" xfId="0" applyFont="1" applyFill="1" applyBorder="1" applyAlignment="1">
      <alignment horizontal="center"/>
    </xf>
    <xf numFmtId="0" fontId="68" fillId="0" borderId="2" xfId="0" applyFont="1" applyBorder="1" applyAlignment="1">
      <alignment vertical="center"/>
    </xf>
    <xf numFmtId="0" fontId="68" fillId="0" borderId="2" xfId="0" applyFont="1" applyBorder="1" applyAlignment="1">
      <alignment horizontal="left" vertical="center"/>
    </xf>
    <xf numFmtId="0" fontId="49" fillId="0" borderId="2" xfId="0" applyFont="1" applyBorder="1" applyAlignment="1">
      <alignment horizontal="center" vertical="center"/>
    </xf>
    <xf numFmtId="1" fontId="67" fillId="0" borderId="2" xfId="1" applyNumberFormat="1" applyFont="1" applyBorder="1" applyAlignment="1">
      <alignment horizontal="center" vertical="center"/>
    </xf>
    <xf numFmtId="0" fontId="15" fillId="0" borderId="2" xfId="0" applyFont="1" applyBorder="1" applyAlignment="1">
      <alignment horizontal="center"/>
    </xf>
    <xf numFmtId="0" fontId="69" fillId="13" borderId="2" xfId="0" applyFont="1" applyFill="1" applyBorder="1"/>
    <xf numFmtId="0" fontId="7" fillId="0" borderId="2" xfId="0" applyFont="1" applyBorder="1" applyAlignment="1">
      <alignment horizontal="center"/>
    </xf>
    <xf numFmtId="0" fontId="7" fillId="0" borderId="2" xfId="0" applyFont="1" applyBorder="1"/>
    <xf numFmtId="0" fontId="7" fillId="2" borderId="2" xfId="0" applyFont="1" applyFill="1" applyBorder="1" applyAlignment="1">
      <alignment horizontal="center"/>
    </xf>
    <xf numFmtId="0" fontId="7" fillId="2" borderId="4" xfId="0" applyFont="1" applyFill="1" applyBorder="1"/>
    <xf numFmtId="0" fontId="68" fillId="0" borderId="0" xfId="0" applyFont="1" applyAlignment="1">
      <alignment vertical="center"/>
    </xf>
    <xf numFmtId="0" fontId="68" fillId="0" borderId="0" xfId="0" applyFont="1" applyAlignment="1">
      <alignment horizontal="left" vertical="center"/>
    </xf>
    <xf numFmtId="0" fontId="49" fillId="0" borderId="0" xfId="0" applyFont="1" applyAlignment="1">
      <alignment horizontal="center" vertical="center"/>
    </xf>
    <xf numFmtId="1" fontId="67" fillId="0" borderId="0" xfId="1" applyNumberFormat="1" applyFont="1" applyAlignment="1">
      <alignment horizontal="center" vertical="center"/>
    </xf>
    <xf numFmtId="0" fontId="15" fillId="0" borderId="0" xfId="0" applyFont="1" applyAlignment="1">
      <alignment horizontal="center"/>
    </xf>
    <xf numFmtId="0" fontId="69" fillId="0" borderId="0" xfId="0" applyFont="1"/>
    <xf numFmtId="0" fontId="7" fillId="0" borderId="1" xfId="0" applyFont="1" applyBorder="1" applyAlignment="1">
      <alignment horizontal="center"/>
    </xf>
    <xf numFmtId="0" fontId="15" fillId="14" borderId="0" xfId="0" applyFont="1" applyFill="1" applyAlignment="1">
      <alignment vertical="center" wrapText="1"/>
    </xf>
    <xf numFmtId="0" fontId="16" fillId="8" borderId="1" xfId="0" applyFont="1" applyFill="1" applyBorder="1" applyAlignment="1">
      <alignment vertical="center"/>
    </xf>
    <xf numFmtId="0" fontId="16" fillId="8" borderId="34" xfId="0" applyFont="1" applyFill="1" applyBorder="1" applyAlignment="1">
      <alignment vertical="center"/>
    </xf>
    <xf numFmtId="0" fontId="21" fillId="0" borderId="48" xfId="1" applyFont="1" applyBorder="1" applyAlignment="1">
      <alignment horizontal="center" vertical="center" wrapText="1"/>
    </xf>
    <xf numFmtId="0" fontId="49" fillId="0" borderId="3" xfId="0" applyFont="1" applyBorder="1" applyAlignment="1">
      <alignment horizontal="right" vertical="center"/>
    </xf>
    <xf numFmtId="0" fontId="49" fillId="0" borderId="1" xfId="0" applyFont="1" applyBorder="1" applyAlignment="1">
      <alignment vertical="center"/>
    </xf>
    <xf numFmtId="2" fontId="7" fillId="0" borderId="1" xfId="0" applyNumberFormat="1" applyFont="1" applyBorder="1" applyAlignment="1">
      <alignment horizontal="center" vertical="center"/>
    </xf>
    <xf numFmtId="0" fontId="24" fillId="0" borderId="51" xfId="1" applyFont="1" applyBorder="1" applyAlignment="1">
      <alignment horizontal="center" vertical="center"/>
    </xf>
    <xf numFmtId="0" fontId="49" fillId="0" borderId="9" xfId="0" applyFont="1" applyBorder="1" applyAlignment="1">
      <alignment horizontal="right" vertical="center"/>
    </xf>
    <xf numFmtId="0" fontId="68" fillId="0" borderId="9" xfId="0" applyFont="1" applyBorder="1" applyAlignment="1">
      <alignment horizontal="right" vertical="center"/>
    </xf>
    <xf numFmtId="0" fontId="68" fillId="0" borderId="5" xfId="0" applyFont="1" applyBorder="1" applyAlignment="1">
      <alignment horizontal="right" vertical="center"/>
    </xf>
    <xf numFmtId="0" fontId="88" fillId="16" borderId="0" xfId="0" applyFont="1" applyFill="1" applyAlignment="1">
      <alignment horizontal="center"/>
    </xf>
    <xf numFmtId="0" fontId="54" fillId="0" borderId="0" xfId="0" applyFont="1"/>
    <xf numFmtId="0" fontId="89" fillId="0" borderId="0" xfId="0" applyFont="1"/>
    <xf numFmtId="0" fontId="89" fillId="0" borderId="0" xfId="0" applyFont="1" applyProtection="1">
      <protection locked="0"/>
    </xf>
    <xf numFmtId="0" fontId="81" fillId="0" borderId="0" xfId="0" applyFont="1"/>
    <xf numFmtId="0" fontId="89" fillId="0" borderId="0" xfId="0" applyFont="1" applyAlignment="1">
      <alignment vertical="center" wrapText="1"/>
    </xf>
    <xf numFmtId="0" fontId="90" fillId="0" borderId="0" xfId="0" applyFont="1" applyAlignment="1">
      <alignment vertical="center" wrapText="1"/>
    </xf>
    <xf numFmtId="0" fontId="92" fillId="0" borderId="0" xfId="0" applyFont="1" applyAlignment="1">
      <alignment vertical="center"/>
    </xf>
    <xf numFmtId="0" fontId="93" fillId="2" borderId="53" xfId="0" applyFont="1" applyFill="1" applyBorder="1" applyAlignment="1">
      <alignment horizontal="left" vertical="center" wrapText="1"/>
    </xf>
    <xf numFmtId="0" fontId="95" fillId="0" borderId="54" xfId="0" applyFont="1" applyBorder="1"/>
    <xf numFmtId="0" fontId="95" fillId="0" borderId="55" xfId="0" applyFont="1" applyBorder="1"/>
    <xf numFmtId="0" fontId="95" fillId="14" borderId="55" xfId="0" applyFont="1" applyFill="1" applyBorder="1" applyAlignment="1">
      <alignment vertical="center"/>
    </xf>
    <xf numFmtId="0" fontId="96" fillId="0" borderId="56" xfId="0" applyFont="1" applyBorder="1" applyAlignment="1">
      <alignment vertical="center"/>
    </xf>
    <xf numFmtId="0" fontId="96" fillId="0" borderId="0" xfId="0" applyFont="1" applyAlignment="1">
      <alignment vertical="center" wrapText="1"/>
    </xf>
    <xf numFmtId="0" fontId="96" fillId="0" borderId="0" xfId="0" applyFont="1"/>
    <xf numFmtId="0" fontId="96" fillId="0" borderId="0" xfId="0" applyFont="1" applyProtection="1">
      <protection locked="0"/>
    </xf>
    <xf numFmtId="0" fontId="93" fillId="2" borderId="53" xfId="0" applyFont="1" applyFill="1" applyBorder="1" applyAlignment="1">
      <alignment horizontal="left" vertical="center"/>
    </xf>
    <xf numFmtId="0" fontId="98" fillId="14" borderId="56" xfId="0" applyFont="1" applyFill="1" applyBorder="1" applyAlignment="1">
      <alignment horizontal="left" vertical="center"/>
    </xf>
    <xf numFmtId="0" fontId="97" fillId="17" borderId="54" xfId="0" applyFont="1" applyFill="1" applyBorder="1" applyAlignment="1">
      <alignment vertical="center"/>
    </xf>
    <xf numFmtId="0" fontId="97" fillId="17" borderId="55" xfId="0" applyFont="1" applyFill="1" applyBorder="1" applyAlignment="1">
      <alignment vertical="center"/>
    </xf>
    <xf numFmtId="0" fontId="97" fillId="17" borderId="56" xfId="0" applyFont="1" applyFill="1" applyBorder="1" applyAlignment="1">
      <alignment vertical="center"/>
    </xf>
    <xf numFmtId="0" fontId="99" fillId="2" borderId="53" xfId="0" applyFont="1" applyFill="1" applyBorder="1" applyAlignment="1">
      <alignment horizontal="left" vertical="center"/>
    </xf>
    <xf numFmtId="22" fontId="94" fillId="0" borderId="54" xfId="0" applyNumberFormat="1" applyFont="1" applyBorder="1"/>
    <xf numFmtId="22" fontId="94" fillId="0" borderId="55" xfId="0" applyNumberFormat="1" applyFont="1" applyBorder="1"/>
    <xf numFmtId="0" fontId="95" fillId="0" borderId="0" xfId="0" applyFont="1" applyAlignment="1">
      <alignment vertical="center"/>
    </xf>
    <xf numFmtId="0" fontId="89" fillId="14" borderId="0" xfId="0" applyFont="1" applyFill="1"/>
    <xf numFmtId="0" fontId="89" fillId="14" borderId="58" xfId="0" applyFont="1" applyFill="1" applyBorder="1"/>
    <xf numFmtId="0" fontId="89" fillId="14" borderId="57" xfId="0" applyFont="1" applyFill="1" applyBorder="1"/>
    <xf numFmtId="0" fontId="100" fillId="14" borderId="57" xfId="0" applyFont="1" applyFill="1" applyBorder="1"/>
    <xf numFmtId="0" fontId="89" fillId="0" borderId="57" xfId="0" applyFont="1" applyBorder="1"/>
    <xf numFmtId="0" fontId="89" fillId="0" borderId="59" xfId="0" applyFont="1" applyBorder="1"/>
    <xf numFmtId="0" fontId="101" fillId="14" borderId="60" xfId="0" applyFont="1" applyFill="1" applyBorder="1" applyAlignment="1">
      <alignment vertical="center"/>
    </xf>
    <xf numFmtId="1" fontId="103" fillId="2" borderId="53" xfId="0" applyNumberFormat="1" applyFont="1" applyFill="1" applyBorder="1" applyAlignment="1">
      <alignment horizontal="center" vertical="center"/>
    </xf>
    <xf numFmtId="0" fontId="104" fillId="14" borderId="0" xfId="0" applyFont="1" applyFill="1" applyAlignment="1">
      <alignment vertical="center"/>
    </xf>
    <xf numFmtId="0" fontId="104" fillId="0" borderId="0" xfId="0" applyFont="1" applyAlignment="1">
      <alignment vertical="center"/>
    </xf>
    <xf numFmtId="0" fontId="105" fillId="14" borderId="0" xfId="0" applyFont="1" applyFill="1" applyAlignment="1">
      <alignment vertical="center"/>
    </xf>
    <xf numFmtId="0" fontId="89" fillId="0" borderId="0" xfId="0" applyFont="1" applyAlignment="1">
      <alignment vertical="center"/>
    </xf>
    <xf numFmtId="0" fontId="106" fillId="14" borderId="0" xfId="0" applyFont="1" applyFill="1" applyAlignment="1">
      <alignment vertical="center"/>
    </xf>
    <xf numFmtId="0" fontId="107" fillId="14" borderId="0" xfId="0" applyFont="1" applyFill="1" applyAlignment="1">
      <alignment vertical="center" wrapText="1"/>
    </xf>
    <xf numFmtId="2" fontId="107" fillId="2" borderId="53" xfId="0" applyNumberFormat="1" applyFont="1" applyFill="1" applyBorder="1" applyAlignment="1">
      <alignment horizontal="center" vertical="center"/>
    </xf>
    <xf numFmtId="0" fontId="89" fillId="0" borderId="61" xfId="0" applyFont="1" applyBorder="1"/>
    <xf numFmtId="0" fontId="89" fillId="0" borderId="0" xfId="0" applyFont="1" applyAlignment="1" applyProtection="1">
      <alignment vertical="center"/>
      <protection locked="0"/>
    </xf>
    <xf numFmtId="0" fontId="59" fillId="14" borderId="60" xfId="0" applyFont="1" applyFill="1" applyBorder="1"/>
    <xf numFmtId="1" fontId="52" fillId="0" borderId="0" xfId="0" applyNumberFormat="1" applyFont="1" applyAlignment="1">
      <alignment horizontal="center"/>
    </xf>
    <xf numFmtId="0" fontId="104" fillId="14" borderId="0" xfId="0" applyFont="1" applyFill="1"/>
    <xf numFmtId="2" fontId="108" fillId="0" borderId="0" xfId="0" applyNumberFormat="1" applyFont="1" applyAlignment="1">
      <alignment vertical="center"/>
    </xf>
    <xf numFmtId="0" fontId="109" fillId="14" borderId="0" xfId="0" applyFont="1" applyFill="1" applyAlignment="1">
      <alignment vertical="center"/>
    </xf>
    <xf numFmtId="0" fontId="108" fillId="14" borderId="0" xfId="0" applyFont="1" applyFill="1" applyAlignment="1">
      <alignment vertical="center"/>
    </xf>
    <xf numFmtId="0" fontId="108" fillId="0" borderId="0" xfId="0" applyFont="1" applyAlignment="1">
      <alignment vertical="center"/>
    </xf>
    <xf numFmtId="0" fontId="104" fillId="0" borderId="0" xfId="0" applyFont="1"/>
    <xf numFmtId="2" fontId="107" fillId="0" borderId="0" xfId="0" applyNumberFormat="1" applyFont="1" applyAlignment="1">
      <alignment horizontal="center" vertical="center"/>
    </xf>
    <xf numFmtId="164" fontId="110" fillId="0" borderId="0" xfId="0" applyNumberFormat="1" applyFont="1" applyAlignment="1">
      <alignment horizontal="center"/>
    </xf>
    <xf numFmtId="0" fontId="100" fillId="14" borderId="0" xfId="0" applyFont="1" applyFill="1"/>
    <xf numFmtId="0" fontId="89" fillId="14" borderId="0" xfId="0" applyFont="1" applyFill="1" applyAlignment="1">
      <alignment vertical="center"/>
    </xf>
    <xf numFmtId="0" fontId="90" fillId="14" borderId="0" xfId="0" applyFont="1" applyFill="1" applyAlignment="1">
      <alignment vertical="center"/>
    </xf>
    <xf numFmtId="0" fontId="89" fillId="0" borderId="61" xfId="0" applyFont="1" applyBorder="1" applyAlignment="1">
      <alignment vertical="center"/>
    </xf>
    <xf numFmtId="0" fontId="89" fillId="14" borderId="62" xfId="0" applyFont="1" applyFill="1" applyBorder="1"/>
    <xf numFmtId="0" fontId="89" fillId="14" borderId="52" xfId="0" applyFont="1" applyFill="1" applyBorder="1"/>
    <xf numFmtId="0" fontId="89" fillId="0" borderId="52" xfId="0" applyFont="1" applyBorder="1"/>
    <xf numFmtId="0" fontId="89" fillId="0" borderId="63" xfId="0" applyFont="1" applyBorder="1"/>
    <xf numFmtId="0" fontId="89" fillId="18" borderId="0" xfId="0" applyFont="1" applyFill="1" applyProtection="1">
      <protection locked="0"/>
    </xf>
    <xf numFmtId="0" fontId="23" fillId="0" borderId="0" xfId="144" applyFont="1" applyAlignment="1">
      <alignment horizontal="center" vertical="center"/>
    </xf>
    <xf numFmtId="0" fontId="64" fillId="0" borderId="0" xfId="144" applyFont="1" applyAlignment="1">
      <alignment horizontal="center" vertical="center"/>
    </xf>
    <xf numFmtId="0" fontId="112" fillId="0" borderId="53" xfId="144" applyFont="1" applyBorder="1" applyAlignment="1">
      <alignment horizontal="center" vertical="center"/>
    </xf>
    <xf numFmtId="0" fontId="113" fillId="0" borderId="53" xfId="144" applyFont="1" applyBorder="1" applyAlignment="1">
      <alignment horizontal="center" vertical="center"/>
    </xf>
    <xf numFmtId="0" fontId="114" fillId="0" borderId="54" xfId="144" applyFont="1" applyBorder="1" applyAlignment="1">
      <alignment horizontal="left" vertical="center"/>
    </xf>
    <xf numFmtId="0" fontId="114" fillId="0" borderId="55" xfId="144" applyFont="1" applyBorder="1" applyAlignment="1">
      <alignment horizontal="left" vertical="center"/>
    </xf>
    <xf numFmtId="0" fontId="114" fillId="0" borderId="56" xfId="144" applyFont="1" applyBorder="1" applyAlignment="1">
      <alignment horizontal="right" vertical="center"/>
    </xf>
    <xf numFmtId="0" fontId="44" fillId="0" borderId="53" xfId="144" applyFont="1" applyBorder="1" applyAlignment="1">
      <alignment horizontal="center" vertical="center"/>
    </xf>
    <xf numFmtId="0" fontId="10" fillId="0" borderId="53" xfId="144" applyFont="1" applyBorder="1" applyAlignment="1">
      <alignment vertical="center"/>
    </xf>
    <xf numFmtId="0" fontId="23" fillId="0" borderId="53" xfId="144" applyFont="1" applyBorder="1" applyAlignment="1">
      <alignment horizontal="center" vertical="center"/>
    </xf>
    <xf numFmtId="0" fontId="89" fillId="0" borderId="0" xfId="0" applyFont="1" applyAlignment="1">
      <alignment horizontal="center" vertical="center"/>
    </xf>
    <xf numFmtId="0" fontId="89" fillId="0" borderId="0" xfId="0" applyFont="1" applyAlignment="1" applyProtection="1">
      <alignment horizontal="center" vertical="center"/>
      <protection locked="0"/>
    </xf>
    <xf numFmtId="0" fontId="16" fillId="0" borderId="64" xfId="144" applyFont="1" applyBorder="1" applyAlignment="1">
      <alignment horizontal="left" vertical="center"/>
    </xf>
    <xf numFmtId="0" fontId="117" fillId="0" borderId="0" xfId="144" applyFont="1" applyAlignment="1">
      <alignment horizontal="center" vertical="center"/>
    </xf>
    <xf numFmtId="0" fontId="67" fillId="0" borderId="65" xfId="144" applyFont="1" applyBorder="1" applyAlignment="1">
      <alignment vertical="center" wrapText="1"/>
    </xf>
    <xf numFmtId="1" fontId="89" fillId="0" borderId="0" xfId="0" applyNumberFormat="1" applyFont="1" applyAlignment="1" applyProtection="1">
      <alignment horizontal="center" vertical="center"/>
      <protection locked="0"/>
    </xf>
    <xf numFmtId="0" fontId="119" fillId="0" borderId="65" xfId="144" applyFont="1" applyBorder="1" applyAlignment="1">
      <alignment horizontal="left" vertical="center"/>
    </xf>
    <xf numFmtId="0" fontId="16" fillId="8" borderId="66" xfId="144" applyFont="1" applyFill="1" applyBorder="1" applyAlignment="1">
      <alignment horizontal="left" vertical="center"/>
    </xf>
    <xf numFmtId="0" fontId="16" fillId="0" borderId="65" xfId="144" applyFont="1" applyBorder="1" applyAlignment="1">
      <alignment vertical="center" wrapText="1"/>
    </xf>
    <xf numFmtId="0" fontId="119" fillId="8" borderId="67" xfId="144" applyFont="1" applyFill="1" applyBorder="1" applyAlignment="1">
      <alignment horizontal="left" vertical="center"/>
    </xf>
    <xf numFmtId="0" fontId="60" fillId="0" borderId="65" xfId="0" applyFont="1" applyBorder="1" applyAlignment="1">
      <alignment horizontal="left" vertical="center"/>
    </xf>
    <xf numFmtId="0" fontId="16" fillId="8" borderId="65" xfId="144" applyFont="1" applyFill="1" applyBorder="1" applyAlignment="1">
      <alignment vertical="center" wrapText="1"/>
    </xf>
    <xf numFmtId="0" fontId="119" fillId="0" borderId="68" xfId="144" applyFont="1" applyBorder="1" applyAlignment="1">
      <alignment horizontal="left" vertical="center"/>
    </xf>
    <xf numFmtId="0" fontId="119" fillId="8" borderId="68" xfId="144" applyFont="1" applyFill="1" applyBorder="1" applyAlignment="1">
      <alignment horizontal="left" vertical="center"/>
    </xf>
    <xf numFmtId="0" fontId="23" fillId="0" borderId="0" xfId="144" applyFont="1" applyAlignment="1">
      <alignment horizontal="left" vertical="center"/>
    </xf>
    <xf numFmtId="166" fontId="118" fillId="0" borderId="0" xfId="144" applyNumberFormat="1" applyFont="1" applyAlignment="1">
      <alignment horizontal="center" vertical="center"/>
    </xf>
    <xf numFmtId="0" fontId="23" fillId="0" borderId="0" xfId="144" applyFont="1" applyAlignment="1">
      <alignment vertical="center"/>
    </xf>
    <xf numFmtId="0" fontId="23" fillId="0" borderId="0" xfId="144" applyFont="1" applyAlignment="1">
      <alignment vertical="center" wrapText="1"/>
    </xf>
    <xf numFmtId="2" fontId="23" fillId="0" borderId="0" xfId="144" applyNumberFormat="1" applyFont="1" applyAlignment="1">
      <alignment horizontal="center" vertical="center"/>
    </xf>
    <xf numFmtId="0" fontId="121" fillId="0" borderId="0" xfId="144" applyFont="1" applyAlignment="1">
      <alignment horizontal="center" vertical="center"/>
    </xf>
    <xf numFmtId="0" fontId="122" fillId="0" borderId="0" xfId="144" applyFont="1" applyAlignment="1">
      <alignment horizontal="center" vertical="center"/>
    </xf>
    <xf numFmtId="0" fontId="66" fillId="0" borderId="53" xfId="144" applyFont="1" applyBorder="1" applyAlignment="1">
      <alignment horizontal="right"/>
    </xf>
    <xf numFmtId="0" fontId="114" fillId="0" borderId="54" xfId="144" applyFont="1" applyBorder="1" applyAlignment="1">
      <alignment vertical="center"/>
    </xf>
    <xf numFmtId="0" fontId="114" fillId="0" borderId="55" xfId="144" applyFont="1" applyBorder="1" applyAlignment="1">
      <alignment vertical="center"/>
    </xf>
    <xf numFmtId="0" fontId="10" fillId="0" borderId="53" xfId="144" applyFont="1" applyBorder="1" applyAlignment="1">
      <alignment horizontal="center"/>
    </xf>
    <xf numFmtId="0" fontId="123" fillId="0" borderId="54" xfId="144" applyFont="1" applyBorder="1"/>
    <xf numFmtId="0" fontId="123" fillId="0" borderId="56" xfId="144" applyFont="1" applyBorder="1" applyAlignment="1">
      <alignment horizontal="right"/>
    </xf>
    <xf numFmtId="168" fontId="89" fillId="0" borderId="0" xfId="0" applyNumberFormat="1" applyFont="1" applyAlignment="1" applyProtection="1">
      <alignment horizontal="center" vertical="center"/>
      <protection locked="0"/>
    </xf>
    <xf numFmtId="164" fontId="89" fillId="0" borderId="0" xfId="0" applyNumberFormat="1" applyFont="1" applyAlignment="1" applyProtection="1">
      <alignment horizontal="center" vertical="center"/>
      <protection locked="0"/>
    </xf>
    <xf numFmtId="0" fontId="124" fillId="0" borderId="0" xfId="0" applyFont="1" applyAlignment="1" applyProtection="1">
      <alignment horizontal="center" vertical="center"/>
      <protection locked="0"/>
    </xf>
    <xf numFmtId="1" fontId="89" fillId="18" borderId="0" xfId="0" applyNumberFormat="1" applyFont="1" applyFill="1" applyAlignment="1" applyProtection="1">
      <alignment horizontal="center" vertical="center"/>
      <protection locked="0"/>
    </xf>
    <xf numFmtId="0" fontId="89" fillId="18" borderId="0" xfId="0" applyFont="1" applyFill="1" applyAlignment="1" applyProtection="1">
      <alignment horizontal="center" vertical="center"/>
      <protection locked="0"/>
    </xf>
    <xf numFmtId="2" fontId="89" fillId="0" borderId="0" xfId="0" applyNumberFormat="1" applyFont="1" applyAlignment="1" applyProtection="1">
      <alignment horizontal="center" vertical="center"/>
      <protection locked="0"/>
    </xf>
    <xf numFmtId="0" fontId="16" fillId="0" borderId="65" xfId="144" applyFont="1" applyBorder="1" applyAlignment="1">
      <alignment vertical="center"/>
    </xf>
    <xf numFmtId="0" fontId="16" fillId="0" borderId="65" xfId="144" applyFont="1" applyBorder="1" applyAlignment="1">
      <alignment horizontal="left" vertical="center"/>
    </xf>
    <xf numFmtId="2" fontId="89" fillId="18" borderId="0" xfId="0" applyNumberFormat="1" applyFont="1" applyFill="1" applyAlignment="1" applyProtection="1">
      <alignment horizontal="center" vertical="center"/>
      <protection locked="0"/>
    </xf>
    <xf numFmtId="0" fontId="124" fillId="18" borderId="0" xfId="0" applyFont="1" applyFill="1" applyAlignment="1" applyProtection="1">
      <alignment horizontal="center" vertical="center"/>
      <protection locked="0"/>
    </xf>
    <xf numFmtId="0" fontId="118" fillId="0" borderId="64" xfId="144" applyFont="1" applyBorder="1" applyAlignment="1">
      <alignment vertical="center"/>
    </xf>
    <xf numFmtId="0" fontId="126" fillId="0" borderId="58" xfId="144" applyFont="1" applyBorder="1" applyAlignment="1">
      <alignment vertical="center"/>
    </xf>
    <xf numFmtId="0" fontId="126" fillId="0" borderId="57" xfId="144" applyFont="1" applyBorder="1" applyAlignment="1">
      <alignment vertical="center"/>
    </xf>
    <xf numFmtId="0" fontId="127" fillId="0" borderId="57" xfId="144" applyFont="1" applyBorder="1" applyAlignment="1">
      <alignment vertical="center"/>
    </xf>
    <xf numFmtId="0" fontId="127" fillId="0" borderId="59" xfId="144" applyFont="1" applyBorder="1" applyAlignment="1">
      <alignment vertical="center"/>
    </xf>
    <xf numFmtId="0" fontId="128" fillId="0" borderId="65" xfId="144" applyFont="1" applyBorder="1" applyAlignment="1">
      <alignment horizontal="left" vertical="center"/>
    </xf>
    <xf numFmtId="0" fontId="126" fillId="0" borderId="60" xfId="144" applyFont="1" applyBorder="1" applyAlignment="1">
      <alignment vertical="center"/>
    </xf>
    <xf numFmtId="0" fontId="126" fillId="0" borderId="0" xfId="144" applyFont="1" applyAlignment="1">
      <alignment vertical="center"/>
    </xf>
    <xf numFmtId="0" fontId="127" fillId="0" borderId="0" xfId="144" applyFont="1" applyAlignment="1">
      <alignment vertical="center"/>
    </xf>
    <xf numFmtId="0" fontId="127" fillId="0" borderId="61" xfId="144" applyFont="1" applyBorder="1" applyAlignment="1">
      <alignment vertical="center"/>
    </xf>
    <xf numFmtId="0" fontId="16" fillId="0" borderId="65" xfId="144" applyFont="1" applyBorder="1" applyAlignment="1">
      <alignment horizontal="left" vertical="center" wrapText="1"/>
    </xf>
    <xf numFmtId="0" fontId="118" fillId="0" borderId="65" xfId="144" applyFont="1" applyBorder="1" applyAlignment="1">
      <alignment horizontal="left" vertical="center" wrapText="1"/>
    </xf>
    <xf numFmtId="0" fontId="128" fillId="0" borderId="68" xfId="144" applyFont="1" applyBorder="1" applyAlignment="1">
      <alignment horizontal="left" vertical="center"/>
    </xf>
    <xf numFmtId="0" fontId="126" fillId="0" borderId="62" xfId="144" applyFont="1" applyBorder="1" applyAlignment="1">
      <alignment vertical="center"/>
    </xf>
    <xf numFmtId="0" fontId="126" fillId="0" borderId="52" xfId="144" applyFont="1" applyBorder="1" applyAlignment="1">
      <alignment vertical="center"/>
    </xf>
    <xf numFmtId="0" fontId="127" fillId="0" borderId="52" xfId="144" applyFont="1" applyBorder="1" applyAlignment="1">
      <alignment vertical="center"/>
    </xf>
    <xf numFmtId="0" fontId="127" fillId="0" borderId="63" xfId="144" applyFont="1" applyBorder="1" applyAlignment="1">
      <alignment vertical="center"/>
    </xf>
    <xf numFmtId="9" fontId="89" fillId="0" borderId="0" xfId="131" applyFont="1" applyBorder="1" applyAlignment="1" applyProtection="1">
      <alignment horizontal="center" vertical="center"/>
      <protection locked="0"/>
    </xf>
    <xf numFmtId="0" fontId="129" fillId="0" borderId="53" xfId="144" applyFont="1" applyBorder="1" applyAlignment="1">
      <alignment vertical="center"/>
    </xf>
    <xf numFmtId="0" fontId="10" fillId="0" borderId="53" xfId="144" applyFont="1" applyBorder="1" applyAlignment="1">
      <alignment horizontal="center" vertical="center"/>
    </xf>
    <xf numFmtId="0" fontId="123" fillId="0" borderId="54" xfId="144" applyFont="1" applyBorder="1" applyAlignment="1">
      <alignment vertical="center"/>
    </xf>
    <xf numFmtId="0" fontId="123" fillId="0" borderId="55" xfId="144" applyFont="1" applyBorder="1" applyAlignment="1">
      <alignment vertical="center"/>
    </xf>
    <xf numFmtId="0" fontId="123" fillId="0" borderId="56" xfId="144" applyFont="1" applyBorder="1" applyAlignment="1">
      <alignment horizontal="right" vertical="center"/>
    </xf>
    <xf numFmtId="0" fontId="16" fillId="0" borderId="64" xfId="144" applyFont="1" applyBorder="1" applyAlignment="1">
      <alignment vertical="center"/>
    </xf>
    <xf numFmtId="0" fontId="60" fillId="8" borderId="53" xfId="0" applyFont="1" applyFill="1" applyBorder="1" applyAlignment="1">
      <alignment horizontal="left" vertical="center"/>
    </xf>
    <xf numFmtId="0" fontId="89" fillId="8" borderId="53" xfId="0" applyFont="1" applyFill="1" applyBorder="1" applyAlignment="1">
      <alignment horizontal="center" vertical="center"/>
    </xf>
    <xf numFmtId="0" fontId="67" fillId="0" borderId="65" xfId="144" applyFont="1" applyBorder="1" applyAlignment="1">
      <alignment horizontal="center" vertical="center"/>
    </xf>
    <xf numFmtId="0" fontId="119" fillId="0" borderId="68" xfId="0" applyFont="1" applyBorder="1"/>
    <xf numFmtId="0" fontId="15" fillId="0" borderId="68" xfId="0" applyFont="1" applyBorder="1"/>
    <xf numFmtId="0" fontId="131" fillId="0" borderId="0" xfId="0" applyFont="1"/>
    <xf numFmtId="166" fontId="132" fillId="0" borderId="0" xfId="0" applyNumberFormat="1" applyFont="1" applyAlignment="1">
      <alignment horizontal="center" vertical="center"/>
    </xf>
    <xf numFmtId="2" fontId="133" fillId="0" borderId="0" xfId="0" applyNumberFormat="1" applyFont="1" applyAlignment="1">
      <alignment horizontal="left" vertical="center"/>
    </xf>
    <xf numFmtId="0" fontId="97" fillId="0" borderId="0" xfId="0" applyFont="1"/>
    <xf numFmtId="0" fontId="134" fillId="0" borderId="0" xfId="0" applyFont="1" applyAlignment="1">
      <alignment horizontal="left" vertical="center"/>
    </xf>
    <xf numFmtId="2" fontId="134" fillId="0" borderId="0" xfId="0" applyNumberFormat="1" applyFont="1" applyAlignment="1">
      <alignment horizontal="center" vertical="center"/>
    </xf>
    <xf numFmtId="164" fontId="133" fillId="0" borderId="0" xfId="0" applyNumberFormat="1" applyFont="1" applyAlignment="1">
      <alignment horizontal="left" vertical="center"/>
    </xf>
    <xf numFmtId="0" fontId="134" fillId="0" borderId="0" xfId="0" applyFont="1" applyAlignment="1">
      <alignment horizontal="center" vertical="center"/>
    </xf>
    <xf numFmtId="0" fontId="135" fillId="0" borderId="0" xfId="0" applyFont="1"/>
    <xf numFmtId="0" fontId="135" fillId="0" borderId="0" xfId="0" applyFont="1" applyProtection="1">
      <protection locked="0"/>
    </xf>
    <xf numFmtId="0" fontId="60" fillId="0" borderId="0" xfId="0" applyFont="1" applyAlignment="1">
      <alignment horizontal="center"/>
    </xf>
    <xf numFmtId="0" fontId="49" fillId="0" borderId="0" xfId="0" applyFont="1"/>
    <xf numFmtId="0" fontId="49" fillId="0" borderId="0" xfId="0" applyFont="1" applyAlignment="1">
      <alignment vertical="center"/>
    </xf>
    <xf numFmtId="2" fontId="0" fillId="0" borderId="0" xfId="0" applyNumberFormat="1"/>
    <xf numFmtId="0" fontId="111" fillId="0" borderId="0" xfId="144" applyAlignment="1">
      <alignment horizontal="center"/>
    </xf>
    <xf numFmtId="0" fontId="136" fillId="0" borderId="0" xfId="144" applyFont="1" applyAlignment="1">
      <alignment horizontal="center"/>
    </xf>
    <xf numFmtId="0" fontId="137" fillId="0" borderId="0" xfId="144" applyFont="1" applyAlignment="1">
      <alignment horizontal="center"/>
    </xf>
    <xf numFmtId="0" fontId="138" fillId="0" borderId="0" xfId="144" applyFont="1" applyAlignment="1">
      <alignment horizontal="center"/>
    </xf>
    <xf numFmtId="0" fontId="111" fillId="0" borderId="0" xfId="144"/>
    <xf numFmtId="1" fontId="111" fillId="0" borderId="0" xfId="144" applyNumberFormat="1"/>
    <xf numFmtId="0" fontId="0" fillId="19" borderId="0" xfId="0" applyFill="1" applyAlignment="1">
      <alignment horizontal="center"/>
    </xf>
    <xf numFmtId="2" fontId="0" fillId="19" borderId="0" xfId="0" applyNumberFormat="1" applyFill="1" applyAlignment="1">
      <alignment horizontal="center"/>
    </xf>
    <xf numFmtId="0" fontId="136" fillId="0" borderId="0" xfId="144" applyFont="1"/>
    <xf numFmtId="0" fontId="136" fillId="18" borderId="0" xfId="144" applyFont="1" applyFill="1"/>
    <xf numFmtId="0" fontId="136" fillId="0" borderId="0" xfId="144" applyFont="1" applyAlignment="1">
      <alignment horizontal="left" vertical="center"/>
    </xf>
    <xf numFmtId="0" fontId="136" fillId="0" borderId="0" xfId="144" applyFont="1" applyAlignment="1">
      <alignment horizontal="center" vertical="center"/>
    </xf>
    <xf numFmtId="0" fontId="19" fillId="15" borderId="0" xfId="144" applyFont="1" applyFill="1"/>
    <xf numFmtId="1" fontId="77" fillId="2" borderId="0" xfId="0" applyNumberFormat="1" applyFont="1" applyFill="1" applyAlignment="1">
      <alignment horizontal="center" vertical="center" wrapText="1"/>
    </xf>
    <xf numFmtId="0" fontId="77" fillId="2" borderId="0" xfId="0" applyFont="1" applyFill="1" applyAlignment="1">
      <alignment horizontal="left" vertical="center" wrapText="1"/>
    </xf>
    <xf numFmtId="14" fontId="77" fillId="2" borderId="0" xfId="0" applyNumberFormat="1" applyFont="1" applyFill="1" applyAlignment="1">
      <alignment horizontal="left" vertical="center" wrapText="1"/>
    </xf>
    <xf numFmtId="0" fontId="78" fillId="2" borderId="0" xfId="0" applyFont="1" applyFill="1" applyAlignment="1">
      <alignment horizontal="center" vertical="center" wrapText="1"/>
    </xf>
    <xf numFmtId="0" fontId="77" fillId="2" borderId="0" xfId="0" applyFont="1" applyFill="1" applyAlignment="1">
      <alignment horizontal="center" vertical="center" wrapText="1"/>
    </xf>
    <xf numFmtId="14" fontId="77" fillId="2" borderId="0" xfId="0" applyNumberFormat="1" applyFont="1" applyFill="1" applyAlignment="1">
      <alignment horizontal="center" vertical="center" wrapText="1"/>
    </xf>
    <xf numFmtId="1" fontId="77" fillId="2" borderId="0" xfId="0" applyNumberFormat="1" applyFont="1" applyFill="1" applyAlignment="1">
      <alignment horizontal="left" vertical="center" wrapText="1"/>
    </xf>
    <xf numFmtId="0" fontId="80" fillId="0" borderId="0" xfId="0" applyFont="1" applyAlignment="1">
      <alignment horizontal="center" vertical="center" wrapText="1"/>
    </xf>
    <xf numFmtId="1" fontId="80" fillId="0" borderId="0" xfId="0" applyNumberFormat="1" applyFont="1" applyAlignment="1">
      <alignment horizontal="center" vertical="center" wrapText="1"/>
    </xf>
    <xf numFmtId="0" fontId="80" fillId="0" borderId="0" xfId="0" applyFont="1" applyAlignment="1">
      <alignment horizontal="left" vertical="center" wrapText="1"/>
    </xf>
    <xf numFmtId="0" fontId="139" fillId="20" borderId="7" xfId="0" applyFont="1" applyFill="1" applyBorder="1" applyAlignment="1">
      <alignment horizontal="center" vertical="center"/>
    </xf>
    <xf numFmtId="2" fontId="139" fillId="20" borderId="7" xfId="0" applyNumberFormat="1" applyFont="1" applyFill="1" applyBorder="1" applyAlignment="1">
      <alignment horizontal="center" vertical="center"/>
    </xf>
    <xf numFmtId="165" fontId="140" fillId="20" borderId="1" xfId="0" applyNumberFormat="1" applyFont="1" applyFill="1" applyBorder="1" applyAlignment="1">
      <alignment horizontal="center"/>
    </xf>
    <xf numFmtId="0" fontId="140" fillId="20" borderId="1" xfId="0" applyFont="1" applyFill="1" applyBorder="1" applyAlignment="1">
      <alignment horizontal="center"/>
    </xf>
    <xf numFmtId="164" fontId="140" fillId="20" borderId="1" xfId="0" applyNumberFormat="1" applyFont="1" applyFill="1" applyBorder="1" applyAlignment="1">
      <alignment horizontal="center"/>
    </xf>
    <xf numFmtId="2" fontId="140" fillId="20" borderId="1" xfId="0" applyNumberFormat="1" applyFont="1" applyFill="1" applyBorder="1" applyAlignment="1">
      <alignment horizontal="center"/>
    </xf>
    <xf numFmtId="0" fontId="48" fillId="0" borderId="0" xfId="0" applyFont="1" applyAlignment="1">
      <alignment horizontal="left"/>
    </xf>
    <xf numFmtId="1" fontId="48" fillId="0" borderId="0" xfId="0" applyNumberFormat="1" applyFont="1" applyAlignment="1">
      <alignment horizontal="center"/>
    </xf>
    <xf numFmtId="0" fontId="19" fillId="0" borderId="0" xfId="147"/>
    <xf numFmtId="0" fontId="19" fillId="11" borderId="0" xfId="147" applyFill="1"/>
    <xf numFmtId="0" fontId="136" fillId="0" borderId="0" xfId="1" applyFont="1"/>
    <xf numFmtId="0" fontId="19" fillId="0" borderId="0" xfId="147" applyAlignment="1">
      <alignment horizontal="center"/>
    </xf>
    <xf numFmtId="0" fontId="116" fillId="0" borderId="0" xfId="147" applyFont="1"/>
    <xf numFmtId="0" fontId="19" fillId="0" borderId="0" xfId="147" applyAlignment="1">
      <alignment horizontal="left"/>
    </xf>
    <xf numFmtId="0" fontId="141" fillId="0" borderId="0" xfId="147" applyFont="1"/>
    <xf numFmtId="0" fontId="141" fillId="0" borderId="0" xfId="147" applyFont="1" applyAlignment="1">
      <alignment horizontal="center"/>
    </xf>
    <xf numFmtId="0" fontId="142" fillId="11" borderId="0" xfId="147" applyFont="1" applyFill="1"/>
    <xf numFmtId="0" fontId="143" fillId="0" borderId="0" xfId="147" applyFont="1"/>
    <xf numFmtId="0" fontId="9" fillId="0" borderId="0" xfId="1"/>
    <xf numFmtId="168" fontId="19" fillId="0" borderId="0" xfId="147" applyNumberFormat="1"/>
    <xf numFmtId="0" fontId="64" fillId="0" borderId="0" xfId="1" applyFont="1"/>
    <xf numFmtId="0" fontId="145" fillId="0" borderId="0" xfId="1" applyFont="1" applyAlignment="1">
      <alignment horizontal="center" vertical="top"/>
    </xf>
    <xf numFmtId="0" fontId="93" fillId="0" borderId="0" xfId="1" applyFont="1"/>
    <xf numFmtId="0" fontId="64" fillId="0" borderId="0" xfId="1" applyFont="1" applyAlignment="1">
      <alignment horizontal="right"/>
    </xf>
    <xf numFmtId="0" fontId="144" fillId="0" borderId="0" xfId="1" applyFont="1" applyAlignment="1">
      <alignment vertical="center"/>
    </xf>
    <xf numFmtId="171" fontId="64" fillId="0" borderId="0" xfId="1" applyNumberFormat="1" applyFont="1"/>
    <xf numFmtId="0" fontId="64" fillId="11" borderId="0" xfId="1" applyFont="1" applyFill="1"/>
    <xf numFmtId="0" fontId="99" fillId="0" borderId="0" xfId="1" applyFont="1" applyAlignment="1">
      <alignment horizontal="left" vertical="center"/>
    </xf>
    <xf numFmtId="2" fontId="99" fillId="0" borderId="0" xfId="1" applyNumberFormat="1" applyFont="1" applyAlignment="1">
      <alignment vertical="center" wrapText="1"/>
    </xf>
    <xf numFmtId="1" fontId="64" fillId="0" borderId="0" xfId="1" applyNumberFormat="1" applyFont="1"/>
    <xf numFmtId="0" fontId="147" fillId="0" borderId="0" xfId="1" applyFont="1"/>
    <xf numFmtId="0" fontId="99" fillId="0" borderId="0" xfId="1" applyFont="1" applyAlignment="1">
      <alignment vertical="center"/>
    </xf>
    <xf numFmtId="172" fontId="99" fillId="0" borderId="0" xfId="1" applyNumberFormat="1" applyFont="1" applyAlignment="1">
      <alignment horizontal="left" vertical="center"/>
    </xf>
    <xf numFmtId="14" fontId="99" fillId="0" borderId="0" xfId="1" applyNumberFormat="1" applyFont="1" applyAlignment="1">
      <alignment horizontal="left" vertical="center"/>
    </xf>
    <xf numFmtId="14" fontId="147" fillId="0" borderId="0" xfId="1" applyNumberFormat="1" applyFont="1"/>
    <xf numFmtId="1" fontId="58" fillId="0" borderId="0" xfId="148" applyNumberFormat="1" applyFont="1" applyAlignment="1">
      <alignment horizontal="center"/>
    </xf>
    <xf numFmtId="1" fontId="58" fillId="0" borderId="0" xfId="148" applyNumberFormat="1" applyFont="1" applyAlignment="1">
      <alignment horizontal="left"/>
    </xf>
    <xf numFmtId="0" fontId="148" fillId="0" borderId="0" xfId="148" applyFont="1" applyAlignment="1">
      <alignment horizontal="left"/>
    </xf>
    <xf numFmtId="0" fontId="148" fillId="0" borderId="0" xfId="148" applyFont="1" applyAlignment="1">
      <alignment horizontal="center"/>
    </xf>
    <xf numFmtId="173" fontId="149" fillId="0" borderId="0" xfId="148" applyNumberFormat="1" applyFont="1" applyAlignment="1">
      <alignment horizontal="left"/>
    </xf>
    <xf numFmtId="0" fontId="150" fillId="0" borderId="0" xfId="148" applyFont="1" applyAlignment="1">
      <alignment horizontal="center"/>
    </xf>
    <xf numFmtId="0" fontId="151" fillId="0" borderId="0" xfId="148" applyFont="1" applyAlignment="1">
      <alignment horizontal="left"/>
    </xf>
    <xf numFmtId="14" fontId="48" fillId="0" borderId="0" xfId="148" applyNumberFormat="1" applyFont="1" applyAlignment="1">
      <alignment horizontal="left"/>
    </xf>
    <xf numFmtId="0" fontId="48" fillId="0" borderId="0" xfId="148" applyFont="1" applyAlignment="1">
      <alignment horizontal="left"/>
    </xf>
    <xf numFmtId="0" fontId="152" fillId="0" borderId="0" xfId="148" applyFont="1" applyAlignment="1">
      <alignment horizontal="left"/>
    </xf>
    <xf numFmtId="14" fontId="153" fillId="0" borderId="0" xfId="148" applyNumberFormat="1" applyFont="1" applyAlignment="1">
      <alignment horizontal="left"/>
    </xf>
    <xf numFmtId="14" fontId="154" fillId="0" borderId="0" xfId="148" applyNumberFormat="1" applyFont="1" applyAlignment="1">
      <alignment horizontal="left"/>
    </xf>
    <xf numFmtId="1" fontId="155" fillId="0" borderId="0" xfId="148" applyNumberFormat="1" applyFont="1" applyAlignment="1">
      <alignment horizontal="left"/>
    </xf>
    <xf numFmtId="0" fontId="7" fillId="22" borderId="0" xfId="148" applyFont="1" applyFill="1" applyAlignment="1">
      <alignment horizontal="center"/>
    </xf>
    <xf numFmtId="0" fontId="61" fillId="22" borderId="0" xfId="148" applyFont="1" applyFill="1" applyAlignment="1">
      <alignment horizontal="center"/>
    </xf>
    <xf numFmtId="0" fontId="7" fillId="22" borderId="0" xfId="148" applyFont="1" applyFill="1"/>
    <xf numFmtId="2" fontId="93" fillId="0" borderId="0" xfId="1" applyNumberFormat="1" applyFont="1"/>
    <xf numFmtId="0" fontId="156" fillId="0" borderId="0" xfId="1" applyFont="1"/>
    <xf numFmtId="174" fontId="64" fillId="0" borderId="10" xfId="1" applyNumberFormat="1" applyFont="1" applyBorder="1" applyAlignment="1">
      <alignment horizontal="center"/>
    </xf>
    <xf numFmtId="0" fontId="93" fillId="0" borderId="0" xfId="1" applyFont="1" applyAlignment="1">
      <alignment horizontal="center"/>
    </xf>
    <xf numFmtId="2" fontId="93" fillId="0" borderId="0" xfId="1" applyNumberFormat="1" applyFont="1" applyAlignment="1">
      <alignment horizontal="center"/>
    </xf>
    <xf numFmtId="172" fontId="144" fillId="0" borderId="0" xfId="1" applyNumberFormat="1" applyFont="1" applyAlignment="1">
      <alignment horizontal="left" vertical="center"/>
    </xf>
    <xf numFmtId="0" fontId="99" fillId="0" borderId="0" xfId="1" applyFont="1"/>
    <xf numFmtId="0" fontId="64" fillId="0" borderId="0" xfId="1" applyFont="1" applyAlignment="1">
      <alignment horizontal="center"/>
    </xf>
    <xf numFmtId="0" fontId="64" fillId="0" borderId="0" xfId="1" applyFont="1" applyAlignment="1">
      <alignment horizontal="left"/>
    </xf>
    <xf numFmtId="0" fontId="99" fillId="0" borderId="83" xfId="1" applyFont="1" applyBorder="1" applyAlignment="1">
      <alignment horizontal="center"/>
    </xf>
    <xf numFmtId="0" fontId="99" fillId="0" borderId="84" xfId="1" applyFont="1" applyBorder="1" applyAlignment="1">
      <alignment horizontal="center"/>
    </xf>
    <xf numFmtId="0" fontId="99" fillId="0" borderId="85" xfId="1" applyFont="1" applyBorder="1" applyAlignment="1">
      <alignment horizontal="center"/>
    </xf>
    <xf numFmtId="0" fontId="99" fillId="0" borderId="0" xfId="1" applyFont="1" applyAlignment="1">
      <alignment horizontal="center"/>
    </xf>
    <xf numFmtId="0" fontId="147" fillId="0" borderId="86" xfId="1" applyFont="1" applyBorder="1" applyAlignment="1">
      <alignment horizontal="center"/>
    </xf>
    <xf numFmtId="0" fontId="147" fillId="0" borderId="85" xfId="1" applyFont="1" applyBorder="1" applyAlignment="1">
      <alignment horizontal="center"/>
    </xf>
    <xf numFmtId="0" fontId="147" fillId="0" borderId="87" xfId="1" applyFont="1" applyBorder="1" applyAlignment="1">
      <alignment horizontal="center"/>
    </xf>
    <xf numFmtId="0" fontId="93" fillId="0" borderId="0" xfId="1" applyFont="1" applyAlignment="1">
      <alignment horizontal="right"/>
    </xf>
    <xf numFmtId="0" fontId="147" fillId="0" borderId="0" xfId="1" applyFont="1" applyAlignment="1">
      <alignment horizontal="center"/>
    </xf>
    <xf numFmtId="0" fontId="64" fillId="0" borderId="0" xfId="1" applyFont="1" applyAlignment="1">
      <alignment horizontal="center" vertical="center"/>
    </xf>
    <xf numFmtId="0" fontId="146" fillId="0" borderId="0" xfId="1" applyFont="1" applyAlignment="1">
      <alignment horizontal="center" vertical="center"/>
    </xf>
    <xf numFmtId="0" fontId="157" fillId="0" borderId="91" xfId="1" applyFont="1" applyBorder="1" applyAlignment="1">
      <alignment vertical="center"/>
    </xf>
    <xf numFmtId="0" fontId="158" fillId="0" borderId="91" xfId="1" applyFont="1" applyBorder="1" applyAlignment="1">
      <alignment vertical="center"/>
    </xf>
    <xf numFmtId="0" fontId="99" fillId="0" borderId="88" xfId="1" applyFont="1" applyBorder="1"/>
    <xf numFmtId="0" fontId="93" fillId="0" borderId="89" xfId="1" applyFont="1" applyBorder="1"/>
    <xf numFmtId="1" fontId="159" fillId="23" borderId="0" xfId="1" applyNumberFormat="1" applyFont="1" applyFill="1" applyAlignment="1">
      <alignment horizontal="center"/>
    </xf>
    <xf numFmtId="0" fontId="93" fillId="0" borderId="92" xfId="1" applyFont="1" applyBorder="1"/>
    <xf numFmtId="164" fontId="146" fillId="21" borderId="0" xfId="1" applyNumberFormat="1" applyFont="1" applyFill="1" applyAlignment="1">
      <alignment horizontal="center"/>
    </xf>
    <xf numFmtId="0" fontId="99" fillId="0" borderId="0" xfId="1" applyFont="1" applyAlignment="1">
      <alignment vertical="center" wrapText="1"/>
    </xf>
    <xf numFmtId="0" fontId="99" fillId="0" borderId="93" xfId="1" applyFont="1" applyBorder="1" applyAlignment="1">
      <alignment vertical="center" wrapText="1"/>
    </xf>
    <xf numFmtId="2" fontId="99" fillId="0" borderId="93" xfId="1" applyNumberFormat="1" applyFont="1" applyBorder="1" applyAlignment="1">
      <alignment horizontal="left"/>
    </xf>
    <xf numFmtId="0" fontId="93" fillId="0" borderId="93" xfId="1" applyFont="1" applyBorder="1"/>
    <xf numFmtId="2" fontId="147" fillId="0" borderId="0" xfId="1" applyNumberFormat="1" applyFont="1" applyAlignment="1">
      <alignment horizontal="left"/>
    </xf>
    <xf numFmtId="2" fontId="64" fillId="0" borderId="0" xfId="1" applyNumberFormat="1" applyFont="1"/>
    <xf numFmtId="164" fontId="147" fillId="0" borderId="0" xfId="1" applyNumberFormat="1" applyFont="1"/>
    <xf numFmtId="164" fontId="64" fillId="0" borderId="0" xfId="1" applyNumberFormat="1" applyFont="1"/>
    <xf numFmtId="0" fontId="93" fillId="0" borderId="94" xfId="1" applyFont="1" applyBorder="1"/>
    <xf numFmtId="0" fontId="93" fillId="0" borderId="91" xfId="1" applyFont="1" applyBorder="1"/>
    <xf numFmtId="0" fontId="146" fillId="0" borderId="91" xfId="1" applyFont="1" applyBorder="1" applyAlignment="1">
      <alignment horizontal="center"/>
    </xf>
    <xf numFmtId="0" fontId="99" fillId="0" borderId="0" xfId="1" applyFont="1" applyAlignment="1">
      <alignment vertical="top" wrapText="1"/>
    </xf>
    <xf numFmtId="2" fontId="147" fillId="0" borderId="0" xfId="1" applyNumberFormat="1" applyFont="1" applyAlignment="1">
      <alignment horizontal="right"/>
    </xf>
    <xf numFmtId="0" fontId="93" fillId="0" borderId="0" xfId="1" applyFont="1" applyAlignment="1">
      <alignment horizontal="center" vertical="center"/>
    </xf>
    <xf numFmtId="0" fontId="93" fillId="0" borderId="69" xfId="1" applyFont="1" applyBorder="1" applyAlignment="1">
      <alignment horizontal="left" vertical="center"/>
    </xf>
    <xf numFmtId="0" fontId="93" fillId="0" borderId="70" xfId="1" applyFont="1" applyBorder="1" applyAlignment="1">
      <alignment horizontal="center" vertical="center"/>
    </xf>
    <xf numFmtId="2" fontId="99" fillId="0" borderId="73" xfId="1" applyNumberFormat="1" applyFont="1" applyBorder="1" applyAlignment="1">
      <alignment horizontal="left" vertical="center"/>
    </xf>
    <xf numFmtId="1" fontId="64" fillId="0" borderId="0" xfId="1" applyNumberFormat="1" applyFont="1" applyAlignment="1">
      <alignment horizontal="center" vertical="center"/>
    </xf>
    <xf numFmtId="164" fontId="64" fillId="0" borderId="0" xfId="1" applyNumberFormat="1" applyFont="1" applyAlignment="1">
      <alignment horizontal="center" vertical="center"/>
    </xf>
    <xf numFmtId="0" fontId="64" fillId="0" borderId="0" xfId="1" applyFont="1" applyAlignment="1">
      <alignment horizontal="left" vertical="center"/>
    </xf>
    <xf numFmtId="0" fontId="162" fillId="0" borderId="99" xfId="1" applyFont="1" applyBorder="1" applyAlignment="1">
      <alignment horizontal="center"/>
    </xf>
    <xf numFmtId="0" fontId="93" fillId="0" borderId="100" xfId="1" applyFont="1" applyBorder="1" applyAlignment="1">
      <alignment horizontal="center"/>
    </xf>
    <xf numFmtId="0" fontId="93" fillId="0" borderId="101" xfId="1" applyFont="1" applyBorder="1"/>
    <xf numFmtId="0" fontId="93" fillId="0" borderId="101" xfId="1" applyFont="1" applyBorder="1" applyAlignment="1">
      <alignment horizontal="right"/>
    </xf>
    <xf numFmtId="0" fontId="93" fillId="0" borderId="102" xfId="1" applyFont="1" applyBorder="1" applyAlignment="1">
      <alignment horizontal="center"/>
    </xf>
    <xf numFmtId="0" fontId="93" fillId="0" borderId="74" xfId="1" applyFont="1" applyBorder="1"/>
    <xf numFmtId="1" fontId="99" fillId="0" borderId="77" xfId="1" applyNumberFormat="1" applyFont="1" applyBorder="1" applyAlignment="1">
      <alignment horizontal="left"/>
    </xf>
    <xf numFmtId="166" fontId="64" fillId="0" borderId="0" xfId="1" applyNumberFormat="1" applyFont="1"/>
    <xf numFmtId="0" fontId="99" fillId="0" borderId="92" xfId="1" applyFont="1" applyBorder="1" applyAlignment="1">
      <alignment horizontal="left"/>
    </xf>
    <xf numFmtId="17" fontId="93" fillId="0" borderId="0" xfId="1" applyNumberFormat="1" applyFont="1" applyAlignment="1">
      <alignment horizontal="center" vertical="center"/>
    </xf>
    <xf numFmtId="0" fontId="99" fillId="0" borderId="77" xfId="1" applyFont="1" applyBorder="1" applyAlignment="1">
      <alignment horizontal="left"/>
    </xf>
    <xf numFmtId="0" fontId="145" fillId="0" borderId="0" xfId="1" applyFont="1" applyAlignment="1">
      <alignment horizontal="center"/>
    </xf>
    <xf numFmtId="1" fontId="147" fillId="0" borderId="0" xfId="1" applyNumberFormat="1" applyFont="1"/>
    <xf numFmtId="0" fontId="64" fillId="0" borderId="106" xfId="1" applyFont="1" applyBorder="1"/>
    <xf numFmtId="0" fontId="93" fillId="0" borderId="99" xfId="1" applyFont="1" applyBorder="1" applyAlignment="1">
      <alignment horizontal="left" vertical="center" wrapText="1"/>
    </xf>
    <xf numFmtId="0" fontId="93" fillId="0" borderId="74" xfId="1" applyFont="1" applyBorder="1" applyAlignment="1">
      <alignment vertical="center"/>
    </xf>
    <xf numFmtId="0" fontId="93" fillId="0" borderId="0" xfId="1" applyFont="1" applyAlignment="1">
      <alignment vertical="center"/>
    </xf>
    <xf numFmtId="175" fontId="99" fillId="0" borderId="77" xfId="1" applyNumberFormat="1" applyFont="1" applyBorder="1" applyAlignment="1">
      <alignment horizontal="left" vertical="center"/>
    </xf>
    <xf numFmtId="2" fontId="147" fillId="0" borderId="106" xfId="1" applyNumberFormat="1" applyFont="1" applyBorder="1" applyAlignment="1">
      <alignment horizontal="center"/>
    </xf>
    <xf numFmtId="0" fontId="93" fillId="0" borderId="103" xfId="1" applyFont="1" applyBorder="1"/>
    <xf numFmtId="0" fontId="93" fillId="0" borderId="78" xfId="1" applyFont="1" applyBorder="1"/>
    <xf numFmtId="0" fontId="93" fillId="0" borderId="79" xfId="1" applyFont="1" applyBorder="1"/>
    <xf numFmtId="0" fontId="93" fillId="0" borderId="82" xfId="1" applyFont="1" applyBorder="1"/>
    <xf numFmtId="0" fontId="99" fillId="0" borderId="92" xfId="1" applyFont="1" applyBorder="1"/>
    <xf numFmtId="166" fontId="99" fillId="0" borderId="106" xfId="1" applyNumberFormat="1" applyFont="1" applyBorder="1" applyAlignment="1">
      <alignment horizontal="center"/>
    </xf>
    <xf numFmtId="2" fontId="145" fillId="0" borderId="0" xfId="1" applyNumberFormat="1" applyFont="1" applyAlignment="1">
      <alignment horizontal="center"/>
    </xf>
    <xf numFmtId="0" fontId="93" fillId="0" borderId="100" xfId="1" applyFont="1" applyBorder="1"/>
    <xf numFmtId="0" fontId="93" fillId="0" borderId="70" xfId="1" applyFont="1" applyBorder="1"/>
    <xf numFmtId="0" fontId="93" fillId="0" borderId="73" xfId="1" applyFont="1" applyBorder="1"/>
    <xf numFmtId="0" fontId="99" fillId="0" borderId="113" xfId="1" applyFont="1" applyBorder="1" applyAlignment="1">
      <alignment horizontal="right"/>
    </xf>
    <xf numFmtId="0" fontId="93" fillId="0" borderId="114" xfId="1" applyFont="1" applyBorder="1"/>
    <xf numFmtId="0" fontId="163" fillId="0" borderId="115" xfId="1" applyFont="1" applyBorder="1"/>
    <xf numFmtId="0" fontId="163" fillId="0" borderId="115" xfId="1" applyFont="1" applyBorder="1" applyAlignment="1">
      <alignment horizontal="right"/>
    </xf>
    <xf numFmtId="0" fontId="163" fillId="0" borderId="116" xfId="1" applyFont="1" applyBorder="1" applyAlignment="1">
      <alignment horizontal="center"/>
    </xf>
    <xf numFmtId="0" fontId="99" fillId="0" borderId="77" xfId="1" applyFont="1" applyBorder="1"/>
    <xf numFmtId="0" fontId="99" fillId="0" borderId="0" xfId="1" applyFont="1" applyAlignment="1">
      <alignment horizontal="right"/>
    </xf>
    <xf numFmtId="164" fontId="147" fillId="0" borderId="0" xfId="1" applyNumberFormat="1" applyFont="1" applyAlignment="1">
      <alignment horizontal="right"/>
    </xf>
    <xf numFmtId="0" fontId="99" fillId="0" borderId="79" xfId="1" applyFont="1" applyBorder="1" applyAlignment="1">
      <alignment horizontal="right"/>
    </xf>
    <xf numFmtId="0" fontId="93" fillId="0" borderId="123" xfId="1" applyFont="1" applyBorder="1" applyAlignment="1">
      <alignment horizontal="center" vertical="center"/>
    </xf>
    <xf numFmtId="0" fontId="93" fillId="0" borderId="124" xfId="1" applyFont="1" applyBorder="1" applyAlignment="1">
      <alignment horizontal="center" vertical="center"/>
    </xf>
    <xf numFmtId="0" fontId="93" fillId="0" borderId="125" xfId="1" applyFont="1" applyBorder="1" applyAlignment="1">
      <alignment horizontal="left" vertical="center"/>
    </xf>
    <xf numFmtId="0" fontId="93" fillId="0" borderId="125" xfId="1" applyFont="1" applyBorder="1" applyAlignment="1">
      <alignment horizontal="center" vertical="center"/>
    </xf>
    <xf numFmtId="0" fontId="93" fillId="0" borderId="126" xfId="1" applyFont="1" applyBorder="1" applyAlignment="1">
      <alignment horizontal="center" vertical="center"/>
    </xf>
    <xf numFmtId="0" fontId="145" fillId="0" borderId="0" xfId="1" applyFont="1" applyAlignment="1">
      <alignment horizontal="center" vertical="center"/>
    </xf>
    <xf numFmtId="164" fontId="147" fillId="0" borderId="0" xfId="1" applyNumberFormat="1" applyFont="1" applyAlignment="1">
      <alignment horizontal="center" vertical="center"/>
    </xf>
    <xf numFmtId="0" fontId="99" fillId="0" borderId="99" xfId="1" applyFont="1" applyBorder="1" applyAlignment="1">
      <alignment horizontal="right"/>
    </xf>
    <xf numFmtId="0" fontId="93" fillId="0" borderId="108" xfId="1" applyFont="1" applyBorder="1" applyAlignment="1">
      <alignment horizontal="center"/>
    </xf>
    <xf numFmtId="0" fontId="99" fillId="0" borderId="129" xfId="1" applyFont="1" applyBorder="1" applyAlignment="1">
      <alignment horizontal="left"/>
    </xf>
    <xf numFmtId="164" fontId="99" fillId="0" borderId="103" xfId="1" applyNumberFormat="1" applyFont="1" applyBorder="1" applyAlignment="1">
      <alignment horizontal="center"/>
    </xf>
    <xf numFmtId="0" fontId="144" fillId="0" borderId="0" xfId="1" applyFont="1"/>
    <xf numFmtId="0" fontId="163" fillId="0" borderId="0" xfId="1" applyFont="1"/>
    <xf numFmtId="0" fontId="163" fillId="0" borderId="102" xfId="1" applyFont="1" applyBorder="1" applyAlignment="1">
      <alignment horizontal="center"/>
    </xf>
    <xf numFmtId="1" fontId="147" fillId="0" borderId="106" xfId="1" applyNumberFormat="1" applyFont="1" applyBorder="1" applyAlignment="1">
      <alignment horizontal="center"/>
    </xf>
    <xf numFmtId="0" fontId="93" fillId="0" borderId="92" xfId="1" applyFont="1" applyBorder="1" applyAlignment="1">
      <alignment horizontal="left"/>
    </xf>
    <xf numFmtId="0" fontId="99" fillId="0" borderId="106" xfId="1" applyFont="1" applyBorder="1"/>
    <xf numFmtId="164" fontId="99" fillId="0" borderId="106" xfId="1" applyNumberFormat="1" applyFont="1" applyBorder="1" applyAlignment="1">
      <alignment horizontal="center"/>
    </xf>
    <xf numFmtId="0" fontId="62" fillId="0" borderId="0" xfId="1" applyFont="1"/>
    <xf numFmtId="164" fontId="145" fillId="0" borderId="0" xfId="1" applyNumberFormat="1" applyFont="1" applyAlignment="1">
      <alignment horizontal="center"/>
    </xf>
    <xf numFmtId="0" fontId="64" fillId="24" borderId="0" xfId="1" applyFont="1" applyFill="1"/>
    <xf numFmtId="0" fontId="64" fillId="0" borderId="1" xfId="1" applyFont="1" applyBorder="1"/>
    <xf numFmtId="1" fontId="99" fillId="0" borderId="106" xfId="1" applyNumberFormat="1" applyFont="1" applyBorder="1" applyAlignment="1">
      <alignment horizontal="center"/>
    </xf>
    <xf numFmtId="0" fontId="93" fillId="0" borderId="77" xfId="1" applyFont="1" applyBorder="1"/>
    <xf numFmtId="0" fontId="64" fillId="24" borderId="0" xfId="1" applyFont="1" applyFill="1" applyAlignment="1">
      <alignment horizontal="center"/>
    </xf>
    <xf numFmtId="0" fontId="64" fillId="25" borderId="0" xfId="1" applyFont="1" applyFill="1"/>
    <xf numFmtId="0" fontId="99" fillId="0" borderId="106" xfId="1" applyFont="1" applyBorder="1" applyAlignment="1">
      <alignment horizontal="center"/>
    </xf>
    <xf numFmtId="0" fontId="99" fillId="0" borderId="140" xfId="1" applyFont="1" applyBorder="1" applyAlignment="1">
      <alignment vertical="center"/>
    </xf>
    <xf numFmtId="0" fontId="93" fillId="0" borderId="2" xfId="1" applyFont="1" applyBorder="1"/>
    <xf numFmtId="0" fontId="93" fillId="0" borderId="141" xfId="1" applyFont="1" applyBorder="1"/>
    <xf numFmtId="0" fontId="99" fillId="0" borderId="106" xfId="1" applyFont="1" applyBorder="1" applyAlignment="1">
      <alignment horizontal="left"/>
    </xf>
    <xf numFmtId="0" fontId="93" fillId="0" borderId="142" xfId="1" applyFont="1" applyBorder="1"/>
    <xf numFmtId="0" fontId="93" fillId="0" borderId="115" xfId="1" applyFont="1" applyBorder="1"/>
    <xf numFmtId="0" fontId="93" fillId="0" borderId="143" xfId="1" applyFont="1" applyBorder="1"/>
    <xf numFmtId="0" fontId="93" fillId="0" borderId="115" xfId="1" applyFont="1" applyBorder="1" applyAlignment="1">
      <alignment horizontal="left" vertical="center"/>
    </xf>
    <xf numFmtId="0" fontId="93" fillId="0" borderId="144" xfId="1" applyFont="1" applyBorder="1" applyAlignment="1">
      <alignment horizontal="center"/>
    </xf>
    <xf numFmtId="2" fontId="99" fillId="0" borderId="106" xfId="1" applyNumberFormat="1" applyFont="1" applyBorder="1" applyAlignment="1">
      <alignment horizontal="center"/>
    </xf>
    <xf numFmtId="1" fontId="64" fillId="0" borderId="0" xfId="149" applyNumberFormat="1" applyFont="1" applyProtection="1"/>
    <xf numFmtId="0" fontId="64" fillId="0" borderId="51" xfId="1" applyFont="1" applyBorder="1"/>
    <xf numFmtId="0" fontId="64" fillId="0" borderId="47" xfId="1" applyFont="1" applyBorder="1"/>
    <xf numFmtId="0" fontId="64" fillId="0" borderId="1" xfId="150" applyFont="1" applyBorder="1"/>
    <xf numFmtId="0" fontId="99" fillId="0" borderId="94" xfId="1" applyFont="1" applyBorder="1" applyAlignment="1">
      <alignment horizontal="left" vertical="top" wrapText="1"/>
    </xf>
    <xf numFmtId="164" fontId="99" fillId="0" borderId="120" xfId="1" applyNumberFormat="1" applyFont="1" applyBorder="1" applyAlignment="1">
      <alignment horizontal="center" vertical="center"/>
    </xf>
    <xf numFmtId="0" fontId="144" fillId="0" borderId="91" xfId="1" applyFont="1" applyBorder="1" applyAlignment="1">
      <alignment horizontal="center" vertical="center"/>
    </xf>
    <xf numFmtId="0" fontId="163" fillId="0" borderId="91" xfId="1" applyFont="1" applyBorder="1" applyAlignment="1">
      <alignment horizontal="center" vertical="center"/>
    </xf>
    <xf numFmtId="0" fontId="163" fillId="0" borderId="122" xfId="1" applyFont="1" applyBorder="1" applyAlignment="1">
      <alignment horizontal="center" vertical="center"/>
    </xf>
    <xf numFmtId="2" fontId="64" fillId="0" borderId="1" xfId="1" applyNumberFormat="1" applyFont="1" applyBorder="1"/>
    <xf numFmtId="0" fontId="165" fillId="0" borderId="0" xfId="1" applyFont="1"/>
    <xf numFmtId="0" fontId="166" fillId="0" borderId="0" xfId="1" applyFont="1"/>
    <xf numFmtId="0" fontId="64" fillId="0" borderId="1" xfId="1" applyFont="1" applyBorder="1" applyAlignment="1">
      <alignment horizontal="center" vertical="center"/>
    </xf>
    <xf numFmtId="0" fontId="64" fillId="0" borderId="33" xfId="1" applyFont="1" applyBorder="1" applyAlignment="1">
      <alignment horizontal="center" vertical="center"/>
    </xf>
    <xf numFmtId="0" fontId="162" fillId="0" borderId="104" xfId="1" applyFont="1" applyBorder="1" applyAlignment="1">
      <alignment horizontal="center"/>
    </xf>
    <xf numFmtId="0" fontId="64" fillId="0" borderId="33" xfId="1" applyFont="1" applyBorder="1"/>
    <xf numFmtId="0" fontId="93" fillId="0" borderId="113" xfId="1" applyFont="1" applyBorder="1" applyAlignment="1">
      <alignment horizontal="left"/>
    </xf>
    <xf numFmtId="0" fontId="93" fillId="0" borderId="155" xfId="1" applyFont="1" applyBorder="1" applyAlignment="1">
      <alignment horizontal="right"/>
    </xf>
    <xf numFmtId="0" fontId="93" fillId="0" borderId="116" xfId="1" applyFont="1" applyBorder="1" applyAlignment="1">
      <alignment horizontal="center"/>
    </xf>
    <xf numFmtId="0" fontId="64" fillId="0" borderId="10" xfId="1" applyFont="1" applyBorder="1"/>
    <xf numFmtId="0" fontId="64" fillId="0" borderId="1" xfId="1" applyFont="1" applyBorder="1" applyAlignment="1">
      <alignment horizontal="center" vertical="center" wrapText="1"/>
    </xf>
    <xf numFmtId="1" fontId="99" fillId="0" borderId="103" xfId="1" applyNumberFormat="1" applyFont="1" applyBorder="1" applyAlignment="1">
      <alignment horizontal="center"/>
    </xf>
    <xf numFmtId="0" fontId="62" fillId="0" borderId="104" xfId="1" applyFont="1" applyBorder="1"/>
    <xf numFmtId="0" fontId="163" fillId="0" borderId="102" xfId="1" applyFont="1" applyBorder="1" applyAlignment="1">
      <alignment horizontal="center" vertical="center"/>
    </xf>
    <xf numFmtId="0" fontId="62" fillId="0" borderId="0" xfId="1" applyFont="1" applyAlignment="1">
      <alignment vertical="center"/>
    </xf>
    <xf numFmtId="0" fontId="93" fillId="0" borderId="127" xfId="1" applyFont="1" applyBorder="1"/>
    <xf numFmtId="2" fontId="99" fillId="0" borderId="103" xfId="1" applyNumberFormat="1" applyFont="1" applyBorder="1" applyAlignment="1">
      <alignment horizontal="center"/>
    </xf>
    <xf numFmtId="0" fontId="164" fillId="0" borderId="104" xfId="1" applyFont="1" applyBorder="1"/>
    <xf numFmtId="0" fontId="163" fillId="0" borderId="128" xfId="1" applyFont="1" applyBorder="1" applyAlignment="1">
      <alignment horizontal="center"/>
    </xf>
    <xf numFmtId="2" fontId="64" fillId="0" borderId="0" xfId="1" applyNumberFormat="1" applyFont="1" applyAlignment="1">
      <alignment horizontal="left"/>
    </xf>
    <xf numFmtId="166" fontId="147" fillId="0" borderId="103" xfId="1" applyNumberFormat="1" applyFont="1" applyBorder="1" applyAlignment="1">
      <alignment horizontal="center"/>
    </xf>
    <xf numFmtId="164" fontId="64" fillId="0" borderId="1" xfId="1" applyNumberFormat="1" applyFont="1" applyBorder="1"/>
    <xf numFmtId="0" fontId="147" fillId="0" borderId="1" xfId="1" applyFont="1" applyBorder="1" applyAlignment="1">
      <alignment horizontal="center" vertical="center" wrapText="1"/>
    </xf>
    <xf numFmtId="0" fontId="93" fillId="0" borderId="92" xfId="1" applyFont="1" applyBorder="1" applyAlignment="1">
      <alignment vertical="top"/>
    </xf>
    <xf numFmtId="0" fontId="93" fillId="0" borderId="106" xfId="1" applyFont="1" applyBorder="1"/>
    <xf numFmtId="0" fontId="163" fillId="0" borderId="102" xfId="1" applyFont="1" applyBorder="1" applyAlignment="1">
      <alignment vertical="center"/>
    </xf>
    <xf numFmtId="0" fontId="93" fillId="0" borderId="130" xfId="1" applyFont="1" applyBorder="1"/>
    <xf numFmtId="0" fontId="164" fillId="0" borderId="0" xfId="1" applyFont="1"/>
    <xf numFmtId="0" fontId="163" fillId="0" borderId="131" xfId="1" applyFont="1" applyBorder="1" applyAlignment="1">
      <alignment horizontal="center"/>
    </xf>
    <xf numFmtId="166" fontId="147" fillId="0" borderId="106" xfId="1" applyNumberFormat="1" applyFont="1" applyBorder="1" applyAlignment="1">
      <alignment horizontal="center"/>
    </xf>
    <xf numFmtId="1" fontId="99" fillId="0" borderId="106" xfId="1" applyNumberFormat="1" applyFont="1" applyBorder="1" applyAlignment="1">
      <alignment horizontal="center" vertical="center" wrapText="1"/>
    </xf>
    <xf numFmtId="1" fontId="64" fillId="0" borderId="0" xfId="1" applyNumberFormat="1" applyFont="1" applyAlignment="1">
      <alignment horizontal="center"/>
    </xf>
    <xf numFmtId="0" fontId="168" fillId="0" borderId="1" xfId="1" applyFont="1" applyBorder="1"/>
    <xf numFmtId="0" fontId="168" fillId="0" borderId="0" xfId="1" applyFont="1"/>
    <xf numFmtId="2" fontId="93" fillId="0" borderId="106" xfId="1" applyNumberFormat="1" applyFont="1" applyBorder="1" applyAlignment="1">
      <alignment vertical="center" wrapText="1"/>
    </xf>
    <xf numFmtId="0" fontId="99" fillId="0" borderId="94" xfId="1" applyFont="1" applyBorder="1" applyAlignment="1">
      <alignment horizontal="left" vertical="center" wrapText="1"/>
    </xf>
    <xf numFmtId="1" fontId="99" fillId="0" borderId="120" xfId="1" applyNumberFormat="1" applyFont="1" applyBorder="1" applyAlignment="1">
      <alignment horizontal="center" vertical="center"/>
    </xf>
    <xf numFmtId="0" fontId="144" fillId="0" borderId="91" xfId="1" applyFont="1" applyBorder="1"/>
    <xf numFmtId="0" fontId="163" fillId="0" borderId="91" xfId="1" applyFont="1" applyBorder="1" applyAlignment="1">
      <alignment vertical="center"/>
    </xf>
    <xf numFmtId="1" fontId="163" fillId="0" borderId="122" xfId="1" applyNumberFormat="1" applyFont="1" applyBorder="1" applyAlignment="1">
      <alignment horizontal="center" vertical="center"/>
    </xf>
    <xf numFmtId="0" fontId="93" fillId="0" borderId="145" xfId="1" applyFont="1" applyBorder="1" applyAlignment="1">
      <alignment vertical="center"/>
    </xf>
    <xf numFmtId="2" fontId="99" fillId="0" borderId="146" xfId="1" applyNumberFormat="1" applyFont="1" applyBorder="1" applyAlignment="1">
      <alignment horizontal="center" vertical="center"/>
    </xf>
    <xf numFmtId="0" fontId="164" fillId="0" borderId="79" xfId="1" applyFont="1" applyBorder="1" applyAlignment="1">
      <alignment vertical="center"/>
    </xf>
    <xf numFmtId="0" fontId="166" fillId="0" borderId="80" xfId="1" applyFont="1" applyBorder="1" applyAlignment="1">
      <alignment vertical="center"/>
    </xf>
    <xf numFmtId="0" fontId="163" fillId="0" borderId="147" xfId="1" applyFont="1" applyBorder="1" applyAlignment="1">
      <alignment horizontal="center" vertical="center"/>
    </xf>
    <xf numFmtId="0" fontId="64" fillId="11" borderId="0" xfId="1" applyFont="1" applyFill="1" applyAlignment="1">
      <alignment horizontal="left"/>
    </xf>
    <xf numFmtId="166" fontId="147" fillId="0" borderId="161" xfId="1" applyNumberFormat="1" applyFont="1" applyBorder="1" applyAlignment="1">
      <alignment horizontal="center" vertical="center"/>
    </xf>
    <xf numFmtId="166" fontId="99" fillId="0" borderId="0" xfId="1" applyNumberFormat="1" applyFont="1" applyAlignment="1">
      <alignment horizontal="center"/>
    </xf>
    <xf numFmtId="0" fontId="170" fillId="0" borderId="0" xfId="1" applyFont="1"/>
    <xf numFmtId="2" fontId="99" fillId="0" borderId="0" xfId="1" applyNumberFormat="1" applyFont="1" applyAlignment="1">
      <alignment horizontal="center"/>
    </xf>
    <xf numFmtId="0" fontId="64" fillId="0" borderId="0" xfId="1" applyFont="1" applyAlignment="1">
      <alignment horizontal="center" vertical="center" wrapText="1"/>
    </xf>
    <xf numFmtId="2" fontId="145" fillId="0" borderId="0" xfId="1" applyNumberFormat="1" applyFont="1" applyAlignment="1">
      <alignment horizontal="center" vertical="center"/>
    </xf>
    <xf numFmtId="0" fontId="93" fillId="0" borderId="99" xfId="1" applyFont="1" applyBorder="1" applyAlignment="1">
      <alignment vertical="center"/>
    </xf>
    <xf numFmtId="0" fontId="93" fillId="0" borderId="157" xfId="1" applyFont="1" applyBorder="1" applyAlignment="1">
      <alignment horizontal="center" vertical="center"/>
    </xf>
    <xf numFmtId="0" fontId="93" fillId="0" borderId="101" xfId="1" applyFont="1" applyBorder="1" applyAlignment="1">
      <alignment vertical="center"/>
    </xf>
    <xf numFmtId="0" fontId="93" fillId="0" borderId="101" xfId="1" applyFont="1" applyBorder="1" applyAlignment="1">
      <alignment horizontal="right" vertical="center"/>
    </xf>
    <xf numFmtId="0" fontId="93" fillId="0" borderId="108" xfId="1" applyFont="1" applyBorder="1" applyAlignment="1">
      <alignment horizontal="center" vertical="center"/>
    </xf>
    <xf numFmtId="0" fontId="93" fillId="0" borderId="162" xfId="1" applyFont="1" applyBorder="1" applyAlignment="1">
      <alignment horizontal="center" vertical="center"/>
    </xf>
    <xf numFmtId="2" fontId="64" fillId="0" borderId="0" xfId="1" applyNumberFormat="1" applyFont="1" applyAlignment="1">
      <alignment horizontal="left" vertical="center"/>
    </xf>
    <xf numFmtId="0" fontId="64" fillId="0" borderId="0" xfId="1" applyFont="1" applyAlignment="1">
      <alignment vertical="center"/>
    </xf>
    <xf numFmtId="164" fontId="145" fillId="0" borderId="0" xfId="1" applyNumberFormat="1" applyFont="1" applyAlignment="1">
      <alignment horizontal="center" vertical="center"/>
    </xf>
    <xf numFmtId="0" fontId="64" fillId="0" borderId="1" xfId="1" applyFont="1" applyBorder="1" applyAlignment="1">
      <alignment vertical="center"/>
    </xf>
    <xf numFmtId="0" fontId="64" fillId="11" borderId="0" xfId="1" applyFont="1" applyFill="1" applyAlignment="1">
      <alignment vertical="center"/>
    </xf>
    <xf numFmtId="0" fontId="147" fillId="26" borderId="1" xfId="1" applyFont="1" applyFill="1" applyBorder="1" applyAlignment="1">
      <alignment horizontal="center" vertical="center" wrapText="1"/>
    </xf>
    <xf numFmtId="0" fontId="147" fillId="0" borderId="1" xfId="1" applyFont="1" applyBorder="1" applyAlignment="1">
      <alignment horizontal="center" vertical="center"/>
    </xf>
    <xf numFmtId="0" fontId="64" fillId="11" borderId="1" xfId="1" applyFont="1" applyFill="1" applyBorder="1" applyAlignment="1">
      <alignment vertical="center"/>
    </xf>
    <xf numFmtId="0" fontId="64" fillId="11" borderId="1" xfId="1" applyFont="1" applyFill="1" applyBorder="1"/>
    <xf numFmtId="0" fontId="171" fillId="0" borderId="0" xfId="1" applyFont="1" applyAlignment="1">
      <alignment horizontal="center" vertical="center"/>
    </xf>
    <xf numFmtId="0" fontId="147" fillId="27" borderId="1" xfId="1" applyFont="1" applyFill="1" applyBorder="1" applyAlignment="1">
      <alignment horizontal="center" vertical="center"/>
    </xf>
    <xf numFmtId="0" fontId="93" fillId="0" borderId="76" xfId="1" applyFont="1" applyBorder="1"/>
    <xf numFmtId="0" fontId="163" fillId="0" borderId="8" xfId="1" applyFont="1" applyBorder="1"/>
    <xf numFmtId="0" fontId="163" fillId="0" borderId="9" xfId="1" applyFont="1" applyBorder="1"/>
    <xf numFmtId="0" fontId="163" fillId="0" borderId="93" xfId="1" applyFont="1" applyBorder="1"/>
    <xf numFmtId="0" fontId="93" fillId="0" borderId="0" xfId="1" applyFont="1" applyAlignment="1">
      <alignment horizontal="left"/>
    </xf>
    <xf numFmtId="0" fontId="171" fillId="11" borderId="1" xfId="1" applyFont="1" applyFill="1" applyBorder="1" applyAlignment="1">
      <alignment vertical="center" wrapText="1"/>
    </xf>
    <xf numFmtId="0" fontId="171" fillId="26" borderId="1" xfId="1" applyFont="1" applyFill="1" applyBorder="1" applyAlignment="1">
      <alignment vertical="center" wrapText="1"/>
    </xf>
    <xf numFmtId="0" fontId="171" fillId="11" borderId="0" xfId="1" applyFont="1" applyFill="1" applyAlignment="1">
      <alignment vertical="center" wrapText="1"/>
    </xf>
    <xf numFmtId="0" fontId="171" fillId="26" borderId="0" xfId="1" applyFont="1" applyFill="1" applyAlignment="1">
      <alignment vertical="center" wrapText="1"/>
    </xf>
    <xf numFmtId="0" fontId="93" fillId="0" borderId="0" xfId="1" applyFont="1" applyAlignment="1">
      <alignment vertical="center" wrapText="1"/>
    </xf>
    <xf numFmtId="0" fontId="93" fillId="0" borderId="0" xfId="1" applyFont="1" applyAlignment="1">
      <alignment horizontal="left" vertical="center"/>
    </xf>
    <xf numFmtId="0" fontId="93" fillId="0" borderId="0" xfId="1" applyFont="1" applyAlignment="1">
      <alignment horizontal="left" vertical="center" wrapText="1"/>
    </xf>
    <xf numFmtId="0" fontId="64" fillId="0" borderId="0" xfId="1" applyFont="1" applyAlignment="1">
      <alignment wrapText="1"/>
    </xf>
    <xf numFmtId="0" fontId="174" fillId="0" borderId="0" xfId="148" applyFont="1"/>
    <xf numFmtId="0" fontId="175" fillId="0" borderId="0" xfId="148" applyFont="1"/>
    <xf numFmtId="0" fontId="93" fillId="2" borderId="1" xfId="148" applyFont="1" applyFill="1" applyBorder="1" applyAlignment="1">
      <alignment horizontal="left" vertical="center" wrapText="1"/>
    </xf>
    <xf numFmtId="0" fontId="61" fillId="0" borderId="56" xfId="148" applyFont="1" applyBorder="1" applyAlignment="1">
      <alignment vertical="center"/>
    </xf>
    <xf numFmtId="0" fontId="93" fillId="2" borderId="1" xfId="148" applyFont="1" applyFill="1" applyBorder="1" applyAlignment="1">
      <alignment horizontal="left" vertical="center"/>
    </xf>
    <xf numFmtId="0" fontId="61" fillId="14" borderId="56" xfId="148" applyFont="1" applyFill="1" applyBorder="1" applyAlignment="1">
      <alignment vertical="center"/>
    </xf>
    <xf numFmtId="170" fontId="99" fillId="0" borderId="0" xfId="1" applyNumberFormat="1" applyFont="1"/>
    <xf numFmtId="0" fontId="147" fillId="28" borderId="168" xfId="1" applyFont="1" applyFill="1" applyBorder="1" applyAlignment="1">
      <alignment horizontal="center" vertical="center" wrapText="1"/>
    </xf>
    <xf numFmtId="0" fontId="147" fillId="28" borderId="0" xfId="1" applyFont="1" applyFill="1" applyAlignment="1">
      <alignment horizontal="center" vertical="center" wrapText="1"/>
    </xf>
    <xf numFmtId="0" fontId="64" fillId="0" borderId="51" xfId="1" applyFont="1" applyBorder="1" applyAlignment="1">
      <alignment horizontal="left" vertical="center" wrapText="1"/>
    </xf>
    <xf numFmtId="0" fontId="99" fillId="0" borderId="0" xfId="1" applyFont="1" applyAlignment="1">
      <alignment horizontal="left"/>
    </xf>
    <xf numFmtId="0" fontId="146" fillId="0" borderId="0" xfId="1" applyFont="1" applyAlignment="1">
      <alignment vertical="top" wrapText="1"/>
    </xf>
    <xf numFmtId="0" fontId="177" fillId="0" borderId="0" xfId="1" applyFont="1" applyAlignment="1">
      <alignment vertical="center" wrapText="1"/>
    </xf>
    <xf numFmtId="0" fontId="177" fillId="0" borderId="0" xfId="1" applyFont="1" applyAlignment="1">
      <alignment vertical="center"/>
    </xf>
    <xf numFmtId="0" fontId="93" fillId="2" borderId="7" xfId="148" applyFont="1" applyFill="1" applyBorder="1" applyAlignment="1">
      <alignment horizontal="left" vertical="center"/>
    </xf>
    <xf numFmtId="0" fontId="64" fillId="0" borderId="51" xfId="1" applyFont="1" applyBorder="1" applyAlignment="1">
      <alignment vertical="center"/>
    </xf>
    <xf numFmtId="4" fontId="64" fillId="0" borderId="0" xfId="1" applyNumberFormat="1" applyFont="1" applyAlignment="1">
      <alignment vertical="center"/>
    </xf>
    <xf numFmtId="4" fontId="64" fillId="0" borderId="0" xfId="1" applyNumberFormat="1" applyFont="1"/>
    <xf numFmtId="0" fontId="93" fillId="0" borderId="0" xfId="1" applyFont="1" applyAlignment="1">
      <alignment vertical="top"/>
    </xf>
    <xf numFmtId="0" fontId="93" fillId="0" borderId="0" xfId="1" applyFont="1" applyAlignment="1">
      <alignment vertical="top" wrapText="1"/>
    </xf>
    <xf numFmtId="0" fontId="64" fillId="11" borderId="51" xfId="1" applyFont="1" applyFill="1" applyBorder="1"/>
    <xf numFmtId="0" fontId="93" fillId="0" borderId="176" xfId="1" applyFont="1" applyBorder="1" applyAlignment="1">
      <alignment horizontal="left" vertical="center"/>
    </xf>
    <xf numFmtId="0" fontId="93" fillId="0" borderId="177" xfId="1" applyFont="1" applyBorder="1" applyAlignment="1">
      <alignment horizontal="left" vertical="center"/>
    </xf>
    <xf numFmtId="0" fontId="93" fillId="0" borderId="178" xfId="1" applyFont="1" applyBorder="1" applyAlignment="1">
      <alignment horizontal="left" vertical="center"/>
    </xf>
    <xf numFmtId="0" fontId="64" fillId="11" borderId="46" xfId="1" applyFont="1" applyFill="1" applyBorder="1" applyAlignment="1">
      <alignment horizontal="center"/>
    </xf>
    <xf numFmtId="0" fontId="64" fillId="11" borderId="47" xfId="1" applyFont="1" applyFill="1" applyBorder="1" applyAlignment="1">
      <alignment horizontal="center"/>
    </xf>
    <xf numFmtId="0" fontId="64" fillId="0" borderId="46" xfId="1" applyFont="1" applyBorder="1" applyAlignment="1">
      <alignment horizontal="center"/>
    </xf>
    <xf numFmtId="0" fontId="64" fillId="0" borderId="47" xfId="1" applyFont="1" applyBorder="1" applyAlignment="1">
      <alignment horizontal="center"/>
    </xf>
    <xf numFmtId="0" fontId="99" fillId="0" borderId="0" xfId="1" applyFont="1" applyAlignment="1">
      <alignment horizontal="center" vertical="center"/>
    </xf>
    <xf numFmtId="0" fontId="64" fillId="0" borderId="46" xfId="1" applyFont="1" applyBorder="1"/>
    <xf numFmtId="0" fontId="93" fillId="0" borderId="8" xfId="1" applyFont="1" applyBorder="1" applyAlignment="1">
      <alignment vertical="center"/>
    </xf>
    <xf numFmtId="0" fontId="93" fillId="0" borderId="186" xfId="1" applyFont="1" applyBorder="1" applyAlignment="1">
      <alignment vertical="center" wrapText="1"/>
    </xf>
    <xf numFmtId="0" fontId="93" fillId="0" borderId="9" xfId="1" applyFont="1" applyBorder="1" applyAlignment="1">
      <alignment vertical="center" wrapText="1"/>
    </xf>
    <xf numFmtId="0" fontId="93" fillId="0" borderId="191" xfId="1" applyFont="1" applyBorder="1" applyAlignment="1">
      <alignment horizontal="left" vertical="center" wrapText="1"/>
    </xf>
    <xf numFmtId="0" fontId="93" fillId="0" borderId="177" xfId="1" applyFont="1" applyBorder="1" applyAlignment="1">
      <alignment horizontal="left" vertical="center" wrapText="1"/>
    </xf>
    <xf numFmtId="0" fontId="93" fillId="0" borderId="178" xfId="1" applyFont="1" applyBorder="1" applyAlignment="1">
      <alignment horizontal="left" vertical="center" wrapText="1"/>
    </xf>
    <xf numFmtId="1" fontId="64" fillId="0" borderId="0" xfId="1" applyNumberFormat="1" applyFont="1" applyAlignment="1">
      <alignment horizontal="center" vertical="top" wrapText="1"/>
    </xf>
    <xf numFmtId="0" fontId="168" fillId="0" borderId="0" xfId="1" applyFont="1" applyAlignment="1">
      <alignment horizontal="center" vertical="center" wrapText="1"/>
    </xf>
    <xf numFmtId="164" fontId="93" fillId="0" borderId="190" xfId="1" applyNumberFormat="1" applyFont="1" applyBorder="1" applyAlignment="1">
      <alignment horizontal="left" vertical="center"/>
    </xf>
    <xf numFmtId="0" fontId="93" fillId="0" borderId="0" xfId="1" applyFont="1" applyAlignment="1">
      <alignment wrapText="1"/>
    </xf>
    <xf numFmtId="0" fontId="99" fillId="0" borderId="0" xfId="1" applyFont="1" applyAlignment="1">
      <alignment wrapText="1"/>
    </xf>
    <xf numFmtId="1" fontId="179" fillId="0" borderId="0" xfId="148" applyNumberFormat="1" applyFont="1" applyAlignment="1">
      <alignment horizontal="left"/>
    </xf>
    <xf numFmtId="0" fontId="180" fillId="0" borderId="0" xfId="148" applyFont="1" applyAlignment="1">
      <alignment horizontal="left"/>
    </xf>
    <xf numFmtId="14" fontId="93" fillId="0" borderId="0" xfId="148" applyNumberFormat="1" applyFont="1" applyAlignment="1">
      <alignment horizontal="left"/>
    </xf>
    <xf numFmtId="0" fontId="93" fillId="0" borderId="0" xfId="148" applyFont="1" applyAlignment="1">
      <alignment horizontal="left"/>
    </xf>
    <xf numFmtId="1" fontId="64" fillId="29" borderId="0" xfId="1" applyNumberFormat="1" applyFont="1" applyFill="1"/>
    <xf numFmtId="0" fontId="64" fillId="29" borderId="0" xfId="1" applyFont="1" applyFill="1"/>
    <xf numFmtId="0" fontId="93" fillId="29" borderId="0" xfId="1" applyFont="1" applyFill="1"/>
    <xf numFmtId="176" fontId="93" fillId="29" borderId="0" xfId="1" applyNumberFormat="1" applyFont="1" applyFill="1"/>
    <xf numFmtId="0" fontId="93" fillId="29" borderId="0" xfId="1" applyFont="1" applyFill="1" applyAlignment="1">
      <alignment horizontal="left"/>
    </xf>
    <xf numFmtId="0" fontId="93" fillId="29" borderId="0" xfId="1" applyFont="1" applyFill="1" applyAlignment="1">
      <alignment horizontal="center"/>
    </xf>
    <xf numFmtId="0" fontId="168" fillId="29" borderId="0" xfId="1" applyFont="1" applyFill="1"/>
    <xf numFmtId="0" fontId="64" fillId="29" borderId="0" xfId="1" applyFont="1" applyFill="1" applyAlignment="1">
      <alignment horizontal="left"/>
    </xf>
    <xf numFmtId="0" fontId="21" fillId="0" borderId="0" xfId="148" applyFont="1" applyAlignment="1">
      <alignment horizontal="center" vertical="center"/>
    </xf>
    <xf numFmtId="169" fontId="7" fillId="22" borderId="0" xfId="148" applyNumberFormat="1" applyFont="1" applyFill="1" applyAlignment="1">
      <alignment horizontal="center"/>
    </xf>
    <xf numFmtId="1" fontId="7" fillId="22" borderId="0" xfId="148" applyNumberFormat="1" applyFont="1" applyFill="1" applyAlignment="1">
      <alignment horizontal="center" vertical="center"/>
    </xf>
    <xf numFmtId="2" fontId="7" fillId="22" borderId="0" xfId="148" applyNumberFormat="1" applyFont="1" applyFill="1" applyAlignment="1">
      <alignment horizontal="center" vertical="center"/>
    </xf>
    <xf numFmtId="164" fontId="7" fillId="22" borderId="0" xfId="148" applyNumberFormat="1" applyFont="1" applyFill="1" applyAlignment="1">
      <alignment horizontal="center" vertical="center"/>
    </xf>
    <xf numFmtId="166" fontId="7" fillId="22" borderId="0" xfId="148" applyNumberFormat="1" applyFont="1" applyFill="1" applyAlignment="1">
      <alignment horizontal="center" vertical="center"/>
    </xf>
    <xf numFmtId="2" fontId="51" fillId="22" borderId="0" xfId="148" applyNumberFormat="1" applyFont="1" applyFill="1" applyAlignment="1">
      <alignment horizontal="center" vertical="center"/>
    </xf>
    <xf numFmtId="2" fontId="7" fillId="22" borderId="0" xfId="148" applyNumberFormat="1" applyFont="1" applyFill="1" applyAlignment="1">
      <alignment horizontal="center"/>
    </xf>
    <xf numFmtId="1" fontId="7" fillId="22" borderId="0" xfId="148" applyNumberFormat="1" applyFont="1" applyFill="1" applyAlignment="1">
      <alignment horizontal="center"/>
    </xf>
    <xf numFmtId="0" fontId="19" fillId="0" borderId="0" xfId="148"/>
    <xf numFmtId="0" fontId="6" fillId="30" borderId="12" xfId="148" applyFont="1" applyFill="1" applyBorder="1" applyAlignment="1">
      <alignment horizontal="center"/>
    </xf>
    <xf numFmtId="164" fontId="6" fillId="30" borderId="12" xfId="148" applyNumberFormat="1" applyFont="1" applyFill="1" applyBorder="1" applyAlignment="1">
      <alignment horizontal="center"/>
    </xf>
    <xf numFmtId="2" fontId="6" fillId="30" borderId="12" xfId="148" applyNumberFormat="1" applyFont="1" applyFill="1" applyBorder="1" applyAlignment="1">
      <alignment horizontal="center"/>
    </xf>
    <xf numFmtId="0" fontId="88" fillId="30" borderId="12" xfId="148" applyFont="1" applyFill="1" applyBorder="1" applyAlignment="1">
      <alignment horizontal="center"/>
    </xf>
    <xf numFmtId="0" fontId="42" fillId="0" borderId="0" xfId="148" applyFont="1"/>
    <xf numFmtId="165" fontId="6" fillId="30" borderId="10" xfId="148" applyNumberFormat="1" applyFont="1" applyFill="1" applyBorder="1" applyAlignment="1">
      <alignment horizontal="center"/>
    </xf>
    <xf numFmtId="0" fontId="6" fillId="30" borderId="10" xfId="148" applyFont="1" applyFill="1" applyBorder="1" applyAlignment="1">
      <alignment horizontal="center"/>
    </xf>
    <xf numFmtId="164" fontId="6" fillId="30" borderId="10" xfId="148" applyNumberFormat="1" applyFont="1" applyFill="1" applyBorder="1" applyAlignment="1">
      <alignment horizontal="center"/>
    </xf>
    <xf numFmtId="2" fontId="6" fillId="30" borderId="10" xfId="148" applyNumberFormat="1" applyFont="1" applyFill="1" applyBorder="1" applyAlignment="1">
      <alignment horizontal="center"/>
    </xf>
    <xf numFmtId="0" fontId="88" fillId="30" borderId="10" xfId="148" applyFont="1" applyFill="1" applyBorder="1" applyAlignment="1">
      <alignment horizontal="center"/>
    </xf>
    <xf numFmtId="1" fontId="77" fillId="2" borderId="0" xfId="148" applyNumberFormat="1" applyFont="1" applyFill="1" applyAlignment="1">
      <alignment horizontal="center" vertical="center"/>
    </xf>
    <xf numFmtId="0" fontId="77" fillId="2" borderId="0" xfId="148" applyFont="1" applyFill="1" applyAlignment="1">
      <alignment horizontal="left" vertical="center"/>
    </xf>
    <xf numFmtId="14" fontId="77" fillId="2" borderId="0" xfId="148" applyNumberFormat="1" applyFont="1" applyFill="1" applyAlignment="1">
      <alignment horizontal="left" vertical="center"/>
    </xf>
    <xf numFmtId="0" fontId="78" fillId="2" borderId="0" xfId="148" applyFont="1" applyFill="1" applyAlignment="1">
      <alignment horizontal="center" vertical="center"/>
    </xf>
    <xf numFmtId="0" fontId="77" fillId="2" borderId="0" xfId="148" applyFont="1" applyFill="1" applyAlignment="1">
      <alignment horizontal="center" vertical="center"/>
    </xf>
    <xf numFmtId="1" fontId="77" fillId="2" borderId="0" xfId="148" applyNumberFormat="1" applyFont="1" applyFill="1" applyAlignment="1">
      <alignment horizontal="left" vertical="center"/>
    </xf>
    <xf numFmtId="0" fontId="80" fillId="0" borderId="0" xfId="148" applyFont="1" applyAlignment="1">
      <alignment horizontal="left" vertical="center"/>
    </xf>
    <xf numFmtId="2" fontId="4" fillId="0" borderId="0" xfId="151" applyNumberFormat="1"/>
    <xf numFmtId="0" fontId="4" fillId="0" borderId="0" xfId="151"/>
    <xf numFmtId="0" fontId="4" fillId="19" borderId="0" xfId="151" applyFill="1" applyAlignment="1">
      <alignment horizontal="center"/>
    </xf>
    <xf numFmtId="2" fontId="4" fillId="19" borderId="0" xfId="151" applyNumberFormat="1" applyFill="1" applyAlignment="1">
      <alignment horizontal="center"/>
    </xf>
    <xf numFmtId="164" fontId="7" fillId="0" borderId="7" xfId="0" applyNumberFormat="1" applyFont="1" applyBorder="1" applyAlignment="1">
      <alignment horizontal="center" vertical="center"/>
    </xf>
    <xf numFmtId="0" fontId="51" fillId="0" borderId="0" xfId="0" applyFont="1"/>
    <xf numFmtId="0" fontId="7" fillId="12" borderId="10" xfId="0" applyFont="1" applyFill="1" applyBorder="1" applyAlignment="1">
      <alignment horizontal="left" vertical="center"/>
    </xf>
    <xf numFmtId="0" fontId="7" fillId="12" borderId="10" xfId="0" applyFont="1" applyFill="1" applyBorder="1" applyAlignment="1">
      <alignment horizontal="center" vertical="center"/>
    </xf>
    <xf numFmtId="0" fontId="82" fillId="12" borderId="10" xfId="0" applyFont="1" applyFill="1" applyBorder="1" applyAlignment="1">
      <alignment horizontal="center" vertical="center"/>
    </xf>
    <xf numFmtId="0" fontId="0" fillId="12" borderId="0" xfId="0" applyFill="1" applyAlignment="1">
      <alignment horizontal="center"/>
    </xf>
    <xf numFmtId="0" fontId="0" fillId="12" borderId="0" xfId="0" applyFill="1"/>
    <xf numFmtId="0" fontId="64" fillId="0" borderId="10" xfId="0" applyFont="1" applyBorder="1" applyAlignment="1">
      <alignment vertical="center"/>
    </xf>
    <xf numFmtId="0" fontId="64" fillId="0" borderId="10" xfId="0" applyFont="1" applyBorder="1" applyAlignment="1">
      <alignment horizontal="center" vertical="center"/>
    </xf>
    <xf numFmtId="164" fontId="64" fillId="0" borderId="10" xfId="0" applyNumberFormat="1" applyFont="1" applyBorder="1" applyAlignment="1">
      <alignment horizontal="center" vertical="center"/>
    </xf>
    <xf numFmtId="1" fontId="57" fillId="0" borderId="0" xfId="0" applyNumberFormat="1" applyFont="1" applyAlignment="1">
      <alignment horizontal="center"/>
    </xf>
    <xf numFmtId="0" fontId="56" fillId="5" borderId="0" xfId="0" applyFont="1" applyFill="1"/>
    <xf numFmtId="164" fontId="55" fillId="0" borderId="0" xfId="0" applyNumberFormat="1" applyFont="1" applyAlignment="1">
      <alignment horizontal="center"/>
    </xf>
    <xf numFmtId="164" fontId="57" fillId="0" borderId="0" xfId="0" applyNumberFormat="1" applyFont="1" applyAlignment="1">
      <alignment horizontal="center"/>
    </xf>
    <xf numFmtId="2" fontId="57" fillId="0" borderId="0" xfId="0" applyNumberFormat="1" applyFont="1" applyAlignment="1">
      <alignment horizontal="center"/>
    </xf>
    <xf numFmtId="0" fontId="185" fillId="0" borderId="0" xfId="0" applyFont="1" applyAlignment="1">
      <alignment horizontal="center"/>
    </xf>
    <xf numFmtId="0" fontId="58" fillId="0" borderId="0" xfId="0" applyFont="1" applyAlignment="1">
      <alignment horizontal="center"/>
    </xf>
    <xf numFmtId="164" fontId="58" fillId="0" borderId="0" xfId="0" applyNumberFormat="1" applyFont="1" applyAlignment="1">
      <alignment horizontal="center"/>
    </xf>
    <xf numFmtId="2" fontId="58" fillId="0" borderId="0" xfId="0" applyNumberFormat="1" applyFont="1" applyAlignment="1">
      <alignment horizontal="center"/>
    </xf>
    <xf numFmtId="1" fontId="58" fillId="0" borderId="0" xfId="0" applyNumberFormat="1" applyFont="1" applyAlignment="1">
      <alignment horizontal="center"/>
    </xf>
    <xf numFmtId="166" fontId="58" fillId="0" borderId="0" xfId="0" applyNumberFormat="1" applyFont="1" applyAlignment="1">
      <alignment horizontal="center"/>
    </xf>
    <xf numFmtId="0" fontId="184" fillId="0" borderId="0" xfId="0" applyFont="1" applyAlignment="1">
      <alignment horizontal="center"/>
    </xf>
    <xf numFmtId="1" fontId="89" fillId="0" borderId="0" xfId="0" applyNumberFormat="1" applyFont="1" applyAlignment="1">
      <alignment horizontal="center" vertical="center"/>
    </xf>
    <xf numFmtId="22" fontId="95" fillId="0" borderId="0" xfId="0" applyNumberFormat="1" applyFont="1" applyAlignment="1">
      <alignment horizontal="left"/>
    </xf>
    <xf numFmtId="0" fontId="93" fillId="0" borderId="57" xfId="0" applyFont="1" applyBorder="1" applyAlignment="1">
      <alignment vertical="center"/>
    </xf>
    <xf numFmtId="0" fontId="93" fillId="0" borderId="0" xfId="0" applyFont="1" applyAlignment="1">
      <alignment vertical="center"/>
    </xf>
    <xf numFmtId="0" fontId="93" fillId="0" borderId="0" xfId="0" applyFont="1" applyAlignment="1">
      <alignment horizontal="left" vertical="center"/>
    </xf>
    <xf numFmtId="0" fontId="97" fillId="0" borderId="0" xfId="0" applyFont="1" applyAlignment="1">
      <alignment horizontal="left" vertical="top" wrapText="1"/>
    </xf>
    <xf numFmtId="0" fontId="135" fillId="0" borderId="0" xfId="0" applyFont="1" applyAlignment="1">
      <alignment vertical="top"/>
    </xf>
    <xf numFmtId="0" fontId="135" fillId="0" borderId="0" xfId="0" applyFont="1" applyAlignment="1" applyProtection="1">
      <alignment vertical="top"/>
      <protection locked="0"/>
    </xf>
    <xf numFmtId="0" fontId="89" fillId="0" borderId="0" xfId="0" applyFont="1" applyAlignment="1" applyProtection="1">
      <alignment vertical="top"/>
      <protection locked="0"/>
    </xf>
    <xf numFmtId="0" fontId="186" fillId="0" borderId="0" xfId="0" applyFont="1" applyProtection="1">
      <protection locked="0"/>
    </xf>
    <xf numFmtId="1" fontId="186" fillId="0" borderId="0" xfId="0" applyNumberFormat="1" applyFont="1" applyProtection="1">
      <protection locked="0"/>
    </xf>
    <xf numFmtId="0" fontId="193" fillId="0" borderId="0" xfId="0" applyFont="1"/>
    <xf numFmtId="0" fontId="186" fillId="0" borderId="0" xfId="0" applyFont="1" applyAlignment="1" applyProtection="1">
      <alignment horizontal="center"/>
      <protection locked="0"/>
    </xf>
    <xf numFmtId="0" fontId="186" fillId="0" borderId="0" xfId="0" applyFont="1" applyAlignment="1" applyProtection="1">
      <alignment horizontal="center" vertical="center"/>
      <protection locked="0"/>
    </xf>
    <xf numFmtId="14" fontId="187" fillId="0" borderId="0" xfId="0" applyNumberFormat="1" applyFont="1" applyAlignment="1" applyProtection="1">
      <alignment horizontal="center"/>
      <protection locked="0"/>
    </xf>
    <xf numFmtId="0" fontId="186" fillId="0" borderId="0" xfId="0" applyFont="1" applyAlignment="1">
      <alignment horizontal="center"/>
    </xf>
    <xf numFmtId="0" fontId="84" fillId="0" borderId="0" xfId="0" applyFont="1" applyAlignment="1" applyProtection="1">
      <alignment horizontal="left"/>
      <protection locked="0"/>
    </xf>
    <xf numFmtId="0" fontId="186" fillId="0" borderId="0" xfId="0" applyFont="1"/>
    <xf numFmtId="1" fontId="186" fillId="0" borderId="0" xfId="0" applyNumberFormat="1" applyFont="1" applyAlignment="1">
      <alignment horizontal="center"/>
    </xf>
    <xf numFmtId="14" fontId="188" fillId="0" borderId="0" xfId="0" applyNumberFormat="1" applyFont="1" applyAlignment="1" applyProtection="1">
      <alignment horizontal="center"/>
      <protection locked="0"/>
    </xf>
    <xf numFmtId="14" fontId="187" fillId="0" borderId="0" xfId="0" applyNumberFormat="1" applyFont="1" applyAlignment="1">
      <alignment horizontal="center"/>
    </xf>
    <xf numFmtId="164" fontId="186" fillId="0" borderId="0" xfId="0" applyNumberFormat="1" applyFont="1" applyAlignment="1">
      <alignment horizontal="center" vertical="center"/>
    </xf>
    <xf numFmtId="0" fontId="81" fillId="31" borderId="0" xfId="0" applyFont="1" applyFill="1" applyProtection="1">
      <protection locked="0"/>
    </xf>
    <xf numFmtId="0" fontId="67" fillId="0" borderId="1" xfId="0" applyFont="1" applyBorder="1" applyAlignment="1">
      <alignment vertical="center" wrapText="1"/>
    </xf>
    <xf numFmtId="3" fontId="0" fillId="32" borderId="0" xfId="0" applyNumberFormat="1" applyFill="1" applyAlignment="1">
      <alignment horizontal="center"/>
    </xf>
    <xf numFmtId="165" fontId="0" fillId="32" borderId="0" xfId="0" applyNumberFormat="1" applyFill="1" applyAlignment="1">
      <alignment horizontal="center"/>
    </xf>
    <xf numFmtId="0" fontId="0" fillId="32" borderId="0" xfId="0" applyFill="1" applyAlignment="1">
      <alignment horizontal="center"/>
    </xf>
    <xf numFmtId="0" fontId="0" fillId="32" borderId="0" xfId="0" applyFill="1" applyAlignment="1">
      <alignment horizontal="center" vertical="center" wrapText="1"/>
    </xf>
    <xf numFmtId="0" fontId="81" fillId="0" borderId="0" xfId="0" applyFont="1" applyProtection="1">
      <protection locked="0"/>
    </xf>
    <xf numFmtId="0" fontId="81" fillId="0" borderId="0" xfId="0" applyFont="1" applyAlignment="1" applyProtection="1">
      <alignment horizontal="center" vertical="center"/>
      <protection locked="0"/>
    </xf>
    <xf numFmtId="1" fontId="186" fillId="0" borderId="0" xfId="0" applyNumberFormat="1" applyFont="1" applyAlignment="1" applyProtection="1">
      <alignment horizontal="center"/>
      <protection locked="0"/>
    </xf>
    <xf numFmtId="0" fontId="18" fillId="0" borderId="6" xfId="0" applyFont="1" applyBorder="1" applyAlignment="1">
      <alignment horizontal="center" vertical="center"/>
    </xf>
    <xf numFmtId="0" fontId="18" fillId="0" borderId="8" xfId="0" applyFont="1" applyBorder="1" applyAlignment="1">
      <alignment horizontal="center" vertical="center"/>
    </xf>
    <xf numFmtId="0" fontId="44" fillId="0" borderId="7" xfId="0" applyFont="1" applyBorder="1" applyAlignment="1">
      <alignment horizontal="center" vertical="center"/>
    </xf>
    <xf numFmtId="0" fontId="44" fillId="0" borderId="13" xfId="0" applyFont="1" applyBorder="1" applyAlignment="1">
      <alignment horizontal="center" vertical="center"/>
    </xf>
    <xf numFmtId="0" fontId="44" fillId="0" borderId="10" xfId="0" applyFont="1" applyBorder="1" applyAlignment="1">
      <alignment horizontal="center" vertical="center"/>
    </xf>
    <xf numFmtId="0" fontId="44" fillId="0" borderId="12" xfId="0" applyFont="1" applyBorder="1" applyAlignment="1">
      <alignment horizontal="center" vertical="center"/>
    </xf>
    <xf numFmtId="0" fontId="44" fillId="0" borderId="6" xfId="0" applyFont="1" applyBorder="1" applyAlignment="1">
      <alignment horizontal="center" vertical="center"/>
    </xf>
    <xf numFmtId="0" fontId="44" fillId="0" borderId="8" xfId="0" applyFont="1" applyBorder="1" applyAlignment="1">
      <alignment horizontal="center" vertical="center"/>
    </xf>
    <xf numFmtId="0" fontId="44" fillId="0" borderId="11" xfId="0" applyFont="1" applyBorder="1" applyAlignment="1">
      <alignment horizontal="center" vertical="center"/>
    </xf>
    <xf numFmtId="0" fontId="197" fillId="0" borderId="0" xfId="0" applyFont="1" applyAlignment="1">
      <alignment horizontal="right"/>
    </xf>
    <xf numFmtId="0" fontId="198" fillId="0" borderId="10" xfId="0" applyFont="1" applyBorder="1" applyAlignment="1">
      <alignment horizontal="center" vertical="center"/>
    </xf>
    <xf numFmtId="0" fontId="198" fillId="12" borderId="10" xfId="0" applyFont="1" applyFill="1" applyBorder="1" applyAlignment="1">
      <alignment horizontal="center" vertical="center"/>
    </xf>
    <xf numFmtId="0" fontId="67" fillId="0" borderId="1" xfId="0" applyFont="1" applyBorder="1" applyAlignment="1">
      <alignment horizontal="center" vertical="center" wrapText="1"/>
    </xf>
    <xf numFmtId="0" fontId="0" fillId="33" borderId="0" xfId="0" applyFill="1" applyAlignment="1">
      <alignment horizontal="center"/>
    </xf>
    <xf numFmtId="0" fontId="186" fillId="0" borderId="0" xfId="0" applyFont="1" applyAlignment="1" applyProtection="1">
      <alignment horizontal="left"/>
      <protection locked="0"/>
    </xf>
    <xf numFmtId="0" fontId="35" fillId="0" borderId="0" xfId="0" applyFont="1" applyAlignment="1">
      <alignment vertical="center" wrapText="1"/>
    </xf>
    <xf numFmtId="0" fontId="8" fillId="0" borderId="0" xfId="0" applyFont="1" applyAlignment="1">
      <alignment vertical="center"/>
    </xf>
    <xf numFmtId="0" fontId="8" fillId="0" borderId="0" xfId="0" applyFont="1" applyAlignment="1">
      <alignment vertical="center" wrapText="1"/>
    </xf>
    <xf numFmtId="0" fontId="196" fillId="0" borderId="0" xfId="0" applyFont="1" applyAlignment="1">
      <alignment wrapText="1"/>
    </xf>
    <xf numFmtId="0" fontId="196" fillId="0" borderId="0" xfId="0" applyFont="1" applyAlignment="1">
      <alignment vertical="center" wrapText="1"/>
    </xf>
    <xf numFmtId="0" fontId="186" fillId="0" borderId="0" xfId="0" applyFont="1" applyAlignment="1" applyProtection="1">
      <alignment wrapText="1"/>
      <protection locked="0"/>
    </xf>
    <xf numFmtId="0" fontId="200" fillId="0" borderId="0" xfId="0" applyFont="1" applyAlignment="1" applyProtection="1">
      <alignment horizontal="center"/>
      <protection locked="0"/>
    </xf>
    <xf numFmtId="0" fontId="200" fillId="0" borderId="0" xfId="0" applyFont="1" applyProtection="1">
      <protection locked="0"/>
    </xf>
    <xf numFmtId="0" fontId="186" fillId="0" borderId="0" xfId="0" applyFont="1" applyAlignment="1">
      <alignment horizontal="left"/>
    </xf>
    <xf numFmtId="0" fontId="201" fillId="34" borderId="0" xfId="0" applyFont="1" applyFill="1" applyAlignment="1">
      <alignment horizontal="center"/>
    </xf>
    <xf numFmtId="0" fontId="185" fillId="34" borderId="0" xfId="0" applyFont="1" applyFill="1" applyAlignment="1">
      <alignment horizontal="center"/>
    </xf>
    <xf numFmtId="2" fontId="185" fillId="34" borderId="0" xfId="0" applyNumberFormat="1" applyFont="1" applyFill="1" applyAlignment="1">
      <alignment horizontal="center"/>
    </xf>
    <xf numFmtId="164" fontId="185" fillId="34" borderId="0" xfId="0" applyNumberFormat="1" applyFont="1" applyFill="1" applyAlignment="1">
      <alignment horizontal="center"/>
    </xf>
    <xf numFmtId="0" fontId="0" fillId="32" borderId="0" xfId="0" applyFill="1"/>
    <xf numFmtId="1" fontId="0" fillId="32" borderId="0" xfId="0" applyNumberFormat="1" applyFill="1" applyAlignment="1">
      <alignment horizontal="center"/>
    </xf>
    <xf numFmtId="2" fontId="0" fillId="32" borderId="0" xfId="0" applyNumberFormat="1" applyFill="1" applyAlignment="1">
      <alignment horizontal="center"/>
    </xf>
    <xf numFmtId="0" fontId="184" fillId="35" borderId="0" xfId="0" applyFont="1" applyFill="1" applyAlignment="1">
      <alignment horizontal="center"/>
    </xf>
    <xf numFmtId="164" fontId="58" fillId="35" borderId="0" xfId="0" applyNumberFormat="1" applyFont="1" applyFill="1" applyAlignment="1">
      <alignment horizontal="center"/>
    </xf>
    <xf numFmtId="2" fontId="58" fillId="35" borderId="0" xfId="0" applyNumberFormat="1" applyFont="1" applyFill="1" applyAlignment="1">
      <alignment horizontal="center"/>
    </xf>
    <xf numFmtId="0" fontId="58" fillId="35" borderId="0" xfId="0" applyFont="1" applyFill="1" applyAlignment="1">
      <alignment horizontal="center"/>
    </xf>
    <xf numFmtId="1" fontId="184" fillId="35" borderId="0" xfId="0" applyNumberFormat="1" applyFont="1" applyFill="1" applyAlignment="1">
      <alignment horizontal="center"/>
    </xf>
    <xf numFmtId="1" fontId="58" fillId="35" borderId="0" xfId="0" applyNumberFormat="1" applyFont="1" applyFill="1" applyAlignment="1">
      <alignment horizontal="center"/>
    </xf>
    <xf numFmtId="166" fontId="58" fillId="35" borderId="0" xfId="0" applyNumberFormat="1" applyFont="1" applyFill="1" applyAlignment="1">
      <alignment horizontal="center"/>
    </xf>
    <xf numFmtId="164" fontId="184" fillId="35" borderId="0" xfId="0" applyNumberFormat="1" applyFont="1" applyFill="1" applyAlignment="1">
      <alignment horizontal="center"/>
    </xf>
    <xf numFmtId="1" fontId="202" fillId="0" borderId="0" xfId="0" applyNumberFormat="1" applyFont="1" applyAlignment="1">
      <alignment horizontal="center"/>
    </xf>
    <xf numFmtId="0" fontId="0" fillId="35" borderId="0" xfId="0" applyFill="1" applyAlignment="1">
      <alignment horizontal="center"/>
    </xf>
    <xf numFmtId="3" fontId="0" fillId="35" borderId="0" xfId="0" applyNumberFormat="1" applyFill="1" applyAlignment="1">
      <alignment horizontal="center"/>
    </xf>
    <xf numFmtId="165" fontId="0" fillId="35" borderId="0" xfId="0" applyNumberFormat="1" applyFill="1" applyAlignment="1">
      <alignment horizontal="center"/>
    </xf>
    <xf numFmtId="2" fontId="0" fillId="35" borderId="0" xfId="0" applyNumberFormat="1" applyFill="1" applyAlignment="1">
      <alignment horizontal="center"/>
    </xf>
    <xf numFmtId="2" fontId="55" fillId="35" borderId="0" xfId="0" applyNumberFormat="1" applyFont="1" applyFill="1" applyAlignment="1">
      <alignment horizontal="center"/>
    </xf>
    <xf numFmtId="0" fontId="0" fillId="35" borderId="0" xfId="0" applyFill="1"/>
    <xf numFmtId="0" fontId="17" fillId="0" borderId="11" xfId="0" applyFont="1" applyBorder="1" applyAlignment="1">
      <alignment horizontal="center" vertical="center"/>
    </xf>
    <xf numFmtId="0" fontId="17" fillId="0" borderId="5" xfId="0" applyFont="1" applyBorder="1" applyAlignment="1">
      <alignment horizontal="center" vertical="center"/>
    </xf>
    <xf numFmtId="0" fontId="17" fillId="0" borderId="8" xfId="0" applyFont="1" applyBorder="1" applyAlignment="1">
      <alignment horizontal="center" vertical="center"/>
    </xf>
    <xf numFmtId="0" fontId="17" fillId="0" borderId="9" xfId="0" applyFont="1" applyBorder="1" applyAlignment="1">
      <alignment horizontal="center" vertical="center"/>
    </xf>
    <xf numFmtId="0" fontId="16" fillId="2" borderId="6" xfId="0" applyFont="1" applyFill="1" applyBorder="1" applyAlignment="1">
      <alignment horizontal="center" vertical="center" wrapText="1"/>
    </xf>
    <xf numFmtId="0" fontId="16" fillId="2" borderId="2" xfId="0" applyFont="1" applyFill="1" applyBorder="1" applyAlignment="1">
      <alignment horizontal="center" vertical="center" wrapText="1"/>
    </xf>
    <xf numFmtId="0" fontId="16" fillId="2" borderId="3" xfId="0" applyFont="1" applyFill="1" applyBorder="1" applyAlignment="1">
      <alignment horizontal="center" vertical="center" wrapText="1"/>
    </xf>
    <xf numFmtId="0" fontId="13" fillId="0" borderId="0" xfId="0" applyFont="1" applyAlignment="1">
      <alignment horizontal="center" vertical="center" wrapText="1"/>
    </xf>
    <xf numFmtId="14" fontId="49" fillId="0" borderId="0" xfId="0" applyNumberFormat="1" applyFont="1" applyAlignment="1">
      <alignment horizontal="left" vertical="center" wrapText="1"/>
    </xf>
    <xf numFmtId="0" fontId="49" fillId="0" borderId="0" xfId="0" applyFont="1" applyAlignment="1">
      <alignment horizontal="left" vertical="center" wrapText="1"/>
    </xf>
    <xf numFmtId="164" fontId="17" fillId="4" borderId="18" xfId="0" applyNumberFormat="1" applyFont="1" applyFill="1" applyBorder="1" applyAlignment="1">
      <alignment horizontal="center" vertical="center"/>
    </xf>
    <xf numFmtId="164" fontId="17" fillId="4" borderId="19" xfId="0" applyNumberFormat="1" applyFont="1" applyFill="1" applyBorder="1" applyAlignment="1">
      <alignment horizontal="center" vertical="center"/>
    </xf>
    <xf numFmtId="0" fontId="16" fillId="2" borderId="7" xfId="0" applyFont="1" applyFill="1" applyBorder="1" applyAlignment="1">
      <alignment horizontal="left" vertical="center"/>
    </xf>
    <xf numFmtId="0" fontId="16" fillId="2" borderId="12" xfId="0" applyFont="1" applyFill="1" applyBorder="1" applyAlignment="1">
      <alignment horizontal="left" vertical="center"/>
    </xf>
    <xf numFmtId="0" fontId="17" fillId="0" borderId="0" xfId="0" applyFont="1" applyAlignment="1">
      <alignment horizontal="left" vertical="top" wrapText="1"/>
    </xf>
    <xf numFmtId="0" fontId="16" fillId="2" borderId="7" xfId="0" applyFont="1" applyFill="1" applyBorder="1" applyAlignment="1">
      <alignment horizontal="center" vertical="center"/>
    </xf>
    <xf numFmtId="0" fontId="16" fillId="2" borderId="12" xfId="0" applyFont="1" applyFill="1" applyBorder="1" applyAlignment="1">
      <alignment horizontal="center" vertical="center"/>
    </xf>
    <xf numFmtId="0" fontId="16" fillId="2" borderId="6" xfId="0" applyFont="1" applyFill="1" applyBorder="1" applyAlignment="1">
      <alignment horizontal="center" vertical="center"/>
    </xf>
    <xf numFmtId="0" fontId="16" fillId="2" borderId="3" xfId="0" applyFont="1" applyFill="1" applyBorder="1" applyAlignment="1">
      <alignment horizontal="center" vertical="center"/>
    </xf>
    <xf numFmtId="0" fontId="16" fillId="2" borderId="11" xfId="0" applyFont="1" applyFill="1" applyBorder="1" applyAlignment="1">
      <alignment horizontal="center" vertical="center"/>
    </xf>
    <xf numFmtId="0" fontId="16" fillId="2" borderId="5" xfId="0" applyFont="1" applyFill="1" applyBorder="1" applyAlignment="1">
      <alignment horizontal="center" vertical="center"/>
    </xf>
    <xf numFmtId="2" fontId="17" fillId="4" borderId="30" xfId="0" applyNumberFormat="1" applyFont="1" applyFill="1" applyBorder="1" applyAlignment="1">
      <alignment horizontal="center" vertical="center"/>
    </xf>
    <xf numFmtId="2" fontId="17" fillId="4" borderId="31" xfId="0" applyNumberFormat="1" applyFont="1" applyFill="1" applyBorder="1" applyAlignment="1">
      <alignment horizontal="center" vertical="center"/>
    </xf>
    <xf numFmtId="2" fontId="17" fillId="0" borderId="6" xfId="0" applyNumberFormat="1" applyFont="1" applyBorder="1" applyAlignment="1">
      <alignment horizontal="center" vertical="center"/>
    </xf>
    <xf numFmtId="2" fontId="17" fillId="0" borderId="3" xfId="0" applyNumberFormat="1" applyFont="1" applyBorder="1" applyAlignment="1">
      <alignment horizontal="center" vertical="center"/>
    </xf>
    <xf numFmtId="0" fontId="17" fillId="0" borderId="6" xfId="0" applyFont="1" applyBorder="1" applyAlignment="1">
      <alignment horizontal="center" vertical="center"/>
    </xf>
    <xf numFmtId="0" fontId="17" fillId="0" borderId="3" xfId="0" applyFont="1" applyBorder="1" applyAlignment="1">
      <alignment horizontal="center" vertical="center"/>
    </xf>
    <xf numFmtId="0" fontId="15" fillId="0" borderId="1" xfId="0" applyFont="1" applyBorder="1" applyAlignment="1">
      <alignment horizontal="left" vertical="center"/>
    </xf>
    <xf numFmtId="0" fontId="14" fillId="2" borderId="1" xfId="0" applyFont="1" applyFill="1" applyBorder="1" applyAlignment="1">
      <alignment horizontal="left" vertical="center"/>
    </xf>
    <xf numFmtId="0" fontId="15" fillId="0" borderId="33" xfId="0" applyFont="1" applyBorder="1" applyAlignment="1">
      <alignment horizontal="left" vertical="center"/>
    </xf>
    <xf numFmtId="0" fontId="15" fillId="0" borderId="34" xfId="0" applyFont="1" applyBorder="1" applyAlignment="1">
      <alignment horizontal="left" vertical="center"/>
    </xf>
    <xf numFmtId="0" fontId="15" fillId="0" borderId="35" xfId="0" applyFont="1" applyBorder="1" applyAlignment="1">
      <alignment horizontal="left" vertical="center"/>
    </xf>
    <xf numFmtId="14" fontId="15" fillId="0" borderId="1" xfId="0" applyNumberFormat="1" applyFont="1" applyBorder="1" applyAlignment="1">
      <alignment horizontal="left" vertical="center"/>
    </xf>
    <xf numFmtId="0" fontId="12" fillId="0" borderId="1" xfId="0" applyFont="1" applyBorder="1" applyAlignment="1">
      <alignment horizontal="left" vertical="center"/>
    </xf>
    <xf numFmtId="0" fontId="53" fillId="0" borderId="4" xfId="0" applyFont="1" applyBorder="1" applyAlignment="1">
      <alignment horizontal="center" vertical="center"/>
    </xf>
    <xf numFmtId="0" fontId="8" fillId="0" borderId="0" xfId="0" applyFont="1" applyAlignment="1">
      <alignment horizontal="center" vertical="center" wrapText="1"/>
    </xf>
    <xf numFmtId="3" fontId="6" fillId="6" borderId="0" xfId="0" applyNumberFormat="1" applyFont="1" applyFill="1" applyAlignment="1">
      <alignment horizontal="center" vertical="center"/>
    </xf>
    <xf numFmtId="3" fontId="6" fillId="7" borderId="0" xfId="0" applyNumberFormat="1" applyFont="1" applyFill="1" applyAlignment="1">
      <alignment horizontal="center" vertical="center"/>
    </xf>
    <xf numFmtId="0" fontId="7" fillId="0" borderId="0" xfId="0" applyFont="1" applyAlignment="1">
      <alignment horizontal="center"/>
    </xf>
    <xf numFmtId="0" fontId="64" fillId="0" borderId="0" xfId="0" applyFont="1" applyAlignment="1">
      <alignment horizontal="center" vertical="center"/>
    </xf>
    <xf numFmtId="0" fontId="61" fillId="0" borderId="8" xfId="0" applyFont="1" applyBorder="1" applyAlignment="1">
      <alignment horizontal="left" vertical="center"/>
    </xf>
    <xf numFmtId="0" fontId="61" fillId="0" borderId="0" xfId="0" applyFont="1" applyAlignment="1">
      <alignment horizontal="left" vertical="center"/>
    </xf>
    <xf numFmtId="0" fontId="61" fillId="0" borderId="9" xfId="0" applyFont="1" applyBorder="1" applyAlignment="1">
      <alignment horizontal="left" vertical="center"/>
    </xf>
    <xf numFmtId="0" fontId="61" fillId="0" borderId="11" xfId="0" applyFont="1" applyBorder="1" applyAlignment="1">
      <alignment horizontal="left" vertical="center"/>
    </xf>
    <xf numFmtId="0" fontId="61" fillId="0" borderId="4" xfId="0" applyFont="1" applyBorder="1" applyAlignment="1">
      <alignment horizontal="left" vertical="center"/>
    </xf>
    <xf numFmtId="0" fontId="61" fillId="0" borderId="5" xfId="0" applyFont="1" applyBorder="1" applyAlignment="1">
      <alignment horizontal="left" vertical="center"/>
    </xf>
    <xf numFmtId="14" fontId="60" fillId="0" borderId="0" xfId="0" applyNumberFormat="1" applyFont="1" applyAlignment="1">
      <alignment horizontal="left" vertical="center" wrapText="1"/>
    </xf>
    <xf numFmtId="0" fontId="60" fillId="0" borderId="0" xfId="0" applyFont="1" applyAlignment="1">
      <alignment horizontal="left" vertical="center" wrapText="1"/>
    </xf>
    <xf numFmtId="0" fontId="147" fillId="0" borderId="0" xfId="0" applyFont="1" applyAlignment="1">
      <alignment horizontal="center" vertical="center" wrapText="1"/>
    </xf>
    <xf numFmtId="0" fontId="16" fillId="8" borderId="33" xfId="0" applyFont="1" applyFill="1" applyBorder="1" applyAlignment="1">
      <alignment horizontal="center" vertical="center"/>
    </xf>
    <xf numFmtId="0" fontId="16" fillId="8" borderId="34" xfId="0" applyFont="1" applyFill="1" applyBorder="1" applyAlignment="1">
      <alignment horizontal="center" vertical="center"/>
    </xf>
    <xf numFmtId="0" fontId="16" fillId="8" borderId="35" xfId="0" applyFont="1" applyFill="1" applyBorder="1" applyAlignment="1">
      <alignment horizontal="center" vertical="center"/>
    </xf>
    <xf numFmtId="0" fontId="16" fillId="2" borderId="1" xfId="0" applyFont="1" applyFill="1" applyBorder="1" applyAlignment="1">
      <alignment horizontal="center" vertical="center"/>
    </xf>
    <xf numFmtId="0" fontId="16" fillId="2" borderId="11"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6" fillId="2" borderId="1" xfId="0" applyFont="1" applyFill="1" applyBorder="1" applyAlignment="1">
      <alignment horizontal="center" vertical="center" wrapText="1"/>
    </xf>
    <xf numFmtId="0" fontId="61" fillId="0" borderId="6" xfId="0" applyFont="1" applyBorder="1" applyAlignment="1">
      <alignment horizontal="left" vertical="center"/>
    </xf>
    <xf numFmtId="0" fontId="61" fillId="0" borderId="2" xfId="0" applyFont="1" applyBorder="1" applyAlignment="1">
      <alignment horizontal="left" vertical="center"/>
    </xf>
    <xf numFmtId="0" fontId="61" fillId="0" borderId="3" xfId="0" applyFont="1" applyBorder="1" applyAlignment="1">
      <alignment horizontal="left" vertical="center"/>
    </xf>
    <xf numFmtId="0" fontId="64" fillId="0" borderId="8" xfId="0" applyFont="1" applyBorder="1" applyAlignment="1">
      <alignment horizontal="left" vertical="center"/>
    </xf>
    <xf numFmtId="0" fontId="64" fillId="0" borderId="0" xfId="0" applyFont="1" applyAlignment="1">
      <alignment horizontal="left" vertical="center"/>
    </xf>
    <xf numFmtId="0" fontId="64" fillId="0" borderId="9" xfId="0" applyFont="1" applyBorder="1" applyAlignment="1">
      <alignment horizontal="left" vertical="center"/>
    </xf>
    <xf numFmtId="2" fontId="61" fillId="0" borderId="11" xfId="0" applyNumberFormat="1" applyFont="1" applyBorder="1" applyAlignment="1">
      <alignment horizontal="left" vertical="center"/>
    </xf>
    <xf numFmtId="2" fontId="61" fillId="0" borderId="4" xfId="0" applyNumberFormat="1" applyFont="1" applyBorder="1" applyAlignment="1">
      <alignment horizontal="left" vertical="center"/>
    </xf>
    <xf numFmtId="2" fontId="61" fillId="0" borderId="5" xfId="0" applyNumberFormat="1" applyFont="1" applyBorder="1" applyAlignment="1">
      <alignment horizontal="left" vertical="center"/>
    </xf>
    <xf numFmtId="2" fontId="61" fillId="9" borderId="8" xfId="0" applyNumberFormat="1" applyFont="1" applyFill="1" applyBorder="1" applyAlignment="1">
      <alignment horizontal="left" vertical="center"/>
    </xf>
    <xf numFmtId="2" fontId="61" fillId="9" borderId="0" xfId="0" applyNumberFormat="1" applyFont="1" applyFill="1" applyAlignment="1">
      <alignment horizontal="left" vertical="center"/>
    </xf>
    <xf numFmtId="2" fontId="61" fillId="9" borderId="9" xfId="0" applyNumberFormat="1" applyFont="1" applyFill="1" applyBorder="1" applyAlignment="1">
      <alignment horizontal="left" vertical="center"/>
    </xf>
    <xf numFmtId="0" fontId="49" fillId="0" borderId="1" xfId="0" applyFont="1" applyBorder="1" applyAlignment="1">
      <alignment horizontal="left" vertical="center"/>
    </xf>
    <xf numFmtId="0" fontId="59" fillId="2" borderId="1" xfId="0" applyFont="1" applyFill="1" applyBorder="1" applyAlignment="1">
      <alignment horizontal="left" vertical="center"/>
    </xf>
    <xf numFmtId="14" fontId="49" fillId="0" borderId="1" xfId="0" applyNumberFormat="1" applyFont="1" applyBorder="1" applyAlignment="1">
      <alignment horizontal="left" vertical="center"/>
    </xf>
    <xf numFmtId="167" fontId="49" fillId="0" borderId="1" xfId="0" applyNumberFormat="1" applyFont="1" applyBorder="1" applyAlignment="1">
      <alignment horizontal="left" vertical="center"/>
    </xf>
    <xf numFmtId="0" fontId="60" fillId="0" borderId="1" xfId="0" applyFont="1" applyBorder="1" applyAlignment="1">
      <alignment horizontal="left" vertical="center"/>
    </xf>
    <xf numFmtId="0" fontId="183" fillId="0" borderId="4" xfId="0" applyFont="1" applyBorder="1" applyAlignment="1">
      <alignment horizontal="center" vertical="center"/>
    </xf>
    <xf numFmtId="0" fontId="8" fillId="0" borderId="4" xfId="0" applyFont="1" applyBorder="1" applyAlignment="1">
      <alignment horizontal="center" vertical="center" wrapText="1"/>
    </xf>
    <xf numFmtId="0" fontId="67" fillId="0" borderId="1" xfId="0" applyFont="1" applyBorder="1" applyAlignment="1">
      <alignment horizontal="center" vertical="center" wrapText="1"/>
    </xf>
    <xf numFmtId="0" fontId="17" fillId="0" borderId="1" xfId="0" applyFont="1" applyBorder="1" applyAlignment="1">
      <alignment horizontal="center"/>
    </xf>
    <xf numFmtId="0" fontId="16" fillId="0" borderId="1" xfId="0" applyFont="1" applyBorder="1" applyAlignment="1">
      <alignment horizontal="center" vertical="center" wrapText="1"/>
    </xf>
    <xf numFmtId="1" fontId="7" fillId="0" borderId="0" xfId="0" applyNumberFormat="1" applyFont="1" applyAlignment="1">
      <alignment horizontal="left"/>
    </xf>
    <xf numFmtId="0" fontId="194" fillId="0" borderId="1" xfId="0" applyFont="1" applyBorder="1" applyAlignment="1">
      <alignment horizontal="left" vertical="center"/>
    </xf>
    <xf numFmtId="167" fontId="12" fillId="0" borderId="1" xfId="0" applyNumberFormat="1" applyFont="1" applyBorder="1" applyAlignment="1">
      <alignment horizontal="left" vertical="center"/>
    </xf>
    <xf numFmtId="0" fontId="17" fillId="0" borderId="33" xfId="0" applyFont="1" applyBorder="1" applyAlignment="1">
      <alignment horizontal="center" vertical="center"/>
    </xf>
    <xf numFmtId="0" fontId="17" fillId="0" borderId="35" xfId="0" applyFont="1" applyBorder="1" applyAlignment="1">
      <alignment horizontal="center" vertical="center"/>
    </xf>
    <xf numFmtId="0" fontId="16" fillId="2" borderId="6" xfId="0" applyFont="1" applyFill="1" applyBorder="1" applyAlignment="1">
      <alignment horizontal="left" vertical="center"/>
    </xf>
    <xf numFmtId="0" fontId="16" fillId="2" borderId="11" xfId="0" applyFont="1" applyFill="1" applyBorder="1" applyAlignment="1">
      <alignment horizontal="left" vertical="center"/>
    </xf>
    <xf numFmtId="0" fontId="16" fillId="2" borderId="3" xfId="0" applyFont="1" applyFill="1" applyBorder="1" applyAlignment="1">
      <alignment horizontal="left" vertical="center"/>
    </xf>
    <xf numFmtId="0" fontId="16" fillId="2" borderId="5" xfId="0" applyFont="1" applyFill="1" applyBorder="1" applyAlignment="1">
      <alignment horizontal="left" vertical="center"/>
    </xf>
    <xf numFmtId="0" fontId="16" fillId="2" borderId="7" xfId="0" applyFont="1" applyFill="1" applyBorder="1" applyAlignment="1">
      <alignment horizontal="center" vertical="center" wrapText="1"/>
    </xf>
    <xf numFmtId="0" fontId="16" fillId="2" borderId="12" xfId="0" applyFont="1" applyFill="1" applyBorder="1" applyAlignment="1">
      <alignment horizontal="center" vertical="center" wrapText="1"/>
    </xf>
    <xf numFmtId="0" fontId="11" fillId="0" borderId="33" xfId="0" applyFont="1" applyBorder="1" applyAlignment="1">
      <alignment horizontal="left" vertical="center"/>
    </xf>
    <xf numFmtId="0" fontId="11" fillId="0" borderId="34" xfId="0" applyFont="1" applyBorder="1" applyAlignment="1">
      <alignment horizontal="left" vertical="center"/>
    </xf>
    <xf numFmtId="0" fontId="11" fillId="0" borderId="35" xfId="0" applyFont="1" applyBorder="1" applyAlignment="1">
      <alignment horizontal="left" vertical="center"/>
    </xf>
    <xf numFmtId="1" fontId="12" fillId="0" borderId="7" xfId="0" applyNumberFormat="1" applyFont="1" applyBorder="1" applyAlignment="1">
      <alignment horizontal="center" vertical="center"/>
    </xf>
    <xf numFmtId="164" fontId="12" fillId="0" borderId="10" xfId="0" applyNumberFormat="1" applyFont="1" applyBorder="1" applyAlignment="1">
      <alignment horizontal="center" vertical="center"/>
    </xf>
    <xf numFmtId="2" fontId="67" fillId="0" borderId="3" xfId="1" applyNumberFormat="1" applyFont="1" applyBorder="1" applyAlignment="1">
      <alignment horizontal="center" vertical="center"/>
    </xf>
    <xf numFmtId="0" fontId="18" fillId="0" borderId="7" xfId="1" applyFont="1" applyBorder="1" applyAlignment="1">
      <alignment horizontal="center" vertical="center"/>
    </xf>
    <xf numFmtId="2" fontId="67" fillId="0" borderId="8" xfId="1" applyNumberFormat="1" applyFont="1" applyBorder="1" applyAlignment="1">
      <alignment horizontal="center" vertical="center"/>
    </xf>
    <xf numFmtId="2" fontId="67" fillId="0" borderId="9" xfId="1" applyNumberFormat="1" applyFont="1" applyBorder="1" applyAlignment="1">
      <alignment horizontal="center" vertical="center"/>
    </xf>
    <xf numFmtId="2" fontId="67" fillId="0" borderId="11" xfId="1" applyNumberFormat="1" applyFont="1" applyBorder="1" applyAlignment="1">
      <alignment horizontal="center" vertical="center"/>
    </xf>
    <xf numFmtId="2" fontId="67" fillId="0" borderId="5" xfId="1" applyNumberFormat="1" applyFont="1" applyBorder="1" applyAlignment="1">
      <alignment horizontal="center" vertical="center"/>
    </xf>
    <xf numFmtId="0" fontId="11" fillId="0" borderId="1" xfId="0" applyFont="1" applyBorder="1" applyAlignment="1">
      <alignment horizontal="left" vertical="center"/>
    </xf>
    <xf numFmtId="0" fontId="49" fillId="0" borderId="44" xfId="0" applyFont="1" applyBorder="1" applyAlignment="1">
      <alignment horizontal="left" vertical="center" wrapText="1"/>
    </xf>
    <xf numFmtId="14" fontId="60" fillId="0" borderId="45" xfId="0" applyNumberFormat="1" applyFont="1" applyBorder="1" applyAlignment="1">
      <alignment horizontal="left" vertical="center" wrapText="1"/>
    </xf>
    <xf numFmtId="0" fontId="60" fillId="0" borderId="45" xfId="0" applyFont="1" applyBorder="1" applyAlignment="1">
      <alignment horizontal="left" vertical="center" wrapText="1"/>
    </xf>
    <xf numFmtId="2" fontId="12" fillId="0" borderId="10" xfId="0" applyNumberFormat="1" applyFont="1" applyBorder="1" applyAlignment="1">
      <alignment horizontal="center" vertical="center"/>
    </xf>
    <xf numFmtId="2" fontId="12" fillId="0" borderId="12" xfId="0" applyNumberFormat="1" applyFont="1" applyBorder="1" applyAlignment="1">
      <alignment horizontal="center" vertical="center"/>
    </xf>
    <xf numFmtId="1" fontId="12" fillId="0" borderId="10" xfId="0" applyNumberFormat="1" applyFont="1" applyBorder="1" applyAlignment="1">
      <alignment horizontal="center" vertical="center"/>
    </xf>
    <xf numFmtId="1" fontId="12" fillId="0" borderId="12" xfId="0" applyNumberFormat="1" applyFont="1" applyBorder="1" applyAlignment="1">
      <alignment horizontal="center" vertical="center"/>
    </xf>
    <xf numFmtId="2" fontId="12" fillId="0" borderId="7" xfId="0" applyNumberFormat="1" applyFont="1" applyBorder="1" applyAlignment="1">
      <alignment horizontal="center" vertical="center"/>
    </xf>
    <xf numFmtId="166" fontId="12" fillId="0" borderId="7" xfId="0" applyNumberFormat="1" applyFont="1" applyBorder="1" applyAlignment="1">
      <alignment horizontal="center" vertical="center"/>
    </xf>
    <xf numFmtId="0" fontId="7" fillId="0" borderId="2" xfId="0" applyFont="1" applyBorder="1" applyAlignment="1">
      <alignment horizontal="center"/>
    </xf>
    <xf numFmtId="166" fontId="12" fillId="0" borderId="12" xfId="0" applyNumberFormat="1" applyFont="1" applyBorder="1" applyAlignment="1">
      <alignment horizontal="center" vertical="center"/>
    </xf>
    <xf numFmtId="3" fontId="6" fillId="3" borderId="1" xfId="0" applyNumberFormat="1" applyFont="1" applyFill="1" applyBorder="1" applyAlignment="1">
      <alignment horizontal="center" vertical="center"/>
    </xf>
    <xf numFmtId="1" fontId="16" fillId="0" borderId="1" xfId="0" applyNumberFormat="1" applyFont="1" applyBorder="1" applyAlignment="1">
      <alignment horizontal="left" vertical="center"/>
    </xf>
    <xf numFmtId="0" fontId="16" fillId="0" borderId="1" xfId="0" applyFont="1" applyBorder="1" applyAlignment="1">
      <alignment horizontal="left" vertical="center"/>
    </xf>
    <xf numFmtId="14" fontId="17" fillId="0" borderId="1" xfId="0" applyNumberFormat="1" applyFont="1" applyBorder="1" applyAlignment="1">
      <alignment horizontal="left" vertical="center"/>
    </xf>
    <xf numFmtId="0" fontId="17" fillId="0" borderId="1" xfId="0" applyFont="1" applyBorder="1" applyAlignment="1">
      <alignment horizontal="left" vertical="center"/>
    </xf>
    <xf numFmtId="1" fontId="17" fillId="0" borderId="1" xfId="0" applyNumberFormat="1" applyFont="1" applyBorder="1" applyAlignment="1">
      <alignment horizontal="left" vertical="center"/>
    </xf>
    <xf numFmtId="0" fontId="196" fillId="0" borderId="0" xfId="0" applyFont="1" applyAlignment="1">
      <alignment horizontal="center" wrapText="1"/>
    </xf>
    <xf numFmtId="0" fontId="196" fillId="0" borderId="0" xfId="0" applyFont="1" applyAlignment="1">
      <alignment horizontal="center" vertical="center" wrapText="1"/>
    </xf>
    <xf numFmtId="14" fontId="17" fillId="0" borderId="33" xfId="0" applyNumberFormat="1" applyFont="1" applyBorder="1" applyAlignment="1">
      <alignment horizontal="left" vertical="center"/>
    </xf>
    <xf numFmtId="14" fontId="17" fillId="0" borderId="35" xfId="0" applyNumberFormat="1" applyFont="1" applyBorder="1" applyAlignment="1">
      <alignment horizontal="left" vertical="center"/>
    </xf>
    <xf numFmtId="0" fontId="7" fillId="2" borderId="8"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9" xfId="0" applyFont="1" applyFill="1" applyBorder="1" applyAlignment="1">
      <alignment horizontal="left" vertical="center" wrapText="1"/>
    </xf>
    <xf numFmtId="0" fontId="7" fillId="2" borderId="11" xfId="0" applyFont="1" applyFill="1" applyBorder="1" applyAlignment="1">
      <alignment horizontal="left" vertical="center" wrapText="1"/>
    </xf>
    <xf numFmtId="0" fontId="7" fillId="2" borderId="4" xfId="0" applyFont="1" applyFill="1" applyBorder="1" applyAlignment="1">
      <alignment horizontal="left" vertical="center" wrapText="1"/>
    </xf>
    <xf numFmtId="0" fontId="7" fillId="2" borderId="5" xfId="0" applyFont="1" applyFill="1" applyBorder="1" applyAlignment="1">
      <alignment horizontal="left" vertical="center" wrapText="1"/>
    </xf>
    <xf numFmtId="14" fontId="16" fillId="0" borderId="1" xfId="0" applyNumberFormat="1" applyFont="1" applyBorder="1" applyAlignment="1">
      <alignment horizontal="left" vertical="center"/>
    </xf>
    <xf numFmtId="0" fontId="7" fillId="2" borderId="6" xfId="0" applyFont="1" applyFill="1" applyBorder="1" applyAlignment="1">
      <alignment horizontal="left" vertical="center" wrapText="1"/>
    </xf>
    <xf numFmtId="0" fontId="7" fillId="2" borderId="2" xfId="0" applyFont="1" applyFill="1" applyBorder="1" applyAlignment="1">
      <alignment horizontal="left" vertical="center" wrapText="1"/>
    </xf>
    <xf numFmtId="0" fontId="7" fillId="2" borderId="3" xfId="0" applyFont="1" applyFill="1" applyBorder="1" applyAlignment="1">
      <alignment horizontal="left" vertical="center" wrapText="1"/>
    </xf>
    <xf numFmtId="0" fontId="8" fillId="0" borderId="0" xfId="0" applyFont="1" applyAlignment="1">
      <alignment horizontal="center" vertical="center"/>
    </xf>
    <xf numFmtId="167" fontId="15" fillId="0" borderId="1" xfId="0" applyNumberFormat="1" applyFont="1" applyBorder="1" applyAlignment="1">
      <alignment horizontal="left" vertical="center"/>
    </xf>
    <xf numFmtId="2" fontId="67" fillId="0" borderId="6" xfId="1" applyNumberFormat="1" applyFont="1" applyBorder="1" applyAlignment="1">
      <alignment horizontal="center" vertical="center"/>
    </xf>
    <xf numFmtId="164" fontId="67" fillId="0" borderId="8" xfId="1" applyNumberFormat="1" applyFont="1" applyBorder="1" applyAlignment="1">
      <alignment horizontal="center" vertical="center"/>
    </xf>
    <xf numFmtId="164" fontId="67" fillId="0" borderId="9" xfId="1" applyNumberFormat="1" applyFont="1" applyBorder="1" applyAlignment="1">
      <alignment horizontal="center" vertical="center"/>
    </xf>
    <xf numFmtId="164" fontId="67" fillId="0" borderId="6" xfId="1" applyNumberFormat="1" applyFont="1" applyBorder="1" applyAlignment="1">
      <alignment horizontal="center" vertical="center"/>
    </xf>
    <xf numFmtId="164" fontId="67" fillId="0" borderId="3" xfId="1" applyNumberFormat="1" applyFont="1" applyBorder="1" applyAlignment="1">
      <alignment horizontal="center" vertical="center"/>
    </xf>
    <xf numFmtId="1" fontId="67" fillId="0" borderId="8" xfId="1" applyNumberFormat="1" applyFont="1" applyBorder="1" applyAlignment="1">
      <alignment horizontal="center" vertical="center"/>
    </xf>
    <xf numFmtId="1" fontId="67" fillId="0" borderId="9" xfId="1" applyNumberFormat="1" applyFont="1" applyBorder="1" applyAlignment="1">
      <alignment horizontal="center" vertical="center"/>
    </xf>
    <xf numFmtId="1" fontId="67" fillId="0" borderId="11" xfId="1" applyNumberFormat="1" applyFont="1" applyBorder="1" applyAlignment="1">
      <alignment horizontal="center" vertical="center"/>
    </xf>
    <xf numFmtId="1" fontId="67" fillId="0" borderId="5" xfId="1" applyNumberFormat="1" applyFont="1" applyBorder="1" applyAlignment="1">
      <alignment horizontal="center" vertical="center"/>
    </xf>
    <xf numFmtId="164" fontId="67" fillId="0" borderId="11" xfId="1" applyNumberFormat="1" applyFont="1" applyBorder="1" applyAlignment="1">
      <alignment horizontal="center" vertical="center"/>
    </xf>
    <xf numFmtId="164" fontId="67" fillId="0" borderId="5" xfId="1" applyNumberFormat="1" applyFont="1" applyBorder="1" applyAlignment="1">
      <alignment horizontal="center" vertical="center"/>
    </xf>
    <xf numFmtId="0" fontId="16" fillId="8" borderId="1" xfId="0" applyFont="1" applyFill="1" applyBorder="1" applyAlignment="1">
      <alignment horizontal="center" vertical="center"/>
    </xf>
    <xf numFmtId="0" fontId="21" fillId="0" borderId="46" xfId="1" applyFont="1" applyBorder="1" applyAlignment="1">
      <alignment horizontal="center" vertical="center"/>
    </xf>
    <xf numFmtId="0" fontId="9" fillId="0" borderId="47" xfId="1" applyBorder="1"/>
    <xf numFmtId="0" fontId="21" fillId="0" borderId="46" xfId="1" applyFont="1" applyBorder="1" applyAlignment="1">
      <alignment horizontal="center" vertical="center" wrapText="1"/>
    </xf>
    <xf numFmtId="0" fontId="87" fillId="15" borderId="49" xfId="1" applyFont="1" applyFill="1" applyBorder="1" applyAlignment="1">
      <alignment horizontal="center" vertical="center"/>
    </xf>
    <xf numFmtId="0" fontId="87" fillId="15" borderId="50" xfId="1" applyFont="1" applyFill="1" applyBorder="1" applyAlignment="1">
      <alignment horizontal="center" vertical="center"/>
    </xf>
    <xf numFmtId="0" fontId="24" fillId="0" borderId="46" xfId="1" applyFont="1" applyBorder="1" applyAlignment="1">
      <alignment horizontal="center" vertical="center"/>
    </xf>
    <xf numFmtId="0" fontId="24" fillId="0" borderId="47" xfId="1" applyFont="1" applyBorder="1" applyAlignment="1">
      <alignment horizontal="center" vertical="center"/>
    </xf>
    <xf numFmtId="0" fontId="35" fillId="0" borderId="0" xfId="0" applyFont="1" applyAlignment="1">
      <alignment horizontal="center" vertical="center" wrapText="1"/>
    </xf>
    <xf numFmtId="0" fontId="97" fillId="17" borderId="54" xfId="0" applyFont="1" applyFill="1" applyBorder="1" applyAlignment="1">
      <alignment horizontal="left" vertical="center"/>
    </xf>
    <xf numFmtId="0" fontId="97" fillId="17" borderId="55" xfId="0" applyFont="1" applyFill="1" applyBorder="1" applyAlignment="1">
      <alignment horizontal="left" vertical="center"/>
    </xf>
    <xf numFmtId="173" fontId="95" fillId="0" borderId="54" xfId="0" applyNumberFormat="1" applyFont="1" applyBorder="1" applyAlignment="1">
      <alignment horizontal="left"/>
    </xf>
    <xf numFmtId="173" fontId="95" fillId="0" borderId="55" xfId="0" applyNumberFormat="1" applyFont="1" applyBorder="1" applyAlignment="1">
      <alignment horizontal="left"/>
    </xf>
    <xf numFmtId="0" fontId="95" fillId="14" borderId="54" xfId="0" applyFont="1" applyFill="1" applyBorder="1" applyAlignment="1">
      <alignment horizontal="left" vertical="center"/>
    </xf>
    <xf numFmtId="0" fontId="95" fillId="14" borderId="55" xfId="0" applyFont="1" applyFill="1" applyBorder="1" applyAlignment="1">
      <alignment horizontal="left" vertical="center"/>
    </xf>
    <xf numFmtId="0" fontId="95" fillId="14" borderId="56" xfId="0" applyFont="1" applyFill="1" applyBorder="1" applyAlignment="1">
      <alignment horizontal="left" vertical="center"/>
    </xf>
    <xf numFmtId="0" fontId="16" fillId="2" borderId="58" xfId="0" applyFont="1" applyFill="1" applyBorder="1" applyAlignment="1">
      <alignment horizontal="center" vertical="center"/>
    </xf>
    <xf numFmtId="0" fontId="16" fillId="2" borderId="57" xfId="0" applyFont="1" applyFill="1" applyBorder="1" applyAlignment="1">
      <alignment horizontal="center" vertical="center"/>
    </xf>
    <xf numFmtId="0" fontId="16" fillId="2" borderId="59" xfId="0" applyFont="1" applyFill="1" applyBorder="1" applyAlignment="1">
      <alignment horizontal="center" vertical="center"/>
    </xf>
    <xf numFmtId="0" fontId="91" fillId="0" borderId="0" xfId="0" applyFont="1" applyAlignment="1">
      <alignment horizontal="center" vertical="center"/>
    </xf>
    <xf numFmtId="0" fontId="91" fillId="0" borderId="52" xfId="0" applyFont="1" applyBorder="1" applyAlignment="1">
      <alignment horizontal="center" vertical="center"/>
    </xf>
    <xf numFmtId="0" fontId="94" fillId="14" borderId="54" xfId="0" applyFont="1" applyFill="1" applyBorder="1" applyAlignment="1">
      <alignment horizontal="left" vertical="center"/>
    </xf>
    <xf numFmtId="0" fontId="94" fillId="14" borderId="55" xfId="0" applyFont="1" applyFill="1" applyBorder="1" applyAlignment="1">
      <alignment horizontal="left" vertical="center"/>
    </xf>
    <xf numFmtId="0" fontId="94" fillId="14" borderId="56" xfId="0" applyFont="1" applyFill="1" applyBorder="1" applyAlignment="1">
      <alignment horizontal="left" vertical="center"/>
    </xf>
    <xf numFmtId="0" fontId="97" fillId="14" borderId="54" xfId="0" applyFont="1" applyFill="1" applyBorder="1" applyAlignment="1">
      <alignment horizontal="left" vertical="center"/>
    </xf>
    <xf numFmtId="0" fontId="97" fillId="14" borderId="55" xfId="0" applyFont="1" applyFill="1" applyBorder="1" applyAlignment="1">
      <alignment horizontal="left" vertical="center"/>
    </xf>
    <xf numFmtId="0" fontId="97" fillId="14" borderId="56" xfId="0" applyFont="1" applyFill="1" applyBorder="1" applyAlignment="1">
      <alignment horizontal="left" vertical="center"/>
    </xf>
    <xf numFmtId="164" fontId="103" fillId="8" borderId="66" xfId="144" applyNumberFormat="1" applyFont="1" applyFill="1" applyBorder="1" applyAlignment="1">
      <alignment horizontal="center" vertical="center" wrapText="1"/>
    </xf>
    <xf numFmtId="164" fontId="103" fillId="8" borderId="67" xfId="144" applyNumberFormat="1" applyFont="1" applyFill="1" applyBorder="1" applyAlignment="1">
      <alignment horizontal="center" vertical="center" wrapText="1"/>
    </xf>
    <xf numFmtId="2" fontId="43" fillId="8" borderId="66" xfId="144" applyNumberFormat="1" applyFont="1" applyFill="1" applyBorder="1" applyAlignment="1">
      <alignment horizontal="left" vertical="center"/>
    </xf>
    <xf numFmtId="2" fontId="43" fillId="8" borderId="67" xfId="144" applyNumberFormat="1" applyFont="1" applyFill="1" applyBorder="1" applyAlignment="1">
      <alignment horizontal="left" vertical="center"/>
    </xf>
    <xf numFmtId="2" fontId="118" fillId="8" borderId="66" xfId="144" applyNumberFormat="1" applyFont="1" applyFill="1" applyBorder="1" applyAlignment="1">
      <alignment horizontal="center" vertical="center" wrapText="1"/>
    </xf>
    <xf numFmtId="2" fontId="118" fillId="8" borderId="67" xfId="144" applyNumberFormat="1" applyFont="1" applyFill="1" applyBorder="1" applyAlignment="1">
      <alignment horizontal="center" vertical="center" wrapText="1"/>
    </xf>
    <xf numFmtId="1" fontId="118" fillId="0" borderId="65" xfId="144" applyNumberFormat="1" applyFont="1" applyBorder="1" applyAlignment="1">
      <alignment horizontal="center" vertical="center" wrapText="1"/>
    </xf>
    <xf numFmtId="2" fontId="43" fillId="0" borderId="65" xfId="144" applyNumberFormat="1" applyFont="1" applyBorder="1" applyAlignment="1">
      <alignment horizontal="left" vertical="center"/>
    </xf>
    <xf numFmtId="0" fontId="43" fillId="0" borderId="65" xfId="144" applyFont="1" applyBorder="1" applyAlignment="1">
      <alignment horizontal="left" vertical="center"/>
    </xf>
    <xf numFmtId="2" fontId="118" fillId="0" borderId="65" xfId="144" applyNumberFormat="1" applyFont="1" applyBorder="1" applyAlignment="1">
      <alignment horizontal="center" vertical="center" wrapText="1"/>
    </xf>
    <xf numFmtId="0" fontId="16" fillId="2" borderId="53" xfId="144" applyFont="1" applyFill="1" applyBorder="1" applyAlignment="1">
      <alignment horizontal="left" vertical="center"/>
    </xf>
    <xf numFmtId="0" fontId="17" fillId="2" borderId="53" xfId="144" applyFont="1" applyFill="1" applyBorder="1" applyAlignment="1">
      <alignment horizontal="left" vertical="center"/>
    </xf>
    <xf numFmtId="0" fontId="67" fillId="2" borderId="53" xfId="144" applyFont="1" applyFill="1" applyBorder="1" applyAlignment="1">
      <alignment horizontal="left" vertical="center"/>
    </xf>
    <xf numFmtId="0" fontId="10" fillId="0" borderId="53" xfId="144" applyFont="1" applyBorder="1" applyAlignment="1">
      <alignment horizontal="center" vertical="center"/>
    </xf>
    <xf numFmtId="164" fontId="103" fillId="0" borderId="64" xfId="144" applyNumberFormat="1" applyFont="1" applyBorder="1" applyAlignment="1">
      <alignment horizontal="center" vertical="center" wrapText="1"/>
    </xf>
    <xf numFmtId="164" fontId="103" fillId="0" borderId="65" xfId="144" applyNumberFormat="1" applyFont="1" applyBorder="1" applyAlignment="1">
      <alignment horizontal="center" vertical="center" wrapText="1"/>
    </xf>
    <xf numFmtId="2" fontId="43" fillId="0" borderId="64" xfId="144" applyNumberFormat="1" applyFont="1" applyBorder="1" applyAlignment="1">
      <alignment horizontal="left" vertical="center"/>
    </xf>
    <xf numFmtId="2" fontId="116" fillId="0" borderId="64" xfId="144" applyNumberFormat="1" applyFont="1" applyBorder="1" applyAlignment="1">
      <alignment horizontal="center" vertical="center" wrapText="1"/>
    </xf>
    <xf numFmtId="2" fontId="116" fillId="0" borderId="65" xfId="144" applyNumberFormat="1" applyFont="1" applyBorder="1" applyAlignment="1">
      <alignment horizontal="center" vertical="center" wrapText="1"/>
    </xf>
    <xf numFmtId="166" fontId="118" fillId="0" borderId="65" xfId="144" applyNumberFormat="1" applyFont="1" applyBorder="1" applyAlignment="1">
      <alignment horizontal="center" vertical="center" wrapText="1"/>
    </xf>
    <xf numFmtId="164" fontId="103" fillId="0" borderId="65" xfId="144" applyNumberFormat="1" applyFont="1" applyBorder="1" applyAlignment="1">
      <alignment horizontal="center" vertical="center"/>
    </xf>
    <xf numFmtId="164" fontId="103" fillId="0" borderId="68" xfId="144" applyNumberFormat="1" applyFont="1" applyBorder="1" applyAlignment="1">
      <alignment horizontal="center" vertical="center"/>
    </xf>
    <xf numFmtId="164" fontId="43" fillId="0" borderId="65" xfId="144" applyNumberFormat="1" applyFont="1" applyBorder="1" applyAlignment="1">
      <alignment horizontal="left" vertical="center"/>
    </xf>
    <xf numFmtId="164" fontId="43" fillId="0" borderId="68" xfId="144" applyNumberFormat="1" applyFont="1" applyBorder="1" applyAlignment="1">
      <alignment horizontal="left" vertical="center"/>
    </xf>
    <xf numFmtId="166" fontId="118" fillId="0" borderId="65" xfId="144" applyNumberFormat="1" applyFont="1" applyBorder="1" applyAlignment="1">
      <alignment horizontal="center" vertical="center"/>
    </xf>
    <xf numFmtId="166" fontId="118" fillId="0" borderId="68" xfId="144" applyNumberFormat="1" applyFont="1" applyBorder="1" applyAlignment="1">
      <alignment horizontal="center" vertical="center"/>
    </xf>
    <xf numFmtId="164" fontId="118" fillId="8" borderId="65" xfId="144" applyNumberFormat="1" applyFont="1" applyFill="1" applyBorder="1" applyAlignment="1">
      <alignment horizontal="center" vertical="center"/>
    </xf>
    <xf numFmtId="164" fontId="118" fillId="8" borderId="68" xfId="144" applyNumberFormat="1" applyFont="1" applyFill="1" applyBorder="1" applyAlignment="1">
      <alignment horizontal="center" vertical="center"/>
    </xf>
    <xf numFmtId="166" fontId="43" fillId="8" borderId="65" xfId="144" applyNumberFormat="1" applyFont="1" applyFill="1" applyBorder="1" applyAlignment="1">
      <alignment horizontal="left" vertical="center"/>
    </xf>
    <xf numFmtId="0" fontId="43" fillId="8" borderId="65" xfId="144" applyFont="1" applyFill="1" applyBorder="1" applyAlignment="1">
      <alignment horizontal="left" vertical="center"/>
    </xf>
    <xf numFmtId="0" fontId="43" fillId="8" borderId="68" xfId="144" applyFont="1" applyFill="1" applyBorder="1" applyAlignment="1">
      <alignment horizontal="left" vertical="center"/>
    </xf>
    <xf numFmtId="2" fontId="118" fillId="8" borderId="65" xfId="144" applyNumberFormat="1" applyFont="1" applyFill="1" applyBorder="1" applyAlignment="1">
      <alignment horizontal="center" vertical="center" wrapText="1"/>
    </xf>
    <xf numFmtId="2" fontId="118" fillId="8" borderId="68" xfId="144" applyNumberFormat="1" applyFont="1" applyFill="1" applyBorder="1" applyAlignment="1">
      <alignment horizontal="center" vertical="center" wrapText="1"/>
    </xf>
    <xf numFmtId="2" fontId="103" fillId="0" borderId="65" xfId="144" applyNumberFormat="1" applyFont="1" applyBorder="1" applyAlignment="1">
      <alignment horizontal="center" vertical="center"/>
    </xf>
    <xf numFmtId="164" fontId="118" fillId="0" borderId="65" xfId="144" applyNumberFormat="1" applyFont="1" applyBorder="1" applyAlignment="1">
      <alignment horizontal="center" vertical="center"/>
    </xf>
    <xf numFmtId="1" fontId="43" fillId="0" borderId="65" xfId="144" applyNumberFormat="1" applyFont="1" applyBorder="1" applyAlignment="1">
      <alignment horizontal="left" vertical="center"/>
    </xf>
    <xf numFmtId="0" fontId="18" fillId="2" borderId="53" xfId="144" applyFont="1" applyFill="1" applyBorder="1" applyAlignment="1">
      <alignment horizontal="left" vertical="center"/>
    </xf>
    <xf numFmtId="0" fontId="10" fillId="0" borderId="53" xfId="144" applyFont="1" applyBorder="1" applyAlignment="1">
      <alignment horizontal="center"/>
    </xf>
    <xf numFmtId="2" fontId="103" fillId="0" borderId="64" xfId="144" applyNumberFormat="1" applyFont="1" applyBorder="1" applyAlignment="1">
      <alignment horizontal="center" vertical="center"/>
    </xf>
    <xf numFmtId="164" fontId="43" fillId="0" borderId="64" xfId="144" applyNumberFormat="1" applyFont="1" applyBorder="1" applyAlignment="1">
      <alignment vertical="center"/>
    </xf>
    <xf numFmtId="0" fontId="43" fillId="0" borderId="64" xfId="144" applyFont="1" applyBorder="1" applyAlignment="1">
      <alignment vertical="center"/>
    </xf>
    <xf numFmtId="0" fontId="43" fillId="0" borderId="65" xfId="144" applyFont="1" applyBorder="1" applyAlignment="1">
      <alignment vertical="center"/>
    </xf>
    <xf numFmtId="166" fontId="118" fillId="0" borderId="64" xfId="144" applyNumberFormat="1" applyFont="1" applyBorder="1" applyAlignment="1">
      <alignment horizontal="center" vertical="center"/>
    </xf>
    <xf numFmtId="164" fontId="118" fillId="0" borderId="64" xfId="144" applyNumberFormat="1" applyFont="1" applyBorder="1" applyAlignment="1">
      <alignment horizontal="center" vertical="center"/>
    </xf>
    <xf numFmtId="164" fontId="43" fillId="0" borderId="64" xfId="144" applyNumberFormat="1" applyFont="1" applyBorder="1" applyAlignment="1">
      <alignment horizontal="left" vertical="center"/>
    </xf>
    <xf numFmtId="0" fontId="118" fillId="0" borderId="64" xfId="144" applyFont="1" applyBorder="1" applyAlignment="1">
      <alignment horizontal="center" vertical="center"/>
    </xf>
    <xf numFmtId="0" fontId="118" fillId="0" borderId="65" xfId="144" applyFont="1" applyBorder="1" applyAlignment="1">
      <alignment horizontal="center" vertical="center"/>
    </xf>
    <xf numFmtId="164" fontId="43" fillId="0" borderId="65" xfId="144" applyNumberFormat="1" applyFont="1" applyBorder="1" applyAlignment="1">
      <alignment vertical="center"/>
    </xf>
    <xf numFmtId="0" fontId="43" fillId="0" borderId="68" xfId="144" applyFont="1" applyBorder="1" applyAlignment="1">
      <alignment horizontal="left" vertical="center"/>
    </xf>
    <xf numFmtId="0" fontId="118" fillId="0" borderId="68" xfId="144" applyFont="1" applyBorder="1" applyAlignment="1">
      <alignment horizontal="center" vertical="center"/>
    </xf>
    <xf numFmtId="1" fontId="103" fillId="0" borderId="65" xfId="144" applyNumberFormat="1" applyFont="1" applyBorder="1" applyAlignment="1">
      <alignment horizontal="center" vertical="center"/>
    </xf>
    <xf numFmtId="0" fontId="119" fillId="0" borderId="65" xfId="144" applyFont="1" applyBorder="1" applyAlignment="1">
      <alignment horizontal="left" vertical="center"/>
    </xf>
    <xf numFmtId="2" fontId="16" fillId="0" borderId="64" xfId="144" applyNumberFormat="1" applyFont="1" applyBorder="1" applyAlignment="1">
      <alignment horizontal="center" vertical="center"/>
    </xf>
    <xf numFmtId="2" fontId="16" fillId="0" borderId="65" xfId="144" applyNumberFormat="1" applyFont="1" applyBorder="1" applyAlignment="1">
      <alignment horizontal="center" vertical="center"/>
    </xf>
    <xf numFmtId="0" fontId="43" fillId="0" borderId="64" xfId="144" applyFont="1" applyBorder="1" applyAlignment="1">
      <alignment horizontal="left" vertical="center"/>
    </xf>
    <xf numFmtId="0" fontId="67" fillId="0" borderId="64" xfId="144" applyFont="1" applyBorder="1" applyAlignment="1">
      <alignment horizontal="center" vertical="center"/>
    </xf>
    <xf numFmtId="0" fontId="67" fillId="0" borderId="65" xfId="144" applyFont="1" applyBorder="1" applyAlignment="1">
      <alignment horizontal="center" vertical="center"/>
    </xf>
    <xf numFmtId="0" fontId="43" fillId="8" borderId="53" xfId="0" applyFont="1" applyFill="1" applyBorder="1" applyAlignment="1">
      <alignment horizontal="left" vertical="center"/>
    </xf>
    <xf numFmtId="0" fontId="90" fillId="8" borderId="53" xfId="0" applyFont="1" applyFill="1" applyBorder="1" applyAlignment="1">
      <alignment horizontal="center" vertical="center"/>
    </xf>
    <xf numFmtId="2" fontId="43" fillId="0" borderId="65" xfId="144" applyNumberFormat="1" applyFont="1" applyBorder="1" applyAlignment="1">
      <alignment vertical="center"/>
    </xf>
    <xf numFmtId="0" fontId="43" fillId="0" borderId="68" xfId="144" applyFont="1" applyBorder="1" applyAlignment="1">
      <alignment vertical="center"/>
    </xf>
    <xf numFmtId="2" fontId="118" fillId="0" borderId="65" xfId="144" applyNumberFormat="1" applyFont="1" applyBorder="1" applyAlignment="1">
      <alignment horizontal="center" vertical="center"/>
    </xf>
    <xf numFmtId="2" fontId="118" fillId="0" borderId="68" xfId="144" applyNumberFormat="1" applyFont="1" applyBorder="1" applyAlignment="1">
      <alignment horizontal="center" vertical="center"/>
    </xf>
    <xf numFmtId="0" fontId="60" fillId="8" borderId="64" xfId="0" applyFont="1" applyFill="1" applyBorder="1" applyAlignment="1">
      <alignment horizontal="left" vertical="center"/>
    </xf>
    <xf numFmtId="0" fontId="60" fillId="8" borderId="65" xfId="0" applyFont="1" applyFill="1" applyBorder="1" applyAlignment="1">
      <alignment horizontal="left" vertical="center"/>
    </xf>
    <xf numFmtId="2" fontId="60" fillId="8" borderId="64" xfId="0" applyNumberFormat="1" applyFont="1" applyFill="1" applyBorder="1" applyAlignment="1">
      <alignment horizontal="center" vertical="center"/>
    </xf>
    <xf numFmtId="2" fontId="60" fillId="8" borderId="65" xfId="0" applyNumberFormat="1" applyFont="1" applyFill="1" applyBorder="1" applyAlignment="1">
      <alignment horizontal="center" vertical="center"/>
    </xf>
    <xf numFmtId="164" fontId="43" fillId="8" borderId="64" xfId="0" applyNumberFormat="1" applyFont="1" applyFill="1" applyBorder="1" applyAlignment="1">
      <alignment horizontal="left" vertical="center"/>
    </xf>
    <xf numFmtId="164" fontId="43" fillId="8" borderId="65" xfId="0" applyNumberFormat="1" applyFont="1" applyFill="1" applyBorder="1" applyAlignment="1">
      <alignment horizontal="left" vertical="center"/>
    </xf>
    <xf numFmtId="0" fontId="90" fillId="8" borderId="64" xfId="0" applyFont="1" applyFill="1" applyBorder="1" applyAlignment="1">
      <alignment horizontal="center" vertical="center"/>
    </xf>
    <xf numFmtId="0" fontId="90" fillId="8" borderId="65" xfId="0" applyFont="1" applyFill="1" applyBorder="1" applyAlignment="1">
      <alignment horizontal="center" vertical="center"/>
    </xf>
    <xf numFmtId="0" fontId="97" fillId="0" borderId="0" xfId="0" applyFont="1" applyAlignment="1">
      <alignment horizontal="left" wrapText="1"/>
    </xf>
    <xf numFmtId="166" fontId="16" fillId="0" borderId="65" xfId="144" applyNumberFormat="1" applyFont="1" applyBorder="1" applyAlignment="1">
      <alignment horizontal="center" vertical="center"/>
    </xf>
    <xf numFmtId="166" fontId="16" fillId="0" borderId="68" xfId="144" applyNumberFormat="1" applyFont="1" applyBorder="1" applyAlignment="1">
      <alignment horizontal="center" vertical="center"/>
    </xf>
    <xf numFmtId="2" fontId="43" fillId="0" borderId="68" xfId="144" applyNumberFormat="1" applyFont="1" applyBorder="1" applyAlignment="1">
      <alignment horizontal="left" vertical="center"/>
    </xf>
    <xf numFmtId="0" fontId="60" fillId="8" borderId="68" xfId="0" applyFont="1" applyFill="1" applyBorder="1" applyAlignment="1">
      <alignment horizontal="left" vertical="center"/>
    </xf>
    <xf numFmtId="2" fontId="60" fillId="8" borderId="68" xfId="0" applyNumberFormat="1" applyFont="1" applyFill="1" applyBorder="1" applyAlignment="1">
      <alignment horizontal="center" vertical="center"/>
    </xf>
    <xf numFmtId="164" fontId="43" fillId="8" borderId="68" xfId="0" applyNumberFormat="1" applyFont="1" applyFill="1" applyBorder="1" applyAlignment="1">
      <alignment horizontal="left" vertical="center"/>
    </xf>
    <xf numFmtId="0" fontId="90" fillId="8" borderId="68" xfId="0" applyFont="1" applyFill="1" applyBorder="1" applyAlignment="1">
      <alignment horizontal="center" vertical="center"/>
    </xf>
    <xf numFmtId="164" fontId="16" fillId="0" borderId="65" xfId="144" applyNumberFormat="1" applyFont="1" applyBorder="1" applyAlignment="1">
      <alignment horizontal="center" vertical="center"/>
    </xf>
    <xf numFmtId="0" fontId="97" fillId="0" borderId="0" xfId="0" applyFont="1" applyAlignment="1">
      <alignment horizontal="left" vertical="top" wrapText="1"/>
    </xf>
    <xf numFmtId="0" fontId="93" fillId="0" borderId="0" xfId="1" applyFont="1" applyAlignment="1">
      <alignment horizontal="center" vertical="top"/>
    </xf>
    <xf numFmtId="0" fontId="93" fillId="0" borderId="176" xfId="1" applyFont="1" applyBorder="1" applyAlignment="1">
      <alignment horizontal="left" vertical="center" wrapText="1"/>
    </xf>
    <xf numFmtId="0" fontId="93" fillId="0" borderId="177" xfId="1" applyFont="1" applyBorder="1" applyAlignment="1">
      <alignment horizontal="left" vertical="center" wrapText="1"/>
    </xf>
    <xf numFmtId="0" fontId="93" fillId="0" borderId="178" xfId="1" applyFont="1" applyBorder="1" applyAlignment="1">
      <alignment horizontal="left" vertical="center" wrapText="1"/>
    </xf>
    <xf numFmtId="0" fontId="93" fillId="0" borderId="179" xfId="1" applyFont="1" applyBorder="1" applyAlignment="1">
      <alignment horizontal="left" vertical="center" wrapText="1"/>
    </xf>
    <xf numFmtId="0" fontId="93" fillId="0" borderId="180" xfId="1" applyFont="1" applyBorder="1" applyAlignment="1">
      <alignment horizontal="left" vertical="center" wrapText="1"/>
    </xf>
    <xf numFmtId="0" fontId="93" fillId="0" borderId="181" xfId="1" applyFont="1" applyBorder="1" applyAlignment="1">
      <alignment horizontal="left" vertical="center" wrapText="1"/>
    </xf>
    <xf numFmtId="0" fontId="93" fillId="0" borderId="173" xfId="1" applyFont="1" applyBorder="1" applyAlignment="1">
      <alignment horizontal="left" vertical="center" wrapText="1"/>
    </xf>
    <xf numFmtId="0" fontId="93" fillId="0" borderId="174" xfId="1" applyFont="1" applyBorder="1" applyAlignment="1">
      <alignment horizontal="left" vertical="center" wrapText="1"/>
    </xf>
    <xf numFmtId="0" fontId="93" fillId="0" borderId="175" xfId="1" applyFont="1" applyBorder="1" applyAlignment="1">
      <alignment horizontal="left" vertical="center" wrapText="1"/>
    </xf>
    <xf numFmtId="0" fontId="93" fillId="0" borderId="6" xfId="1" applyFont="1" applyBorder="1" applyAlignment="1">
      <alignment horizontal="left" vertical="center" wrapText="1"/>
    </xf>
    <xf numFmtId="0" fontId="93" fillId="0" borderId="2" xfId="1" applyFont="1" applyBorder="1" applyAlignment="1">
      <alignment horizontal="left" vertical="center" wrapText="1"/>
    </xf>
    <xf numFmtId="0" fontId="93" fillId="0" borderId="3" xfId="1" applyFont="1" applyBorder="1" applyAlignment="1">
      <alignment horizontal="left" vertical="center" wrapText="1"/>
    </xf>
    <xf numFmtId="0" fontId="93" fillId="0" borderId="8" xfId="1" applyFont="1" applyBorder="1" applyAlignment="1">
      <alignment horizontal="left" vertical="center" wrapText="1"/>
    </xf>
    <xf numFmtId="0" fontId="93" fillId="0" borderId="0" xfId="1" applyFont="1" applyAlignment="1">
      <alignment horizontal="left" vertical="center" wrapText="1"/>
    </xf>
    <xf numFmtId="0" fontId="93" fillId="0" borderId="9" xfId="1" applyFont="1" applyBorder="1" applyAlignment="1">
      <alignment horizontal="left" vertical="center" wrapText="1"/>
    </xf>
    <xf numFmtId="0" fontId="93" fillId="0" borderId="11" xfId="1" applyFont="1" applyBorder="1" applyAlignment="1">
      <alignment horizontal="left" vertical="center" wrapText="1"/>
    </xf>
    <xf numFmtId="0" fontId="93" fillId="0" borderId="4" xfId="1" applyFont="1" applyBorder="1" applyAlignment="1">
      <alignment horizontal="left" vertical="center" wrapText="1"/>
    </xf>
    <xf numFmtId="0" fontId="93" fillId="0" borderId="5" xfId="1" applyFont="1" applyBorder="1" applyAlignment="1">
      <alignment horizontal="left" vertical="center" wrapText="1"/>
    </xf>
    <xf numFmtId="0" fontId="93" fillId="0" borderId="0" xfId="1" applyFont="1" applyAlignment="1">
      <alignment horizontal="center"/>
    </xf>
    <xf numFmtId="0" fontId="178" fillId="0" borderId="0" xfId="1" applyFont="1" applyAlignment="1">
      <alignment horizontal="left"/>
    </xf>
    <xf numFmtId="1" fontId="64" fillId="0" borderId="101" xfId="1" applyNumberFormat="1" applyFont="1" applyBorder="1" applyAlignment="1">
      <alignment horizontal="center" vertical="top" wrapText="1"/>
    </xf>
    <xf numFmtId="1" fontId="64" fillId="0" borderId="133" xfId="1" applyNumberFormat="1" applyFont="1" applyBorder="1" applyAlignment="1">
      <alignment horizontal="center" vertical="top" wrapText="1"/>
    </xf>
    <xf numFmtId="2" fontId="93" fillId="0" borderId="176" xfId="1" applyNumberFormat="1" applyFont="1" applyBorder="1" applyAlignment="1">
      <alignment horizontal="left" vertical="center" wrapText="1"/>
    </xf>
    <xf numFmtId="2" fontId="93" fillId="0" borderId="177" xfId="1" applyNumberFormat="1" applyFont="1" applyBorder="1" applyAlignment="1">
      <alignment horizontal="left" vertical="center" wrapText="1"/>
    </xf>
    <xf numFmtId="0" fontId="64" fillId="0" borderId="48" xfId="1" applyFont="1" applyBorder="1" applyAlignment="1">
      <alignment horizontal="center"/>
    </xf>
    <xf numFmtId="0" fontId="64" fillId="0" borderId="189" xfId="1" applyFont="1" applyBorder="1" applyAlignment="1">
      <alignment horizontal="center"/>
    </xf>
    <xf numFmtId="0" fontId="64" fillId="0" borderId="171" xfId="1" applyFont="1" applyBorder="1" applyAlignment="1">
      <alignment horizontal="center"/>
    </xf>
    <xf numFmtId="164" fontId="93" fillId="0" borderId="190" xfId="1" applyNumberFormat="1" applyFont="1" applyBorder="1" applyAlignment="1">
      <alignment horizontal="left" vertical="center"/>
    </xf>
    <xf numFmtId="0" fontId="93" fillId="0" borderId="191" xfId="1" applyFont="1" applyBorder="1" applyAlignment="1">
      <alignment horizontal="left" vertical="center" wrapText="1"/>
    </xf>
    <xf numFmtId="0" fontId="64" fillId="0" borderId="46" xfId="1" applyFont="1" applyBorder="1" applyAlignment="1">
      <alignment horizontal="center"/>
    </xf>
    <xf numFmtId="0" fontId="64" fillId="0" borderId="47" xfId="1" applyFont="1" applyBorder="1" applyAlignment="1">
      <alignment horizontal="center"/>
    </xf>
    <xf numFmtId="0" fontId="64" fillId="0" borderId="182" xfId="1" applyFont="1" applyBorder="1" applyAlignment="1">
      <alignment horizontal="center"/>
    </xf>
    <xf numFmtId="0" fontId="64" fillId="0" borderId="183" xfId="1" applyFont="1" applyBorder="1" applyAlignment="1">
      <alignment horizontal="center"/>
    </xf>
    <xf numFmtId="0" fontId="64" fillId="0" borderId="187" xfId="1" applyFont="1" applyBorder="1" applyAlignment="1">
      <alignment horizontal="center"/>
    </xf>
    <xf numFmtId="0" fontId="64" fillId="0" borderId="188" xfId="1" applyFont="1" applyBorder="1" applyAlignment="1">
      <alignment horizontal="center"/>
    </xf>
    <xf numFmtId="0" fontId="64" fillId="0" borderId="184" xfId="1" applyFont="1" applyBorder="1" applyAlignment="1">
      <alignment horizontal="center"/>
    </xf>
    <xf numFmtId="0" fontId="64" fillId="0" borderId="185" xfId="1" applyFont="1" applyBorder="1" applyAlignment="1">
      <alignment horizontal="center"/>
    </xf>
    <xf numFmtId="0" fontId="93" fillId="0" borderId="33" xfId="1" applyFont="1" applyBorder="1" applyAlignment="1">
      <alignment horizontal="left" vertical="center" wrapText="1"/>
    </xf>
    <xf numFmtId="0" fontId="93" fillId="0" borderId="34" xfId="1" applyFont="1" applyBorder="1" applyAlignment="1">
      <alignment horizontal="left" vertical="center" wrapText="1"/>
    </xf>
    <xf numFmtId="0" fontId="93" fillId="0" borderId="35" xfId="1" applyFont="1" applyBorder="1" applyAlignment="1">
      <alignment horizontal="left" vertical="center" wrapText="1"/>
    </xf>
    <xf numFmtId="0" fontId="93" fillId="0" borderId="6" xfId="1" applyFont="1" applyBorder="1" applyAlignment="1">
      <alignment horizontal="left" vertical="center"/>
    </xf>
    <xf numFmtId="0" fontId="93" fillId="0" borderId="2" xfId="1" applyFont="1" applyBorder="1" applyAlignment="1">
      <alignment horizontal="left" vertical="center"/>
    </xf>
    <xf numFmtId="0" fontId="93" fillId="0" borderId="3" xfId="1" applyFont="1" applyBorder="1" applyAlignment="1">
      <alignment horizontal="left" vertical="center"/>
    </xf>
    <xf numFmtId="0" fontId="93" fillId="0" borderId="8" xfId="1" applyFont="1" applyBorder="1" applyAlignment="1">
      <alignment horizontal="left" vertical="center"/>
    </xf>
    <xf numFmtId="0" fontId="93" fillId="0" borderId="0" xfId="1" applyFont="1" applyAlignment="1">
      <alignment horizontal="left" vertical="center"/>
    </xf>
    <xf numFmtId="0" fontId="93" fillId="0" borderId="9" xfId="1" applyFont="1" applyBorder="1" applyAlignment="1">
      <alignment horizontal="left" vertical="center"/>
    </xf>
    <xf numFmtId="49" fontId="64" fillId="0" borderId="0" xfId="1" applyNumberFormat="1" applyFont="1" applyAlignment="1">
      <alignment horizontal="center"/>
    </xf>
    <xf numFmtId="0" fontId="64" fillId="0" borderId="0" xfId="1" applyFont="1" applyAlignment="1">
      <alignment horizontal="center"/>
    </xf>
    <xf numFmtId="0" fontId="93" fillId="0" borderId="173" xfId="1" applyFont="1" applyBorder="1" applyAlignment="1">
      <alignment horizontal="left" vertical="center"/>
    </xf>
    <xf numFmtId="0" fontId="93" fillId="0" borderId="174" xfId="1" applyFont="1" applyBorder="1" applyAlignment="1">
      <alignment horizontal="left" vertical="center"/>
    </xf>
    <xf numFmtId="0" fontId="93" fillId="0" borderId="175" xfId="1" applyFont="1" applyBorder="1" applyAlignment="1">
      <alignment horizontal="left" vertical="center"/>
    </xf>
    <xf numFmtId="0" fontId="64" fillId="11" borderId="46" xfId="1" applyFont="1" applyFill="1" applyBorder="1" applyAlignment="1">
      <alignment horizontal="center"/>
    </xf>
    <xf numFmtId="0" fontId="64" fillId="11" borderId="47" xfId="1" applyFont="1" applyFill="1" applyBorder="1" applyAlignment="1">
      <alignment horizontal="center"/>
    </xf>
    <xf numFmtId="0" fontId="93" fillId="0" borderId="176" xfId="1" applyFont="1" applyBorder="1" applyAlignment="1">
      <alignment horizontal="left" vertical="center"/>
    </xf>
    <xf numFmtId="0" fontId="93" fillId="0" borderId="177" xfId="1" applyFont="1" applyBorder="1" applyAlignment="1">
      <alignment horizontal="left" vertical="center"/>
    </xf>
    <xf numFmtId="0" fontId="93" fillId="0" borderId="178" xfId="1" applyFont="1" applyBorder="1" applyAlignment="1">
      <alignment horizontal="left" vertical="center"/>
    </xf>
    <xf numFmtId="0" fontId="64" fillId="0" borderId="48" xfId="1" applyFont="1" applyBorder="1" applyAlignment="1">
      <alignment horizontal="center" vertical="center"/>
    </xf>
    <xf numFmtId="0" fontId="64" fillId="0" borderId="171" xfId="1" applyFont="1" applyBorder="1" applyAlignment="1">
      <alignment horizontal="center" vertical="center"/>
    </xf>
    <xf numFmtId="0" fontId="93" fillId="0" borderId="172" xfId="1" applyFont="1" applyBorder="1" applyAlignment="1">
      <alignment horizontal="left" vertical="center" wrapText="1"/>
    </xf>
    <xf numFmtId="0" fontId="64" fillId="0" borderId="51" xfId="1" applyFont="1" applyBorder="1" applyAlignment="1">
      <alignment horizontal="left" vertical="center" wrapText="1"/>
    </xf>
    <xf numFmtId="0" fontId="64" fillId="11" borderId="51" xfId="1" applyFont="1" applyFill="1" applyBorder="1" applyAlignment="1">
      <alignment horizontal="center"/>
    </xf>
    <xf numFmtId="0" fontId="64" fillId="11" borderId="48" xfId="1" applyFont="1" applyFill="1" applyBorder="1" applyAlignment="1">
      <alignment horizontal="left"/>
    </xf>
    <xf numFmtId="0" fontId="64" fillId="11" borderId="171" xfId="1" applyFont="1" applyFill="1" applyBorder="1" applyAlignment="1">
      <alignment horizontal="left"/>
    </xf>
    <xf numFmtId="0" fontId="64" fillId="11" borderId="48" xfId="1" applyFont="1" applyFill="1" applyBorder="1" applyAlignment="1">
      <alignment horizontal="center"/>
    </xf>
    <xf numFmtId="0" fontId="64" fillId="11" borderId="171" xfId="1" applyFont="1" applyFill="1" applyBorder="1" applyAlignment="1">
      <alignment horizontal="center"/>
    </xf>
    <xf numFmtId="0" fontId="64" fillId="0" borderId="51" xfId="1" applyFont="1" applyBorder="1" applyAlignment="1">
      <alignment horizontal="center"/>
    </xf>
    <xf numFmtId="0" fontId="93" fillId="0" borderId="169" xfId="1" applyFont="1" applyBorder="1" applyAlignment="1">
      <alignment horizontal="left" vertical="center" wrapText="1"/>
    </xf>
    <xf numFmtId="0" fontId="64" fillId="0" borderId="0" xfId="1" applyFont="1" applyAlignment="1">
      <alignment horizontal="center" vertical="center"/>
    </xf>
    <xf numFmtId="0" fontId="93" fillId="0" borderId="170" xfId="1" applyFont="1" applyBorder="1" applyAlignment="1">
      <alignment horizontal="left" vertical="center" wrapText="1"/>
    </xf>
    <xf numFmtId="0" fontId="64" fillId="0" borderId="48" xfId="1" applyFont="1" applyBorder="1" applyAlignment="1">
      <alignment horizontal="left" vertical="center" wrapText="1"/>
    </xf>
    <xf numFmtId="0" fontId="64" fillId="0" borderId="171" xfId="1" applyFont="1" applyBorder="1" applyAlignment="1">
      <alignment horizontal="left" vertical="center" wrapText="1"/>
    </xf>
    <xf numFmtId="0" fontId="99" fillId="0" borderId="0" xfId="1" applyFont="1" applyAlignment="1">
      <alignment horizontal="left"/>
    </xf>
    <xf numFmtId="0" fontId="99" fillId="0" borderId="0" xfId="1" applyFont="1" applyAlignment="1">
      <alignment horizontal="left" vertical="center" wrapText="1"/>
    </xf>
    <xf numFmtId="0" fontId="61" fillId="14" borderId="33" xfId="148" applyFont="1" applyFill="1" applyBorder="1" applyAlignment="1">
      <alignment horizontal="left" vertical="center"/>
    </xf>
    <xf numFmtId="0" fontId="61" fillId="14" borderId="34" xfId="148" applyFont="1" applyFill="1" applyBorder="1" applyAlignment="1">
      <alignment horizontal="left" vertical="center"/>
    </xf>
    <xf numFmtId="0" fontId="61" fillId="14" borderId="35" xfId="148" applyFont="1" applyFill="1" applyBorder="1" applyAlignment="1">
      <alignment horizontal="left" vertical="center"/>
    </xf>
    <xf numFmtId="0" fontId="93" fillId="2" borderId="1" xfId="148" applyFont="1" applyFill="1" applyBorder="1" applyAlignment="1">
      <alignment horizontal="left" vertical="center"/>
    </xf>
    <xf numFmtId="0" fontId="61" fillId="0" borderId="33" xfId="148" applyFont="1" applyBorder="1" applyAlignment="1">
      <alignment horizontal="left" vertical="center"/>
    </xf>
    <xf numFmtId="0" fontId="61" fillId="0" borderId="34" xfId="148" applyFont="1" applyBorder="1" applyAlignment="1">
      <alignment horizontal="left" vertical="center"/>
    </xf>
    <xf numFmtId="0" fontId="61" fillId="0" borderId="35" xfId="148" applyFont="1" applyBorder="1" applyAlignment="1">
      <alignment horizontal="left" vertical="center"/>
    </xf>
    <xf numFmtId="14" fontId="61" fillId="0" borderId="33" xfId="148" applyNumberFormat="1" applyFont="1" applyBorder="1" applyAlignment="1">
      <alignment horizontal="left" vertical="center"/>
    </xf>
    <xf numFmtId="0" fontId="173" fillId="0" borderId="0" xfId="1" applyFont="1" applyAlignment="1">
      <alignment horizontal="center"/>
    </xf>
    <xf numFmtId="0" fontId="176" fillId="14" borderId="1" xfId="148" applyFont="1" applyFill="1" applyBorder="1" applyAlignment="1">
      <alignment horizontal="left" vertical="center"/>
    </xf>
    <xf numFmtId="0" fontId="93" fillId="2" borderId="1" xfId="148" applyFont="1" applyFill="1" applyBorder="1" applyAlignment="1">
      <alignment horizontal="left" vertical="center" wrapText="1"/>
    </xf>
    <xf numFmtId="0" fontId="176" fillId="0" borderId="1" xfId="148" applyFont="1" applyBorder="1" applyAlignment="1">
      <alignment horizontal="left" vertical="center"/>
    </xf>
    <xf numFmtId="2" fontId="99" fillId="0" borderId="106" xfId="1" applyNumberFormat="1" applyFont="1" applyBorder="1" applyAlignment="1">
      <alignment horizontal="center" vertical="center"/>
    </xf>
    <xf numFmtId="2" fontId="99" fillId="0" borderId="120" xfId="1" applyNumberFormat="1" applyFont="1" applyBorder="1" applyAlignment="1">
      <alignment horizontal="center" vertical="center"/>
    </xf>
    <xf numFmtId="0" fontId="144" fillId="0" borderId="76" xfId="1" applyFont="1" applyBorder="1" applyAlignment="1">
      <alignment horizontal="left" vertical="center"/>
    </xf>
    <xf numFmtId="0" fontId="144" fillId="0" borderId="75" xfId="1" applyFont="1" applyBorder="1" applyAlignment="1">
      <alignment horizontal="left" vertical="center"/>
    </xf>
    <xf numFmtId="0" fontId="144" fillId="0" borderId="165" xfId="1" applyFont="1" applyBorder="1" applyAlignment="1">
      <alignment horizontal="left" vertical="center"/>
    </xf>
    <xf numFmtId="0" fontId="144" fillId="0" borderId="121" xfId="1" applyFont="1" applyBorder="1" applyAlignment="1">
      <alignment horizontal="left" vertical="center"/>
    </xf>
    <xf numFmtId="0" fontId="163" fillId="0" borderId="102" xfId="1" applyFont="1" applyBorder="1" applyAlignment="1">
      <alignment horizontal="center" vertical="center"/>
    </xf>
    <xf numFmtId="0" fontId="163" fillId="0" borderId="122" xfId="1" applyFont="1" applyBorder="1" applyAlignment="1">
      <alignment horizontal="center" vertical="center"/>
    </xf>
    <xf numFmtId="0" fontId="93" fillId="0" borderId="0" xfId="1" applyFont="1" applyAlignment="1">
      <alignment horizontal="left" wrapText="1"/>
    </xf>
    <xf numFmtId="0" fontId="99" fillId="0" borderId="0" xfId="1" applyFont="1" applyAlignment="1">
      <alignment horizontal="center" vertical="top"/>
    </xf>
    <xf numFmtId="0" fontId="93" fillId="0" borderId="0" xfId="1" applyFont="1" applyAlignment="1">
      <alignment horizontal="left" vertical="top" wrapText="1"/>
    </xf>
    <xf numFmtId="0" fontId="99" fillId="0" borderId="163" xfId="1" applyFont="1" applyBorder="1" applyAlignment="1">
      <alignment horizontal="left" vertical="center" wrapText="1"/>
    </xf>
    <xf numFmtId="0" fontId="99" fillId="0" borderId="119" xfId="1" applyFont="1" applyBorder="1" applyAlignment="1">
      <alignment horizontal="left" vertical="center" wrapText="1"/>
    </xf>
    <xf numFmtId="0" fontId="144" fillId="0" borderId="9" xfId="1" applyFont="1" applyBorder="1" applyAlignment="1">
      <alignment horizontal="left" vertical="center"/>
    </xf>
    <xf numFmtId="0" fontId="144" fillId="0" borderId="166" xfId="1" applyFont="1" applyBorder="1" applyAlignment="1">
      <alignment horizontal="left" vertical="center"/>
    </xf>
    <xf numFmtId="1" fontId="163" fillId="0" borderId="164" xfId="1" applyNumberFormat="1" applyFont="1" applyBorder="1" applyAlignment="1">
      <alignment horizontal="center" vertical="center" wrapText="1"/>
    </xf>
    <xf numFmtId="1" fontId="163" fillId="0" borderId="167" xfId="1" applyNumberFormat="1" applyFont="1" applyBorder="1" applyAlignment="1">
      <alignment horizontal="center" vertical="center" wrapText="1"/>
    </xf>
    <xf numFmtId="0" fontId="99" fillId="0" borderId="92" xfId="1" applyFont="1" applyBorder="1" applyAlignment="1">
      <alignment horizontal="left" vertical="center" wrapText="1"/>
    </xf>
    <xf numFmtId="0" fontId="99" fillId="0" borderId="94" xfId="1" applyFont="1" applyBorder="1" applyAlignment="1">
      <alignment horizontal="left" vertical="center" wrapText="1"/>
    </xf>
    <xf numFmtId="0" fontId="99" fillId="0" borderId="0" xfId="1" applyFont="1" applyAlignment="1">
      <alignment horizontal="center" wrapText="1"/>
    </xf>
    <xf numFmtId="0" fontId="93" fillId="0" borderId="0" xfId="1" applyFont="1" applyAlignment="1">
      <alignment horizontal="center" wrapText="1"/>
    </xf>
    <xf numFmtId="164" fontId="99" fillId="0" borderId="76" xfId="1" applyNumberFormat="1" applyFont="1" applyBorder="1" applyAlignment="1">
      <alignment horizontal="center" vertical="center"/>
    </xf>
    <xf numFmtId="0" fontId="144" fillId="0" borderId="8" xfId="1" applyFont="1" applyBorder="1" applyAlignment="1">
      <alignment horizontal="left" vertical="center"/>
    </xf>
    <xf numFmtId="0" fontId="163" fillId="0" borderId="93" xfId="1" applyFont="1" applyBorder="1" applyAlignment="1">
      <alignment horizontal="center" vertical="center"/>
    </xf>
    <xf numFmtId="0" fontId="64" fillId="0" borderId="1" xfId="1" applyFont="1" applyBorder="1" applyAlignment="1">
      <alignment horizontal="center" vertical="center" wrapText="1"/>
    </xf>
    <xf numFmtId="0" fontId="64" fillId="0" borderId="1" xfId="1" applyFont="1" applyBorder="1" applyAlignment="1">
      <alignment horizontal="center"/>
    </xf>
    <xf numFmtId="0" fontId="146" fillId="21" borderId="96" xfId="1" applyFont="1" applyFill="1" applyBorder="1" applyAlignment="1">
      <alignment horizontal="center" vertical="center"/>
    </xf>
    <xf numFmtId="0" fontId="93" fillId="21" borderId="97" xfId="1" applyFont="1" applyFill="1" applyBorder="1" applyAlignment="1">
      <alignment horizontal="center" vertical="center"/>
    </xf>
    <xf numFmtId="0" fontId="93" fillId="21" borderId="98" xfId="1" applyFont="1" applyFill="1" applyBorder="1" applyAlignment="1">
      <alignment horizontal="center" vertical="center"/>
    </xf>
    <xf numFmtId="0" fontId="99" fillId="0" borderId="117" xfId="1" applyFont="1" applyBorder="1" applyAlignment="1">
      <alignment horizontal="left" vertical="center" wrapText="1"/>
    </xf>
    <xf numFmtId="2" fontId="99" fillId="0" borderId="103" xfId="1" applyNumberFormat="1" applyFont="1" applyBorder="1" applyAlignment="1">
      <alignment horizontal="center" vertical="center"/>
    </xf>
    <xf numFmtId="0" fontId="144" fillId="0" borderId="110" xfId="1" applyFont="1" applyBorder="1" applyAlignment="1">
      <alignment horizontal="left" vertical="center"/>
    </xf>
    <xf numFmtId="0" fontId="144" fillId="0" borderId="118" xfId="1" applyFont="1" applyBorder="1" applyAlignment="1">
      <alignment horizontal="left" vertical="center"/>
    </xf>
    <xf numFmtId="0" fontId="163" fillId="0" borderId="105" xfId="1" applyFont="1" applyBorder="1" applyAlignment="1">
      <alignment horizontal="center" vertical="center"/>
    </xf>
    <xf numFmtId="166" fontId="99" fillId="0" borderId="103" xfId="1" applyNumberFormat="1" applyFont="1" applyBorder="1" applyAlignment="1">
      <alignment horizontal="center" vertical="center"/>
    </xf>
    <xf numFmtId="166" fontId="99" fillId="0" borderId="106" xfId="1" applyNumberFormat="1" applyFont="1" applyBorder="1" applyAlignment="1">
      <alignment horizontal="center" vertical="center"/>
    </xf>
    <xf numFmtId="0" fontId="147" fillId="0" borderId="0" xfId="1" applyFont="1" applyAlignment="1">
      <alignment horizontal="center" vertical="center"/>
    </xf>
    <xf numFmtId="0" fontId="64" fillId="0" borderId="8" xfId="1" applyFont="1" applyBorder="1" applyAlignment="1">
      <alignment horizontal="center"/>
    </xf>
    <xf numFmtId="0" fontId="93" fillId="0" borderId="148" xfId="1" applyFont="1" applyBorder="1" applyAlignment="1">
      <alignment horizontal="left" vertical="center"/>
    </xf>
    <xf numFmtId="0" fontId="93" fillId="0" borderId="153" xfId="1" applyFont="1" applyBorder="1" applyAlignment="1">
      <alignment horizontal="left" vertical="center"/>
    </xf>
    <xf numFmtId="0" fontId="93" fillId="0" borderId="156" xfId="1" applyFont="1" applyBorder="1" applyAlignment="1">
      <alignment horizontal="left" vertical="center"/>
    </xf>
    <xf numFmtId="0" fontId="165" fillId="0" borderId="149" xfId="1" applyFont="1" applyBorder="1" applyAlignment="1">
      <alignment horizontal="center" vertical="center"/>
    </xf>
    <xf numFmtId="0" fontId="165" fillId="0" borderId="10" xfId="1" applyFont="1" applyBorder="1" applyAlignment="1">
      <alignment horizontal="center" vertical="center"/>
    </xf>
    <xf numFmtId="0" fontId="165" fillId="0" borderId="157" xfId="1" applyFont="1" applyBorder="1" applyAlignment="1">
      <alignment horizontal="center" vertical="center"/>
    </xf>
    <xf numFmtId="0" fontId="166" fillId="0" borderId="150" xfId="1" applyFont="1" applyBorder="1" applyAlignment="1">
      <alignment horizontal="left" vertical="center"/>
    </xf>
    <xf numFmtId="0" fontId="166" fillId="0" borderId="8" xfId="1" applyFont="1" applyBorder="1" applyAlignment="1">
      <alignment horizontal="left" vertical="center"/>
    </xf>
    <xf numFmtId="0" fontId="166" fillId="0" borderId="158" xfId="1" applyFont="1" applyBorder="1" applyAlignment="1">
      <alignment horizontal="left" vertical="center"/>
    </xf>
    <xf numFmtId="0" fontId="166" fillId="0" borderId="151" xfId="1" applyFont="1" applyBorder="1" applyAlignment="1">
      <alignment horizontal="center" vertical="center"/>
    </xf>
    <xf numFmtId="0" fontId="166" fillId="0" borderId="9" xfId="1" applyFont="1" applyBorder="1" applyAlignment="1">
      <alignment horizontal="center" vertical="center"/>
    </xf>
    <xf numFmtId="0" fontId="166" fillId="0" borderId="159" xfId="1" applyFont="1" applyBorder="1" applyAlignment="1">
      <alignment horizontal="center" vertical="center"/>
    </xf>
    <xf numFmtId="0" fontId="93" fillId="0" borderId="152" xfId="1" applyFont="1" applyBorder="1" applyAlignment="1">
      <alignment horizontal="center" vertical="center"/>
    </xf>
    <xf numFmtId="0" fontId="93" fillId="0" borderId="154" xfId="1" applyFont="1" applyBorder="1" applyAlignment="1">
      <alignment horizontal="center" vertical="center"/>
    </xf>
    <xf numFmtId="0" fontId="93" fillId="0" borderId="160" xfId="1" applyFont="1" applyBorder="1" applyAlignment="1">
      <alignment horizontal="center" vertical="center"/>
    </xf>
    <xf numFmtId="0" fontId="162" fillId="0" borderId="92" xfId="1" applyFont="1" applyBorder="1" applyAlignment="1">
      <alignment horizontal="center"/>
    </xf>
    <xf numFmtId="0" fontId="162" fillId="0" borderId="0" xfId="1" applyFont="1" applyAlignment="1">
      <alignment horizontal="center"/>
    </xf>
    <xf numFmtId="0" fontId="162" fillId="0" borderId="93" xfId="1" applyFont="1" applyBorder="1" applyAlignment="1">
      <alignment horizontal="center"/>
    </xf>
    <xf numFmtId="0" fontId="99" fillId="0" borderId="135" xfId="1" applyFont="1" applyBorder="1" applyAlignment="1">
      <alignment horizontal="left" vertical="center"/>
    </xf>
    <xf numFmtId="0" fontId="99" fillId="0" borderId="138" xfId="1" applyFont="1" applyBorder="1" applyAlignment="1">
      <alignment horizontal="left" vertical="center"/>
    </xf>
    <xf numFmtId="0" fontId="99" fillId="0" borderId="136" xfId="1" applyFont="1" applyBorder="1" applyAlignment="1">
      <alignment horizontal="center" vertical="center"/>
    </xf>
    <xf numFmtId="0" fontId="99" fillId="0" borderId="12" xfId="1" applyFont="1" applyBorder="1" applyAlignment="1">
      <alignment horizontal="center" vertical="center"/>
    </xf>
    <xf numFmtId="0" fontId="144" fillId="0" borderId="6" xfId="1" applyFont="1" applyBorder="1" applyAlignment="1">
      <alignment horizontal="left" vertical="center"/>
    </xf>
    <xf numFmtId="0" fontId="144" fillId="0" borderId="3" xfId="1" applyFont="1" applyBorder="1" applyAlignment="1">
      <alignment horizontal="left" vertical="center"/>
    </xf>
    <xf numFmtId="0" fontId="144" fillId="0" borderId="11" xfId="1" applyFont="1" applyBorder="1" applyAlignment="1">
      <alignment horizontal="left" vertical="center"/>
    </xf>
    <xf numFmtId="0" fontId="144" fillId="0" borderId="5" xfId="1" applyFont="1" applyBorder="1" applyAlignment="1">
      <alignment horizontal="left" vertical="center"/>
    </xf>
    <xf numFmtId="0" fontId="163" fillId="0" borderId="137" xfId="1" applyFont="1" applyBorder="1" applyAlignment="1">
      <alignment horizontal="center" vertical="center"/>
    </xf>
    <xf numFmtId="0" fontId="163" fillId="0" borderId="139" xfId="1" applyFont="1" applyBorder="1" applyAlignment="1">
      <alignment horizontal="center" vertical="center"/>
    </xf>
    <xf numFmtId="0" fontId="93" fillId="0" borderId="127" xfId="1" applyFont="1" applyBorder="1" applyAlignment="1">
      <alignment horizontal="left" vertical="center"/>
    </xf>
    <xf numFmtId="0" fontId="93" fillId="0" borderId="130" xfId="1" applyFont="1" applyBorder="1" applyAlignment="1">
      <alignment horizontal="left" vertical="center"/>
    </xf>
    <xf numFmtId="0" fontId="93" fillId="0" borderId="145" xfId="1" applyFont="1" applyBorder="1" applyAlignment="1">
      <alignment horizontal="left" vertical="center"/>
    </xf>
    <xf numFmtId="1" fontId="99" fillId="0" borderId="103" xfId="1" applyNumberFormat="1" applyFont="1" applyBorder="1" applyAlignment="1">
      <alignment horizontal="center" vertical="center"/>
    </xf>
    <xf numFmtId="1" fontId="99" fillId="0" borderId="106" xfId="1" applyNumberFormat="1" applyFont="1" applyBorder="1" applyAlignment="1">
      <alignment horizontal="center" vertical="center"/>
    </xf>
    <xf numFmtId="1" fontId="99" fillId="0" borderId="146" xfId="1" applyNumberFormat="1" applyFont="1" applyBorder="1" applyAlignment="1">
      <alignment horizontal="center" vertical="center"/>
    </xf>
    <xf numFmtId="0" fontId="164" fillId="0" borderId="110" xfId="1" applyFont="1" applyBorder="1" applyAlignment="1">
      <alignment horizontal="left" vertical="center"/>
    </xf>
    <xf numFmtId="0" fontId="164" fillId="0" borderId="118" xfId="1" applyFont="1" applyBorder="1" applyAlignment="1">
      <alignment horizontal="left" vertical="center"/>
    </xf>
    <xf numFmtId="0" fontId="164" fillId="0" borderId="76" xfId="1" applyFont="1" applyBorder="1" applyAlignment="1">
      <alignment horizontal="left" vertical="center"/>
    </xf>
    <xf numFmtId="0" fontId="164" fillId="0" borderId="75" xfId="1" applyFont="1" applyBorder="1" applyAlignment="1">
      <alignment horizontal="left" vertical="center"/>
    </xf>
    <xf numFmtId="0" fontId="164" fillId="0" borderId="81" xfId="1" applyFont="1" applyBorder="1" applyAlignment="1">
      <alignment horizontal="left" vertical="center"/>
    </xf>
    <xf numFmtId="0" fontId="164" fillId="0" borderId="80" xfId="1" applyFont="1" applyBorder="1" applyAlignment="1">
      <alignment horizontal="left" vertical="center"/>
    </xf>
    <xf numFmtId="0" fontId="163" fillId="0" borderId="128" xfId="1" applyFont="1" applyBorder="1" applyAlignment="1">
      <alignment horizontal="center" vertical="center"/>
    </xf>
    <xf numFmtId="0" fontId="163" fillId="0" borderId="131" xfId="1" applyFont="1" applyBorder="1" applyAlignment="1">
      <alignment horizontal="center" vertical="center"/>
    </xf>
    <xf numFmtId="0" fontId="163" fillId="0" borderId="147" xfId="1" applyFont="1" applyBorder="1" applyAlignment="1">
      <alignment horizontal="center" vertical="center"/>
    </xf>
    <xf numFmtId="0" fontId="99" fillId="0" borderId="127" xfId="1" applyFont="1" applyBorder="1" applyAlignment="1">
      <alignment horizontal="left" vertical="center" wrapText="1"/>
    </xf>
    <xf numFmtId="0" fontId="99" fillId="0" borderId="130" xfId="1" applyFont="1" applyBorder="1" applyAlignment="1">
      <alignment horizontal="left" vertical="center" wrapText="1"/>
    </xf>
    <xf numFmtId="0" fontId="99" fillId="0" borderId="132" xfId="1" applyFont="1" applyBorder="1" applyAlignment="1">
      <alignment horizontal="left" vertical="center" wrapText="1"/>
    </xf>
    <xf numFmtId="1" fontId="99" fillId="0" borderId="100" xfId="1" applyNumberFormat="1" applyFont="1" applyBorder="1" applyAlignment="1">
      <alignment horizontal="center" vertical="center"/>
    </xf>
    <xf numFmtId="0" fontId="144" fillId="0" borderId="111" xfId="1" applyFont="1" applyBorder="1" applyAlignment="1">
      <alignment horizontal="left" vertical="center"/>
    </xf>
    <xf numFmtId="0" fontId="144" fillId="0" borderId="133" xfId="1" applyFont="1" applyBorder="1" applyAlignment="1">
      <alignment horizontal="left" vertical="center"/>
    </xf>
    <xf numFmtId="0" fontId="163" fillId="0" borderId="134" xfId="1" applyFont="1" applyBorder="1" applyAlignment="1">
      <alignment horizontal="center" vertical="center"/>
    </xf>
    <xf numFmtId="0" fontId="64" fillId="24" borderId="0" xfId="1" applyFont="1" applyFill="1" applyAlignment="1">
      <alignment horizontal="center"/>
    </xf>
    <xf numFmtId="164" fontId="147" fillId="0" borderId="103" xfId="1" applyNumberFormat="1" applyFont="1" applyBorder="1" applyAlignment="1">
      <alignment horizontal="center" vertical="center"/>
    </xf>
    <xf numFmtId="164" fontId="147" fillId="0" borderId="100" xfId="1" applyNumberFormat="1" applyFont="1" applyBorder="1" applyAlignment="1">
      <alignment horizontal="center" vertical="center"/>
    </xf>
    <xf numFmtId="0" fontId="93" fillId="0" borderId="110" xfId="1" applyFont="1" applyBorder="1" applyAlignment="1">
      <alignment horizontal="center" vertical="center"/>
    </xf>
    <xf numFmtId="0" fontId="93" fillId="0" borderId="104" xfId="1" applyFont="1" applyBorder="1" applyAlignment="1">
      <alignment horizontal="center" vertical="center"/>
    </xf>
    <xf numFmtId="0" fontId="93" fillId="0" borderId="93" xfId="1" applyFont="1" applyBorder="1" applyAlignment="1">
      <alignment horizontal="center" vertical="center"/>
    </xf>
    <xf numFmtId="0" fontId="93" fillId="0" borderId="76" xfId="1" applyFont="1" applyBorder="1" applyAlignment="1">
      <alignment horizontal="center" vertical="center"/>
    </xf>
    <xf numFmtId="0" fontId="93" fillId="0" borderId="0" xfId="1" applyFont="1" applyAlignment="1">
      <alignment horizontal="center" vertical="center"/>
    </xf>
    <xf numFmtId="0" fontId="93" fillId="0" borderId="111" xfId="1" applyFont="1" applyBorder="1" applyAlignment="1">
      <alignment horizontal="center" vertical="center"/>
    </xf>
    <xf numFmtId="0" fontId="93" fillId="0" borderId="101" xfId="1" applyFont="1" applyBorder="1" applyAlignment="1">
      <alignment horizontal="center" vertical="center"/>
    </xf>
    <xf numFmtId="0" fontId="93" fillId="0" borderId="112" xfId="1" applyFont="1" applyBorder="1" applyAlignment="1">
      <alignment horizontal="center" vertical="center"/>
    </xf>
    <xf numFmtId="0" fontId="99" fillId="0" borderId="69" xfId="1" applyFont="1" applyBorder="1" applyAlignment="1">
      <alignment horizontal="left" vertical="center"/>
    </xf>
    <xf numFmtId="0" fontId="99" fillId="0" borderId="70" xfId="1" applyFont="1" applyBorder="1" applyAlignment="1">
      <alignment horizontal="left" vertical="center"/>
    </xf>
    <xf numFmtId="0" fontId="99" fillId="0" borderId="74" xfId="1" applyFont="1" applyBorder="1" applyAlignment="1">
      <alignment horizontal="left" vertical="center"/>
    </xf>
    <xf numFmtId="0" fontId="99" fillId="0" borderId="0" xfId="1" applyFont="1" applyAlignment="1">
      <alignment horizontal="left" vertical="center"/>
    </xf>
    <xf numFmtId="0" fontId="93" fillId="0" borderId="117" xfId="1" applyFont="1" applyBorder="1" applyAlignment="1">
      <alignment horizontal="left" vertical="center"/>
    </xf>
    <xf numFmtId="0" fontId="93" fillId="0" borderId="119" xfId="1" applyFont="1" applyBorder="1" applyAlignment="1">
      <alignment horizontal="left" vertical="center"/>
    </xf>
    <xf numFmtId="164" fontId="99" fillId="0" borderId="103" xfId="1" applyNumberFormat="1" applyFont="1" applyBorder="1" applyAlignment="1">
      <alignment horizontal="center" vertical="center"/>
    </xf>
    <xf numFmtId="0" fontId="93" fillId="0" borderId="120" xfId="1" applyFont="1" applyBorder="1" applyAlignment="1">
      <alignment horizontal="center" vertical="center"/>
    </xf>
    <xf numFmtId="0" fontId="144" fillId="0" borderId="104" xfId="1" applyFont="1" applyBorder="1" applyAlignment="1">
      <alignment vertical="center"/>
    </xf>
    <xf numFmtId="0" fontId="144" fillId="0" borderId="118" xfId="1" applyFont="1" applyBorder="1" applyAlignment="1">
      <alignment vertical="center"/>
    </xf>
    <xf numFmtId="0" fontId="144" fillId="0" borderId="91" xfId="1" applyFont="1" applyBorder="1" applyAlignment="1">
      <alignment vertical="center"/>
    </xf>
    <xf numFmtId="0" fontId="144" fillId="0" borderId="121" xfId="1" applyFont="1" applyBorder="1" applyAlignment="1">
      <alignment vertical="center"/>
    </xf>
    <xf numFmtId="17" fontId="163" fillId="0" borderId="102" xfId="1" applyNumberFormat="1" applyFont="1" applyBorder="1" applyAlignment="1">
      <alignment horizontal="center" vertical="center"/>
    </xf>
    <xf numFmtId="164" fontId="99" fillId="0" borderId="0" xfId="1" applyNumberFormat="1" applyFont="1" applyAlignment="1">
      <alignment horizontal="center"/>
    </xf>
    <xf numFmtId="164" fontId="99" fillId="0" borderId="77" xfId="1" applyNumberFormat="1" applyFont="1" applyBorder="1" applyAlignment="1">
      <alignment horizontal="center"/>
    </xf>
    <xf numFmtId="164" fontId="99" fillId="0" borderId="79" xfId="1" applyNumberFormat="1" applyFont="1" applyBorder="1" applyAlignment="1">
      <alignment horizontal="center"/>
    </xf>
    <xf numFmtId="164" fontId="99" fillId="0" borderId="82" xfId="1" applyNumberFormat="1" applyFont="1" applyBorder="1" applyAlignment="1">
      <alignment horizontal="center"/>
    </xf>
    <xf numFmtId="0" fontId="99" fillId="0" borderId="89" xfId="1" applyFont="1" applyBorder="1" applyAlignment="1">
      <alignment horizontal="center" vertical="center" wrapText="1"/>
    </xf>
    <xf numFmtId="0" fontId="99" fillId="0" borderId="90" xfId="1" applyFont="1" applyBorder="1" applyAlignment="1">
      <alignment horizontal="center" vertical="center" wrapText="1"/>
    </xf>
    <xf numFmtId="0" fontId="99" fillId="0" borderId="0" xfId="1" applyFont="1" applyAlignment="1">
      <alignment horizontal="center" vertical="center" wrapText="1"/>
    </xf>
    <xf numFmtId="0" fontId="99" fillId="0" borderId="93" xfId="1" applyFont="1" applyBorder="1" applyAlignment="1">
      <alignment horizontal="center" vertical="center" wrapText="1"/>
    </xf>
    <xf numFmtId="0" fontId="160" fillId="0" borderId="0" xfId="1" applyFont="1" applyAlignment="1">
      <alignment horizontal="center"/>
    </xf>
    <xf numFmtId="0" fontId="99" fillId="0" borderId="93" xfId="1" applyFont="1" applyBorder="1" applyAlignment="1">
      <alignment horizontal="left" vertical="top" wrapText="1"/>
    </xf>
    <xf numFmtId="0" fontId="99" fillId="0" borderId="95" xfId="1" applyFont="1" applyBorder="1" applyAlignment="1">
      <alignment horizontal="left" vertical="top" wrapText="1"/>
    </xf>
    <xf numFmtId="2" fontId="99" fillId="0" borderId="103" xfId="1" applyNumberFormat="1" applyFont="1" applyBorder="1" applyAlignment="1">
      <alignment horizontal="center" vertical="center" wrapText="1"/>
    </xf>
    <xf numFmtId="2" fontId="99" fillId="0" borderId="100" xfId="1" applyNumberFormat="1" applyFont="1" applyBorder="1" applyAlignment="1">
      <alignment horizontal="center" vertical="center" wrapText="1"/>
    </xf>
    <xf numFmtId="0" fontId="144" fillId="0" borderId="101" xfId="1" applyFont="1" applyBorder="1" applyAlignment="1">
      <alignment vertical="center"/>
    </xf>
    <xf numFmtId="0" fontId="163" fillId="0" borderId="108" xfId="1" applyFont="1" applyBorder="1" applyAlignment="1">
      <alignment horizontal="center" vertical="center"/>
    </xf>
    <xf numFmtId="17" fontId="64" fillId="0" borderId="107" xfId="1" applyNumberFormat="1" applyFont="1" applyBorder="1" applyAlignment="1">
      <alignment horizontal="center" vertical="center"/>
    </xf>
    <xf numFmtId="0" fontId="64" fillId="0" borderId="109" xfId="1" applyFont="1" applyBorder="1" applyAlignment="1">
      <alignment horizontal="center" vertical="center"/>
    </xf>
    <xf numFmtId="0" fontId="147" fillId="0" borderId="0" xfId="1" applyFont="1" applyAlignment="1">
      <alignment horizontal="center"/>
    </xf>
    <xf numFmtId="0" fontId="99" fillId="0" borderId="70" xfId="1" applyFont="1" applyBorder="1" applyAlignment="1">
      <alignment horizontal="left" vertical="center" wrapText="1"/>
    </xf>
    <xf numFmtId="172" fontId="99" fillId="0" borderId="0" xfId="1" applyNumberFormat="1" applyFont="1" applyAlignment="1">
      <alignment horizontal="left" vertical="center"/>
    </xf>
    <xf numFmtId="170" fontId="99" fillId="0" borderId="0" xfId="1" applyNumberFormat="1" applyFont="1" applyAlignment="1">
      <alignment horizontal="left" vertical="center"/>
    </xf>
    <xf numFmtId="0" fontId="99" fillId="0" borderId="0" xfId="1" applyFont="1" applyAlignment="1">
      <alignment horizontal="center"/>
    </xf>
    <xf numFmtId="0" fontId="146" fillId="21" borderId="88" xfId="1" applyFont="1" applyFill="1" applyBorder="1" applyAlignment="1">
      <alignment horizontal="center" vertical="center"/>
    </xf>
    <xf numFmtId="0" fontId="146" fillId="21" borderId="89" xfId="1" applyFont="1" applyFill="1" applyBorder="1" applyAlignment="1">
      <alignment horizontal="center" vertical="center"/>
    </xf>
    <xf numFmtId="0" fontId="146" fillId="21" borderId="90" xfId="1" applyFont="1" applyFill="1" applyBorder="1" applyAlignment="1">
      <alignment horizontal="center" vertical="center"/>
    </xf>
    <xf numFmtId="0" fontId="157" fillId="0" borderId="0" xfId="1" applyFont="1" applyAlignment="1">
      <alignment horizontal="left"/>
    </xf>
    <xf numFmtId="0" fontId="144" fillId="0" borderId="0" xfId="1" applyFont="1" applyAlignment="1">
      <alignment horizontal="center" vertical="center" wrapText="1"/>
    </xf>
    <xf numFmtId="0" fontId="146" fillId="21" borderId="69" xfId="1" applyFont="1" applyFill="1" applyBorder="1" applyAlignment="1">
      <alignment horizontal="center" vertical="center"/>
    </xf>
    <xf numFmtId="0" fontId="146" fillId="21" borderId="70" xfId="1" applyFont="1" applyFill="1" applyBorder="1" applyAlignment="1">
      <alignment horizontal="center" vertical="center"/>
    </xf>
    <xf numFmtId="0" fontId="146" fillId="21" borderId="71" xfId="1" applyFont="1" applyFill="1" applyBorder="1" applyAlignment="1">
      <alignment horizontal="center" vertical="center"/>
    </xf>
    <xf numFmtId="0" fontId="146" fillId="21" borderId="72" xfId="1" applyFont="1" applyFill="1" applyBorder="1" applyAlignment="1">
      <alignment horizontal="center" vertical="center"/>
    </xf>
    <xf numFmtId="0" fontId="146" fillId="21" borderId="73" xfId="1" applyFont="1" applyFill="1" applyBorder="1" applyAlignment="1">
      <alignment horizontal="center" vertical="center"/>
    </xf>
    <xf numFmtId="0" fontId="99" fillId="0" borderId="69" xfId="1" applyFont="1" applyBorder="1" applyAlignment="1">
      <alignment horizontal="center" vertical="center"/>
    </xf>
    <xf numFmtId="0" fontId="99" fillId="0" borderId="70" xfId="1" applyFont="1" applyBorder="1" applyAlignment="1">
      <alignment horizontal="center" vertical="center"/>
    </xf>
    <xf numFmtId="0" fontId="99" fillId="0" borderId="71" xfId="1" applyFont="1" applyBorder="1" applyAlignment="1">
      <alignment horizontal="center" vertical="center"/>
    </xf>
    <xf numFmtId="0" fontId="99" fillId="0" borderId="72" xfId="1" applyFont="1" applyBorder="1" applyAlignment="1">
      <alignment horizontal="center" vertical="center" wrapText="1"/>
    </xf>
    <xf numFmtId="0" fontId="99" fillId="0" borderId="70" xfId="1" applyFont="1" applyBorder="1" applyAlignment="1">
      <alignment horizontal="center" vertical="center" wrapText="1"/>
    </xf>
    <xf numFmtId="0" fontId="99" fillId="0" borderId="73" xfId="1" applyFont="1" applyBorder="1" applyAlignment="1">
      <alignment horizontal="center" vertical="center" wrapText="1"/>
    </xf>
    <xf numFmtId="0" fontId="99" fillId="0" borderId="76" xfId="1" applyFont="1" applyBorder="1" applyAlignment="1">
      <alignment horizontal="center" vertical="center" wrapText="1"/>
    </xf>
    <xf numFmtId="0" fontId="99" fillId="0" borderId="77" xfId="1" applyFont="1" applyBorder="1" applyAlignment="1">
      <alignment horizontal="center" vertical="center" wrapText="1"/>
    </xf>
    <xf numFmtId="0" fontId="99" fillId="0" borderId="81" xfId="1" applyFont="1" applyBorder="1" applyAlignment="1">
      <alignment horizontal="center" vertical="center" wrapText="1"/>
    </xf>
    <xf numFmtId="0" fontId="99" fillId="0" borderId="79" xfId="1" applyFont="1" applyBorder="1" applyAlignment="1">
      <alignment horizontal="center" vertical="center" wrapText="1"/>
    </xf>
    <xf numFmtId="0" fontId="99" fillId="0" borderId="82" xfId="1" applyFont="1" applyBorder="1" applyAlignment="1">
      <alignment horizontal="center" vertical="center" wrapText="1"/>
    </xf>
    <xf numFmtId="0" fontId="99" fillId="0" borderId="74" xfId="1" applyFont="1" applyBorder="1" applyAlignment="1">
      <alignment horizontal="center"/>
    </xf>
    <xf numFmtId="0" fontId="99" fillId="0" borderId="75" xfId="1" applyFont="1" applyBorder="1" applyAlignment="1">
      <alignment horizontal="center"/>
    </xf>
    <xf numFmtId="2" fontId="99" fillId="0" borderId="0" xfId="1" applyNumberFormat="1" applyFont="1" applyAlignment="1">
      <alignment horizontal="left" vertical="center" wrapText="1"/>
    </xf>
    <xf numFmtId="0" fontId="99" fillId="0" borderId="78" xfId="1" applyFont="1" applyBorder="1" applyAlignment="1">
      <alignment horizontal="center" vertical="center"/>
    </xf>
    <xf numFmtId="0" fontId="99" fillId="0" borderId="79" xfId="1" applyFont="1" applyBorder="1" applyAlignment="1">
      <alignment horizontal="center" vertical="center"/>
    </xf>
    <xf numFmtId="0" fontId="99" fillId="0" borderId="80" xfId="1" applyFont="1" applyBorder="1" applyAlignment="1">
      <alignment horizontal="center" vertical="center"/>
    </xf>
    <xf numFmtId="0" fontId="140" fillId="20" borderId="7" xfId="0" applyFont="1" applyFill="1" applyBorder="1" applyAlignment="1">
      <alignment horizontal="center" vertical="center"/>
    </xf>
    <xf numFmtId="3" fontId="140" fillId="20" borderId="1" xfId="0" applyNumberFormat="1" applyFont="1" applyFill="1" applyBorder="1" applyAlignment="1">
      <alignment horizontal="center" vertical="center"/>
    </xf>
    <xf numFmtId="3" fontId="88" fillId="16" borderId="0" xfId="0" applyNumberFormat="1" applyFont="1" applyFill="1" applyAlignment="1">
      <alignment horizontal="center" vertical="center"/>
    </xf>
    <xf numFmtId="3" fontId="6" fillId="3" borderId="0" xfId="0" applyNumberFormat="1" applyFont="1" applyFill="1" applyAlignment="1">
      <alignment horizontal="center" vertical="center"/>
    </xf>
    <xf numFmtId="0" fontId="6" fillId="3" borderId="0" xfId="0" applyFont="1" applyFill="1" applyAlignment="1">
      <alignment horizontal="center" vertical="center"/>
    </xf>
  </cellXfs>
  <cellStyles count="188">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xfId="43" builtinId="8" hidden="1"/>
    <cellStyle name="Lien hypertexte" xfId="45" builtinId="8" hidden="1"/>
    <cellStyle name="Lien hypertexte" xfId="47" builtinId="8" hidden="1"/>
    <cellStyle name="Lien hypertexte" xfId="49" builtinId="8" hidden="1"/>
    <cellStyle name="Lien hypertexte" xfId="51" builtinId="8" hidden="1"/>
    <cellStyle name="Lien hypertexte" xfId="53" builtinId="8" hidden="1"/>
    <cellStyle name="Lien hypertexte" xfId="55" builtinId="8" hidden="1"/>
    <cellStyle name="Lien hypertexte" xfId="57" builtinId="8" hidden="1"/>
    <cellStyle name="Lien hypertexte" xfId="59" builtinId="8" hidden="1"/>
    <cellStyle name="Lien hypertexte" xfId="61" builtinId="8" hidden="1"/>
    <cellStyle name="Lien hypertexte" xfId="63" builtinId="8" hidden="1"/>
    <cellStyle name="Lien hypertexte" xfId="65" builtinId="8" hidden="1"/>
    <cellStyle name="Lien hypertexte" xfId="67" builtinId="8" hidden="1"/>
    <cellStyle name="Lien hypertexte" xfId="69" builtinId="8" hidden="1"/>
    <cellStyle name="Lien hypertexte" xfId="71" builtinId="8" hidden="1"/>
    <cellStyle name="Lien hypertexte" xfId="73" builtinId="8" hidden="1"/>
    <cellStyle name="Lien hypertexte" xfId="75" builtinId="8" hidden="1"/>
    <cellStyle name="Lien hypertexte" xfId="77" builtinId="8" hidden="1"/>
    <cellStyle name="Lien hypertexte" xfId="79" builtinId="8" hidden="1"/>
    <cellStyle name="Lien hypertexte" xfId="81" builtinId="8" hidden="1"/>
    <cellStyle name="Lien hypertexte" xfId="83" builtinId="8" hidden="1"/>
    <cellStyle name="Lien hypertexte" xfId="85" builtinId="8" hidden="1"/>
    <cellStyle name="Lien hypertexte" xfId="87" builtinId="8" hidden="1"/>
    <cellStyle name="Lien hypertexte" xfId="89" builtinId="8" hidden="1"/>
    <cellStyle name="Lien hypertexte" xfId="91" builtinId="8" hidden="1"/>
    <cellStyle name="Lien hypertexte" xfId="93" builtinId="8" hidden="1"/>
    <cellStyle name="Lien hypertexte" xfId="95" builtinId="8" hidden="1"/>
    <cellStyle name="Lien hypertexte" xfId="97" builtinId="8" hidden="1"/>
    <cellStyle name="Lien hypertexte" xfId="99" builtinId="8" hidden="1"/>
    <cellStyle name="Lien hypertexte" xfId="101" builtinId="8" hidden="1"/>
    <cellStyle name="Lien hypertexte" xfId="103" builtinId="8" hidden="1"/>
    <cellStyle name="Lien hypertexte" xfId="105" builtinId="8" hidden="1"/>
    <cellStyle name="Lien hypertexte" xfId="107" builtinId="8" hidden="1"/>
    <cellStyle name="Lien hypertexte" xfId="109" builtinId="8" hidden="1"/>
    <cellStyle name="Lien hypertexte" xfId="111" builtinId="8" hidden="1"/>
    <cellStyle name="Lien hypertexte" xfId="113" builtinId="8" hidden="1"/>
    <cellStyle name="Lien hypertexte" xfId="115" builtinId="8" hidden="1"/>
    <cellStyle name="Lien hypertexte" xfId="117" builtinId="8" hidden="1"/>
    <cellStyle name="Lien hypertexte" xfId="119" builtinId="8" hidden="1"/>
    <cellStyle name="Lien hypertexte" xfId="121" builtinId="8" hidden="1"/>
    <cellStyle name="Lien hypertexte" xfId="123" builtinId="8" hidden="1"/>
    <cellStyle name="Lien hypertexte" xfId="125" builtinId="8" hidden="1"/>
    <cellStyle name="Lien hypertexte" xfId="127" builtinId="8" hidden="1"/>
    <cellStyle name="Lien hypertexte" xfId="129" builtinId="8" hidden="1"/>
    <cellStyle name="Lien hypertexte" xfId="132" builtinId="8" hidden="1"/>
    <cellStyle name="Lien hypertexte" xfId="134" builtinId="8" hidden="1"/>
    <cellStyle name="Lien hypertexte" xfId="136" builtinId="8" hidden="1"/>
    <cellStyle name="Lien hypertexte" xfId="138" builtinId="8" hidden="1"/>
    <cellStyle name="Lien hypertexte" xfId="140" builtinId="8" hidden="1"/>
    <cellStyle name="Lien hypertexte" xfId="142" builtinId="8" hidden="1"/>
    <cellStyle name="Lien hypertexte" xfId="145" builtinId="8" hidden="1"/>
    <cellStyle name="Lien hypertexte" xfId="152" builtinId="8" hidden="1"/>
    <cellStyle name="Lien hypertexte" xfId="154" builtinId="8" hidden="1"/>
    <cellStyle name="Lien hypertexte" xfId="156" builtinId="8" hidden="1"/>
    <cellStyle name="Lien hypertexte" xfId="158" builtinId="8" hidden="1"/>
    <cellStyle name="Lien hypertexte" xfId="160" builtinId="8" hidden="1"/>
    <cellStyle name="Lien hypertexte" xfId="162" builtinId="8" hidden="1"/>
    <cellStyle name="Lien hypertexte" xfId="164" builtinId="8" hidden="1"/>
    <cellStyle name="Lien hypertexte" xfId="166" builtinId="8" hidden="1"/>
    <cellStyle name="Lien hypertexte" xfId="168" builtinId="8" hidden="1"/>
    <cellStyle name="Lien hypertexte" xfId="170" builtinId="8" hidden="1"/>
    <cellStyle name="Lien hypertexte" xfId="172" builtinId="8" hidden="1"/>
    <cellStyle name="Lien hypertexte" xfId="174" builtinId="8" hidden="1"/>
    <cellStyle name="Lien hypertexte" xfId="176" builtinId="8" hidden="1"/>
    <cellStyle name="Lien hypertexte" xfId="178" builtinId="8" hidden="1"/>
    <cellStyle name="Lien hypertexte" xfId="180" builtinId="8" hidden="1"/>
    <cellStyle name="Lien hypertexte" xfId="182" builtinId="8"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Lien hypertexte visité" xfId="44" builtinId="9" hidden="1"/>
    <cellStyle name="Lien hypertexte visité" xfId="46" builtinId="9" hidden="1"/>
    <cellStyle name="Lien hypertexte visité" xfId="48" builtinId="9" hidden="1"/>
    <cellStyle name="Lien hypertexte visité" xfId="50" builtinId="9" hidden="1"/>
    <cellStyle name="Lien hypertexte visité" xfId="52" builtinId="9" hidden="1"/>
    <cellStyle name="Lien hypertexte visité" xfId="54" builtinId="9" hidden="1"/>
    <cellStyle name="Lien hypertexte visité" xfId="56" builtinId="9" hidden="1"/>
    <cellStyle name="Lien hypertexte visité" xfId="58" builtinId="9" hidden="1"/>
    <cellStyle name="Lien hypertexte visité" xfId="60" builtinId="9" hidden="1"/>
    <cellStyle name="Lien hypertexte visité" xfId="62" builtinId="9" hidden="1"/>
    <cellStyle name="Lien hypertexte visité" xfId="64" builtinId="9" hidden="1"/>
    <cellStyle name="Lien hypertexte visité" xfId="66" builtinId="9" hidden="1"/>
    <cellStyle name="Lien hypertexte visité" xfId="68" builtinId="9" hidden="1"/>
    <cellStyle name="Lien hypertexte visité" xfId="70" builtinId="9" hidden="1"/>
    <cellStyle name="Lien hypertexte visité" xfId="72" builtinId="9" hidden="1"/>
    <cellStyle name="Lien hypertexte visité" xfId="74" builtinId="9" hidden="1"/>
    <cellStyle name="Lien hypertexte visité" xfId="76" builtinId="9" hidden="1"/>
    <cellStyle name="Lien hypertexte visité" xfId="78" builtinId="9" hidden="1"/>
    <cellStyle name="Lien hypertexte visité" xfId="80" builtinId="9" hidden="1"/>
    <cellStyle name="Lien hypertexte visité" xfId="82" builtinId="9" hidden="1"/>
    <cellStyle name="Lien hypertexte visité" xfId="84" builtinId="9" hidden="1"/>
    <cellStyle name="Lien hypertexte visité" xfId="86" builtinId="9" hidden="1"/>
    <cellStyle name="Lien hypertexte visité" xfId="88" builtinId="9" hidden="1"/>
    <cellStyle name="Lien hypertexte visité" xfId="90" builtinId="9" hidden="1"/>
    <cellStyle name="Lien hypertexte visité" xfId="92" builtinId="9" hidden="1"/>
    <cellStyle name="Lien hypertexte visité" xfId="94" builtinId="9" hidden="1"/>
    <cellStyle name="Lien hypertexte visité" xfId="96" builtinId="9" hidden="1"/>
    <cellStyle name="Lien hypertexte visité" xfId="98" builtinId="9" hidden="1"/>
    <cellStyle name="Lien hypertexte visité" xfId="100" builtinId="9" hidden="1"/>
    <cellStyle name="Lien hypertexte visité" xfId="102" builtinId="9" hidden="1"/>
    <cellStyle name="Lien hypertexte visité" xfId="104" builtinId="9" hidden="1"/>
    <cellStyle name="Lien hypertexte visité" xfId="106" builtinId="9" hidden="1"/>
    <cellStyle name="Lien hypertexte visité" xfId="108" builtinId="9" hidden="1"/>
    <cellStyle name="Lien hypertexte visité" xfId="110" builtinId="9" hidden="1"/>
    <cellStyle name="Lien hypertexte visité" xfId="112" builtinId="9" hidden="1"/>
    <cellStyle name="Lien hypertexte visité" xfId="114" builtinId="9" hidden="1"/>
    <cellStyle name="Lien hypertexte visité" xfId="116" builtinId="9" hidden="1"/>
    <cellStyle name="Lien hypertexte visité" xfId="118" builtinId="9" hidden="1"/>
    <cellStyle name="Lien hypertexte visité" xfId="120" builtinId="9" hidden="1"/>
    <cellStyle name="Lien hypertexte visité" xfId="122" builtinId="9" hidden="1"/>
    <cellStyle name="Lien hypertexte visité" xfId="124" builtinId="9" hidden="1"/>
    <cellStyle name="Lien hypertexte visité" xfId="126" builtinId="9" hidden="1"/>
    <cellStyle name="Lien hypertexte visité" xfId="128" builtinId="9" hidden="1"/>
    <cellStyle name="Lien hypertexte visité" xfId="130" builtinId="9" hidden="1"/>
    <cellStyle name="Lien hypertexte visité" xfId="133" builtinId="9" hidden="1"/>
    <cellStyle name="Lien hypertexte visité" xfId="135" builtinId="9" hidden="1"/>
    <cellStyle name="Lien hypertexte visité" xfId="137" builtinId="9" hidden="1"/>
    <cellStyle name="Lien hypertexte visité" xfId="139" builtinId="9" hidden="1"/>
    <cellStyle name="Lien hypertexte visité" xfId="141" builtinId="9" hidden="1"/>
    <cellStyle name="Lien hypertexte visité" xfId="143" builtinId="9" hidden="1"/>
    <cellStyle name="Lien hypertexte visité" xfId="146" builtinId="9" hidden="1"/>
    <cellStyle name="Lien hypertexte visité" xfId="153" builtinId="9" hidden="1"/>
    <cellStyle name="Lien hypertexte visité" xfId="155" builtinId="9" hidden="1"/>
    <cellStyle name="Lien hypertexte visité" xfId="157" builtinId="9" hidden="1"/>
    <cellStyle name="Lien hypertexte visité" xfId="159" builtinId="9" hidden="1"/>
    <cellStyle name="Lien hypertexte visité" xfId="161" builtinId="9" hidden="1"/>
    <cellStyle name="Lien hypertexte visité" xfId="163" builtinId="9" hidden="1"/>
    <cellStyle name="Lien hypertexte visité" xfId="165" builtinId="9" hidden="1"/>
    <cellStyle name="Lien hypertexte visité" xfId="167" builtinId="9" hidden="1"/>
    <cellStyle name="Lien hypertexte visité" xfId="169" builtinId="9" hidden="1"/>
    <cellStyle name="Lien hypertexte visité" xfId="171" builtinId="9" hidden="1"/>
    <cellStyle name="Lien hypertexte visité" xfId="173" builtinId="9" hidden="1"/>
    <cellStyle name="Lien hypertexte visité" xfId="175" builtinId="9" hidden="1"/>
    <cellStyle name="Lien hypertexte visité" xfId="177" builtinId="9" hidden="1"/>
    <cellStyle name="Lien hypertexte visité" xfId="179" builtinId="9" hidden="1"/>
    <cellStyle name="Lien hypertexte visité" xfId="181" builtinId="9" hidden="1"/>
    <cellStyle name="Lien hypertexte visité" xfId="183" builtinId="9" hidden="1"/>
    <cellStyle name="Normal" xfId="0" builtinId="0"/>
    <cellStyle name="Normal 2" xfId="148" xr:uid="{00000000-0005-0000-0000-0000AF000000}"/>
    <cellStyle name="Normal 2 2" xfId="151" xr:uid="{00000000-0005-0000-0000-0000B0000000}"/>
    <cellStyle name="Normal 3" xfId="1" xr:uid="{00000000-0005-0000-0000-0000B1000000}"/>
    <cellStyle name="Normal 3 2" xfId="144" xr:uid="{00000000-0005-0000-0000-0000B2000000}"/>
    <cellStyle name="Normal 5" xfId="185" xr:uid="{CDDBD7C7-984E-4359-868D-A98BD209E227}"/>
    <cellStyle name="Normal 6" xfId="184" xr:uid="{2AC9AD99-62BE-4CC5-9ADC-FCDD1C1C6F70}"/>
    <cellStyle name="Normal 8" xfId="186" xr:uid="{385DFB95-1605-4F4E-9BBC-109B54F0681A}"/>
    <cellStyle name="Normal 9" xfId="187" xr:uid="{973EA3FF-9E52-4E78-B0C5-8C67F0814EC3}"/>
    <cellStyle name="Normal_Commentaire soL" xfId="147" xr:uid="{00000000-0005-0000-0000-0000B3000000}"/>
    <cellStyle name="Normal_commentairesfeuillesLCA" xfId="2" xr:uid="{00000000-0005-0000-0000-0000B4000000}"/>
    <cellStyle name="Normal_Nouveau Feuille de calcul Microsoft Excel" xfId="150" xr:uid="{00000000-0005-0000-0000-0000B5000000}"/>
    <cellStyle name="Pourcentage" xfId="131" builtinId="5"/>
    <cellStyle name="Pourcentage 2" xfId="149" xr:uid="{00000000-0005-0000-0000-0000B7000000}"/>
  </cellStyles>
  <dxfs count="90">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color rgb="FF9C0006"/>
      </font>
      <fill>
        <patternFill>
          <bgColor rgb="FFFFC7CE"/>
        </patternFill>
      </fill>
    </dxf>
    <dxf>
      <font>
        <b/>
        <i val="0"/>
        <color theme="0"/>
      </font>
      <fill>
        <patternFill>
          <bgColor rgb="FFFF0000"/>
        </patternFill>
      </fill>
    </dxf>
    <dxf>
      <font>
        <b/>
        <i val="0"/>
        <color theme="0"/>
      </font>
      <fill>
        <patternFill>
          <fgColor auto="1"/>
          <bgColor rgb="FF92D050"/>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0"/>
      </font>
      <fill>
        <patternFill>
          <bgColor rgb="FFFF0000"/>
        </patternFill>
      </fill>
    </dxf>
    <dxf>
      <font>
        <b/>
        <i val="0"/>
        <color theme="0"/>
      </font>
      <fill>
        <patternFill>
          <fgColor auto="1"/>
          <bgColor rgb="FF92D050"/>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0"/>
      </font>
      <fill>
        <patternFill>
          <bgColor rgb="FFFF0000"/>
        </patternFill>
      </fill>
    </dxf>
    <dxf>
      <font>
        <b/>
        <i val="0"/>
        <color theme="0"/>
      </font>
      <fill>
        <patternFill>
          <fgColor auto="1"/>
          <bgColor rgb="FF92D050"/>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b/>
        <i val="0"/>
        <color theme="0"/>
      </font>
      <fill>
        <patternFill>
          <bgColor rgb="FFFF0000"/>
        </patternFill>
      </fill>
    </dxf>
    <dxf>
      <font>
        <b/>
        <i val="0"/>
        <color theme="0"/>
      </font>
      <fill>
        <patternFill>
          <fgColor auto="1"/>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ont>
        <b/>
        <i val="0"/>
        <color rgb="FFFF0000"/>
      </font>
      <fill>
        <patternFill patternType="none">
          <fgColor indexed="64"/>
          <bgColor auto="1"/>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b/>
        <i val="0"/>
        <color theme="1"/>
      </font>
      <fill>
        <patternFill>
          <bgColor theme="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fgColor auto="1"/>
          <bgColor rgb="FF92D050"/>
        </patternFill>
      </fill>
    </dxf>
    <dxf>
      <font>
        <b/>
        <i val="0"/>
        <color theme="0"/>
      </font>
      <fill>
        <patternFill>
          <bgColor rgb="FFFF0000"/>
        </patternFill>
      </fill>
    </dxf>
    <dxf>
      <font>
        <b/>
        <i val="0"/>
        <color theme="0"/>
      </font>
      <fill>
        <patternFill>
          <fgColor auto="1"/>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9" Type="http://schemas.openxmlformats.org/officeDocument/2006/relationships/externalLink" Target="externalLinks/externalLink20.xml"/><Relationship Id="rId21" Type="http://schemas.openxmlformats.org/officeDocument/2006/relationships/externalLink" Target="externalLinks/externalLink2.xml"/><Relationship Id="rId34" Type="http://schemas.openxmlformats.org/officeDocument/2006/relationships/externalLink" Target="externalLinks/externalLink15.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externalLink" Target="externalLinks/externalLink10.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openxmlformats.org/officeDocument/2006/relationships/externalLink" Target="externalLinks/externalLink13.xml"/><Relationship Id="rId37" Type="http://schemas.openxmlformats.org/officeDocument/2006/relationships/externalLink" Target="externalLinks/externalLink18.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externalLink" Target="externalLinks/externalLink9.xml"/><Relationship Id="rId36" Type="http://schemas.openxmlformats.org/officeDocument/2006/relationships/externalLink" Target="externalLinks/externalLink1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externalLink" Target="externalLinks/externalLink8.xml"/><Relationship Id="rId30" Type="http://schemas.openxmlformats.org/officeDocument/2006/relationships/externalLink" Target="externalLinks/externalLink11.xml"/><Relationship Id="rId35" Type="http://schemas.openxmlformats.org/officeDocument/2006/relationships/externalLink" Target="externalLinks/externalLink16.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33" Type="http://schemas.openxmlformats.org/officeDocument/2006/relationships/externalLink" Target="externalLinks/externalLink14.xml"/><Relationship Id="rId38" Type="http://schemas.openxmlformats.org/officeDocument/2006/relationships/externalLink" Target="externalLinks/externalLink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8.03719562302668E-2"/>
          <c:y val="4.2696251470835403E-2"/>
          <c:w val="0.82184835027109504"/>
          <c:h val="0.75418837068443401"/>
        </c:manualLayout>
      </c:layout>
      <c:scatterChart>
        <c:scatterStyle val="lineMarker"/>
        <c:varyColors val="0"/>
        <c:ser>
          <c:idx val="0"/>
          <c:order val="0"/>
          <c:spPr>
            <a:ln>
              <a:solidFill>
                <a:srgbClr val="008000"/>
              </a:solidFill>
            </a:ln>
          </c:spPr>
          <c:marker>
            <c:spPr>
              <a:solidFill>
                <a:srgbClr val="008000"/>
              </a:solidFill>
              <a:ln>
                <a:solidFill>
                  <a:srgbClr val="008000"/>
                </a:solidFill>
              </a:ln>
            </c:spPr>
          </c:marker>
          <c:xVal>
            <c:numRef>
              <c:f>medtest!$C$1</c:f>
              <c:numCache>
                <c:formatCode>General</c:formatCode>
                <c:ptCount val="1"/>
                <c:pt idx="0">
                  <c:v>41.2</c:v>
                </c:pt>
              </c:numCache>
            </c:numRef>
          </c:xVal>
          <c:yVal>
            <c:numRef>
              <c:f>medtest!$C$2</c:f>
              <c:numCache>
                <c:formatCode>General</c:formatCode>
                <c:ptCount val="1"/>
                <c:pt idx="0">
                  <c:v>58.8</c:v>
                </c:pt>
              </c:numCache>
            </c:numRef>
          </c:yVal>
          <c:smooth val="0"/>
          <c:extLst>
            <c:ext xmlns:c16="http://schemas.microsoft.com/office/drawing/2014/chart" uri="{C3380CC4-5D6E-409C-BE32-E72D297353CC}">
              <c16:uniqueId val="{00000000-6D09-814E-AE85-3C4E269232D6}"/>
            </c:ext>
          </c:extLst>
        </c:ser>
        <c:ser>
          <c:idx val="1"/>
          <c:order val="1"/>
          <c:spPr>
            <a:ln w="9525" cmpd="sng">
              <a:solidFill>
                <a:schemeClr val="bg1">
                  <a:lumMod val="50000"/>
                </a:schemeClr>
              </a:solidFill>
            </a:ln>
          </c:spPr>
          <c:marker>
            <c:spPr>
              <a:pattFill prst="wave">
                <a:fgClr>
                  <a:prstClr val="black"/>
                </a:fgClr>
                <a:bgClr>
                  <a:prstClr val="white"/>
                </a:bgClr>
              </a:pattFill>
              <a:ln w="9525" cmpd="sng">
                <a:solidFill>
                  <a:schemeClr val="bg1">
                    <a:lumMod val="50000"/>
                  </a:schemeClr>
                </a:solidFill>
              </a:ln>
            </c:spPr>
          </c:marker>
          <c:xVal>
            <c:numRef>
              <c:f>medtest!$E$1:$Y$1</c:f>
              <c:numCache>
                <c:formatCode>General</c:formatCode>
                <c:ptCount val="21"/>
                <c:pt idx="0">
                  <c:v>1E-4</c:v>
                </c:pt>
                <c:pt idx="1">
                  <c:v>100</c:v>
                </c:pt>
                <c:pt idx="2">
                  <c:v>45</c:v>
                </c:pt>
                <c:pt idx="3">
                  <c:v>0.01</c:v>
                </c:pt>
                <c:pt idx="4">
                  <c:v>0.01</c:v>
                </c:pt>
                <c:pt idx="5">
                  <c:v>60</c:v>
                </c:pt>
                <c:pt idx="6">
                  <c:v>81</c:v>
                </c:pt>
                <c:pt idx="7">
                  <c:v>0.01</c:v>
                </c:pt>
                <c:pt idx="8">
                  <c:v>0.01</c:v>
                </c:pt>
                <c:pt idx="9">
                  <c:v>92</c:v>
                </c:pt>
                <c:pt idx="10">
                  <c:v>100</c:v>
                </c:pt>
                <c:pt idx="11">
                  <c:v>75</c:v>
                </c:pt>
                <c:pt idx="12">
                  <c:v>45</c:v>
                </c:pt>
                <c:pt idx="13">
                  <c:v>20</c:v>
                </c:pt>
                <c:pt idx="14">
                  <c:v>25</c:v>
                </c:pt>
                <c:pt idx="15">
                  <c:v>25</c:v>
                </c:pt>
                <c:pt idx="16">
                  <c:v>45</c:v>
                </c:pt>
                <c:pt idx="17">
                  <c:v>35</c:v>
                </c:pt>
                <c:pt idx="18">
                  <c:v>25</c:v>
                </c:pt>
                <c:pt idx="19">
                  <c:v>25</c:v>
                </c:pt>
                <c:pt idx="20">
                  <c:v>73</c:v>
                </c:pt>
              </c:numCache>
            </c:numRef>
          </c:xVal>
          <c:yVal>
            <c:numRef>
              <c:f>medtest!$E$2:$Y$2</c:f>
              <c:numCache>
                <c:formatCode>General</c:formatCode>
                <c:ptCount val="21"/>
                <c:pt idx="0">
                  <c:v>100</c:v>
                </c:pt>
                <c:pt idx="1">
                  <c:v>0.01</c:v>
                </c:pt>
                <c:pt idx="2">
                  <c:v>55</c:v>
                </c:pt>
                <c:pt idx="3">
                  <c:v>60</c:v>
                </c:pt>
                <c:pt idx="4">
                  <c:v>46</c:v>
                </c:pt>
                <c:pt idx="5">
                  <c:v>38</c:v>
                </c:pt>
                <c:pt idx="6">
                  <c:v>19</c:v>
                </c:pt>
                <c:pt idx="7">
                  <c:v>22</c:v>
                </c:pt>
                <c:pt idx="8">
                  <c:v>12</c:v>
                </c:pt>
                <c:pt idx="9">
                  <c:v>7</c:v>
                </c:pt>
                <c:pt idx="10">
                  <c:v>0.01</c:v>
                </c:pt>
                <c:pt idx="11">
                  <c:v>0.01</c:v>
                </c:pt>
                <c:pt idx="12">
                  <c:v>40</c:v>
                </c:pt>
                <c:pt idx="13">
                  <c:v>43</c:v>
                </c:pt>
                <c:pt idx="14">
                  <c:v>30</c:v>
                </c:pt>
                <c:pt idx="15">
                  <c:v>0.01</c:v>
                </c:pt>
                <c:pt idx="16">
                  <c:v>0.01</c:v>
                </c:pt>
                <c:pt idx="17">
                  <c:v>20</c:v>
                </c:pt>
                <c:pt idx="18">
                  <c:v>21</c:v>
                </c:pt>
                <c:pt idx="19">
                  <c:v>30</c:v>
                </c:pt>
                <c:pt idx="20">
                  <c:v>27</c:v>
                </c:pt>
              </c:numCache>
            </c:numRef>
          </c:yVal>
          <c:smooth val="0"/>
          <c:extLst>
            <c:ext xmlns:c16="http://schemas.microsoft.com/office/drawing/2014/chart" uri="{C3380CC4-5D6E-409C-BE32-E72D297353CC}">
              <c16:uniqueId val="{00000001-6D09-814E-AE85-3C4E269232D6}"/>
            </c:ext>
          </c:extLst>
        </c:ser>
        <c:dLbls>
          <c:showLegendKey val="0"/>
          <c:showVal val="0"/>
          <c:showCatName val="0"/>
          <c:showSerName val="0"/>
          <c:showPercent val="0"/>
          <c:showBubbleSize val="0"/>
        </c:dLbls>
        <c:axId val="-2052535640"/>
        <c:axId val="-2118007944"/>
      </c:scatterChart>
      <c:valAx>
        <c:axId val="-2052535640"/>
        <c:scaling>
          <c:orientation val="minMax"/>
          <c:max val="100"/>
        </c:scaling>
        <c:delete val="0"/>
        <c:axPos val="b"/>
        <c:numFmt formatCode="General" sourceLinked="1"/>
        <c:majorTickMark val="out"/>
        <c:minorTickMark val="none"/>
        <c:tickLblPos val="nextTo"/>
        <c:txPr>
          <a:bodyPr/>
          <a:lstStyle/>
          <a:p>
            <a:pPr>
              <a:defRPr sz="800"/>
            </a:pPr>
            <a:endParaRPr lang="fr-FR"/>
          </a:p>
        </c:txPr>
        <c:crossAx val="-2118007944"/>
        <c:crosses val="autoZero"/>
        <c:crossBetween val="midCat"/>
      </c:valAx>
      <c:valAx>
        <c:axId val="-2118007944"/>
        <c:scaling>
          <c:orientation val="minMax"/>
          <c:max val="100"/>
        </c:scaling>
        <c:delete val="0"/>
        <c:axPos val="l"/>
        <c:numFmt formatCode="General" sourceLinked="1"/>
        <c:majorTickMark val="out"/>
        <c:minorTickMark val="none"/>
        <c:tickLblPos val="nextTo"/>
        <c:txPr>
          <a:bodyPr/>
          <a:lstStyle/>
          <a:p>
            <a:pPr>
              <a:defRPr sz="800"/>
            </a:pPr>
            <a:endParaRPr lang="fr-FR"/>
          </a:p>
        </c:txPr>
        <c:crossAx val="-2052535640"/>
        <c:crosses val="autoZero"/>
        <c:crossBetween val="midCat"/>
      </c:valAx>
      <c:spPr>
        <a:noFill/>
      </c:spPr>
    </c:plotArea>
    <c:plotVisOnly val="1"/>
    <c:dispBlanksAs val="gap"/>
    <c:showDLblsOverMax val="0"/>
  </c:chart>
  <c:spPr>
    <a:noFill/>
    <a:ln>
      <a:noFill/>
    </a:ln>
  </c:sp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864000440142899E-2"/>
          <c:y val="6.4103366678769494E-2"/>
          <c:w val="0.93897144114693898"/>
          <c:h val="0.71795770680221804"/>
        </c:manualLayout>
      </c:layout>
      <c:barChart>
        <c:barDir val="bar"/>
        <c:grouping val="clustered"/>
        <c:varyColors val="0"/>
        <c:ser>
          <c:idx val="0"/>
          <c:order val="0"/>
          <c:spPr>
            <a:solidFill>
              <a:srgbClr val="996633"/>
            </a:solidFill>
            <a:ln w="25400">
              <a:noFill/>
            </a:ln>
          </c:spPr>
          <c:invertIfNegative val="0"/>
          <c:val>
            <c:numRef>
              <c:f>[4]SOL!$S$50</c:f>
              <c:numCache>
                <c:formatCode>General</c:formatCode>
                <c:ptCount val="1"/>
                <c:pt idx="0">
                  <c:v>127.9761904761905</c:v>
                </c:pt>
              </c:numCache>
            </c:numRef>
          </c:val>
          <c:extLst>
            <c:ext xmlns:c16="http://schemas.microsoft.com/office/drawing/2014/chart" uri="{C3380CC4-5D6E-409C-BE32-E72D297353CC}">
              <c16:uniqueId val="{00000000-FBC1-2A47-B820-2FF5AC2EF328}"/>
            </c:ext>
          </c:extLst>
        </c:ser>
        <c:dLbls>
          <c:showLegendKey val="0"/>
          <c:showVal val="0"/>
          <c:showCatName val="0"/>
          <c:showSerName val="0"/>
          <c:showPercent val="0"/>
          <c:showBubbleSize val="0"/>
        </c:dLbls>
        <c:gapWidth val="200"/>
        <c:axId val="-2136206728"/>
        <c:axId val="2139855800"/>
      </c:barChart>
      <c:catAx>
        <c:axId val="-2136206728"/>
        <c:scaling>
          <c:orientation val="minMax"/>
        </c:scaling>
        <c:delete val="0"/>
        <c:axPos val="l"/>
        <c:majorTickMark val="none"/>
        <c:minorTickMark val="none"/>
        <c:tickLblPos val="none"/>
        <c:spPr>
          <a:ln w="9525">
            <a:noFill/>
          </a:ln>
        </c:spPr>
        <c:crossAx val="2139855800"/>
        <c:crosses val="autoZero"/>
        <c:auto val="1"/>
        <c:lblAlgn val="ctr"/>
        <c:lblOffset val="100"/>
        <c:tickMarkSkip val="1"/>
        <c:noMultiLvlLbl val="0"/>
      </c:catAx>
      <c:valAx>
        <c:axId val="2139855800"/>
        <c:scaling>
          <c:orientation val="minMax"/>
          <c:max val="20"/>
          <c:min val="0"/>
        </c:scaling>
        <c:delete val="0"/>
        <c:axPos val="b"/>
        <c:numFmt formatCode="General" sourceLinked="1"/>
        <c:majorTickMark val="out"/>
        <c:minorTickMark val="none"/>
        <c:tickLblPos val="nextTo"/>
        <c:spPr>
          <a:ln w="9525">
            <a:noFill/>
          </a:ln>
        </c:spPr>
        <c:txPr>
          <a:bodyPr rot="0" vert="horz"/>
          <a:lstStyle/>
          <a:p>
            <a:pPr>
              <a:defRPr sz="250" b="0" i="0" u="none" strike="noStrike" baseline="0">
                <a:solidFill>
                  <a:srgbClr val="000000"/>
                </a:solidFill>
                <a:latin typeface="Arial"/>
                <a:ea typeface="Arial"/>
                <a:cs typeface="Arial"/>
              </a:defRPr>
            </a:pPr>
            <a:endParaRPr lang="fr-FR"/>
          </a:p>
        </c:txPr>
        <c:crossAx val="-2136206728"/>
        <c:crosses val="autoZero"/>
        <c:crossBetween val="between"/>
        <c:majorUnit val="40"/>
      </c:valAx>
      <c:spPr>
        <a:noFill/>
        <a:ln w="25400">
          <a:noFill/>
        </a:ln>
      </c:spPr>
    </c:plotArea>
    <c:plotVisOnly val="1"/>
    <c:dispBlanksAs val="gap"/>
    <c:showDLblsOverMax val="0"/>
  </c:chart>
  <c:spPr>
    <a:noFill/>
    <a:ln w="9525">
      <a:noFill/>
    </a:ln>
  </c:spPr>
  <c:txPr>
    <a:bodyPr/>
    <a:lstStyle/>
    <a:p>
      <a:pPr>
        <a:defRPr sz="2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4921259845" footer="0.4921259845"/>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118718878881098"/>
          <c:y val="0.101191064401184"/>
          <c:w val="0.60734630822494096"/>
          <c:h val="0.64881329527817699"/>
        </c:manualLayout>
      </c:layout>
      <c:scatterChart>
        <c:scatterStyle val="lineMarker"/>
        <c:varyColors val="0"/>
        <c:ser>
          <c:idx val="1"/>
          <c:order val="0"/>
          <c:dPt>
            <c:idx val="0"/>
            <c:marker>
              <c:symbol val="x"/>
              <c:size val="5"/>
            </c:marker>
            <c:bubble3D val="0"/>
            <c:spPr>
              <a:ln w="12700">
                <a:solidFill>
                  <a:srgbClr val="F20884"/>
                </a:solidFill>
                <a:prstDash val="solid"/>
              </a:ln>
            </c:spPr>
            <c:extLst>
              <c:ext xmlns:c16="http://schemas.microsoft.com/office/drawing/2014/chart" uri="{C3380CC4-5D6E-409C-BE32-E72D297353CC}">
                <c16:uniqueId val="{00000001-6323-1748-A27D-5886A47BB63A}"/>
              </c:ext>
            </c:extLst>
          </c:dPt>
          <c:xVal>
            <c:numRef>
              <c:f>[4]SOL!$Q$3</c:f>
              <c:numCache>
                <c:formatCode>General</c:formatCode>
                <c:ptCount val="1"/>
                <c:pt idx="0">
                  <c:v>39.662851804351092</c:v>
                </c:pt>
              </c:numCache>
            </c:numRef>
          </c:xVal>
          <c:yVal>
            <c:numRef>
              <c:f>[4]SOL!$Q$2</c:f>
              <c:numCache>
                <c:formatCode>General</c:formatCode>
                <c:ptCount val="1"/>
                <c:pt idx="0">
                  <c:v>32.053761292848456</c:v>
                </c:pt>
              </c:numCache>
            </c:numRef>
          </c:yVal>
          <c:smooth val="0"/>
          <c:extLst>
            <c:ext xmlns:c16="http://schemas.microsoft.com/office/drawing/2014/chart" uri="{C3380CC4-5D6E-409C-BE32-E72D297353CC}">
              <c16:uniqueId val="{00000002-6323-1748-A27D-5886A47BB63A}"/>
            </c:ext>
          </c:extLst>
        </c:ser>
        <c:ser>
          <c:idx val="0"/>
          <c:order val="1"/>
          <c:xVal>
            <c:numRef>
              <c:f>[4]SOL!$Q$6:$AK$6</c:f>
              <c:numCache>
                <c:formatCode>General</c:formatCode>
                <c:ptCount val="21"/>
                <c:pt idx="0">
                  <c:v>1E-4</c:v>
                </c:pt>
                <c:pt idx="1">
                  <c:v>100</c:v>
                </c:pt>
                <c:pt idx="2">
                  <c:v>45</c:v>
                </c:pt>
                <c:pt idx="3">
                  <c:v>0.01</c:v>
                </c:pt>
                <c:pt idx="4">
                  <c:v>0.01</c:v>
                </c:pt>
                <c:pt idx="5">
                  <c:v>60</c:v>
                </c:pt>
                <c:pt idx="6">
                  <c:v>81</c:v>
                </c:pt>
                <c:pt idx="7">
                  <c:v>0.01</c:v>
                </c:pt>
                <c:pt idx="8">
                  <c:v>0.01</c:v>
                </c:pt>
                <c:pt idx="9">
                  <c:v>92</c:v>
                </c:pt>
                <c:pt idx="10">
                  <c:v>100</c:v>
                </c:pt>
                <c:pt idx="11">
                  <c:v>75</c:v>
                </c:pt>
                <c:pt idx="12">
                  <c:v>45</c:v>
                </c:pt>
                <c:pt idx="13">
                  <c:v>20</c:v>
                </c:pt>
                <c:pt idx="14">
                  <c:v>25</c:v>
                </c:pt>
                <c:pt idx="15">
                  <c:v>25</c:v>
                </c:pt>
                <c:pt idx="16">
                  <c:v>45</c:v>
                </c:pt>
                <c:pt idx="17">
                  <c:v>35</c:v>
                </c:pt>
                <c:pt idx="18">
                  <c:v>25</c:v>
                </c:pt>
                <c:pt idx="19">
                  <c:v>25</c:v>
                </c:pt>
                <c:pt idx="20">
                  <c:v>73</c:v>
                </c:pt>
              </c:numCache>
            </c:numRef>
          </c:xVal>
          <c:yVal>
            <c:numRef>
              <c:f>[4]SOL!$Q$7:$AK$7</c:f>
              <c:numCache>
                <c:formatCode>General</c:formatCode>
                <c:ptCount val="21"/>
                <c:pt idx="0">
                  <c:v>100</c:v>
                </c:pt>
                <c:pt idx="1">
                  <c:v>0.01</c:v>
                </c:pt>
                <c:pt idx="2">
                  <c:v>55</c:v>
                </c:pt>
                <c:pt idx="3">
                  <c:v>60</c:v>
                </c:pt>
                <c:pt idx="4">
                  <c:v>46</c:v>
                </c:pt>
                <c:pt idx="5">
                  <c:v>38</c:v>
                </c:pt>
                <c:pt idx="6">
                  <c:v>19</c:v>
                </c:pt>
                <c:pt idx="7">
                  <c:v>22</c:v>
                </c:pt>
                <c:pt idx="8">
                  <c:v>12</c:v>
                </c:pt>
                <c:pt idx="9">
                  <c:v>7</c:v>
                </c:pt>
                <c:pt idx="10">
                  <c:v>0.01</c:v>
                </c:pt>
                <c:pt idx="11">
                  <c:v>0.01</c:v>
                </c:pt>
                <c:pt idx="12">
                  <c:v>40</c:v>
                </c:pt>
                <c:pt idx="13">
                  <c:v>43</c:v>
                </c:pt>
                <c:pt idx="14">
                  <c:v>30</c:v>
                </c:pt>
                <c:pt idx="15">
                  <c:v>0.01</c:v>
                </c:pt>
                <c:pt idx="16">
                  <c:v>0.01</c:v>
                </c:pt>
                <c:pt idx="17">
                  <c:v>20</c:v>
                </c:pt>
                <c:pt idx="18">
                  <c:v>21</c:v>
                </c:pt>
                <c:pt idx="19">
                  <c:v>30</c:v>
                </c:pt>
                <c:pt idx="20">
                  <c:v>27</c:v>
                </c:pt>
              </c:numCache>
            </c:numRef>
          </c:yVal>
          <c:smooth val="0"/>
          <c:extLst>
            <c:ext xmlns:c16="http://schemas.microsoft.com/office/drawing/2014/chart" uri="{C3380CC4-5D6E-409C-BE32-E72D297353CC}">
              <c16:uniqueId val="{00000003-6323-1748-A27D-5886A47BB63A}"/>
            </c:ext>
          </c:extLst>
        </c:ser>
        <c:dLbls>
          <c:showLegendKey val="0"/>
          <c:showVal val="0"/>
          <c:showCatName val="0"/>
          <c:showSerName val="0"/>
          <c:showPercent val="0"/>
          <c:showBubbleSize val="0"/>
        </c:dLbls>
        <c:axId val="-2062738792"/>
        <c:axId val="-2063444952"/>
      </c:scatterChart>
      <c:valAx>
        <c:axId val="-2062738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400" b="0" i="0" u="none" strike="noStrike" baseline="0">
                <a:solidFill>
                  <a:srgbClr val="000000"/>
                </a:solidFill>
                <a:latin typeface="Arial"/>
                <a:ea typeface="Arial"/>
                <a:cs typeface="Arial"/>
              </a:defRPr>
            </a:pPr>
            <a:endParaRPr lang="fr-FR"/>
          </a:p>
        </c:txPr>
        <c:crossAx val="-2063444952"/>
        <c:crosses val="autoZero"/>
        <c:crossBetween val="midCat"/>
      </c:valAx>
      <c:valAx>
        <c:axId val="-2063444952"/>
        <c:scaling>
          <c:orientation val="minMax"/>
          <c:max val="1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fr-FR"/>
          </a:p>
        </c:txPr>
        <c:crossAx val="-2062738792"/>
        <c:crosses val="autoZero"/>
        <c:crossBetween val="midCat"/>
        <c:majorUnit val="10"/>
        <c:minorUnit val="2"/>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4921259845" footer="0.492125984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g"/><Relationship Id="rId1" Type="http://schemas.openxmlformats.org/officeDocument/2006/relationships/image" Target="../media/image1.jpg"/><Relationship Id="rId5" Type="http://schemas.microsoft.com/office/2007/relationships/hdphoto" Target="../media/hdphoto2.wdp"/><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7.emf"/></Relationships>
</file>

<file path=xl/drawings/_rels/drawing9.xml.rels><?xml version="1.0" encoding="UTF-8" standalone="yes"?>
<Relationships xmlns="http://schemas.openxmlformats.org/package/2006/relationships"><Relationship Id="rId3" Type="http://schemas.openxmlformats.org/officeDocument/2006/relationships/image" Target="../media/image5.jpeg"/><Relationship Id="rId7" Type="http://schemas.openxmlformats.org/officeDocument/2006/relationships/image" Target="../media/image8.jpg"/><Relationship Id="rId2" Type="http://schemas.openxmlformats.org/officeDocument/2006/relationships/image" Target="../media/image4.jpg"/><Relationship Id="rId1" Type="http://schemas.openxmlformats.org/officeDocument/2006/relationships/image" Target="../media/image1.jpg"/><Relationship Id="rId6" Type="http://schemas.openxmlformats.org/officeDocument/2006/relationships/image" Target="../media/image2.png"/><Relationship Id="rId5" Type="http://schemas.microsoft.com/office/2007/relationships/hdphoto" Target="../media/hdphoto4.wdp"/><Relationship Id="rId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oneCell">
    <xdr:from>
      <xdr:col>0</xdr:col>
      <xdr:colOff>50799</xdr:colOff>
      <xdr:row>0</xdr:row>
      <xdr:rowOff>63500</xdr:rowOff>
    </xdr:from>
    <xdr:to>
      <xdr:col>0</xdr:col>
      <xdr:colOff>2130029</xdr:colOff>
      <xdr:row>2</xdr:row>
      <xdr:rowOff>123825</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0799" y="63500"/>
          <a:ext cx="2079230" cy="393700"/>
        </a:xfrm>
        <a:prstGeom prst="rect">
          <a:avLst/>
        </a:prstGeom>
      </xdr:spPr>
    </xdr:pic>
    <xdr:clientData/>
  </xdr:twoCellAnchor>
  <xdr:twoCellAnchor editAs="oneCell">
    <xdr:from>
      <xdr:col>7</xdr:col>
      <xdr:colOff>478117</xdr:colOff>
      <xdr:row>0</xdr:row>
      <xdr:rowOff>59765</xdr:rowOff>
    </xdr:from>
    <xdr:to>
      <xdr:col>8</xdr:col>
      <xdr:colOff>628394</xdr:colOff>
      <xdr:row>4</xdr:row>
      <xdr:rowOff>153894</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9173882" y="59765"/>
          <a:ext cx="1046747" cy="736600"/>
        </a:xfrm>
        <a:prstGeom prst="rect">
          <a:avLst/>
        </a:prstGeom>
      </xdr:spPr>
    </xdr:pic>
    <xdr:clientData/>
  </xdr:twoCellAnchor>
  <mc:AlternateContent xmlns:mc="http://schemas.openxmlformats.org/markup-compatibility/2006">
    <mc:Choice xmlns:a14="http://schemas.microsoft.com/office/drawing/2010/main" Requires="a14">
      <xdr:twoCellAnchor>
        <xdr:from>
          <xdr:col>23</xdr:col>
          <xdr:colOff>289560</xdr:colOff>
          <xdr:row>3</xdr:row>
          <xdr:rowOff>83820</xdr:rowOff>
        </xdr:from>
        <xdr:to>
          <xdr:col>24</xdr:col>
          <xdr:colOff>685800</xdr:colOff>
          <xdr:row>5</xdr:row>
          <xdr:rowOff>144780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0" i="0" u="none" strike="noStrike" baseline="0">
                  <a:solidFill>
                    <a:srgbClr val="000000"/>
                  </a:solidFill>
                  <a:latin typeface="Lucida Grande"/>
                </a:rPr>
                <a:t>LOT</a:t>
              </a:r>
            </a:p>
          </xdr:txBody>
        </xdr:sp>
        <xdr:clientData fPrintsWithSheet="0"/>
      </xdr:twoCellAnchor>
    </mc:Choice>
    <mc:Fallback/>
  </mc:AlternateContent>
  <xdr:twoCellAnchor editAs="oneCell">
    <xdr:from>
      <xdr:col>0</xdr:col>
      <xdr:colOff>1276350</xdr:colOff>
      <xdr:row>45</xdr:row>
      <xdr:rowOff>85725</xdr:rowOff>
    </xdr:from>
    <xdr:to>
      <xdr:col>6</xdr:col>
      <xdr:colOff>561975</xdr:colOff>
      <xdr:row>53</xdr:row>
      <xdr:rowOff>47625</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276350" y="12353925"/>
          <a:ext cx="7105650" cy="1752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50800</xdr:colOff>
      <xdr:row>0</xdr:row>
      <xdr:rowOff>38100</xdr:rowOff>
    </xdr:from>
    <xdr:to>
      <xdr:col>1</xdr:col>
      <xdr:colOff>123430</xdr:colOff>
      <xdr:row>3</xdr:row>
      <xdr:rowOff>184150</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0800" y="38100"/>
          <a:ext cx="2079230" cy="628650"/>
        </a:xfrm>
        <a:prstGeom prst="rect">
          <a:avLst/>
        </a:prstGeom>
      </xdr:spPr>
    </xdr:pic>
    <xdr:clientData/>
  </xdr:twoCellAnchor>
  <mc:AlternateContent xmlns:mc="http://schemas.openxmlformats.org/markup-compatibility/2006">
    <mc:Choice xmlns:a14="http://schemas.microsoft.com/office/drawing/2010/main" Requires="a14">
      <xdr:twoCellAnchor>
        <xdr:from>
          <xdr:col>44</xdr:col>
          <xdr:colOff>274320</xdr:colOff>
          <xdr:row>6</xdr:row>
          <xdr:rowOff>83820</xdr:rowOff>
        </xdr:from>
        <xdr:to>
          <xdr:col>45</xdr:col>
          <xdr:colOff>190500</xdr:colOff>
          <xdr:row>8</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0" i="0" u="none" strike="noStrike" baseline="0">
                  <a:solidFill>
                    <a:srgbClr val="000000"/>
                  </a:solidFill>
                  <a:latin typeface="Lucida Grande"/>
                </a:rPr>
                <a:t>Rapport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266700</xdr:colOff>
          <xdr:row>4</xdr:row>
          <xdr:rowOff>0</xdr:rowOff>
        </xdr:from>
        <xdr:to>
          <xdr:col>45</xdr:col>
          <xdr:colOff>152400</xdr:colOff>
          <xdr:row>5</xdr:row>
          <xdr:rowOff>152400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0" i="0" u="none" strike="noStrike" baseline="0">
                  <a:solidFill>
                    <a:srgbClr val="000000"/>
                  </a:solidFill>
                  <a:latin typeface="Lucida Grande"/>
                </a:rPr>
                <a:t>LOT</a:t>
              </a:r>
            </a:p>
          </xdr:txBody>
        </xdr:sp>
        <xdr:clientData fPrintsWithSheet="0"/>
      </xdr:twoCellAnchor>
    </mc:Choice>
    <mc:Fallback/>
  </mc:AlternateContent>
  <xdr:twoCellAnchor editAs="oneCell">
    <xdr:from>
      <xdr:col>0</xdr:col>
      <xdr:colOff>0</xdr:colOff>
      <xdr:row>0</xdr:row>
      <xdr:rowOff>0</xdr:rowOff>
    </xdr:from>
    <xdr:to>
      <xdr:col>3</xdr:col>
      <xdr:colOff>870964</xdr:colOff>
      <xdr:row>42</xdr:row>
      <xdr:rowOff>14885</xdr:rowOff>
    </xdr:to>
    <xdr:pic>
      <xdr:nvPicPr>
        <xdr:cNvPr id="5" name="Image 4" descr="Elephant-Vert-Logo-006.jpg">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alphaModFix amt="12000"/>
          <a:extLst>
            <a:ext uri="{28A0092B-C50C-407E-A947-70E740481C1C}">
              <a14:useLocalDpi xmlns:a14="http://schemas.microsoft.com/office/drawing/2010/main" val="0"/>
            </a:ext>
          </a:extLst>
        </a:blip>
        <a:stretch>
          <a:fillRect/>
        </a:stretch>
      </xdr:blipFill>
      <xdr:spPr>
        <a:xfrm>
          <a:off x="0" y="0"/>
          <a:ext cx="4083317" cy="7891019"/>
        </a:xfrm>
        <a:prstGeom prst="rect">
          <a:avLst/>
        </a:prstGeom>
      </xdr:spPr>
    </xdr:pic>
    <xdr:clientData/>
  </xdr:twoCellAnchor>
  <xdr:twoCellAnchor editAs="oneCell">
    <xdr:from>
      <xdr:col>5</xdr:col>
      <xdr:colOff>571499</xdr:colOff>
      <xdr:row>58</xdr:row>
      <xdr:rowOff>134733</xdr:rowOff>
    </xdr:from>
    <xdr:to>
      <xdr:col>8</xdr:col>
      <xdr:colOff>378439</xdr:colOff>
      <xdr:row>62</xdr:row>
      <xdr:rowOff>185646</xdr:rowOff>
    </xdr:to>
    <xdr:pic>
      <xdr:nvPicPr>
        <xdr:cNvPr id="6" name="Image 5" descr="Capture d’écran 2018-06-29 à 10.15.00.png">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3">
          <a:extLst>
            <a:ext uri="{BEBA8EAE-BF5A-486C-A8C5-ECC9F3942E4B}">
              <a14:imgProps xmlns:a14="http://schemas.microsoft.com/office/drawing/2010/main">
                <a14:imgLayer r:embed="rId4">
                  <a14:imgEffect>
                    <a14:sharpenSoften amount="100000"/>
                  </a14:imgEffect>
                </a14:imgLayer>
              </a14:imgProps>
            </a:ext>
            <a:ext uri="{28A0092B-C50C-407E-A947-70E740481C1C}">
              <a14:useLocalDpi xmlns:a14="http://schemas.microsoft.com/office/drawing/2010/main" val="0"/>
            </a:ext>
          </a:extLst>
        </a:blip>
        <a:srcRect l="23594" t="17376" r="65468" b="57499"/>
        <a:stretch/>
      </xdr:blipFill>
      <xdr:spPr>
        <a:xfrm rot="5400000">
          <a:off x="6716962" y="9432470"/>
          <a:ext cx="1524113" cy="2207240"/>
        </a:xfrm>
        <a:prstGeom prst="rect">
          <a:avLst/>
        </a:prstGeom>
      </xdr:spPr>
    </xdr:pic>
    <xdr:clientData/>
  </xdr:twoCellAnchor>
  <xdr:twoCellAnchor editAs="oneCell">
    <xdr:from>
      <xdr:col>0</xdr:col>
      <xdr:colOff>746286</xdr:colOff>
      <xdr:row>58</xdr:row>
      <xdr:rowOff>50804</xdr:rowOff>
    </xdr:from>
    <xdr:to>
      <xdr:col>2</xdr:col>
      <xdr:colOff>79399</xdr:colOff>
      <xdr:row>62</xdr:row>
      <xdr:rowOff>89440</xdr:rowOff>
    </xdr:to>
    <xdr:pic>
      <xdr:nvPicPr>
        <xdr:cNvPr id="7" name="Image 6" descr="Capture d’écran 2018-06-29 à 10.15.00.png">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3">
          <a:extLst>
            <a:ext uri="{BEBA8EAE-BF5A-486C-A8C5-ECC9F3942E4B}">
              <a14:imgProps xmlns:a14="http://schemas.microsoft.com/office/drawing/2010/main">
                <a14:imgLayer r:embed="rId5">
                  <a14:imgEffect>
                    <a14:sharpenSoften amount="100000"/>
                  </a14:imgEffect>
                </a14:imgLayer>
              </a14:imgProps>
            </a:ext>
            <a:ext uri="{28A0092B-C50C-407E-A947-70E740481C1C}">
              <a14:useLocalDpi xmlns:a14="http://schemas.microsoft.com/office/drawing/2010/main" val="0"/>
            </a:ext>
          </a:extLst>
        </a:blip>
        <a:srcRect l="34219" t="59875" r="53515" b="15000"/>
        <a:stretch/>
      </xdr:blipFill>
      <xdr:spPr>
        <a:xfrm rot="5400000">
          <a:off x="958675" y="9477715"/>
          <a:ext cx="1511836" cy="19366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67733</xdr:colOff>
      <xdr:row>0</xdr:row>
      <xdr:rowOff>0</xdr:rowOff>
    </xdr:from>
    <xdr:to>
      <xdr:col>4</xdr:col>
      <xdr:colOff>219738</xdr:colOff>
      <xdr:row>3</xdr:row>
      <xdr:rowOff>11906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734608" y="0"/>
          <a:ext cx="2080818" cy="476250"/>
        </a:xfrm>
        <a:prstGeom prst="rect">
          <a:avLst/>
        </a:prstGeom>
      </xdr:spPr>
    </xdr:pic>
    <xdr:clientData/>
  </xdr:twoCellAnchor>
  <xdr:twoCellAnchor>
    <xdr:from>
      <xdr:col>7</xdr:col>
      <xdr:colOff>1149569</xdr:colOff>
      <xdr:row>18</xdr:row>
      <xdr:rowOff>8759</xdr:rowOff>
    </xdr:from>
    <xdr:to>
      <xdr:col>12</xdr:col>
      <xdr:colOff>335017</xdr:colOff>
      <xdr:row>18</xdr:row>
      <xdr:rowOff>175173</xdr:rowOff>
    </xdr:to>
    <xdr:sp macro="" textlink="">
      <xdr:nvSpPr>
        <xdr:cNvPr id="3" name="ZoneTexte 2">
          <a:extLst>
            <a:ext uri="{FF2B5EF4-FFF2-40B4-BE49-F238E27FC236}">
              <a16:creationId xmlns:a16="http://schemas.microsoft.com/office/drawing/2014/main" id="{00000000-0008-0000-0300-000003000000}"/>
            </a:ext>
          </a:extLst>
        </xdr:cNvPr>
        <xdr:cNvSpPr txBox="1"/>
      </xdr:nvSpPr>
      <xdr:spPr>
        <a:xfrm>
          <a:off x="7270969" y="3234559"/>
          <a:ext cx="2977931" cy="1664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900"/>
            <a:t>     Faible                               Correct</a:t>
          </a:r>
          <a:r>
            <a:rPr lang="fr-FR" sz="900" baseline="0"/>
            <a:t>                                    Elevé</a:t>
          </a:r>
          <a:endParaRPr lang="fr-FR" sz="900"/>
        </a:p>
      </xdr:txBody>
    </xdr:sp>
    <xdr:clientData/>
  </xdr:twoCellAnchor>
  <xdr:twoCellAnchor>
    <xdr:from>
      <xdr:col>8</xdr:col>
      <xdr:colOff>43792</xdr:colOff>
      <xdr:row>27</xdr:row>
      <xdr:rowOff>26275</xdr:rowOff>
    </xdr:from>
    <xdr:to>
      <xdr:col>12</xdr:col>
      <xdr:colOff>70067</xdr:colOff>
      <xdr:row>27</xdr:row>
      <xdr:rowOff>192689</xdr:rowOff>
    </xdr:to>
    <xdr:sp macro="" textlink="">
      <xdr:nvSpPr>
        <xdr:cNvPr id="4" name="ZoneTexte 3">
          <a:extLst>
            <a:ext uri="{FF2B5EF4-FFF2-40B4-BE49-F238E27FC236}">
              <a16:creationId xmlns:a16="http://schemas.microsoft.com/office/drawing/2014/main" id="{00000000-0008-0000-0300-000004000000}"/>
            </a:ext>
          </a:extLst>
        </xdr:cNvPr>
        <xdr:cNvSpPr txBox="1"/>
      </xdr:nvSpPr>
      <xdr:spPr>
        <a:xfrm>
          <a:off x="7333592" y="5169775"/>
          <a:ext cx="2915308" cy="1664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900"/>
            <a:t>     Faible                               Correct</a:t>
          </a:r>
          <a:r>
            <a:rPr lang="fr-FR" sz="900" baseline="0"/>
            <a:t>                                    Elevé</a:t>
          </a:r>
          <a:endParaRPr lang="fr-FR" sz="900"/>
        </a:p>
      </xdr:txBody>
    </xdr:sp>
    <xdr:clientData/>
  </xdr:twoCellAnchor>
  <xdr:twoCellAnchor>
    <xdr:from>
      <xdr:col>7</xdr:col>
      <xdr:colOff>1028701</xdr:colOff>
      <xdr:row>24</xdr:row>
      <xdr:rowOff>38100</xdr:rowOff>
    </xdr:from>
    <xdr:to>
      <xdr:col>12</xdr:col>
      <xdr:colOff>0</xdr:colOff>
      <xdr:row>24</xdr:row>
      <xdr:rowOff>190499</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7150101" y="4546600"/>
          <a:ext cx="3098799" cy="1523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900"/>
            <a:t>     Correct                              Elevé</a:t>
          </a:r>
          <a:r>
            <a:rPr lang="fr-FR" sz="900" baseline="0"/>
            <a:t>                                Très Elevé</a:t>
          </a:r>
          <a:endParaRPr lang="fr-FR" sz="900"/>
        </a:p>
      </xdr:txBody>
    </xdr:sp>
    <xdr:clientData/>
  </xdr:twoCellAnchor>
  <mc:AlternateContent xmlns:mc="http://schemas.openxmlformats.org/markup-compatibility/2006">
    <mc:Choice xmlns:a14="http://schemas.microsoft.com/office/drawing/2010/main" Requires="a14">
      <xdr:twoCellAnchor>
        <xdr:from>
          <xdr:col>0</xdr:col>
          <xdr:colOff>411480</xdr:colOff>
          <xdr:row>1</xdr:row>
          <xdr:rowOff>0</xdr:rowOff>
        </xdr:from>
        <xdr:to>
          <xdr:col>1</xdr:col>
          <xdr:colOff>297180</xdr:colOff>
          <xdr:row>3</xdr:row>
          <xdr:rowOff>152400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0" i="0" u="none" strike="noStrike" baseline="0">
                  <a:solidFill>
                    <a:srgbClr val="000000"/>
                  </a:solidFill>
                  <a:latin typeface="Lucida Grande"/>
                </a:rPr>
                <a:t>LOT</a:t>
              </a:r>
            </a:p>
          </xdr:txBody>
        </xdr:sp>
        <xdr:clientData fPrintsWithSheet="0"/>
      </xdr:twoCellAnchor>
    </mc:Choice>
    <mc:Fallback/>
  </mc:AlternateContent>
  <xdr:twoCellAnchor editAs="oneCell">
    <xdr:from>
      <xdr:col>2</xdr:col>
      <xdr:colOff>1071563</xdr:colOff>
      <xdr:row>46</xdr:row>
      <xdr:rowOff>47625</xdr:rowOff>
    </xdr:from>
    <xdr:to>
      <xdr:col>11</xdr:col>
      <xdr:colOff>33338</xdr:colOff>
      <xdr:row>49</xdr:row>
      <xdr:rowOff>85725</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738438" y="10953750"/>
          <a:ext cx="7105650" cy="1752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40531</xdr:colOff>
      <xdr:row>0</xdr:row>
      <xdr:rowOff>13511</xdr:rowOff>
    </xdr:from>
    <xdr:to>
      <xdr:col>0</xdr:col>
      <xdr:colOff>2115528</xdr:colOff>
      <xdr:row>0</xdr:row>
      <xdr:rowOff>455984</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40531" y="13511"/>
          <a:ext cx="2074997" cy="44247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121920</xdr:colOff>
          <xdr:row>0</xdr:row>
          <xdr:rowOff>495300</xdr:rowOff>
        </xdr:from>
        <xdr:to>
          <xdr:col>11</xdr:col>
          <xdr:colOff>426720</xdr:colOff>
          <xdr:row>2</xdr:row>
          <xdr:rowOff>152400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0" i="0" u="none" strike="noStrike" baseline="0">
                  <a:solidFill>
                    <a:srgbClr val="000000"/>
                  </a:solidFill>
                  <a:latin typeface="Lucida Grande"/>
                </a:rPr>
                <a:t>Lot-Rapports</a:t>
              </a:r>
            </a:p>
          </xdr:txBody>
        </xdr:sp>
        <xdr:clientData fPrintsWithSheet="0"/>
      </xdr:twoCellAnchor>
    </mc:Choice>
    <mc:Fallback/>
  </mc:AlternateContent>
  <xdr:twoCellAnchor editAs="oneCell">
    <xdr:from>
      <xdr:col>0</xdr:col>
      <xdr:colOff>1215957</xdr:colOff>
      <xdr:row>62</xdr:row>
      <xdr:rowOff>20266</xdr:rowOff>
    </xdr:from>
    <xdr:to>
      <xdr:col>6</xdr:col>
      <xdr:colOff>276022</xdr:colOff>
      <xdr:row>70</xdr:row>
      <xdr:rowOff>151590</xdr:rowOff>
    </xdr:to>
    <xdr:pic>
      <xdr:nvPicPr>
        <xdr:cNvPr id="4" name="Imag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1215957" y="12017713"/>
          <a:ext cx="7105650" cy="1752600"/>
        </a:xfrm>
        <a:prstGeom prst="rect">
          <a:avLst/>
        </a:prstGeom>
      </xdr:spPr>
    </xdr:pic>
    <xdr:clientData/>
  </xdr:twoCellAnchor>
  <xdr:twoCellAnchor editAs="oneCell">
    <xdr:from>
      <xdr:col>6</xdr:col>
      <xdr:colOff>942366</xdr:colOff>
      <xdr:row>0</xdr:row>
      <xdr:rowOff>60798</xdr:rowOff>
    </xdr:from>
    <xdr:to>
      <xdr:col>11</xdr:col>
      <xdr:colOff>43069</xdr:colOff>
      <xdr:row>2</xdr:row>
      <xdr:rowOff>54003</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8987951" y="60798"/>
          <a:ext cx="1036102" cy="72277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67733</xdr:colOff>
      <xdr:row>0</xdr:row>
      <xdr:rowOff>0</xdr:rowOff>
    </xdr:from>
    <xdr:to>
      <xdr:col>1</xdr:col>
      <xdr:colOff>673763</xdr:colOff>
      <xdr:row>3</xdr:row>
      <xdr:rowOff>150284</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7733" y="0"/>
          <a:ext cx="2079230" cy="632884"/>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289560</xdr:colOff>
          <xdr:row>1</xdr:row>
          <xdr:rowOff>60960</xdr:rowOff>
        </xdr:from>
        <xdr:to>
          <xdr:col>8</xdr:col>
          <xdr:colOff>876300</xdr:colOff>
          <xdr:row>4</xdr:row>
          <xdr:rowOff>45720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0" i="0" u="none" strike="noStrike" baseline="0">
                  <a:solidFill>
                    <a:srgbClr val="000000"/>
                  </a:solidFill>
                  <a:latin typeface="Lucida Grande"/>
                </a:rPr>
                <a:t>LOT</a:t>
              </a:r>
            </a:p>
          </xdr:txBody>
        </xdr:sp>
        <xdr:clientData fPrintsWithSheet="0"/>
      </xdr:twoCellAnchor>
    </mc:Choice>
    <mc:Fallback/>
  </mc:AlternateContent>
  <xdr:twoCellAnchor editAs="oneCell">
    <xdr:from>
      <xdr:col>0</xdr:col>
      <xdr:colOff>523875</xdr:colOff>
      <xdr:row>59</xdr:row>
      <xdr:rowOff>107156</xdr:rowOff>
    </xdr:from>
    <xdr:to>
      <xdr:col>7</xdr:col>
      <xdr:colOff>688181</xdr:colOff>
      <xdr:row>61</xdr:row>
      <xdr:rowOff>1276350</xdr:rowOff>
    </xdr:to>
    <xdr:pic>
      <xdr:nvPicPr>
        <xdr:cNvPr id="4" name="Imag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523875" y="10608469"/>
          <a:ext cx="7105650" cy="1752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38100</xdr:colOff>
      <xdr:row>0</xdr:row>
      <xdr:rowOff>1</xdr:rowOff>
    </xdr:from>
    <xdr:to>
      <xdr:col>1</xdr:col>
      <xdr:colOff>317500</xdr:colOff>
      <xdr:row>2</xdr:row>
      <xdr:rowOff>163287</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8100" y="1"/>
          <a:ext cx="2715079" cy="544286"/>
        </a:xfrm>
        <a:prstGeom prst="rect">
          <a:avLst/>
        </a:prstGeom>
      </xdr:spPr>
    </xdr:pic>
    <xdr:clientData/>
  </xdr:twoCellAnchor>
  <xdr:twoCellAnchor>
    <xdr:from>
      <xdr:col>2</xdr:col>
      <xdr:colOff>279399</xdr:colOff>
      <xdr:row>16</xdr:row>
      <xdr:rowOff>16933</xdr:rowOff>
    </xdr:from>
    <xdr:to>
      <xdr:col>7</xdr:col>
      <xdr:colOff>1219200</xdr:colOff>
      <xdr:row>27</xdr:row>
      <xdr:rowOff>93133</xdr:rowOff>
    </xdr:to>
    <xdr:graphicFrame macro="">
      <xdr:nvGraphicFramePr>
        <xdr:cNvPr id="3" name="Graphique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10</xdr:col>
      <xdr:colOff>0</xdr:colOff>
      <xdr:row>63</xdr:row>
      <xdr:rowOff>0</xdr:rowOff>
    </xdr:from>
    <xdr:ext cx="184666" cy="261610"/>
    <xdr:sp macro="" textlink="">
      <xdr:nvSpPr>
        <xdr:cNvPr id="4" name="ZoneTexte 3">
          <a:extLst>
            <a:ext uri="{FF2B5EF4-FFF2-40B4-BE49-F238E27FC236}">
              <a16:creationId xmlns:a16="http://schemas.microsoft.com/office/drawing/2014/main" id="{00000000-0008-0000-0700-000004000000}"/>
            </a:ext>
          </a:extLst>
        </xdr:cNvPr>
        <xdr:cNvSpPr txBox="1"/>
      </xdr:nvSpPr>
      <xdr:spPr>
        <a:xfrm>
          <a:off x="9969500" y="11836400"/>
          <a:ext cx="184666" cy="261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mc:AlternateContent xmlns:mc="http://schemas.openxmlformats.org/markup-compatibility/2006">
    <mc:Choice xmlns:a14="http://schemas.microsoft.com/office/drawing/2010/main" Requires="a14">
      <xdr:twoCellAnchor>
        <xdr:from>
          <xdr:col>40</xdr:col>
          <xdr:colOff>76200</xdr:colOff>
          <xdr:row>1</xdr:row>
          <xdr:rowOff>99060</xdr:rowOff>
        </xdr:from>
        <xdr:to>
          <xdr:col>41</xdr:col>
          <xdr:colOff>312420</xdr:colOff>
          <xdr:row>3</xdr:row>
          <xdr:rowOff>160020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700-00000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0" i="0" u="none" strike="noStrike" baseline="0">
                  <a:solidFill>
                    <a:srgbClr val="000000"/>
                  </a:solidFill>
                  <a:latin typeface="Lucida Grande"/>
                </a:rPr>
                <a:t>LOT</a:t>
              </a:r>
            </a:p>
          </xdr:txBody>
        </xdr:sp>
        <xdr:clientData fPrintsWithSheet="0"/>
      </xdr:twoCellAnchor>
    </mc:Choice>
    <mc:Fallback/>
  </mc:AlternateContent>
  <xdr:twoCellAnchor editAs="oneCell">
    <xdr:from>
      <xdr:col>10</xdr:col>
      <xdr:colOff>374316</xdr:colOff>
      <xdr:row>0</xdr:row>
      <xdr:rowOff>63500</xdr:rowOff>
    </xdr:from>
    <xdr:to>
      <xdr:col>11</xdr:col>
      <xdr:colOff>659063</xdr:colOff>
      <xdr:row>4</xdr:row>
      <xdr:rowOff>38100</xdr:rowOff>
    </xdr:to>
    <xdr:pic>
      <xdr:nvPicPr>
        <xdr:cNvPr id="10" name="Imag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3"/>
        <a:stretch>
          <a:fillRect/>
        </a:stretch>
      </xdr:blipFill>
      <xdr:spPr>
        <a:xfrm>
          <a:off x="10343816" y="63500"/>
          <a:ext cx="1046747" cy="736600"/>
        </a:xfrm>
        <a:prstGeom prst="rect">
          <a:avLst/>
        </a:prstGeom>
      </xdr:spPr>
    </xdr:pic>
    <xdr:clientData/>
  </xdr:twoCellAnchor>
  <xdr:twoCellAnchor editAs="oneCell">
    <xdr:from>
      <xdr:col>0</xdr:col>
      <xdr:colOff>2231570</xdr:colOff>
      <xdr:row>74</xdr:row>
      <xdr:rowOff>40823</xdr:rowOff>
    </xdr:from>
    <xdr:to>
      <xdr:col>9</xdr:col>
      <xdr:colOff>125184</xdr:colOff>
      <xdr:row>82</xdr:row>
      <xdr:rowOff>133352</xdr:rowOff>
    </xdr:to>
    <xdr:pic>
      <xdr:nvPicPr>
        <xdr:cNvPr id="6" name="Imag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31570" y="14818180"/>
          <a:ext cx="7105650" cy="20519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541655</xdr:colOff>
      <xdr:row>30</xdr:row>
      <xdr:rowOff>0</xdr:rowOff>
    </xdr:from>
    <xdr:to>
      <xdr:col>8</xdr:col>
      <xdr:colOff>259966</xdr:colOff>
      <xdr:row>30</xdr:row>
      <xdr:rowOff>0</xdr:rowOff>
    </xdr:to>
    <xdr:sp macro="" textlink="">
      <xdr:nvSpPr>
        <xdr:cNvPr id="2" name="Texte 10">
          <a:extLst>
            <a:ext uri="{FF2B5EF4-FFF2-40B4-BE49-F238E27FC236}">
              <a16:creationId xmlns:a16="http://schemas.microsoft.com/office/drawing/2014/main" id="{00000000-0008-0000-0900-000002000000}"/>
            </a:ext>
          </a:extLst>
        </xdr:cNvPr>
        <xdr:cNvSpPr txBox="1">
          <a:spLocks noChangeArrowheads="1"/>
        </xdr:cNvSpPr>
      </xdr:nvSpPr>
      <xdr:spPr bwMode="auto">
        <a:xfrm>
          <a:off x="7272655" y="0"/>
          <a:ext cx="1166111" cy="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36576" tIns="27432" rIns="0" bIns="0" anchor="t" upright="1"/>
        <a:lstStyle/>
        <a:p>
          <a:pPr algn="l" rtl="0">
            <a:defRPr sz="1000"/>
          </a:pPr>
          <a:r>
            <a:rPr lang="fr-FR" sz="1200" b="0" i="0" u="none" strike="noStrike" baseline="0">
              <a:solidFill>
                <a:srgbClr val="000000"/>
              </a:solidFill>
              <a:latin typeface="Helv" charset="0"/>
            </a:rPr>
            <a:t>ml/l  </a:t>
          </a:r>
        </a:p>
      </xdr:txBody>
    </xdr:sp>
    <xdr:clientData/>
  </xdr:twoCellAnchor>
  <xdr:twoCellAnchor>
    <xdr:from>
      <xdr:col>9</xdr:col>
      <xdr:colOff>433705</xdr:colOff>
      <xdr:row>18</xdr:row>
      <xdr:rowOff>0</xdr:rowOff>
    </xdr:from>
    <xdr:to>
      <xdr:col>10</xdr:col>
      <xdr:colOff>715886</xdr:colOff>
      <xdr:row>19</xdr:row>
      <xdr:rowOff>0</xdr:rowOff>
    </xdr:to>
    <xdr:sp macro="" textlink="">
      <xdr:nvSpPr>
        <xdr:cNvPr id="3" name="Texte 13">
          <a:extLst>
            <a:ext uri="{FF2B5EF4-FFF2-40B4-BE49-F238E27FC236}">
              <a16:creationId xmlns:a16="http://schemas.microsoft.com/office/drawing/2014/main" id="{00000000-0008-0000-0900-000003000000}"/>
            </a:ext>
          </a:extLst>
        </xdr:cNvPr>
        <xdr:cNvSpPr txBox="1">
          <a:spLocks noChangeArrowheads="1"/>
        </xdr:cNvSpPr>
      </xdr:nvSpPr>
      <xdr:spPr bwMode="auto">
        <a:xfrm>
          <a:off x="10847705" y="0"/>
          <a:ext cx="929881" cy="0"/>
        </a:xfrm>
        <a:prstGeom prst="rect">
          <a:avLst/>
        </a:prstGeom>
        <a:noFill/>
        <a:ln>
          <a:noFill/>
        </a:ln>
      </xdr:spPr>
      <xdr:txBody>
        <a:bodyPr vertOverflow="clip" wrap="square" lIns="27432" tIns="22860" rIns="27432" bIns="0" anchor="t" upright="1"/>
        <a:lstStyle/>
        <a:p>
          <a:pPr algn="ctr" rtl="0">
            <a:defRPr sz="1000"/>
          </a:pPr>
          <a:r>
            <a:rPr lang="fr-FR" sz="1000" b="0" i="0" u="none" strike="noStrike" baseline="0">
              <a:solidFill>
                <a:srgbClr val="000000"/>
              </a:solidFill>
              <a:latin typeface="Helv" charset="0"/>
            </a:rPr>
            <a:t>AIR</a:t>
          </a:r>
        </a:p>
      </xdr:txBody>
    </xdr:sp>
    <xdr:clientData/>
  </xdr:twoCellAnchor>
  <xdr:twoCellAnchor>
    <xdr:from>
      <xdr:col>18</xdr:col>
      <xdr:colOff>228600</xdr:colOff>
      <xdr:row>35</xdr:row>
      <xdr:rowOff>101600</xdr:rowOff>
    </xdr:from>
    <xdr:to>
      <xdr:col>22</xdr:col>
      <xdr:colOff>609600</xdr:colOff>
      <xdr:row>40</xdr:row>
      <xdr:rowOff>0</xdr:rowOff>
    </xdr:to>
    <xdr:graphicFrame macro="">
      <xdr:nvGraphicFramePr>
        <xdr:cNvPr id="4" name="Graphique 10">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433705</xdr:colOff>
      <xdr:row>18</xdr:row>
      <xdr:rowOff>0</xdr:rowOff>
    </xdr:from>
    <xdr:to>
      <xdr:col>10</xdr:col>
      <xdr:colOff>715886</xdr:colOff>
      <xdr:row>19</xdr:row>
      <xdr:rowOff>0</xdr:rowOff>
    </xdr:to>
    <xdr:sp macro="" textlink="">
      <xdr:nvSpPr>
        <xdr:cNvPr id="5" name="Texte 13">
          <a:extLst>
            <a:ext uri="{FF2B5EF4-FFF2-40B4-BE49-F238E27FC236}">
              <a16:creationId xmlns:a16="http://schemas.microsoft.com/office/drawing/2014/main" id="{00000000-0008-0000-0900-000005000000}"/>
            </a:ext>
          </a:extLst>
        </xdr:cNvPr>
        <xdr:cNvSpPr txBox="1">
          <a:spLocks noChangeArrowheads="1"/>
        </xdr:cNvSpPr>
      </xdr:nvSpPr>
      <xdr:spPr bwMode="auto">
        <a:xfrm>
          <a:off x="10847705" y="0"/>
          <a:ext cx="929881" cy="0"/>
        </a:xfrm>
        <a:prstGeom prst="rect">
          <a:avLst/>
        </a:prstGeom>
        <a:noFill/>
        <a:ln>
          <a:noFill/>
        </a:ln>
      </xdr:spPr>
      <xdr:txBody>
        <a:bodyPr vertOverflow="clip" wrap="square" lIns="27432" tIns="22860" rIns="27432" bIns="0" anchor="t" upright="1"/>
        <a:lstStyle/>
        <a:p>
          <a:pPr algn="ctr" rtl="0">
            <a:defRPr sz="1000"/>
          </a:pPr>
          <a:r>
            <a:rPr lang="fr-FR" sz="1000" b="0" i="0" u="none" strike="noStrike" baseline="0">
              <a:solidFill>
                <a:srgbClr val="000000"/>
              </a:solidFill>
              <a:latin typeface="Helv" charset="0"/>
            </a:rPr>
            <a:t>AIR</a:t>
          </a:r>
        </a:p>
      </xdr:txBody>
    </xdr:sp>
    <xdr:clientData/>
  </xdr:twoCellAnchor>
  <xdr:twoCellAnchor>
    <xdr:from>
      <xdr:col>5</xdr:col>
      <xdr:colOff>330200</xdr:colOff>
      <xdr:row>16</xdr:row>
      <xdr:rowOff>139700</xdr:rowOff>
    </xdr:from>
    <xdr:to>
      <xdr:col>9</xdr:col>
      <xdr:colOff>596900</xdr:colOff>
      <xdr:row>30</xdr:row>
      <xdr:rowOff>38100</xdr:rowOff>
    </xdr:to>
    <xdr:graphicFrame macro="">
      <xdr:nvGraphicFramePr>
        <xdr:cNvPr id="6" name="Graphique 29">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215900</xdr:colOff>
      <xdr:row>0</xdr:row>
      <xdr:rowOff>190500</xdr:rowOff>
    </xdr:from>
    <xdr:to>
      <xdr:col>10</xdr:col>
      <xdr:colOff>622300</xdr:colOff>
      <xdr:row>0</xdr:row>
      <xdr:rowOff>990600</xdr:rowOff>
    </xdr:to>
    <xdr:sp macro="" textlink="">
      <xdr:nvSpPr>
        <xdr:cNvPr id="7" name="Rectangle 84">
          <a:extLst>
            <a:ext uri="{FF2B5EF4-FFF2-40B4-BE49-F238E27FC236}">
              <a16:creationId xmlns:a16="http://schemas.microsoft.com/office/drawing/2014/main" id="{00000000-0008-0000-0900-000007000000}"/>
            </a:ext>
          </a:extLst>
        </xdr:cNvPr>
        <xdr:cNvSpPr>
          <a:spLocks noChangeArrowheads="1"/>
        </xdr:cNvSpPr>
      </xdr:nvSpPr>
      <xdr:spPr bwMode="auto">
        <a:xfrm>
          <a:off x="4521200" y="0"/>
          <a:ext cx="7162800" cy="0"/>
        </a:xfrm>
        <a:prstGeom prst="rect">
          <a:avLst/>
        </a:prstGeom>
        <a:noFill/>
        <a:ln w="25400">
          <a:solidFill>
            <a:srgbClr val="663300"/>
          </a:solidFill>
          <a:miter lim="800000"/>
          <a:headEnd/>
          <a:tailEnd/>
        </a:ln>
        <a:effectLst/>
        <a:extLst>
          <a:ext uri="{909E8E84-426E-40dd-AFC4-6F175D3DCCD1}">
            <a14:hiddenFill xmlns:a14="http://schemas.microsoft.com/office/drawing/2010/main" xmlns="">
              <a:solidFill>
                <a:srgbClr val="91CB01"/>
              </a:solidFill>
            </a14:hiddenFill>
          </a:ext>
          <a:ext uri="{AF507438-7753-43e0-B8FC-AC1667EBCBE1}">
            <a14:hiddenEffects xmlns:a14="http://schemas.microsoft.com/office/drawing/2010/main" xmlns="">
              <a:effectLst>
                <a:outerShdw dist="35921" dir="2700000" algn="ctr" rotWithShape="0">
                  <a:srgbClr val="808080"/>
                </a:outerShdw>
              </a:effectLst>
            </a14:hiddenEffects>
          </a:ext>
        </a:extLst>
      </xdr:spPr>
      <xdr:txBody>
        <a:bodyPr vertOverflow="clip" wrap="square" lIns="45720" tIns="27432" rIns="45720" bIns="27432" anchor="ctr" upright="1"/>
        <a:lstStyle/>
        <a:p>
          <a:pPr algn="ctr" rtl="0">
            <a:defRPr sz="1000"/>
          </a:pPr>
          <a:r>
            <a:rPr lang="fr-FR" sz="1400" b="1" i="0" u="none" strike="noStrike" baseline="0">
              <a:solidFill>
                <a:srgbClr val="900000"/>
              </a:solidFill>
              <a:latin typeface="Verdana" pitchFamily="2" charset="0"/>
              <a:ea typeface="Verdana" pitchFamily="2" charset="0"/>
              <a:cs typeface="Verdana" pitchFamily="2" charset="0"/>
            </a:rPr>
            <a:t>                                                                                                                                                                                                 </a:t>
          </a:r>
        </a:p>
      </xdr:txBody>
    </xdr:sp>
    <xdr:clientData/>
  </xdr:twoCellAnchor>
  <xdr:twoCellAnchor>
    <xdr:from>
      <xdr:col>8</xdr:col>
      <xdr:colOff>863600</xdr:colOff>
      <xdr:row>0</xdr:row>
      <xdr:rowOff>749300</xdr:rowOff>
    </xdr:from>
    <xdr:to>
      <xdr:col>10</xdr:col>
      <xdr:colOff>558800</xdr:colOff>
      <xdr:row>0</xdr:row>
      <xdr:rowOff>939800</xdr:rowOff>
    </xdr:to>
    <xdr:sp macro="" textlink="">
      <xdr:nvSpPr>
        <xdr:cNvPr id="8" name="Text Box 85">
          <a:extLst>
            <a:ext uri="{FF2B5EF4-FFF2-40B4-BE49-F238E27FC236}">
              <a16:creationId xmlns:a16="http://schemas.microsoft.com/office/drawing/2014/main" id="{00000000-0008-0000-0900-000008000000}"/>
            </a:ext>
          </a:extLst>
        </xdr:cNvPr>
        <xdr:cNvSpPr txBox="1">
          <a:spLocks noChangeArrowheads="1"/>
        </xdr:cNvSpPr>
      </xdr:nvSpPr>
      <xdr:spPr bwMode="auto">
        <a:xfrm>
          <a:off x="9042400" y="0"/>
          <a:ext cx="2578100" cy="0"/>
        </a:xfrm>
        <a:prstGeom prst="rect">
          <a:avLst/>
        </a:prstGeom>
        <a:noFill/>
        <a:ln>
          <a:noFill/>
        </a:ln>
        <a:effectLst/>
        <a:extLst>
          <a:ext uri="{909E8E84-426E-40dd-AFC4-6F175D3DCCD1}">
            <a14:hiddenFill xmlns:a14="http://schemas.microsoft.com/office/drawing/2010/main" xmlns="">
              <a:solidFill>
                <a:srgbClr val="91CB01"/>
              </a:solidFill>
            </a14:hiddenFill>
          </a:ext>
          <a:ext uri="{91240B29-F687-4f45-9708-019B960494DF}">
            <a14:hiddenLine xmlns:a14="http://schemas.microsoft.com/office/drawing/2010/main" xmlns="" w="9525">
              <a:solidFill>
                <a:srgbClr xmlns:mc="http://schemas.openxmlformats.org/markup-compatibility/2006" val="99CC00" mc:Ignorable="a14" a14:legacySpreadsheetColorIndex="50"/>
              </a:solidFill>
              <a:miter lim="800000"/>
              <a:headEnd/>
              <a:tailEnd/>
            </a14:hiddenLine>
          </a:ext>
          <a:ext uri="{AF507438-7753-43e0-B8FC-AC1667EBCBE1}">
            <a14:hiddenEffects xmlns:a14="http://schemas.microsoft.com/office/drawing/2010/main" xmln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fr-FR" sz="800" b="0" i="0" u="none" strike="noStrike" baseline="0">
              <a:solidFill>
                <a:srgbClr val="993300"/>
              </a:solidFill>
              <a:latin typeface="Helv" charset="0"/>
            </a:rPr>
            <a:t>Référence doc : EN/RES/11.3</a:t>
          </a:r>
        </a:p>
      </xdr:txBody>
    </xdr:sp>
    <xdr:clientData/>
  </xdr:twoCellAnchor>
  <xdr:oneCellAnchor>
    <xdr:from>
      <xdr:col>2</xdr:col>
      <xdr:colOff>520700</xdr:colOff>
      <xdr:row>0</xdr:row>
      <xdr:rowOff>0</xdr:rowOff>
    </xdr:from>
    <xdr:ext cx="184731" cy="264560"/>
    <xdr:sp macro="" textlink="">
      <xdr:nvSpPr>
        <xdr:cNvPr id="9" name="ZoneTexte 8">
          <a:extLst>
            <a:ext uri="{FF2B5EF4-FFF2-40B4-BE49-F238E27FC236}">
              <a16:creationId xmlns:a16="http://schemas.microsoft.com/office/drawing/2014/main" id="{00000000-0008-0000-0900-000009000000}"/>
            </a:ext>
          </a:extLst>
        </xdr:cNvPr>
        <xdr:cNvSpPr txBox="1"/>
      </xdr:nvSpPr>
      <xdr:spPr>
        <a:xfrm>
          <a:off x="2133600"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a:p>
      </xdr:txBody>
    </xdr:sp>
    <xdr:clientData/>
  </xdr:oneCellAnchor>
  <mc:AlternateContent xmlns:mc="http://schemas.openxmlformats.org/markup-compatibility/2006">
    <mc:Choice xmlns:a14="http://schemas.microsoft.com/office/drawing/2010/main" Requires="a14">
      <xdr:twoCellAnchor>
        <xdr:from>
          <xdr:col>13</xdr:col>
          <xdr:colOff>0</xdr:colOff>
          <xdr:row>0</xdr:row>
          <xdr:rowOff>0</xdr:rowOff>
        </xdr:from>
        <xdr:to>
          <xdr:col>13</xdr:col>
          <xdr:colOff>0</xdr:colOff>
          <xdr:row>0</xdr:row>
          <xdr:rowOff>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900-000001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000000"/>
                  </a:solidFill>
                  <a:latin typeface="Arial"/>
                  <a:cs typeface="Arial"/>
                </a:rPr>
                <a:t>LOT                          </a:t>
              </a:r>
              <a:r>
                <a:rPr lang="fr-FR" sz="800" b="1" i="0" u="none" strike="noStrike" baseline="0">
                  <a:solidFill>
                    <a:srgbClr val="000000"/>
                  </a:solidFill>
                  <a:latin typeface="Arial"/>
                  <a:cs typeface="Arial"/>
                </a:rPr>
                <a:t>(BULTETTINS + COMMENTAIRES)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0</xdr:row>
          <xdr:rowOff>0</xdr:rowOff>
        </xdr:from>
        <xdr:to>
          <xdr:col>13</xdr:col>
          <xdr:colOff>0</xdr:colOff>
          <xdr:row>0</xdr:row>
          <xdr:rowOff>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900-000002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100" b="1" i="0" u="none" strike="noStrike" baseline="0">
                  <a:solidFill>
                    <a:srgbClr val="000000"/>
                  </a:solidFill>
                  <a:latin typeface="Arial"/>
                  <a:cs typeface="Arial"/>
                </a:rPr>
                <a:t>BULETTIN</a:t>
              </a:r>
            </a:p>
          </xdr:txBody>
        </xdr:sp>
        <xdr:clientData fPrintsWithSheet="0"/>
      </xdr:twoCellAnchor>
    </mc:Choice>
    <mc:Fallback/>
  </mc:AlternateContent>
  <xdr:twoCellAnchor editAs="oneCell">
    <xdr:from>
      <xdr:col>2</xdr:col>
      <xdr:colOff>63500</xdr:colOff>
      <xdr:row>88</xdr:row>
      <xdr:rowOff>76200</xdr:rowOff>
    </xdr:from>
    <xdr:to>
      <xdr:col>2</xdr:col>
      <xdr:colOff>2604516</xdr:colOff>
      <xdr:row>91</xdr:row>
      <xdr:rowOff>38100</xdr:rowOff>
    </xdr:to>
    <xdr:pic>
      <xdr:nvPicPr>
        <xdr:cNvPr id="12" name="Image 6">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76400" y="76200"/>
          <a:ext cx="2541016" cy="774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xdr:col>
      <xdr:colOff>12700</xdr:colOff>
      <xdr:row>0</xdr:row>
      <xdr:rowOff>0</xdr:rowOff>
    </xdr:from>
    <xdr:to>
      <xdr:col>6</xdr:col>
      <xdr:colOff>1056403</xdr:colOff>
      <xdr:row>142</xdr:row>
      <xdr:rowOff>385572</xdr:rowOff>
    </xdr:to>
    <xdr:pic>
      <xdr:nvPicPr>
        <xdr:cNvPr id="13" name="Image 7">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25600" y="0"/>
          <a:ext cx="6161803" cy="1223467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312420</xdr:colOff>
          <xdr:row>89</xdr:row>
          <xdr:rowOff>220980</xdr:rowOff>
        </xdr:from>
        <xdr:to>
          <xdr:col>1</xdr:col>
          <xdr:colOff>533400</xdr:colOff>
          <xdr:row>92</xdr:row>
          <xdr:rowOff>121920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900-000003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0" i="0" u="none" strike="noStrike" baseline="0">
                  <a:solidFill>
                    <a:srgbClr val="000000"/>
                  </a:solidFill>
                  <a:latin typeface="Lucida Grande"/>
                </a:rPr>
                <a:t>Edition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2</xdr:col>
      <xdr:colOff>520700</xdr:colOff>
      <xdr:row>1</xdr:row>
      <xdr:rowOff>0</xdr:rowOff>
    </xdr:from>
    <xdr:ext cx="184731" cy="264560"/>
    <xdr:sp macro="" textlink="">
      <xdr:nvSpPr>
        <xdr:cNvPr id="2" name="ZoneTexte 1">
          <a:extLst>
            <a:ext uri="{FF2B5EF4-FFF2-40B4-BE49-F238E27FC236}">
              <a16:creationId xmlns:a16="http://schemas.microsoft.com/office/drawing/2014/main" id="{00000000-0008-0000-0A00-000002000000}"/>
            </a:ext>
          </a:extLst>
        </xdr:cNvPr>
        <xdr:cNvSpPr txBox="1"/>
      </xdr:nvSpPr>
      <xdr:spPr>
        <a:xfrm>
          <a:off x="2171700" y="342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a:p>
      </xdr:txBody>
    </xdr:sp>
    <xdr:clientData/>
  </xdr:oneCellAnchor>
</xdr:wsDr>
</file>

<file path=xl/drawings/drawing9.xml><?xml version="1.0" encoding="utf-8"?>
<xdr:wsDr xmlns:xdr="http://schemas.openxmlformats.org/drawingml/2006/spreadsheetDrawing" xmlns:a="http://schemas.openxmlformats.org/drawingml/2006/main">
  <xdr:twoCellAnchor editAs="oneCell">
    <xdr:from>
      <xdr:col>0</xdr:col>
      <xdr:colOff>50799</xdr:colOff>
      <xdr:row>0</xdr:row>
      <xdr:rowOff>63500</xdr:rowOff>
    </xdr:from>
    <xdr:to>
      <xdr:col>0</xdr:col>
      <xdr:colOff>2130029</xdr:colOff>
      <xdr:row>4</xdr:row>
      <xdr:rowOff>44450</xdr:rowOff>
    </xdr:to>
    <xdr:pic>
      <xdr:nvPicPr>
        <xdr:cNvPr id="2" name="Imag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50799" y="63500"/>
          <a:ext cx="2079230" cy="628650"/>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601980</xdr:colOff>
          <xdr:row>1</xdr:row>
          <xdr:rowOff>0</xdr:rowOff>
        </xdr:from>
        <xdr:to>
          <xdr:col>18</xdr:col>
          <xdr:colOff>342900</xdr:colOff>
          <xdr:row>4</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1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0" i="0" u="none" strike="noStrike" baseline="0">
                  <a:solidFill>
                    <a:srgbClr val="000000"/>
                  </a:solidFill>
                  <a:latin typeface="Lucida Grande"/>
                </a:rPr>
                <a:t>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601980</xdr:colOff>
          <xdr:row>4</xdr:row>
          <xdr:rowOff>144780</xdr:rowOff>
        </xdr:from>
        <xdr:to>
          <xdr:col>18</xdr:col>
          <xdr:colOff>373380</xdr:colOff>
          <xdr:row>6</xdr:row>
          <xdr:rowOff>160020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11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0" i="0" u="none" strike="noStrike" baseline="0">
                  <a:solidFill>
                    <a:srgbClr val="000000"/>
                  </a:solidFill>
                  <a:latin typeface="Lucida Grande"/>
                </a:rPr>
                <a:t>Rapport</a:t>
              </a:r>
            </a:p>
          </xdr:txBody>
        </xdr:sp>
        <xdr:clientData fPrintsWithSheet="0"/>
      </xdr:twoCellAnchor>
    </mc:Choice>
    <mc:Fallback/>
  </mc:AlternateContent>
  <xdr:twoCellAnchor editAs="oneCell">
    <xdr:from>
      <xdr:col>0</xdr:col>
      <xdr:colOff>0</xdr:colOff>
      <xdr:row>0</xdr:row>
      <xdr:rowOff>10162</xdr:rowOff>
    </xdr:from>
    <xdr:to>
      <xdr:col>3</xdr:col>
      <xdr:colOff>157369</xdr:colOff>
      <xdr:row>35</xdr:row>
      <xdr:rowOff>3326</xdr:rowOff>
    </xdr:to>
    <xdr:pic>
      <xdr:nvPicPr>
        <xdr:cNvPr id="5" name="Image 4" descr="Elephant-Vert-Logo-006.jp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a:alphaModFix amt="10000"/>
          <a:extLst>
            <a:ext uri="{28A0092B-C50C-407E-A947-70E740481C1C}">
              <a14:useLocalDpi xmlns:a14="http://schemas.microsoft.com/office/drawing/2010/main" val="0"/>
            </a:ext>
          </a:extLst>
        </a:blip>
        <a:stretch>
          <a:fillRect/>
        </a:stretch>
      </xdr:blipFill>
      <xdr:spPr>
        <a:xfrm>
          <a:off x="0" y="10162"/>
          <a:ext cx="4550075" cy="8673988"/>
        </a:xfrm>
        <a:prstGeom prst="rect">
          <a:avLst/>
        </a:prstGeom>
      </xdr:spPr>
    </xdr:pic>
    <xdr:clientData/>
  </xdr:twoCellAnchor>
  <xdr:twoCellAnchor editAs="oneCell">
    <xdr:from>
      <xdr:col>5</xdr:col>
      <xdr:colOff>289487</xdr:colOff>
      <xdr:row>49</xdr:row>
      <xdr:rowOff>425684</xdr:rowOff>
    </xdr:from>
    <xdr:to>
      <xdr:col>7</xdr:col>
      <xdr:colOff>780305</xdr:colOff>
      <xdr:row>58</xdr:row>
      <xdr:rowOff>67096</xdr:rowOff>
    </xdr:to>
    <xdr:pic>
      <xdr:nvPicPr>
        <xdr:cNvPr id="6" name="Image 5" descr="Capture d’écran 2018-06-29 à 10.15.00.png">
          <a:extLst>
            <a:ext uri="{FF2B5EF4-FFF2-40B4-BE49-F238E27FC236}">
              <a16:creationId xmlns:a16="http://schemas.microsoft.com/office/drawing/2014/main" id="{00000000-0008-0000-1100-000006000000}"/>
            </a:ext>
          </a:extLst>
        </xdr:cNvPr>
        <xdr:cNvPicPr>
          <a:picLocks noChangeAspect="1"/>
        </xdr:cNvPicPr>
      </xdr:nvPicPr>
      <xdr:blipFill rotWithShape="1">
        <a:blip xmlns:r="http://schemas.openxmlformats.org/officeDocument/2006/relationships" r:embed="rId3">
          <a:extLst>
            <a:ext uri="{BEBA8EAE-BF5A-486C-A8C5-ECC9F3942E4B}">
              <a14:imgProps xmlns:a14="http://schemas.microsoft.com/office/drawing/2010/main">
                <a14:imgLayer r:embed="rId4">
                  <a14:imgEffect>
                    <a14:sharpenSoften amount="100000"/>
                  </a14:imgEffect>
                </a14:imgLayer>
              </a14:imgProps>
            </a:ext>
            <a:ext uri="{28A0092B-C50C-407E-A947-70E740481C1C}">
              <a14:useLocalDpi xmlns:a14="http://schemas.microsoft.com/office/drawing/2010/main" val="0"/>
            </a:ext>
          </a:extLst>
        </a:blip>
        <a:srcRect l="23594" t="17376" r="65468" b="57499"/>
        <a:stretch/>
      </xdr:blipFill>
      <xdr:spPr>
        <a:xfrm rot="5400000">
          <a:off x="7292790" y="11367481"/>
          <a:ext cx="1724212" cy="2548218"/>
        </a:xfrm>
        <a:prstGeom prst="rect">
          <a:avLst/>
        </a:prstGeom>
      </xdr:spPr>
    </xdr:pic>
    <xdr:clientData/>
  </xdr:twoCellAnchor>
  <xdr:twoCellAnchor editAs="oneCell">
    <xdr:from>
      <xdr:col>0</xdr:col>
      <xdr:colOff>373530</xdr:colOff>
      <xdr:row>49</xdr:row>
      <xdr:rowOff>403412</xdr:rowOff>
    </xdr:from>
    <xdr:to>
      <xdr:col>1</xdr:col>
      <xdr:colOff>320489</xdr:colOff>
      <xdr:row>58</xdr:row>
      <xdr:rowOff>22646</xdr:rowOff>
    </xdr:to>
    <xdr:pic>
      <xdr:nvPicPr>
        <xdr:cNvPr id="7" name="Image 6" descr="Capture d’écran 2018-06-29 à 10.15.00.png">
          <a:extLst>
            <a:ext uri="{FF2B5EF4-FFF2-40B4-BE49-F238E27FC236}">
              <a16:creationId xmlns:a16="http://schemas.microsoft.com/office/drawing/2014/main" id="{00000000-0008-0000-1100-000007000000}"/>
            </a:ext>
          </a:extLst>
        </xdr:cNvPr>
        <xdr:cNvPicPr>
          <a:picLocks noChangeAspect="1"/>
        </xdr:cNvPicPr>
      </xdr:nvPicPr>
      <xdr:blipFill rotWithShape="1">
        <a:blip xmlns:r="http://schemas.openxmlformats.org/officeDocument/2006/relationships" r:embed="rId3">
          <a:extLst>
            <a:ext uri="{BEBA8EAE-BF5A-486C-A8C5-ECC9F3942E4B}">
              <a14:imgProps xmlns:a14="http://schemas.microsoft.com/office/drawing/2010/main">
                <a14:imgLayer r:embed="rId5">
                  <a14:imgEffect>
                    <a14:sharpenSoften amount="100000"/>
                  </a14:imgEffect>
                </a14:imgLayer>
              </a14:imgProps>
            </a:ext>
            <a:ext uri="{28A0092B-C50C-407E-A947-70E740481C1C}">
              <a14:useLocalDpi xmlns:a14="http://schemas.microsoft.com/office/drawing/2010/main" val="0"/>
            </a:ext>
          </a:extLst>
        </a:blip>
        <a:srcRect l="34219" t="59875" r="53515" b="15000"/>
        <a:stretch/>
      </xdr:blipFill>
      <xdr:spPr>
        <a:xfrm rot="5400000">
          <a:off x="645343" y="11485399"/>
          <a:ext cx="1702034" cy="2245659"/>
        </a:xfrm>
        <a:prstGeom prst="rect">
          <a:avLst/>
        </a:prstGeom>
      </xdr:spPr>
    </xdr:pic>
    <xdr:clientData/>
  </xdr:twoCellAnchor>
  <xdr:twoCellAnchor editAs="oneCell">
    <xdr:from>
      <xdr:col>7</xdr:col>
      <xdr:colOff>567765</xdr:colOff>
      <xdr:row>0</xdr:row>
      <xdr:rowOff>44824</xdr:rowOff>
    </xdr:from>
    <xdr:to>
      <xdr:col>8</xdr:col>
      <xdr:colOff>649194</xdr:colOff>
      <xdr:row>4</xdr:row>
      <xdr:rowOff>240553</xdr:rowOff>
    </xdr:to>
    <xdr:pic>
      <xdr:nvPicPr>
        <xdr:cNvPr id="8" name="Image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6"/>
        <a:stretch>
          <a:fillRect/>
        </a:stretch>
      </xdr:blipFill>
      <xdr:spPr>
        <a:xfrm>
          <a:off x="9218706" y="44824"/>
          <a:ext cx="977900" cy="838200"/>
        </a:xfrm>
        <a:prstGeom prst="rect">
          <a:avLst/>
        </a:prstGeom>
      </xdr:spPr>
    </xdr:pic>
    <xdr:clientData/>
  </xdr:twoCellAnchor>
  <xdr:twoCellAnchor>
    <xdr:from>
      <xdr:col>7</xdr:col>
      <xdr:colOff>224118</xdr:colOff>
      <xdr:row>4</xdr:row>
      <xdr:rowOff>194235</xdr:rowOff>
    </xdr:from>
    <xdr:to>
      <xdr:col>9</xdr:col>
      <xdr:colOff>86411</xdr:colOff>
      <xdr:row>6</xdr:row>
      <xdr:rowOff>37852</xdr:rowOff>
    </xdr:to>
    <xdr:sp macro="" textlink="">
      <xdr:nvSpPr>
        <xdr:cNvPr id="9" name="ZoneTexte 8">
          <a:extLst>
            <a:ext uri="{FF2B5EF4-FFF2-40B4-BE49-F238E27FC236}">
              <a16:creationId xmlns:a16="http://schemas.microsoft.com/office/drawing/2014/main" id="{00000000-0008-0000-1100-000009000000}"/>
            </a:ext>
          </a:extLst>
        </xdr:cNvPr>
        <xdr:cNvSpPr txBox="1"/>
      </xdr:nvSpPr>
      <xdr:spPr>
        <a:xfrm>
          <a:off x="8875059" y="836706"/>
          <a:ext cx="1655234" cy="321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a:solidFill>
                <a:srgbClr val="800000"/>
              </a:solidFill>
            </a:rPr>
            <a:t>MCI/CA</a:t>
          </a:r>
          <a:r>
            <a:rPr lang="fr-FR" sz="1100" baseline="0">
              <a:solidFill>
                <a:srgbClr val="800000"/>
              </a:solidFill>
            </a:rPr>
            <a:t> AL 93/2018</a:t>
          </a:r>
          <a:endParaRPr lang="fr-FR" sz="1100">
            <a:solidFill>
              <a:srgbClr val="800000"/>
            </a:solidFill>
          </a:endParaRPr>
        </a:p>
      </xdr:txBody>
    </xdr:sp>
    <xdr:clientData/>
  </xdr:twoCellAnchor>
  <xdr:twoCellAnchor editAs="oneCell">
    <xdr:from>
      <xdr:col>2</xdr:col>
      <xdr:colOff>726832</xdr:colOff>
      <xdr:row>0</xdr:row>
      <xdr:rowOff>59764</xdr:rowOff>
    </xdr:from>
    <xdr:to>
      <xdr:col>7</xdr:col>
      <xdr:colOff>54479</xdr:colOff>
      <xdr:row>50</xdr:row>
      <xdr:rowOff>14940</xdr:rowOff>
    </xdr:to>
    <xdr:pic>
      <xdr:nvPicPr>
        <xdr:cNvPr id="10" name="Image 9">
          <a:extLst>
            <a:ext uri="{FF2B5EF4-FFF2-40B4-BE49-F238E27FC236}">
              <a16:creationId xmlns:a16="http://schemas.microsoft.com/office/drawing/2014/main" id="{00000000-0008-0000-1100-00000A000000}"/>
            </a:ext>
          </a:extLst>
        </xdr:cNvPr>
        <xdr:cNvPicPr>
          <a:picLocks noChangeAspect="1"/>
        </xdr:cNvPicPr>
      </xdr:nvPicPr>
      <xdr:blipFill rotWithShape="1">
        <a:blip xmlns:r="http://schemas.openxmlformats.org/officeDocument/2006/relationships" r:embed="rId7">
          <a:alphaModFix amt="14000"/>
        </a:blip>
        <a:srcRect t="24133" b="22533"/>
        <a:stretch/>
      </xdr:blipFill>
      <xdr:spPr>
        <a:xfrm rot="18753177">
          <a:off x="-184580" y="3869764"/>
          <a:ext cx="12700000" cy="508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chakzouhair/Desktop/VBA/https/d.docs.live.net/834c338614980a1a/Documents/BD2/BackupBD2_2015070314235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mine%20Bouslamti/Downloads/TELECHARGEMENT/AENVSUBS.XLW"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mine%20Bouslamti/Downloads/TELECHARGEMENT/EDITION/AENVSUBS.XLW"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mine%20Bouslamti/Downloads/TELECHARGEMENT/LabeditPO%20(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mine%20Bouslamti/Downloads/TELECHARGEMENT/EDITION/BD2.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Amine%20Bouslamti/Downloads/TELECHARGEMENT/Eaux/BD1.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Pc_Laboratoire/AppData/Local/Microsoft/Windows/Temporary%20Internet%20Files/Content.Outlook/SCTV7FU2/BD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rachakzouhair/Desktop/DATA%20LACQ/Gestion%20du%20LACQ/App-LACQ/Backup%2020_06_2018/EVM_SOL.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rachakzouhair/Desktop/VBA/SPECIMEN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asmaabenhida/Documents/Gestion%20laboratoire/BD%20RAPPORT/BD1_LACQ2.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rachakzouhair/Desktop/DATA%20LACQ/Gestion%20du%20LACQ/BD1_LACQ2.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Amine%20Bouslamti/Documents/mes%20docs/GESTION%20LAB/BD1.xlsx"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Macintosh%20HD:Users:rachakzouhair:Library:Containers:com.microsoft.Excel:Data:Documents:Macintosh%20HD:Users:fzarrouk:Desktop:BD1_LACQ2%20.xlsx" TargetMode="External"/></Relationships>
</file>

<file path=xl/externalLinks/_rels/externalLink14.xml.rels><?xml version="1.0" encoding="UTF-8" standalone="yes"?>
<Relationships xmlns="http://schemas.openxmlformats.org/package/2006/relationships"><Relationship Id="rId1" Type="http://schemas.microsoft.com/office/2006/relationships/xlExternalLinkPath/xlPathMissing" Target="Macintosh%20HD:Users:rachakzouhair:Library:Containers:com.microsoft.Excel:Data:Documents:Macintosh%20HD:Users:asmaabenhida:Downloads:BD1_LACQ2%20(11).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Users/rachakzouhair/Desktop/DATA%20LACQ/Gestion%20du%20LACQ/BD1_LACQ.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Users/rachakzouhair/Desktop/DATA%20LACQ/Gestion%20du%20LACQ/FF.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Macintosh%20HD:/Users/mac/Library/Containers/com.microsoft.Excel/Data/Documents/Macintosh%20HD:Users:fzarrouk:Desktop:FATIMAZ:BD1_LACQ2020xlsx.xlsx" TargetMode="External"/></Relationships>
</file>

<file path=xl/externalLinks/_rels/externalLink18.xml.rels><?xml version="1.0" encoding="UTF-8" standalone="yes"?>
<Relationships xmlns="http://schemas.openxmlformats.org/package/2006/relationships"><Relationship Id="rId2" Type="http://schemas.microsoft.com/office/2019/04/relationships/externalLinkLongPath" Target="Macintosh%20HD:/Users/mac/Library/Containers/com.microsoft.Excel/Data/Documents/Macintosh%20HD:Users:rachakzouhair:Library:Containers:com.microsoft.Excel:Data:Documents:Macintosh%20HD:Users:asmaabenhida:Downloads:BD1_LACQ2%20(11).xlsx?2928C0DA" TargetMode="External"/><Relationship Id="rId1" Type="http://schemas.openxmlformats.org/officeDocument/2006/relationships/externalLinkPath" Target="file:///\\2928C0DA\BD1_LACQ2%20(11).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Macintosh%20HD:/Users/mac/Library/Containers/com.microsoft.Excel/Data/Documents/Macintosh%20HD:Users:rachakzouhair:Library:Containers:com.microsoft.Excel:Data:Documents:Macintosh%20HD:Users:fzarrouk:Desktop:BD1_LACQ2%20.xlsx" TargetMode="External"/></Relationships>
</file>

<file path=xl/externalLinks/_rels/externalLink20.xml.rels><?xml version="1.0" encoding="UTF-8" standalone="yes"?>
<Relationships xmlns="http://schemas.openxmlformats.org/package/2006/relationships"><Relationship Id="rId1" Type="http://schemas.microsoft.com/office/2006/relationships/xlExternalLinkPath/xlPathMissing" Target="Macintosh%20HD:Users:fzarrouk:Library:Application%20Support:Microsoft:Office:Office%202011%20AutoRecovery:BD1_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2"/>
      <sheetName val="DATA"/>
      <sheetName val="PO"/>
      <sheetName val="eaux"/>
    </sheetNames>
    <sheetDataSet>
      <sheetData sheetId="0">
        <row r="1">
          <cell r="AK1" t="str">
            <v>LG</v>
          </cell>
          <cell r="AL1" t="str">
            <v>SF</v>
          </cell>
        </row>
        <row r="2">
          <cell r="A2" t="str">
            <v>EAU</v>
          </cell>
          <cell r="C2" t="str">
            <v>T°C</v>
          </cell>
          <cell r="D2" t="str">
            <v>pH</v>
          </cell>
          <cell r="E2" t="str">
            <v>CE</v>
          </cell>
          <cell r="F2" t="str">
            <v>NO3</v>
          </cell>
          <cell r="G2" t="str">
            <v>NH4</v>
          </cell>
          <cell r="I2" t="str">
            <v>SO4</v>
          </cell>
          <cell r="J2" t="str">
            <v>P</v>
          </cell>
          <cell r="K2" t="str">
            <v>K</v>
          </cell>
          <cell r="L2" t="str">
            <v>Mg</v>
          </cell>
          <cell r="M2" t="str">
            <v>Ca</v>
          </cell>
          <cell r="N2" t="str">
            <v>Na</v>
          </cell>
          <cell r="Q2" t="str">
            <v>Fe</v>
          </cell>
          <cell r="W2" t="str">
            <v>HCO3</v>
          </cell>
          <cell r="AW2" t="str">
            <v>MES</v>
          </cell>
          <cell r="AX2" t="str">
            <v>DCO</v>
          </cell>
          <cell r="AY2" t="str">
            <v>DBO5</v>
          </cell>
        </row>
        <row r="3">
          <cell r="A3" t="str">
            <v>VEG</v>
          </cell>
          <cell r="B3" t="str">
            <v>HDT</v>
          </cell>
          <cell r="C3" t="str">
            <v>PM</v>
          </cell>
          <cell r="D3" t="str">
            <v>nb fuit</v>
          </cell>
          <cell r="E3" t="str">
            <v>PI</v>
          </cell>
          <cell r="J3" t="str">
            <v>P</v>
          </cell>
          <cell r="K3" t="str">
            <v>K</v>
          </cell>
          <cell r="L3" t="str">
            <v>Mg</v>
          </cell>
          <cell r="M3" t="str">
            <v>Ca</v>
          </cell>
          <cell r="N3" t="str">
            <v>Na</v>
          </cell>
          <cell r="Q3" t="str">
            <v>Fe</v>
          </cell>
          <cell r="T3" t="str">
            <v>Mo</v>
          </cell>
        </row>
        <row r="4">
          <cell r="A4" t="str">
            <v>EAP</v>
          </cell>
          <cell r="B4" t="str">
            <v>Tare+Produit frais</v>
          </cell>
          <cell r="C4" t="str">
            <v>Tare + Produit Sec</v>
          </cell>
          <cell r="D4" t="str">
            <v>pH</v>
          </cell>
          <cell r="E4" t="str">
            <v>CE</v>
          </cell>
          <cell r="F4" t="str">
            <v>N-NO3</v>
          </cell>
          <cell r="G4" t="str">
            <v>N-NH4</v>
          </cell>
          <cell r="I4" t="str">
            <v>SO4</v>
          </cell>
          <cell r="J4" t="str">
            <v>P</v>
          </cell>
          <cell r="K4" t="str">
            <v>K</v>
          </cell>
          <cell r="L4" t="str">
            <v>Mg</v>
          </cell>
          <cell r="M4" t="str">
            <v>Ca</v>
          </cell>
          <cell r="N4" t="str">
            <v>Na</v>
          </cell>
          <cell r="O4" t="str">
            <v>Carbone</v>
          </cell>
          <cell r="Q4" t="str">
            <v>Fe</v>
          </cell>
          <cell r="U4" t="str">
            <v>Taux d'Humidité</v>
          </cell>
        </row>
        <row r="5">
          <cell r="A5">
            <v>500000</v>
          </cell>
          <cell r="D5">
            <v>7.76</v>
          </cell>
          <cell r="E5">
            <v>1.39</v>
          </cell>
          <cell r="F5">
            <v>27.66</v>
          </cell>
          <cell r="G5">
            <v>0.1</v>
          </cell>
          <cell r="I5">
            <v>203.38</v>
          </cell>
          <cell r="J5">
            <v>0.62</v>
          </cell>
          <cell r="K5">
            <v>7.18</v>
          </cell>
          <cell r="L5">
            <v>36.799999999999997</v>
          </cell>
          <cell r="M5">
            <v>92.5</v>
          </cell>
          <cell r="N5">
            <v>95.6</v>
          </cell>
          <cell r="Q5">
            <v>-5.7799999999999997E-2</v>
          </cell>
          <cell r="T5">
            <v>29.4</v>
          </cell>
          <cell r="U5">
            <v>32</v>
          </cell>
          <cell r="V5">
            <v>18</v>
          </cell>
          <cell r="W5">
            <v>318.26086200000003</v>
          </cell>
        </row>
        <row r="6">
          <cell r="A6">
            <v>500001</v>
          </cell>
          <cell r="D6">
            <v>7.81</v>
          </cell>
          <cell r="E6">
            <v>1.96</v>
          </cell>
          <cell r="F6">
            <v>8.07</v>
          </cell>
          <cell r="G6">
            <v>0.12</v>
          </cell>
          <cell r="I6">
            <v>225.51</v>
          </cell>
          <cell r="J6">
            <v>0.57999999999999996</v>
          </cell>
          <cell r="K6">
            <v>27.8</v>
          </cell>
          <cell r="L6">
            <v>50.7</v>
          </cell>
          <cell r="M6">
            <v>153.19999999999999</v>
          </cell>
          <cell r="N6">
            <v>153.19999999999999</v>
          </cell>
          <cell r="Q6">
            <v>-2.5799999999999998E-4</v>
          </cell>
          <cell r="T6">
            <v>26.4</v>
          </cell>
          <cell r="U6">
            <v>30.4</v>
          </cell>
          <cell r="V6">
            <v>17.2</v>
          </cell>
          <cell r="W6">
            <v>304.11593479999999</v>
          </cell>
        </row>
        <row r="7">
          <cell r="A7">
            <v>500002</v>
          </cell>
          <cell r="D7">
            <v>7.68</v>
          </cell>
          <cell r="E7">
            <v>2.36</v>
          </cell>
          <cell r="F7">
            <v>22.39</v>
          </cell>
          <cell r="G7">
            <v>0.13</v>
          </cell>
          <cell r="I7">
            <v>231.32</v>
          </cell>
          <cell r="J7">
            <v>0.6</v>
          </cell>
          <cell r="K7">
            <v>0.98199999999999998</v>
          </cell>
          <cell r="L7">
            <v>57.3</v>
          </cell>
          <cell r="M7">
            <v>156.80000000000001</v>
          </cell>
          <cell r="N7">
            <v>243</v>
          </cell>
          <cell r="Q7">
            <v>-1.2800000000000001E-2</v>
          </cell>
          <cell r="T7">
            <v>43.4</v>
          </cell>
          <cell r="U7">
            <v>50.4</v>
          </cell>
          <cell r="V7">
            <v>28.4</v>
          </cell>
          <cell r="W7">
            <v>502.14491559999999</v>
          </cell>
        </row>
        <row r="8">
          <cell r="A8">
            <v>505000</v>
          </cell>
          <cell r="D8">
            <v>5.73</v>
          </cell>
          <cell r="E8">
            <v>3.84</v>
          </cell>
          <cell r="F8">
            <v>1472.24</v>
          </cell>
          <cell r="G8">
            <v>60.158571428571427</v>
          </cell>
          <cell r="I8">
            <v>431.82</v>
          </cell>
          <cell r="J8">
            <v>121.27</v>
          </cell>
          <cell r="K8">
            <v>478</v>
          </cell>
          <cell r="L8">
            <v>85.5</v>
          </cell>
          <cell r="M8">
            <v>199</v>
          </cell>
          <cell r="N8">
            <v>100.8</v>
          </cell>
          <cell r="Q8">
            <v>0.69399999999999995</v>
          </cell>
          <cell r="V8">
            <v>2.4</v>
          </cell>
          <cell r="W8">
            <v>42.434781600000001</v>
          </cell>
        </row>
        <row r="9">
          <cell r="A9">
            <v>505001</v>
          </cell>
          <cell r="D9">
            <v>6.34</v>
          </cell>
          <cell r="E9">
            <v>5.97</v>
          </cell>
          <cell r="F9">
            <v>2104.1799999999998</v>
          </cell>
          <cell r="G9">
            <v>4.4871428571428575</v>
          </cell>
          <cell r="I9">
            <v>605.20000000000005</v>
          </cell>
          <cell r="J9">
            <v>41.55</v>
          </cell>
          <cell r="K9">
            <v>342</v>
          </cell>
          <cell r="L9">
            <v>202.9521641981207</v>
          </cell>
          <cell r="M9">
            <v>272.53919270584481</v>
          </cell>
          <cell r="N9">
            <v>443.77013911450865</v>
          </cell>
          <cell r="Q9">
            <v>0.97599999999999998</v>
          </cell>
          <cell r="V9">
            <v>5</v>
          </cell>
          <cell r="W9">
            <v>88.405795000000012</v>
          </cell>
        </row>
        <row r="10">
          <cell r="A10">
            <v>505002</v>
          </cell>
          <cell r="D10">
            <v>5.9</v>
          </cell>
          <cell r="E10">
            <v>6.29</v>
          </cell>
          <cell r="F10">
            <v>2152.59</v>
          </cell>
          <cell r="G10">
            <v>0.128571428571429</v>
          </cell>
          <cell r="I10">
            <v>666.83</v>
          </cell>
          <cell r="J10">
            <v>24.93</v>
          </cell>
          <cell r="K10">
            <v>332</v>
          </cell>
          <cell r="L10">
            <v>198.50198938259808</v>
          </cell>
          <cell r="M10">
            <v>304.94707256994218</v>
          </cell>
          <cell r="N10">
            <v>491.98116106598718</v>
          </cell>
          <cell r="Q10">
            <v>0.72099999999999997</v>
          </cell>
          <cell r="V10">
            <v>1</v>
          </cell>
          <cell r="W10">
            <v>17.681159000000001</v>
          </cell>
        </row>
        <row r="11">
          <cell r="A11">
            <v>505003</v>
          </cell>
          <cell r="D11">
            <v>5.31</v>
          </cell>
          <cell r="E11">
            <v>3.91</v>
          </cell>
          <cell r="F11">
            <v>890.08</v>
          </cell>
          <cell r="G11">
            <v>114.13285714285713</v>
          </cell>
          <cell r="I11">
            <v>804.86</v>
          </cell>
          <cell r="J11">
            <v>439.61</v>
          </cell>
          <cell r="K11">
            <v>438</v>
          </cell>
          <cell r="L11">
            <v>84.563332613473477</v>
          </cell>
          <cell r="M11">
            <v>132.58510178690875</v>
          </cell>
          <cell r="N11">
            <v>164.97560465360726</v>
          </cell>
          <cell r="Q11">
            <v>1.5549999999999999</v>
          </cell>
          <cell r="V11">
            <v>1.3</v>
          </cell>
          <cell r="W11">
            <v>22.985506700000002</v>
          </cell>
        </row>
        <row r="12">
          <cell r="A12">
            <v>505004</v>
          </cell>
          <cell r="D12">
            <v>5.51</v>
          </cell>
          <cell r="E12">
            <v>6.85</v>
          </cell>
          <cell r="F12">
            <v>1061.02</v>
          </cell>
          <cell r="G12">
            <v>11.442857142857145</v>
          </cell>
          <cell r="I12">
            <v>994.05</v>
          </cell>
          <cell r="J12">
            <v>212.66</v>
          </cell>
          <cell r="K12">
            <v>480</v>
          </cell>
          <cell r="L12">
            <v>174.58755901258164</v>
          </cell>
          <cell r="M12">
            <v>270.77618374900464</v>
          </cell>
          <cell r="N12">
            <v>603.79022897913683</v>
          </cell>
          <cell r="Q12">
            <v>1.052</v>
          </cell>
          <cell r="V12">
            <v>0.7</v>
          </cell>
          <cell r="W12">
            <v>12.3768113</v>
          </cell>
        </row>
        <row r="13">
          <cell r="A13">
            <v>505005</v>
          </cell>
          <cell r="D13">
            <v>6.43</v>
          </cell>
          <cell r="E13">
            <v>3.72</v>
          </cell>
          <cell r="F13">
            <v>957.71</v>
          </cell>
          <cell r="G13">
            <v>33.634285714285717</v>
          </cell>
          <cell r="I13">
            <v>501.93</v>
          </cell>
          <cell r="J13">
            <v>191.34</v>
          </cell>
          <cell r="K13">
            <v>310</v>
          </cell>
          <cell r="L13">
            <v>93.685120399214327</v>
          </cell>
          <cell r="M13">
            <v>148.23749887137018</v>
          </cell>
          <cell r="N13">
            <v>260.50091714391891</v>
          </cell>
          <cell r="Q13">
            <v>1.875</v>
          </cell>
          <cell r="V13">
            <v>6.2</v>
          </cell>
          <cell r="W13">
            <v>109.62318580000002</v>
          </cell>
        </row>
        <row r="14">
          <cell r="A14">
            <v>505006</v>
          </cell>
          <cell r="D14">
            <v>6.26</v>
          </cell>
          <cell r="E14">
            <v>4.84</v>
          </cell>
          <cell r="F14">
            <v>1092.68</v>
          </cell>
          <cell r="G14">
            <v>2.8028571428571429</v>
          </cell>
          <cell r="I14">
            <v>709.63</v>
          </cell>
          <cell r="J14">
            <v>142.88999999999999</v>
          </cell>
          <cell r="K14">
            <v>216</v>
          </cell>
          <cell r="L14">
            <v>139.03740864468864</v>
          </cell>
          <cell r="M14">
            <v>212.7152331135531</v>
          </cell>
          <cell r="N14">
            <v>453.05675326007326</v>
          </cell>
          <cell r="Q14">
            <v>0.78</v>
          </cell>
          <cell r="V14">
            <v>2.7</v>
          </cell>
          <cell r="W14">
            <v>47.739129300000009</v>
          </cell>
        </row>
        <row r="15">
          <cell r="A15">
            <v>505007</v>
          </cell>
          <cell r="D15">
            <v>6.92</v>
          </cell>
          <cell r="E15">
            <v>3.46</v>
          </cell>
          <cell r="F15">
            <v>802.08</v>
          </cell>
          <cell r="G15">
            <v>11.712857142857143</v>
          </cell>
          <cell r="I15">
            <v>521.92999999999995</v>
          </cell>
          <cell r="J15">
            <v>86.89</v>
          </cell>
          <cell r="K15">
            <v>254</v>
          </cell>
          <cell r="L15">
            <v>92.912921970589792</v>
          </cell>
          <cell r="M15">
            <v>147.59315613101873</v>
          </cell>
          <cell r="N15">
            <v>263.28252930615281</v>
          </cell>
          <cell r="Q15">
            <v>1.8759999999999999</v>
          </cell>
          <cell r="V15">
            <v>7.6</v>
          </cell>
          <cell r="W15">
            <v>134.37680839999999</v>
          </cell>
        </row>
        <row r="16">
          <cell r="A16">
            <v>505008</v>
          </cell>
          <cell r="D16">
            <v>5.81</v>
          </cell>
          <cell r="E16">
            <v>9.2200000000000006</v>
          </cell>
          <cell r="F16">
            <v>2905.98</v>
          </cell>
          <cell r="G16">
            <v>2.7</v>
          </cell>
          <cell r="I16">
            <v>615.67999999999995</v>
          </cell>
          <cell r="J16">
            <v>323.83999999999997</v>
          </cell>
          <cell r="K16">
            <v>680</v>
          </cell>
          <cell r="L16">
            <v>225.86256157562246</v>
          </cell>
          <cell r="M16">
            <v>343.24333363062055</v>
          </cell>
          <cell r="N16">
            <v>862.47682489780755</v>
          </cell>
          <cell r="Q16">
            <v>1.3420000000000001</v>
          </cell>
          <cell r="V16">
            <v>2.5</v>
          </cell>
          <cell r="W16">
            <v>44.202897500000006</v>
          </cell>
        </row>
        <row r="17">
          <cell r="A17">
            <v>505009</v>
          </cell>
          <cell r="D17">
            <v>6.18</v>
          </cell>
          <cell r="E17">
            <v>7.9</v>
          </cell>
          <cell r="F17">
            <v>2066.62</v>
          </cell>
          <cell r="G17">
            <v>23.837142857142855</v>
          </cell>
          <cell r="I17">
            <v>802.48</v>
          </cell>
          <cell r="J17">
            <v>202.36</v>
          </cell>
          <cell r="K17">
            <v>520</v>
          </cell>
          <cell r="L17">
            <v>200.23235914423742</v>
          </cell>
          <cell r="M17">
            <v>306.90171124913735</v>
          </cell>
          <cell r="N17">
            <v>716.32688378191858</v>
          </cell>
          <cell r="Q17">
            <v>1.2450000000000001</v>
          </cell>
          <cell r="V17">
            <v>8.1</v>
          </cell>
          <cell r="W17">
            <v>143.21738790000001</v>
          </cell>
        </row>
        <row r="18">
          <cell r="A18">
            <v>505010</v>
          </cell>
          <cell r="D18">
            <v>6.14</v>
          </cell>
          <cell r="E18">
            <v>7.34</v>
          </cell>
          <cell r="F18">
            <v>1519.93</v>
          </cell>
          <cell r="G18">
            <v>0.26999999999999996</v>
          </cell>
          <cell r="I18">
            <v>950.48</v>
          </cell>
          <cell r="J18">
            <v>132.69</v>
          </cell>
          <cell r="K18">
            <v>402</v>
          </cell>
          <cell r="L18">
            <v>181.80706733556298</v>
          </cell>
          <cell r="M18">
            <v>275.76566176142694</v>
          </cell>
          <cell r="N18">
            <v>765.00472251950953</v>
          </cell>
          <cell r="Q18">
            <v>0.63100000000000001</v>
          </cell>
          <cell r="V18">
            <v>1.8</v>
          </cell>
          <cell r="W18">
            <v>31.826086200000002</v>
          </cell>
        </row>
        <row r="19">
          <cell r="A19">
            <v>505011</v>
          </cell>
          <cell r="D19">
            <v>6.7</v>
          </cell>
          <cell r="E19">
            <v>3.65</v>
          </cell>
          <cell r="F19">
            <v>1060.42</v>
          </cell>
          <cell r="G19">
            <v>25.187142857142856</v>
          </cell>
          <cell r="I19">
            <v>513.53</v>
          </cell>
          <cell r="J19">
            <v>112.39</v>
          </cell>
          <cell r="K19">
            <v>310</v>
          </cell>
          <cell r="L19">
            <v>91.693270047247438</v>
          </cell>
          <cell r="M19">
            <v>144.34888462706374</v>
          </cell>
          <cell r="N19">
            <v>264.95866418325636</v>
          </cell>
          <cell r="Q19">
            <v>1.3420000000000001</v>
          </cell>
          <cell r="V19">
            <v>9.3000000000000007</v>
          </cell>
          <cell r="W19">
            <v>164.43477870000001</v>
          </cell>
        </row>
        <row r="20">
          <cell r="A20">
            <v>505012</v>
          </cell>
          <cell r="D20">
            <v>6.45</v>
          </cell>
          <cell r="E20">
            <v>6.98</v>
          </cell>
          <cell r="F20">
            <v>1319.93</v>
          </cell>
          <cell r="G20">
            <v>9.6814285714285706</v>
          </cell>
          <cell r="I20">
            <v>956.48</v>
          </cell>
          <cell r="J20">
            <v>59.2</v>
          </cell>
          <cell r="K20">
            <v>510</v>
          </cell>
          <cell r="L20">
            <v>167.00055368689289</v>
          </cell>
          <cell r="M20">
            <v>246.39877455008769</v>
          </cell>
          <cell r="N20">
            <v>680.26471856983608</v>
          </cell>
          <cell r="Q20">
            <v>0.42699999999999999</v>
          </cell>
          <cell r="V20">
            <v>4.4000000000000004</v>
          </cell>
          <cell r="W20">
            <v>77.79709960000001</v>
          </cell>
        </row>
        <row r="21">
          <cell r="A21">
            <v>505013</v>
          </cell>
          <cell r="D21">
            <v>7.12</v>
          </cell>
          <cell r="E21">
            <v>6.65</v>
          </cell>
          <cell r="F21">
            <v>1424.14</v>
          </cell>
          <cell r="G21">
            <v>0.55285714285714282</v>
          </cell>
          <cell r="I21">
            <v>977.69</v>
          </cell>
          <cell r="J21">
            <v>26.99</v>
          </cell>
          <cell r="K21">
            <v>438</v>
          </cell>
          <cell r="L21">
            <v>170.56941261347347</v>
          </cell>
          <cell r="M21">
            <v>249.46062178690869</v>
          </cell>
          <cell r="N21">
            <v>651.13112465360723</v>
          </cell>
          <cell r="Q21">
            <v>0.35799999999999998</v>
          </cell>
          <cell r="V21">
            <v>4.3</v>
          </cell>
          <cell r="W21">
            <v>76.028983699999998</v>
          </cell>
        </row>
        <row r="22">
          <cell r="A22">
            <v>505014</v>
          </cell>
          <cell r="D22">
            <v>6.63</v>
          </cell>
          <cell r="E22">
            <v>6.05</v>
          </cell>
          <cell r="F22">
            <v>1264.82</v>
          </cell>
          <cell r="G22">
            <v>10.17</v>
          </cell>
          <cell r="I22">
            <v>700</v>
          </cell>
          <cell r="J22">
            <v>121.27</v>
          </cell>
          <cell r="K22">
            <v>256</v>
          </cell>
          <cell r="L22">
            <v>156.11361523597174</v>
          </cell>
          <cell r="M22">
            <v>234.14388086213299</v>
          </cell>
          <cell r="N22">
            <v>645.54933887030836</v>
          </cell>
          <cell r="Q22">
            <v>0.85399999999999998</v>
          </cell>
          <cell r="V22">
            <v>12</v>
          </cell>
          <cell r="W22">
            <v>212.17390800000001</v>
          </cell>
        </row>
        <row r="23">
          <cell r="A23">
            <v>505015</v>
          </cell>
          <cell r="D23">
            <v>7.49</v>
          </cell>
          <cell r="E23">
            <v>6.67</v>
          </cell>
          <cell r="F23">
            <v>913.52</v>
          </cell>
          <cell r="G23">
            <v>0.12</v>
          </cell>
          <cell r="I23">
            <v>1000.1</v>
          </cell>
          <cell r="J23">
            <v>10.6</v>
          </cell>
          <cell r="K23">
            <v>330</v>
          </cell>
          <cell r="L23">
            <v>161.21223337049426</v>
          </cell>
          <cell r="M23">
            <v>229.3665849126719</v>
          </cell>
          <cell r="N23">
            <v>761.91481976960245</v>
          </cell>
          <cell r="Q23">
            <v>0.48799999999999999</v>
          </cell>
          <cell r="V23">
            <v>8</v>
          </cell>
          <cell r="W23">
            <v>191.44927200000001</v>
          </cell>
        </row>
        <row r="24">
          <cell r="A24">
            <v>505016</v>
          </cell>
          <cell r="D24">
            <v>6.3</v>
          </cell>
          <cell r="E24">
            <v>3.52</v>
          </cell>
          <cell r="F24">
            <v>884.06</v>
          </cell>
          <cell r="G24">
            <v>24.3</v>
          </cell>
          <cell r="I24">
            <v>669.93</v>
          </cell>
          <cell r="J24">
            <v>105.86</v>
          </cell>
          <cell r="K24">
            <v>358</v>
          </cell>
          <cell r="L24">
            <v>85.6</v>
          </cell>
          <cell r="M24">
            <v>265</v>
          </cell>
          <cell r="N24">
            <v>100.2</v>
          </cell>
          <cell r="Q24">
            <v>0.22800000000000001</v>
          </cell>
          <cell r="V24">
            <v>4.0999999999999996</v>
          </cell>
          <cell r="W24">
            <v>72.492751900000002</v>
          </cell>
        </row>
        <row r="25">
          <cell r="A25">
            <v>505017</v>
          </cell>
          <cell r="D25">
            <v>6.48</v>
          </cell>
          <cell r="E25">
            <v>6.89</v>
          </cell>
          <cell r="F25">
            <v>1309.9100000000001</v>
          </cell>
          <cell r="G25">
            <v>5.4128571428571428</v>
          </cell>
          <cell r="I25">
            <v>960.48</v>
          </cell>
          <cell r="J25">
            <v>60.73</v>
          </cell>
          <cell r="K25">
            <v>574</v>
          </cell>
          <cell r="L25">
            <v>191</v>
          </cell>
          <cell r="M25">
            <v>216</v>
          </cell>
          <cell r="N25">
            <v>610</v>
          </cell>
          <cell r="Q25">
            <v>0.46600000000000003</v>
          </cell>
          <cell r="V25">
            <v>7.1</v>
          </cell>
          <cell r="W25">
            <v>125.5362289</v>
          </cell>
        </row>
        <row r="26">
          <cell r="A26">
            <v>524000</v>
          </cell>
          <cell r="D26">
            <v>8.68</v>
          </cell>
          <cell r="E26">
            <v>0.128</v>
          </cell>
          <cell r="F26">
            <v>0.41774193548387101</v>
          </cell>
          <cell r="G26">
            <v>0.03</v>
          </cell>
          <cell r="I26">
            <v>21.21</v>
          </cell>
          <cell r="J26">
            <v>2.85</v>
          </cell>
          <cell r="K26">
            <v>3.63</v>
          </cell>
          <cell r="L26">
            <v>2.1741933428889944</v>
          </cell>
          <cell r="M26">
            <v>13.373306126240909</v>
          </cell>
          <cell r="N26">
            <v>7.7743544619631564</v>
          </cell>
          <cell r="O26">
            <v>3.9156</v>
          </cell>
          <cell r="Q26">
            <v>18.64</v>
          </cell>
        </row>
        <row r="27">
          <cell r="A27">
            <v>524001</v>
          </cell>
          <cell r="D27">
            <v>8.4499999999999993</v>
          </cell>
          <cell r="E27">
            <v>0.08</v>
          </cell>
          <cell r="F27">
            <v>0.40645161290322579</v>
          </cell>
          <cell r="G27">
            <v>0.06</v>
          </cell>
          <cell r="I27">
            <v>12.81</v>
          </cell>
          <cell r="J27">
            <v>3.03</v>
          </cell>
          <cell r="K27">
            <v>2.2999999999999998</v>
          </cell>
          <cell r="L27">
            <v>0.96217709826405495</v>
          </cell>
          <cell r="M27">
            <v>9.9409470722514186</v>
          </cell>
          <cell r="N27">
            <v>3.7489913468174345</v>
          </cell>
          <cell r="O27">
            <v>4.016</v>
          </cell>
          <cell r="Q27">
            <v>19.79</v>
          </cell>
        </row>
        <row r="28">
          <cell r="A28">
            <v>524002</v>
          </cell>
          <cell r="D28">
            <v>8.49</v>
          </cell>
          <cell r="E28">
            <v>0.18099999999999999</v>
          </cell>
          <cell r="F28">
            <v>1.108709677419355</v>
          </cell>
          <cell r="G28">
            <v>7.0000000000000007E-2</v>
          </cell>
          <cell r="I28">
            <v>30.42</v>
          </cell>
          <cell r="J28">
            <v>2.1</v>
          </cell>
          <cell r="K28">
            <v>4.4000000000000004</v>
          </cell>
          <cell r="L28">
            <v>1.6771237458193982</v>
          </cell>
          <cell r="M28">
            <v>14.309612597547382</v>
          </cell>
          <cell r="N28">
            <v>19.316393534002231</v>
          </cell>
          <cell r="O28">
            <v>4.1164000000000005</v>
          </cell>
          <cell r="Q28">
            <v>17.2</v>
          </cell>
        </row>
        <row r="29">
          <cell r="A29">
            <v>524003</v>
          </cell>
          <cell r="D29">
            <v>8.25</v>
          </cell>
          <cell r="E29">
            <v>0.30599999999999999</v>
          </cell>
          <cell r="F29">
            <v>3.4051612903225807</v>
          </cell>
          <cell r="G29">
            <v>7.0000000000000007E-2</v>
          </cell>
          <cell r="I29">
            <v>54.43</v>
          </cell>
          <cell r="J29">
            <v>0.74</v>
          </cell>
          <cell r="K29">
            <v>3.54</v>
          </cell>
          <cell r="L29">
            <v>0.55982162764771415</v>
          </cell>
          <cell r="M29">
            <v>34.794717577108884</v>
          </cell>
          <cell r="N29">
            <v>27.50967298402081</v>
          </cell>
          <cell r="O29">
            <v>4.5179999999999998</v>
          </cell>
          <cell r="Q29">
            <v>16.350000000000001</v>
          </cell>
        </row>
        <row r="30">
          <cell r="A30">
            <v>524004</v>
          </cell>
          <cell r="D30">
            <v>8.7100000000000009</v>
          </cell>
          <cell r="E30">
            <v>0.13100000000000001</v>
          </cell>
          <cell r="F30">
            <v>0.50806451612903225</v>
          </cell>
          <cell r="G30">
            <v>0.05</v>
          </cell>
          <cell r="I30">
            <v>19.21</v>
          </cell>
          <cell r="J30">
            <v>1.72</v>
          </cell>
          <cell r="K30">
            <v>2.4500000000000002</v>
          </cell>
          <cell r="L30">
            <v>2.4161713648670178</v>
          </cell>
          <cell r="M30">
            <v>8.9531046610394451</v>
          </cell>
          <cell r="N30">
            <v>13.624647502256199</v>
          </cell>
          <cell r="O30">
            <v>3.7148000000000003</v>
          </cell>
          <cell r="Q30">
            <v>16.079999999999998</v>
          </cell>
        </row>
        <row r="31">
          <cell r="A31">
            <v>524005</v>
          </cell>
          <cell r="D31">
            <v>8.5500000000000007</v>
          </cell>
          <cell r="E31">
            <v>0.22600000000000001</v>
          </cell>
          <cell r="F31">
            <v>0.41774193548387101</v>
          </cell>
          <cell r="G31">
            <v>0.05</v>
          </cell>
          <cell r="I31">
            <v>44.02</v>
          </cell>
          <cell r="J31">
            <v>1.18</v>
          </cell>
          <cell r="K31">
            <v>1.67</v>
          </cell>
          <cell r="L31">
            <v>1.961388756171367</v>
          </cell>
          <cell r="M31">
            <v>8.7880321972713311</v>
          </cell>
          <cell r="N31">
            <v>36.980879386314172</v>
          </cell>
          <cell r="O31">
            <v>3.5140000000000002</v>
          </cell>
          <cell r="Q31">
            <v>20.89</v>
          </cell>
        </row>
        <row r="32">
          <cell r="A32">
            <v>524006</v>
          </cell>
          <cell r="D32">
            <v>8.59</v>
          </cell>
          <cell r="E32">
            <v>0.215</v>
          </cell>
          <cell r="F32">
            <v>2.1722580645161287</v>
          </cell>
          <cell r="G32">
            <v>7.0000000000000007E-2</v>
          </cell>
          <cell r="I32">
            <v>37.22</v>
          </cell>
          <cell r="J32">
            <v>3.02</v>
          </cell>
          <cell r="K32">
            <v>3.83</v>
          </cell>
          <cell r="L32">
            <v>2.7754403567447046</v>
          </cell>
          <cell r="M32">
            <v>18.671947231512448</v>
          </cell>
          <cell r="N32">
            <v>20.383307320698623</v>
          </cell>
          <cell r="O32">
            <v>5.5220000000000002</v>
          </cell>
          <cell r="Q32">
            <v>20.5</v>
          </cell>
        </row>
        <row r="33">
          <cell r="A33">
            <v>524007</v>
          </cell>
          <cell r="D33">
            <v>8.01</v>
          </cell>
          <cell r="E33">
            <v>0.495</v>
          </cell>
          <cell r="F33">
            <v>0.49677419354838714</v>
          </cell>
          <cell r="G33">
            <v>0.04</v>
          </cell>
          <cell r="I33">
            <v>180.09</v>
          </cell>
          <cell r="J33">
            <v>0.75</v>
          </cell>
          <cell r="K33">
            <v>2.94</v>
          </cell>
          <cell r="L33">
            <v>14.038337314859053</v>
          </cell>
          <cell r="M33">
            <v>40.684867415193501</v>
          </cell>
          <cell r="N33">
            <v>38.221951743908264</v>
          </cell>
          <cell r="O33">
            <v>5.9236000000000004</v>
          </cell>
          <cell r="Q33">
            <v>26.18</v>
          </cell>
        </row>
        <row r="34">
          <cell r="A34">
            <v>510000</v>
          </cell>
          <cell r="J34">
            <v>0.56999999999999995</v>
          </cell>
          <cell r="K34">
            <v>5.2</v>
          </cell>
          <cell r="L34">
            <v>0.48</v>
          </cell>
          <cell r="M34">
            <v>2.17</v>
          </cell>
          <cell r="N34">
            <v>9.1999999999999998E-2</v>
          </cell>
          <cell r="Q34">
            <v>124.11</v>
          </cell>
        </row>
        <row r="35">
          <cell r="A35">
            <v>510001</v>
          </cell>
          <cell r="J35">
            <v>0.41</v>
          </cell>
          <cell r="K35">
            <v>4.1449999999999996</v>
          </cell>
          <cell r="L35">
            <v>0.46500000000000002</v>
          </cell>
          <cell r="M35">
            <v>2.72</v>
          </cell>
          <cell r="N35">
            <v>0.13200000000000001</v>
          </cell>
          <cell r="Q35">
            <v>106.19</v>
          </cell>
        </row>
        <row r="36">
          <cell r="A36">
            <v>510002</v>
          </cell>
          <cell r="J36">
            <v>0.33</v>
          </cell>
          <cell r="K36">
            <v>3.4849999999999999</v>
          </cell>
          <cell r="L36">
            <v>0.56200000000000006</v>
          </cell>
          <cell r="M36">
            <v>4.2699999999999996</v>
          </cell>
          <cell r="N36">
            <v>0.27500000000000002</v>
          </cell>
          <cell r="Q36">
            <v>145.37</v>
          </cell>
        </row>
        <row r="37">
          <cell r="A37">
            <v>510003</v>
          </cell>
          <cell r="J37">
            <v>0.41</v>
          </cell>
          <cell r="K37">
            <v>3.8650000000000002</v>
          </cell>
          <cell r="L37">
            <v>0.53</v>
          </cell>
          <cell r="M37">
            <v>3.38</v>
          </cell>
          <cell r="N37">
            <v>0.16600000000000001</v>
          </cell>
          <cell r="Q37">
            <v>105.33</v>
          </cell>
        </row>
        <row r="38">
          <cell r="A38">
            <v>510004</v>
          </cell>
          <cell r="J38">
            <v>0.49</v>
          </cell>
          <cell r="K38">
            <v>3.9250000000000003</v>
          </cell>
          <cell r="L38">
            <v>0.65800000000000003</v>
          </cell>
          <cell r="M38">
            <v>2.3199999999999998</v>
          </cell>
          <cell r="N38">
            <v>0.14499999999999999</v>
          </cell>
          <cell r="Q38">
            <v>98.37</v>
          </cell>
        </row>
        <row r="39">
          <cell r="A39">
            <v>510005</v>
          </cell>
          <cell r="J39">
            <v>0.52</v>
          </cell>
          <cell r="K39">
            <v>4.7549999999999999</v>
          </cell>
          <cell r="L39">
            <v>0.68200000000000005</v>
          </cell>
          <cell r="M39">
            <v>2.97</v>
          </cell>
          <cell r="N39">
            <v>0.10100000000000001</v>
          </cell>
          <cell r="Q39">
            <v>101.46</v>
          </cell>
        </row>
        <row r="40">
          <cell r="A40">
            <v>512000</v>
          </cell>
          <cell r="J40">
            <v>0.16</v>
          </cell>
          <cell r="K40">
            <v>0.66500000000000004</v>
          </cell>
          <cell r="L40">
            <v>0.53</v>
          </cell>
          <cell r="M40">
            <v>5.73</v>
          </cell>
          <cell r="N40">
            <v>3.5999999999999997E-2</v>
          </cell>
          <cell r="Q40">
            <v>185.94</v>
          </cell>
        </row>
        <row r="41">
          <cell r="A41">
            <v>512001</v>
          </cell>
          <cell r="J41">
            <v>0.17</v>
          </cell>
          <cell r="K41">
            <v>0.70899999999999996</v>
          </cell>
          <cell r="L41">
            <v>0.58500000000000008</v>
          </cell>
          <cell r="M41">
            <v>5.94</v>
          </cell>
          <cell r="N41">
            <v>3.5999999999999997E-2</v>
          </cell>
          <cell r="Q41">
            <v>191.79</v>
          </cell>
        </row>
        <row r="42">
          <cell r="A42">
            <v>512002</v>
          </cell>
          <cell r="J42">
            <v>0.17</v>
          </cell>
          <cell r="K42">
            <v>0.68700000000000006</v>
          </cell>
          <cell r="L42">
            <v>0.505</v>
          </cell>
          <cell r="M42">
            <v>5.6</v>
          </cell>
          <cell r="N42">
            <v>3.5999999999999997E-2</v>
          </cell>
          <cell r="Q42">
            <v>178.8</v>
          </cell>
        </row>
        <row r="43">
          <cell r="A43">
            <v>512003</v>
          </cell>
          <cell r="J43">
            <v>0.17</v>
          </cell>
          <cell r="K43">
            <v>0.69299999999999995</v>
          </cell>
          <cell r="L43">
            <v>0.47300000000000003</v>
          </cell>
          <cell r="M43">
            <v>5.72</v>
          </cell>
          <cell r="N43">
            <v>3.7999999999999999E-2</v>
          </cell>
          <cell r="Q43">
            <v>151.37</v>
          </cell>
        </row>
        <row r="44">
          <cell r="A44">
            <v>512004</v>
          </cell>
          <cell r="J44">
            <v>0.13</v>
          </cell>
          <cell r="K44">
            <v>1.0900000000000001</v>
          </cell>
          <cell r="L44">
            <v>0.38</v>
          </cell>
          <cell r="M44">
            <v>5.4</v>
          </cell>
          <cell r="N44">
            <v>3.2000000000000001E-2</v>
          </cell>
          <cell r="Q44">
            <v>150.63999999999999</v>
          </cell>
        </row>
        <row r="45">
          <cell r="A45">
            <v>512005</v>
          </cell>
          <cell r="J45">
            <v>0.17</v>
          </cell>
          <cell r="K45">
            <v>1.4</v>
          </cell>
          <cell r="L45">
            <v>0.377</v>
          </cell>
          <cell r="M45">
            <v>5.97</v>
          </cell>
          <cell r="N45">
            <v>3.9E-2</v>
          </cell>
          <cell r="Q45">
            <v>138.72999999999999</v>
          </cell>
        </row>
        <row r="46">
          <cell r="A46">
            <v>512006</v>
          </cell>
          <cell r="J46">
            <v>0.14000000000000001</v>
          </cell>
          <cell r="K46">
            <v>0.97899999999999998</v>
          </cell>
          <cell r="L46">
            <v>0.42299999999999999</v>
          </cell>
          <cell r="M46">
            <v>6.41</v>
          </cell>
          <cell r="N46">
            <v>6.4000000000000001E-2</v>
          </cell>
          <cell r="Q46">
            <v>177.1</v>
          </cell>
        </row>
        <row r="47">
          <cell r="A47">
            <v>512007</v>
          </cell>
          <cell r="J47">
            <v>0.14000000000000001</v>
          </cell>
          <cell r="K47">
            <v>1.08</v>
          </cell>
          <cell r="L47">
            <v>0.34</v>
          </cell>
          <cell r="M47">
            <v>5.23</v>
          </cell>
          <cell r="N47">
            <v>3.2000000000000001E-2</v>
          </cell>
          <cell r="Q47">
            <v>162.57</v>
          </cell>
        </row>
        <row r="48">
          <cell r="A48">
            <v>512008</v>
          </cell>
          <cell r="J48">
            <v>0.13</v>
          </cell>
          <cell r="K48">
            <v>0.97099999999999997</v>
          </cell>
          <cell r="L48">
            <v>0.38900000000000001</v>
          </cell>
          <cell r="M48">
            <v>5.65</v>
          </cell>
          <cell r="N48">
            <v>4.4999999999999998E-2</v>
          </cell>
          <cell r="Q48">
            <v>172.73</v>
          </cell>
        </row>
        <row r="49">
          <cell r="A49">
            <v>512009</v>
          </cell>
          <cell r="J49">
            <v>0.24</v>
          </cell>
          <cell r="K49">
            <v>2.21</v>
          </cell>
          <cell r="L49">
            <v>0.32100000000000001</v>
          </cell>
          <cell r="M49">
            <v>3.8</v>
          </cell>
          <cell r="N49">
            <v>1.9E-2</v>
          </cell>
          <cell r="Q49">
            <v>139.41999999999999</v>
          </cell>
        </row>
        <row r="50">
          <cell r="A50">
            <v>512010</v>
          </cell>
          <cell r="J50">
            <v>0.18</v>
          </cell>
          <cell r="K50">
            <v>1.58</v>
          </cell>
          <cell r="L50">
            <v>0.26300000000000001</v>
          </cell>
          <cell r="M50">
            <v>4.6399999999999997</v>
          </cell>
          <cell r="N50">
            <v>2.9000000000000001E-2</v>
          </cell>
          <cell r="Q50">
            <v>136.11000000000001</v>
          </cell>
        </row>
        <row r="51">
          <cell r="A51">
            <v>512011</v>
          </cell>
          <cell r="J51">
            <v>0.14000000000000001</v>
          </cell>
          <cell r="K51">
            <v>0.89400000000000002</v>
          </cell>
          <cell r="L51">
            <v>0.373</v>
          </cell>
          <cell r="M51">
            <v>6.58</v>
          </cell>
          <cell r="N51">
            <v>3.4000000000000002E-2</v>
          </cell>
          <cell r="Q51">
            <v>181.53</v>
          </cell>
        </row>
        <row r="52">
          <cell r="A52">
            <v>512012</v>
          </cell>
          <cell r="Q52">
            <v>160.97</v>
          </cell>
        </row>
        <row r="53">
          <cell r="A53">
            <v>512013</v>
          </cell>
          <cell r="Q53">
            <v>196.49</v>
          </cell>
        </row>
        <row r="54">
          <cell r="A54">
            <v>512014</v>
          </cell>
          <cell r="Q54">
            <v>163.44999999999999</v>
          </cell>
        </row>
        <row r="55">
          <cell r="Q55">
            <v>194.32</v>
          </cell>
        </row>
        <row r="56">
          <cell r="Q56">
            <v>137.66999999999999</v>
          </cell>
        </row>
        <row r="57">
          <cell r="Q57">
            <v>140.75</v>
          </cell>
        </row>
        <row r="58">
          <cell r="Q58">
            <v>160.03</v>
          </cell>
        </row>
        <row r="59">
          <cell r="Q59">
            <v>131.88</v>
          </cell>
        </row>
        <row r="60">
          <cell r="Q60">
            <v>133.85</v>
          </cell>
        </row>
        <row r="61">
          <cell r="Q61">
            <v>139.05000000000001</v>
          </cell>
        </row>
        <row r="62">
          <cell r="Q62">
            <v>179.61</v>
          </cell>
        </row>
        <row r="63">
          <cell r="Q63">
            <v>165.71</v>
          </cell>
        </row>
        <row r="64">
          <cell r="Q64">
            <v>187.06</v>
          </cell>
        </row>
        <row r="65">
          <cell r="Q65">
            <v>179.73</v>
          </cell>
        </row>
        <row r="66">
          <cell r="Q66">
            <v>195.27</v>
          </cell>
        </row>
        <row r="79">
          <cell r="AK79">
            <v>38.705151999999771</v>
          </cell>
          <cell r="AL79">
            <v>367.82</v>
          </cell>
        </row>
        <row r="80">
          <cell r="AK80">
            <v>56.738155999999094</v>
          </cell>
          <cell r="AL80">
            <v>292.8</v>
          </cell>
        </row>
        <row r="81">
          <cell r="AK81">
            <v>68.241595999999845</v>
          </cell>
          <cell r="AL81">
            <v>335.5</v>
          </cell>
        </row>
        <row r="82">
          <cell r="AK82">
            <v>39.623960000000011</v>
          </cell>
          <cell r="AL82">
            <v>334.71999999999997</v>
          </cell>
        </row>
        <row r="83">
          <cell r="AK83">
            <v>92.055892000000426</v>
          </cell>
          <cell r="AL83">
            <v>348.12</v>
          </cell>
        </row>
        <row r="84">
          <cell r="AK84">
            <v>188.23644000000002</v>
          </cell>
          <cell r="AL84">
            <v>165.38</v>
          </cell>
        </row>
        <row r="85">
          <cell r="AK85">
            <v>206.52353599999981</v>
          </cell>
          <cell r="AL85">
            <v>244.75000000000003</v>
          </cell>
        </row>
        <row r="86">
          <cell r="AK86">
            <v>120.66085199999986</v>
          </cell>
          <cell r="AL86">
            <v>155.60999999999999</v>
          </cell>
        </row>
        <row r="87">
          <cell r="AK87">
            <v>25.303759999999556</v>
          </cell>
          <cell r="AL87">
            <v>295.03000000000003</v>
          </cell>
        </row>
        <row r="88">
          <cell r="AK88">
            <v>17.902899999999818</v>
          </cell>
          <cell r="AL88">
            <v>290.09000000000003</v>
          </cell>
        </row>
        <row r="89">
          <cell r="AK89">
            <v>55.496876000000157</v>
          </cell>
          <cell r="AL89">
            <v>342.63000000000005</v>
          </cell>
        </row>
        <row r="90">
          <cell r="AK90">
            <v>77.395263999999997</v>
          </cell>
          <cell r="AL90">
            <v>174.22</v>
          </cell>
        </row>
        <row r="91">
          <cell r="AK91">
            <v>127.04515600000025</v>
          </cell>
          <cell r="AL91">
            <v>163.39999999999998</v>
          </cell>
        </row>
        <row r="92">
          <cell r="AK92">
            <v>47.011607999999569</v>
          </cell>
          <cell r="AL92">
            <v>187.92</v>
          </cell>
        </row>
        <row r="93">
          <cell r="AK93">
            <v>63.388275999999792</v>
          </cell>
          <cell r="AL93">
            <v>180.71</v>
          </cell>
        </row>
        <row r="94">
          <cell r="AK94">
            <v>82.183435999999233</v>
          </cell>
          <cell r="AL94">
            <v>180.18</v>
          </cell>
        </row>
        <row r="95">
          <cell r="AK95">
            <v>87.014511999999741</v>
          </cell>
          <cell r="AL95">
            <v>152.96999999999997</v>
          </cell>
        </row>
        <row r="96">
          <cell r="AK96">
            <v>78.037628000000495</v>
          </cell>
          <cell r="AL96">
            <v>200.92</v>
          </cell>
        </row>
        <row r="97">
          <cell r="AK97">
            <v>38.943219999999769</v>
          </cell>
          <cell r="AL97">
            <v>201.25000000000003</v>
          </cell>
        </row>
        <row r="98">
          <cell r="AK98">
            <v>76.087627999999881</v>
          </cell>
          <cell r="AL98">
            <v>168.01999999999998</v>
          </cell>
        </row>
        <row r="99">
          <cell r="AK99">
            <v>99.668167999999469</v>
          </cell>
          <cell r="AL99">
            <v>150.36999999999998</v>
          </cell>
        </row>
        <row r="100">
          <cell r="AK100">
            <v>82.39859599999977</v>
          </cell>
          <cell r="AL100">
            <v>157.69999999999999</v>
          </cell>
        </row>
        <row r="101">
          <cell r="AJ101">
            <v>297.00000000000006</v>
          </cell>
          <cell r="AK101">
            <v>73.057091999999898</v>
          </cell>
          <cell r="AL101">
            <v>144.32</v>
          </cell>
          <cell r="AM101">
            <v>105.05</v>
          </cell>
          <cell r="AN101">
            <v>17.89</v>
          </cell>
        </row>
      </sheetData>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1"/>
      <sheetName val="Feuil2"/>
      <sheetName val="Macro"/>
      <sheetName val="Vég"/>
      <sheetName val="Cultures"/>
      <sheetName val="SUB1"/>
      <sheetName val="EAU ancien"/>
      <sheetName val="BD3"/>
      <sheetName val="EAPsaturée"/>
      <sheetName val="EAPdd"/>
      <sheetName val="EAP"/>
      <sheetName val="Fumier"/>
      <sheetName val="EAPD"/>
      <sheetName val="EAP11"/>
      <sheetName val="pate saturée maraichage"/>
      <sheetName val="PATEARBO"/>
      <sheetName val="commentaire sol"/>
      <sheetName val="SOL"/>
      <sheetName val="EAU"/>
      <sheetName val="ScOL"/>
      <sheetName val="kl"/>
      <sheetName val="Feuil1 (2)"/>
      <sheetName val="commentaires feuilles"/>
      <sheetName val="Commentaire magnésium"/>
      <sheetName val="EAPARBO"/>
      <sheetName val="Fertilisant"/>
      <sheetName val="Facture"/>
      <sheetName val="norme foliaire"/>
      <sheetName val="N0"/>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APsaturée"/>
      <sheetName val="EAPHH"/>
      <sheetName val="EAP"/>
      <sheetName val="Fumier"/>
      <sheetName val="EAPD"/>
      <sheetName val="EAP11"/>
      <sheetName val="pate saturée maraichage"/>
      <sheetName val="PATEARBO"/>
      <sheetName val="commentaire sol"/>
      <sheetName val="Feuil2"/>
      <sheetName val="SOL"/>
      <sheetName val="Vég"/>
      <sheetName val="EAU ancien"/>
      <sheetName val="EAU"/>
      <sheetName val="ScOL"/>
      <sheetName val="kl"/>
      <sheetName val="Feuil1 (2)"/>
      <sheetName val="commentaires feuilles"/>
      <sheetName val="Commentaire magnésium"/>
      <sheetName val="EAPARBO"/>
      <sheetName val="SUB1"/>
      <sheetName val="Fertilisant"/>
      <sheetName val="Facture"/>
      <sheetName val="Cultures"/>
      <sheetName val="norme foliaire"/>
      <sheetName val="N0"/>
      <sheetName val="926 (2)"/>
      <sheetName val="BD3"/>
      <sheetName val="Macro"/>
      <sheetName val="22"/>
      <sheetName val="EAP3"/>
      <sheetName val="EAPdd"/>
      <sheetName val="E02P"/>
      <sheetName val="E0P"/>
      <sheetName val="E9P"/>
      <sheetName val="EA5P"/>
      <sheetName val="EAP2"/>
      <sheetName val="EAPo"/>
      <sheetName val="PS"/>
      <sheetName val="00"/>
      <sheetName val="E1"/>
      <sheetName val="EAU2"/>
      <sheetName val="fff"/>
      <sheetName val="SOLa"/>
      <sheetName val="XXX"/>
      <sheetName val="EAPZ"/>
      <sheetName val="GGG"/>
      <sheetName val="FF"/>
      <sheetName val="SOLf"/>
      <sheetName val="SOL (2)"/>
      <sheetName val="EAPF"/>
      <sheetName val="DDDD"/>
      <sheetName val="D"/>
      <sheetName val="DDSD"/>
      <sheetName val="FFFFF"/>
      <sheetName val="S"/>
      <sheetName val="E"/>
      <sheetName val="F"/>
      <sheetName val="EAPA"/>
      <sheetName val="U"/>
      <sheetName val="P"/>
      <sheetName val="O "/>
      <sheetName val="o"/>
      <sheetName val="EAP1"/>
      <sheetName val="EAPs"/>
      <sheetName val="EAPR"/>
      <sheetName val="EAU3"/>
      <sheetName val="EAU ANCIENN PRES "/>
      <sheetName val="EAPABER"/>
      <sheetName val="Feuil1 (3)"/>
      <sheetName val="926"/>
      <sheetName val="Feuil1"/>
      <sheetName val="Normes"/>
      <sheetName val="BD1BKP.XLS"/>
      <sheetName val="BD2.XLS"/>
      <sheetName val="IMPSUB.XLM"/>
      <sheetName val="AOCHIM.XLS"/>
      <sheetName val="SUBSCHIM.XLS"/>
      <sheetName val="POCHIM.XLS"/>
      <sheetName val="autres analyses"/>
      <sheetName val="EMCa"/>
      <sheetName val="EMC2"/>
      <sheetName val="EMC3"/>
      <sheetName val="EMC4"/>
      <sheetName val="CHENAIE"/>
      <sheetName val="CHENAIE (2)"/>
      <sheetName val="cHENAIE (3)"/>
      <sheetName val="CHENAIE4"/>
      <sheetName val="chenaie5"/>
      <sheetName val="chenaie6"/>
      <sheetName val="chenaie7"/>
      <sheetName val="CHENAIE 8"/>
      <sheetName val="CHENAIE9"/>
      <sheetName val="DAHRA"/>
      <sheetName val="DAHRA2"/>
      <sheetName val="DAHRA3"/>
      <sheetName val="DAHRA4"/>
      <sheetName val="TAZEROUALT1"/>
      <sheetName val="TAZEROUALT2"/>
      <sheetName val="TAZER3"/>
      <sheetName val="WALILI"/>
      <sheetName val="SOL (3)"/>
      <sheetName val="SOL (4)"/>
      <sheetName val="SOL (5)"/>
      <sheetName val="SOL (6)"/>
      <sheetName val="p9.1"/>
      <sheetName val="pessai"/>
      <sheetName val="p8"/>
      <sheetName val="p9"/>
      <sheetName val="p2.1"/>
      <sheetName val="p8b"/>
      <sheetName val="p3"/>
      <sheetName val="p1"/>
      <sheetName val="p10"/>
      <sheetName val="p2"/>
      <sheetName val="p2.2"/>
      <sheetName val="p5"/>
      <sheetName val="11210"/>
      <sheetName val="benali"/>
      <sheetName val="ZNIBER"/>
      <sheetName val="Vég (2)"/>
      <sheetName val="MAZDAOUI"/>
      <sheetName val="SOL (7)"/>
      <sheetName val="SOL (8)"/>
      <sheetName val="SOL (9)"/>
      <sheetName val="EAU (2)"/>
      <sheetName val="pate saturéARBO (2)"/>
      <sheetName val="EAUEE"/>
      <sheetName val="Vég (7)"/>
      <sheetName val="Vég (5)"/>
      <sheetName val="Vég (4)"/>
      <sheetName val="Vég (3)"/>
      <sheetName val="Vég Bentaha1"/>
      <sheetName val="Vég (6)"/>
      <sheetName val="Vég (8)"/>
      <sheetName val="VégA"/>
      <sheetName val="EAUEFF"/>
      <sheetName val="Vég21"/>
      <sheetName val="Vég2"/>
      <sheetName val="feuil"/>
      <sheetName val="feuil (2)"/>
      <sheetName val="SOLcereales"/>
      <sheetName val="SOLSS"/>
      <sheetName val="Végz"/>
      <sheetName val="EAP1 (2)"/>
      <sheetName val="EAPH"/>
      <sheetName val="926 (3)"/>
      <sheetName val="EAPss"/>
      <sheetName val="Pomme terre"/>
      <sheetName val="EAUs"/>
      <sheetName val="EAsP"/>
      <sheetName val="EAUduroc"/>
      <sheetName val="EAdP"/>
      <sheetName val="SOL22"/>
      <sheetName val="EAPm"/>
      <sheetName val="Protocole d'Alerte"/>
      <sheetName val="44-09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67">
          <cell r="D67" t="str">
            <v>*Sol fortement calcaire, avec des risques élevés de chlorose</v>
          </cell>
        </row>
        <row r="318">
          <cell r="D318" t="str">
            <v>Très élevés</v>
          </cell>
        </row>
      </sheetData>
      <sheetData sheetId="9"/>
      <sheetData sheetId="10">
        <row r="3">
          <cell r="C3" t="str">
            <v>MESFIOUI BADIA</v>
          </cell>
        </row>
        <row r="50">
          <cell r="S50">
            <v>115.85365853658537</v>
          </cell>
        </row>
        <row r="137">
          <cell r="F137">
            <v>8.3024548619528566</v>
          </cell>
        </row>
        <row r="143">
          <cell r="F143">
            <v>14</v>
          </cell>
        </row>
        <row r="148">
          <cell r="F148">
            <v>4.2602993070973882</v>
          </cell>
        </row>
        <row r="211">
          <cell r="H211" t="str">
            <v>Cl</v>
          </cell>
          <cell r="I211" t="str">
            <v>SO4</v>
          </cell>
          <cell r="J211" t="str">
            <v>P2O5</v>
          </cell>
          <cell r="K211" t="str">
            <v>K2O</v>
          </cell>
        </row>
        <row r="240">
          <cell r="H240" t="str">
            <v>BC</v>
          </cell>
          <cell r="I240" t="str">
            <v>Nature_Echantillon</v>
          </cell>
          <cell r="J240" t="str">
            <v>Mois</v>
          </cell>
          <cell r="K240" t="str">
            <v>Année</v>
          </cell>
        </row>
      </sheetData>
      <sheetData sheetId="11">
        <row r="17">
          <cell r="H17" t="e">
            <v>#N/A</v>
          </cell>
        </row>
      </sheetData>
      <sheetData sheetId="12">
        <row r="7">
          <cell r="Q7">
            <v>3.01268</v>
          </cell>
        </row>
      </sheetData>
      <sheetData sheetId="13"/>
      <sheetData sheetId="14"/>
      <sheetData sheetId="15"/>
      <sheetData sheetId="16">
        <row r="13">
          <cell r="C13" t="str">
            <v>Texture fine d'argile limono-sableuse</v>
          </cell>
        </row>
      </sheetData>
      <sheetData sheetId="17"/>
      <sheetData sheetId="18"/>
      <sheetData sheetId="19">
        <row r="16">
          <cell r="O16">
            <v>5</v>
          </cell>
        </row>
      </sheetData>
      <sheetData sheetId="20">
        <row r="7">
          <cell r="AI7" t="e">
            <v>#VALUE!</v>
          </cell>
        </row>
      </sheetData>
      <sheetData sheetId="21"/>
      <sheetData sheetId="22"/>
      <sheetData sheetId="23">
        <row r="2">
          <cell r="S2">
            <v>1</v>
          </cell>
        </row>
      </sheetData>
      <sheetData sheetId="24"/>
      <sheetData sheetId="25"/>
      <sheetData sheetId="26"/>
      <sheetData sheetId="27"/>
      <sheetData sheetId="28">
        <row r="1">
          <cell r="B1" t="str">
            <v>Création.Bulletin.chimique</v>
          </cell>
        </row>
        <row r="10">
          <cell r="C10" t="str">
            <v>526002 à 526013</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ss"/>
      <sheetName val="Chlore résiduel"/>
      <sheetName val="PO2"/>
      <sheetName val="PO"/>
      <sheetName val="Chimie_Eau"/>
      <sheetName val="Feuil3"/>
      <sheetName val="Env"/>
      <sheetName val="Feuil4"/>
      <sheetName val="Feuil2"/>
      <sheetName val="Chimie_Eau METAUX"/>
      <sheetName val="NORMES VEG"/>
      <sheetName val="RAMEAUX"/>
      <sheetName val="FRUITS"/>
      <sheetName val="EAP"/>
      <sheetName val="EAU"/>
      <sheetName val="Vég"/>
      <sheetName val="commentaire sol"/>
      <sheetName val="Feuil5"/>
      <sheetName val="SOL"/>
      <sheetName val="Com_SOL"/>
      <sheetName val="commentaires feuilles"/>
      <sheetName val="Commentaire magnésium"/>
      <sheetName val="Feuil1"/>
      <sheetName val="Feuil1 (2)"/>
      <sheetName val="Chimie_Eau labelma"/>
      <sheetName val="ENVI"/>
      <sheetName val="ORG"/>
      <sheetName val="la rak"/>
      <sheetName val="MASCIR"/>
      <sheetName val="LabeditPO (1).xls"/>
      <sheetName val="LabeditPO (1)"/>
    </sheetNames>
    <definedNames>
      <definedName name="BULETTIN_MONO"/>
      <definedName name="MACRO_LOT"/>
    </definedNames>
    <sheetDataSet>
      <sheetData sheetId="0" refreshError="1"/>
      <sheetData sheetId="1" refreshError="1"/>
      <sheetData sheetId="2" refreshError="1"/>
      <sheetData sheetId="3"/>
      <sheetData sheetId="4">
        <row r="165">
          <cell r="B165" t="str">
            <v>D:\Résultats\OneDrive\EAUX\POTA\ARCHIVE 2016\634178_LABELMA__WB15,1_Eau naturelle traitée</v>
          </cell>
        </row>
      </sheetData>
      <sheetData sheetId="5" refreshError="1"/>
      <sheetData sheetId="6" refreshError="1"/>
      <sheetData sheetId="7" refreshError="1"/>
      <sheetData sheetId="8">
        <row r="3">
          <cell r="U3">
            <v>5.8630000000000002E-2</v>
          </cell>
          <cell r="AA3">
            <v>1E-3</v>
          </cell>
        </row>
        <row r="4">
          <cell r="R4" t="str">
            <v>Eau naturelle traitée</v>
          </cell>
        </row>
      </sheetData>
      <sheetData sheetId="9" refreshError="1"/>
      <sheetData sheetId="10" refreshError="1"/>
      <sheetData sheetId="11" refreshError="1"/>
      <sheetData sheetId="12" refreshError="1"/>
      <sheetData sheetId="13" refreshError="1"/>
      <sheetData sheetId="14" refreshError="1"/>
      <sheetData sheetId="15">
        <row r="17">
          <cell r="H17" t="e">
            <v>#N/A</v>
          </cell>
        </row>
        <row r="20">
          <cell r="M20" t="e">
            <v>#N/A</v>
          </cell>
          <cell r="O20" t="e">
            <v>#N/A</v>
          </cell>
          <cell r="P20" t="e">
            <v>#N/A</v>
          </cell>
          <cell r="V20" t="e">
            <v>#N/A</v>
          </cell>
          <cell r="W20" t="e">
            <v>#N/A</v>
          </cell>
          <cell r="X20" t="e">
            <v>#N/A</v>
          </cell>
        </row>
        <row r="21">
          <cell r="M21" t="e">
            <v>#N/A</v>
          </cell>
          <cell r="O21" t="e">
            <v>#N/A</v>
          </cell>
          <cell r="P21" t="e">
            <v>#N/A</v>
          </cell>
          <cell r="V21" t="e">
            <v>#N/A</v>
          </cell>
          <cell r="W21" t="e">
            <v>#N/A</v>
          </cell>
          <cell r="X21" t="e">
            <v>#N/A</v>
          </cell>
        </row>
        <row r="22">
          <cell r="M22" t="e">
            <v>#N/A</v>
          </cell>
          <cell r="O22" t="e">
            <v>#N/A</v>
          </cell>
          <cell r="P22" t="e">
            <v>#N/A</v>
          </cell>
          <cell r="V22" t="e">
            <v>#N/A</v>
          </cell>
          <cell r="W22" t="e">
            <v>#N/A</v>
          </cell>
          <cell r="X22" t="e">
            <v>#N/A</v>
          </cell>
        </row>
        <row r="23">
          <cell r="M23" t="e">
            <v>#N/A</v>
          </cell>
          <cell r="O23" t="e">
            <v>#N/A</v>
          </cell>
          <cell r="P23" t="e">
            <v>#N/A</v>
          </cell>
          <cell r="V23" t="e">
            <v>#N/A</v>
          </cell>
          <cell r="W23" t="e">
            <v>#N/A</v>
          </cell>
          <cell r="X23" t="e">
            <v>#N/A</v>
          </cell>
        </row>
        <row r="24">
          <cell r="M24" t="e">
            <v>#N/A</v>
          </cell>
          <cell r="O24" t="e">
            <v>#N/A</v>
          </cell>
          <cell r="P24" t="e">
            <v>#N/A</v>
          </cell>
          <cell r="V24" t="e">
            <v>#N/A</v>
          </cell>
          <cell r="W24" t="e">
            <v>#N/A</v>
          </cell>
          <cell r="X24" t="e">
            <v>#N/A</v>
          </cell>
        </row>
        <row r="41">
          <cell r="R41" t="e">
            <v>#N/A</v>
          </cell>
        </row>
        <row r="43">
          <cell r="N43" t="e">
            <v>#N/A</v>
          </cell>
          <cell r="R43" t="e">
            <v>#N/A</v>
          </cell>
        </row>
        <row r="44">
          <cell r="N44" t="e">
            <v>#N/A</v>
          </cell>
          <cell r="R44" t="e">
            <v>#N/A</v>
          </cell>
        </row>
        <row r="45">
          <cell r="N45" t="e">
            <v>#N/A</v>
          </cell>
          <cell r="R45" t="e">
            <v>#N/A</v>
          </cell>
        </row>
        <row r="46">
          <cell r="R46" t="e">
            <v>#N/A</v>
          </cell>
        </row>
        <row r="48">
          <cell r="N48" t="e">
            <v>#N/A</v>
          </cell>
          <cell r="R48" t="e">
            <v>#N/A</v>
          </cell>
        </row>
        <row r="49">
          <cell r="N49" t="e">
            <v>#N/A</v>
          </cell>
          <cell r="R49" t="e">
            <v>#N/A</v>
          </cell>
        </row>
        <row r="50">
          <cell r="R50" t="e">
            <v>#N/A</v>
          </cell>
        </row>
      </sheetData>
      <sheetData sheetId="16"/>
      <sheetData sheetId="17" refreshError="1"/>
      <sheetData sheetId="18">
        <row r="2">
          <cell r="Q2">
            <v>32.053761292848456</v>
          </cell>
        </row>
        <row r="3">
          <cell r="Q3">
            <v>39.662851804351092</v>
          </cell>
        </row>
        <row r="6">
          <cell r="Q6">
            <v>1E-4</v>
          </cell>
          <cell r="R6">
            <v>100</v>
          </cell>
          <cell r="S6">
            <v>45</v>
          </cell>
          <cell r="T6">
            <v>0.01</v>
          </cell>
          <cell r="U6">
            <v>0.01</v>
          </cell>
          <cell r="V6">
            <v>60</v>
          </cell>
          <cell r="W6">
            <v>81</v>
          </cell>
          <cell r="X6">
            <v>0.01</v>
          </cell>
          <cell r="Y6">
            <v>0.01</v>
          </cell>
          <cell r="Z6">
            <v>92</v>
          </cell>
          <cell r="AA6">
            <v>100</v>
          </cell>
          <cell r="AB6">
            <v>75</v>
          </cell>
          <cell r="AC6">
            <v>45</v>
          </cell>
          <cell r="AD6">
            <v>20</v>
          </cell>
          <cell r="AE6">
            <v>25</v>
          </cell>
          <cell r="AF6">
            <v>25</v>
          </cell>
          <cell r="AG6">
            <v>45</v>
          </cell>
          <cell r="AH6">
            <v>35</v>
          </cell>
          <cell r="AI6">
            <v>25</v>
          </cell>
          <cell r="AJ6">
            <v>25</v>
          </cell>
          <cell r="AK6">
            <v>73</v>
          </cell>
        </row>
        <row r="7">
          <cell r="Q7">
            <v>100</v>
          </cell>
          <cell r="R7">
            <v>0.01</v>
          </cell>
          <cell r="S7">
            <v>55</v>
          </cell>
          <cell r="T7">
            <v>60</v>
          </cell>
          <cell r="U7">
            <v>46</v>
          </cell>
          <cell r="V7">
            <v>38</v>
          </cell>
          <cell r="W7">
            <v>19</v>
          </cell>
          <cell r="X7">
            <v>22</v>
          </cell>
          <cell r="Y7">
            <v>12</v>
          </cell>
          <cell r="Z7">
            <v>7</v>
          </cell>
          <cell r="AA7">
            <v>0.01</v>
          </cell>
          <cell r="AB7">
            <v>0.01</v>
          </cell>
          <cell r="AC7">
            <v>40</v>
          </cell>
          <cell r="AD7">
            <v>43</v>
          </cell>
          <cell r="AE7">
            <v>30</v>
          </cell>
          <cell r="AF7">
            <v>0.01</v>
          </cell>
          <cell r="AG7">
            <v>0.01</v>
          </cell>
          <cell r="AH7">
            <v>20</v>
          </cell>
          <cell r="AI7">
            <v>21</v>
          </cell>
          <cell r="AJ7">
            <v>30</v>
          </cell>
          <cell r="AK7">
            <v>27</v>
          </cell>
        </row>
        <row r="50">
          <cell r="S50">
            <v>127.9761904761905</v>
          </cell>
        </row>
      </sheetData>
      <sheetData sheetId="19" refreshError="1"/>
      <sheetData sheetId="20" refreshError="1"/>
      <sheetData sheetId="21" refreshError="1"/>
      <sheetData sheetId="22" refreshError="1"/>
      <sheetData sheetId="23">
        <row r="13">
          <cell r="C13" t="str">
            <v>Texture fine d'argile limono-sableuse</v>
          </cell>
        </row>
      </sheetData>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aux"/>
      <sheetName val="BD2"/>
      <sheetName val="PO"/>
    </sheetNames>
    <sheetDataSet>
      <sheetData sheetId="0" refreshError="1"/>
      <sheetData sheetId="1">
        <row r="5">
          <cell r="AK5" t="str">
            <v>LG</v>
          </cell>
          <cell r="AL5" t="str">
            <v>SF</v>
          </cell>
        </row>
        <row r="6">
          <cell r="AK6">
            <v>430</v>
          </cell>
        </row>
        <row r="7">
          <cell r="AL7" t="str">
            <v>N° Labo</v>
          </cell>
        </row>
        <row r="9">
          <cell r="AL9" t="str">
            <v>MS (%)</v>
          </cell>
        </row>
        <row r="11">
          <cell r="AL11" t="str">
            <v>P brut</v>
          </cell>
        </row>
        <row r="13">
          <cell r="AL13" t="str">
            <v>P à CR</v>
          </cell>
        </row>
        <row r="15">
          <cell r="AL15" t="str">
            <v>pH</v>
          </cell>
        </row>
        <row r="17">
          <cell r="AL17" t="str">
            <v>CE</v>
          </cell>
        </row>
        <row r="19">
          <cell r="AL19" t="str">
            <v>N-NH4</v>
          </cell>
        </row>
        <row r="21">
          <cell r="AL21" t="str">
            <v>N-NO3</v>
          </cell>
        </row>
        <row r="23">
          <cell r="AL23" t="str">
            <v>S-SO4</v>
          </cell>
        </row>
        <row r="25">
          <cell r="AL25" t="str">
            <v>Cl</v>
          </cell>
        </row>
        <row r="27">
          <cell r="AL27" t="str">
            <v>P</v>
          </cell>
        </row>
        <row r="29">
          <cell r="AL29" t="str">
            <v>K</v>
          </cell>
        </row>
        <row r="31">
          <cell r="AL31" t="str">
            <v>Mg</v>
          </cell>
        </row>
        <row r="33">
          <cell r="AL33" t="str">
            <v>Ca</v>
          </cell>
        </row>
        <row r="35">
          <cell r="AL35" t="str">
            <v>Na</v>
          </cell>
        </row>
        <row r="37">
          <cell r="AL37" t="str">
            <v>MO</v>
          </cell>
        </row>
        <row r="39">
          <cell r="AL39" t="str">
            <v>NT</v>
          </cell>
        </row>
        <row r="41">
          <cell r="AL41" t="str">
            <v>N-NH4 éch</v>
          </cell>
        </row>
        <row r="43">
          <cell r="AL43" t="str">
            <v>P cit</v>
          </cell>
        </row>
        <row r="45">
          <cell r="AL45" t="str">
            <v>K éch</v>
          </cell>
        </row>
        <row r="47">
          <cell r="AL47" t="str">
            <v>Mg éch</v>
          </cell>
        </row>
        <row r="49">
          <cell r="AL49" t="str">
            <v>Ca éch</v>
          </cell>
        </row>
        <row r="51">
          <cell r="AL51" t="str">
            <v>Na éch</v>
          </cell>
        </row>
        <row r="53">
          <cell r="AL53" t="str">
            <v>CEC</v>
          </cell>
        </row>
        <row r="55">
          <cell r="AL55" t="str">
            <v>Cu éch</v>
          </cell>
        </row>
        <row r="57">
          <cell r="AL57" t="str">
            <v>Zn éch</v>
          </cell>
        </row>
        <row r="59">
          <cell r="AL59" t="str">
            <v>Mn éch</v>
          </cell>
        </row>
        <row r="61">
          <cell r="AL61" t="str">
            <v>Fe éch</v>
          </cell>
        </row>
        <row r="63">
          <cell r="AL63" t="str">
            <v>g/140ml</v>
          </cell>
        </row>
        <row r="64">
          <cell r="AL64" t="str">
            <v>g/140ml</v>
          </cell>
        </row>
        <row r="65">
          <cell r="AL65" t="str">
            <v>mS/cm</v>
          </cell>
        </row>
        <row r="66">
          <cell r="AL66" t="str">
            <v>--- RESULTATS EXPRIMES EN MG/L D'EXTRAIT ---</v>
          </cell>
        </row>
        <row r="67">
          <cell r="AL67" t="str">
            <v>meq/100g</v>
          </cell>
        </row>
        <row r="68">
          <cell r="AL68" t="str">
            <v>RESULTATS D'ANALYSE DE SUPPORT DE CULTURE</v>
          </cell>
        </row>
        <row r="69">
          <cell r="AL69" t="str">
            <v>(Analyse chimique EAV 1/1.5 et Eléments échangeables)</v>
          </cell>
        </row>
      </sheetData>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V"/>
      <sheetName val="LCN"/>
      <sheetName val="BD1"/>
      <sheetName val="Suivi Hebdo"/>
      <sheetName val="remarques"/>
      <sheetName val="Feuil1"/>
    </sheetNames>
    <sheetDataSet>
      <sheetData sheetId="0"/>
      <sheetData sheetId="1"/>
      <sheetData sheetId="2">
        <row r="1">
          <cell r="K1" t="str">
            <v>Culture</v>
          </cell>
        </row>
      </sheetData>
      <sheetData sheetId="3"/>
      <sheetData sheetId="4"/>
      <sheetData sheetId="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2"/>
      <sheetName val="Feuil1"/>
      <sheetName val="eaux"/>
    </sheetNames>
    <sheetDataSet>
      <sheetData sheetId="0" refreshError="1"/>
      <sheetData sheetId="1" refreshError="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pport"/>
      <sheetName val="Avis"/>
      <sheetName val="Calcul"/>
      <sheetName val="data com"/>
      <sheetName val="VBA"/>
    </sheetNames>
    <sheetDataSet>
      <sheetData sheetId="0" refreshError="1">
        <row r="17">
          <cell r="B17">
            <v>36</v>
          </cell>
        </row>
        <row r="45">
          <cell r="B45">
            <v>8.8000000000000007</v>
          </cell>
        </row>
      </sheetData>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MENDEMENTS et COMPOSTS"/>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1"/>
      <sheetName val="TCD"/>
      <sheetName val="BD1"/>
      <sheetName val="DATA"/>
      <sheetName val="BD1_LACQ2.xlsx"/>
      <sheetName val="Feuil2"/>
      <sheetName val="BD1_LACQ2"/>
    </sheetNames>
    <sheetDataSet>
      <sheetData sheetId="0"/>
      <sheetData sheetId="1"/>
      <sheetData sheetId="2"/>
      <sheetData sheetId="3"/>
      <sheetData sheetId="4" refreshError="1"/>
      <sheetData sheetId="5"/>
      <sheetData sheetId="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Code"/>
      <sheetName val="Feuil1"/>
      <sheetName val="Feuil3"/>
      <sheetName val="Feuil4"/>
      <sheetName val="Feuil5"/>
      <sheetName val="Feuil6"/>
      <sheetName val="Feuil7"/>
      <sheetName val="Feuil8"/>
      <sheetName val="Feuil9"/>
      <sheetName val="Feuil10"/>
      <sheetName val="Feuil11"/>
      <sheetName val="Feuil12"/>
      <sheetName val="TCD"/>
      <sheetName val="BD1"/>
      <sheetName val="Potabilité"/>
      <sheetName val="Irrigation"/>
      <sheetName val="Biofertilisants"/>
      <sheetName val="Végétaux"/>
      <sheetName val="Feuil2"/>
      <sheetName val="QUARANTAIRE"/>
      <sheetName val="BD1_LACQ2.xlsx"/>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1"/>
      <sheetName val="Feuil2"/>
      <sheetName val="TCD"/>
      <sheetName val="Feuil3"/>
      <sheetName val="Feuil6"/>
      <sheetName val="Feuil7"/>
      <sheetName val="Feuil9"/>
      <sheetName val="Feuil10"/>
      <sheetName val="TCD 2021"/>
      <sheetName val="Feuil4"/>
      <sheetName val="Feuil5"/>
      <sheetName val="BD1"/>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COMMERCIAL</v>
          </cell>
          <cell r="C1" t="str">
            <v>ZONE</v>
          </cell>
        </row>
        <row r="2">
          <cell r="B2" t="str">
            <v>M. BRAHIM ANIJI</v>
          </cell>
          <cell r="C2" t="str">
            <v>CHAOUIA</v>
          </cell>
        </row>
        <row r="3">
          <cell r="B3" t="str">
            <v xml:space="preserve">M BOURAS ABDELLAH </v>
          </cell>
          <cell r="C3" t="str">
            <v>SOUSS-MASSA</v>
          </cell>
        </row>
        <row r="4">
          <cell r="B4" t="str">
            <v>M. MOHAMED AIT M'HAMED</v>
          </cell>
          <cell r="C4" t="str">
            <v>SOUSS-MASSA</v>
          </cell>
        </row>
        <row r="5">
          <cell r="B5" t="str">
            <v>M. MUSTAPHA EL HOUARI</v>
          </cell>
          <cell r="C5" t="str">
            <v>CENTRE EL HAOUZ</v>
          </cell>
        </row>
        <row r="6">
          <cell r="B6" t="str">
            <v>M. AASSILA KARIM</v>
          </cell>
          <cell r="C6" t="str">
            <v>ORIENTAL</v>
          </cell>
        </row>
        <row r="7">
          <cell r="B7" t="str">
            <v>Mme. OUIAM ELGHAZOUANI</v>
          </cell>
          <cell r="C7" t="str">
            <v>EV MAROC</v>
          </cell>
        </row>
        <row r="8">
          <cell r="B8" t="str">
            <v>M. AZGUAR MOHAMED</v>
          </cell>
          <cell r="C8" t="str">
            <v>EL GHARB</v>
          </cell>
        </row>
        <row r="9">
          <cell r="B9" t="str">
            <v>M. SAID AKHOULF</v>
          </cell>
          <cell r="C9" t="str">
            <v>EL GHARB</v>
          </cell>
        </row>
        <row r="10">
          <cell r="B10" t="str">
            <v>M.Mohamed EL AYADI</v>
          </cell>
          <cell r="C10" t="str">
            <v>EV MAROC</v>
          </cell>
        </row>
        <row r="11">
          <cell r="B11" t="str">
            <v>M. ANAS ELGHALI</v>
          </cell>
          <cell r="C11" t="str">
            <v>ERRACHIDIA</v>
          </cell>
        </row>
        <row r="12">
          <cell r="B12" t="str">
            <v>CLIENT</v>
          </cell>
          <cell r="C12" t="str">
            <v>DIRECT</v>
          </cell>
        </row>
        <row r="13">
          <cell r="B13" t="str">
            <v>EV MALI</v>
          </cell>
          <cell r="C13" t="str">
            <v>EV MALI</v>
          </cell>
        </row>
        <row r="14">
          <cell r="B14" t="str">
            <v>M. SELLOUM BOUCHAIB</v>
          </cell>
          <cell r="C14" t="str">
            <v>SOUSS-MASSA</v>
          </cell>
        </row>
        <row r="15">
          <cell r="B15" t="str">
            <v>BIPEA</v>
          </cell>
          <cell r="C15" t="str">
            <v>BIPEA</v>
          </cell>
        </row>
        <row r="16">
          <cell r="B16" t="str">
            <v>CLINIQUE DES PLANTES</v>
          </cell>
          <cell r="C16" t="str">
            <v>CLINIQUE DES PLANTES</v>
          </cell>
        </row>
        <row r="17">
          <cell r="B17" t="str">
            <v>Maxime CHEVRY</v>
          </cell>
          <cell r="C17" t="str">
            <v>Bio3G</v>
          </cell>
        </row>
        <row r="18">
          <cell r="B18" t="str">
            <v>Julein GUICNAND</v>
          </cell>
          <cell r="C18" t="str">
            <v>Bio3G</v>
          </cell>
        </row>
        <row r="19">
          <cell r="B19" t="str">
            <v xml:space="preserve">Coralie ROBBE </v>
          </cell>
          <cell r="C19" t="str">
            <v>Bio3G</v>
          </cell>
        </row>
        <row r="20">
          <cell r="B20" t="str">
            <v xml:space="preserve">Baier FABIEN </v>
          </cell>
          <cell r="C20" t="str">
            <v>Bio3G</v>
          </cell>
        </row>
        <row r="21">
          <cell r="B21" t="str">
            <v xml:space="preserve">Elodie DETCHENIQUE </v>
          </cell>
          <cell r="C21" t="str">
            <v>Bio3G</v>
          </cell>
        </row>
        <row r="22">
          <cell r="B22" t="str">
            <v xml:space="preserve">BURGIN Stefane </v>
          </cell>
          <cell r="C22" t="str">
            <v>Bio3G</v>
          </cell>
        </row>
        <row r="23">
          <cell r="B23" t="str">
            <v xml:space="preserve">REMI PESSET </v>
          </cell>
          <cell r="C23" t="str">
            <v>Bio3G</v>
          </cell>
        </row>
        <row r="24">
          <cell r="B24" t="str">
            <v xml:space="preserve">LEVIVIER Sylvie </v>
          </cell>
          <cell r="C24" t="str">
            <v>Bio3G</v>
          </cell>
        </row>
        <row r="25">
          <cell r="B25" t="str">
            <v xml:space="preserve">SIRON Frédéric </v>
          </cell>
          <cell r="C25" t="str">
            <v>Bio3G</v>
          </cell>
        </row>
        <row r="26">
          <cell r="B26" t="str">
            <v>EV SENEGAL</v>
          </cell>
          <cell r="C26" t="str">
            <v>EV SENEGAL</v>
          </cell>
        </row>
        <row r="27">
          <cell r="B27" t="str">
            <v>MME. SIHAM MEREZAK</v>
          </cell>
          <cell r="C27" t="str">
            <v>EV MAROC</v>
          </cell>
        </row>
        <row r="28">
          <cell r="B28" t="str">
            <v>M. F.L Mounkoro</v>
          </cell>
          <cell r="C28" t="str">
            <v>EV MALI</v>
          </cell>
        </row>
        <row r="29">
          <cell r="B29" t="str">
            <v>EVFR</v>
          </cell>
          <cell r="C29" t="str">
            <v xml:space="preserve">France </v>
          </cell>
        </row>
        <row r="30">
          <cell r="B30" t="str">
            <v>OUIAM ELGHAZOUANI-DOC</v>
          </cell>
          <cell r="C30" t="str">
            <v>DOCTORAT</v>
          </cell>
        </row>
        <row r="31">
          <cell r="B31" t="str">
            <v xml:space="preserve">Mohammed BOUTGOURINE </v>
          </cell>
          <cell r="C31" t="str">
            <v>Souss-Massa</v>
          </cell>
        </row>
        <row r="32">
          <cell r="B32" t="str">
            <v>ABDELJALIL BOUFOUSSI</v>
          </cell>
          <cell r="C32" t="str">
            <v>Souss-Massa</v>
          </cell>
        </row>
        <row r="33">
          <cell r="B33" t="str">
            <v>Amine LAMNAOUAR</v>
          </cell>
          <cell r="C33" t="str">
            <v>Souss-Massa</v>
          </cell>
        </row>
        <row r="34">
          <cell r="B34" t="str">
            <v>MUSTAPHA  EL HASSANI</v>
          </cell>
          <cell r="C34" t="str">
            <v>Souss-Massa</v>
          </cell>
        </row>
        <row r="35">
          <cell r="B35" t="str">
            <v>Mohammed BENZINE</v>
          </cell>
          <cell r="C35" t="str">
            <v>Souss-Massa</v>
          </cell>
        </row>
        <row r="36">
          <cell r="B36" t="str">
            <v>Ait M'hamed m'hamed</v>
          </cell>
          <cell r="C36" t="str">
            <v>Souss-Massa</v>
          </cell>
        </row>
        <row r="37">
          <cell r="B37" t="str">
            <v>BENTAARITE MED AMINE</v>
          </cell>
          <cell r="C37" t="str">
            <v>Souss-Massa</v>
          </cell>
        </row>
        <row r="38">
          <cell r="B38" t="str">
            <v>IDRISS EL BAZ</v>
          </cell>
          <cell r="C38" t="str">
            <v>Souss-Massa</v>
          </cell>
        </row>
        <row r="39">
          <cell r="B39" t="str">
            <v xml:space="preserve">TOUIL FOUAD </v>
          </cell>
          <cell r="C39" t="str">
            <v>Tardoudant-Ouarzazate</v>
          </cell>
        </row>
        <row r="40">
          <cell r="B40" t="str">
            <v xml:space="preserve">ABDELKARIM AZELMAD </v>
          </cell>
          <cell r="C40" t="str">
            <v>Tardoudant-Ouarzazate</v>
          </cell>
        </row>
        <row r="41">
          <cell r="B41" t="str">
            <v>AHMAD MOUTAWAKIL</v>
          </cell>
          <cell r="C41" t="str">
            <v>Tardoudant-Ouarzazate</v>
          </cell>
        </row>
        <row r="42">
          <cell r="B42" t="str">
            <v xml:space="preserve">HICHAM HARRAT </v>
          </cell>
          <cell r="C42" t="str">
            <v>Tardoudant-Ouarzazate</v>
          </cell>
        </row>
        <row r="43">
          <cell r="B43" t="str">
            <v xml:space="preserve">HAMID BAHTAT </v>
          </cell>
          <cell r="C43" t="str">
            <v>Tardoudant-Ouarzazate</v>
          </cell>
        </row>
        <row r="44">
          <cell r="B44" t="str">
            <v xml:space="preserve">ABDELALI BOUFALA </v>
          </cell>
          <cell r="C44" t="str">
            <v>Gharb</v>
          </cell>
        </row>
        <row r="45">
          <cell r="B45" t="str">
            <v xml:space="preserve">AZOUGAGH NOUREDDINE </v>
          </cell>
          <cell r="C45" t="str">
            <v>Gharb</v>
          </cell>
        </row>
        <row r="46">
          <cell r="B46" t="str">
            <v xml:space="preserve">BOUCHTA BENHANINE </v>
          </cell>
          <cell r="C46" t="str">
            <v>Gharb</v>
          </cell>
        </row>
        <row r="47">
          <cell r="B47" t="str">
            <v xml:space="preserve">MOUHSINE ABOUT </v>
          </cell>
          <cell r="C47" t="str">
            <v>Gharb</v>
          </cell>
        </row>
        <row r="48">
          <cell r="B48" t="str">
            <v xml:space="preserve">ALI AIT ASSOU </v>
          </cell>
          <cell r="C48" t="str">
            <v>Atlas-Draa</v>
          </cell>
        </row>
        <row r="49">
          <cell r="B49" t="str">
            <v xml:space="preserve">Abdelah SALIMI </v>
          </cell>
          <cell r="C49" t="str">
            <v>Atlas-Draa</v>
          </cell>
        </row>
        <row r="50">
          <cell r="B50" t="str">
            <v xml:space="preserve">MOHAMMED EL ABBASI </v>
          </cell>
          <cell r="C50" t="str">
            <v>Atlas-Draa</v>
          </cell>
        </row>
        <row r="51">
          <cell r="B51" t="str">
            <v>HASSANE BAOUHAM</v>
          </cell>
          <cell r="C51" t="str">
            <v>Atlas-Draa</v>
          </cell>
        </row>
        <row r="52">
          <cell r="B52" t="str">
            <v>AYOUB WOUAI</v>
          </cell>
          <cell r="C52" t="str">
            <v>Centre ouest</v>
          </cell>
        </row>
        <row r="53">
          <cell r="B53" t="str">
            <v xml:space="preserve">AMINE CHEBLI </v>
          </cell>
          <cell r="C53" t="str">
            <v>Centre ouest</v>
          </cell>
        </row>
        <row r="54">
          <cell r="B54" t="str">
            <v>LABDALLAOUI NABIL</v>
          </cell>
          <cell r="C54" t="str">
            <v>Centre ouest</v>
          </cell>
        </row>
        <row r="55">
          <cell r="B55" t="str">
            <v>MOHCINE OTMANE</v>
          </cell>
          <cell r="C55" t="str">
            <v>Centre ouest</v>
          </cell>
        </row>
        <row r="56">
          <cell r="B56" t="str">
            <v>MUSTAPHA AZZAKANI</v>
          </cell>
          <cell r="C56" t="str">
            <v>Centre ouest</v>
          </cell>
        </row>
        <row r="57">
          <cell r="B57" t="str">
            <v xml:space="preserve">ISSAM TALBI </v>
          </cell>
          <cell r="C57" t="str">
            <v>Centre ouest</v>
          </cell>
        </row>
        <row r="58">
          <cell r="B58" t="str">
            <v>ZINEB ABBAD</v>
          </cell>
          <cell r="C58" t="str">
            <v>Centre ouest</v>
          </cell>
        </row>
        <row r="59">
          <cell r="B59" t="str">
            <v xml:space="preserve">HICHAM ENNOUBI </v>
          </cell>
          <cell r="C59" t="str">
            <v>Centre Sud</v>
          </cell>
        </row>
        <row r="60">
          <cell r="B60" t="str">
            <v xml:space="preserve">ABDERAHIM MAROUI </v>
          </cell>
          <cell r="C60" t="str">
            <v>Centre Sud</v>
          </cell>
        </row>
        <row r="61">
          <cell r="B61" t="str">
            <v xml:space="preserve">LAMIAE ABOUNE </v>
          </cell>
          <cell r="C61" t="str">
            <v>Centre Sud</v>
          </cell>
        </row>
        <row r="62">
          <cell r="B62" t="str">
            <v>BOUCHAIB HOURRANE</v>
          </cell>
          <cell r="C62" t="str">
            <v>Centre Sud</v>
          </cell>
        </row>
        <row r="63">
          <cell r="B63" t="str">
            <v>Samir BOUHAL</v>
          </cell>
          <cell r="C63" t="str">
            <v>Centre Sud</v>
          </cell>
        </row>
        <row r="64">
          <cell r="B64" t="str">
            <v xml:space="preserve">MUSTAPHA BAKHOU </v>
          </cell>
          <cell r="C64" t="str">
            <v>Centre Sud</v>
          </cell>
        </row>
        <row r="65">
          <cell r="B65" t="str">
            <v xml:space="preserve">Noureddine Kordass </v>
          </cell>
          <cell r="C65" t="str">
            <v>Nord ouest</v>
          </cell>
        </row>
        <row r="66">
          <cell r="B66" t="str">
            <v>ALI EL AYOUNI</v>
          </cell>
          <cell r="C66" t="str">
            <v>Nord ouest</v>
          </cell>
        </row>
        <row r="67">
          <cell r="B67" t="str">
            <v xml:space="preserve">AYOUB HOURMA </v>
          </cell>
          <cell r="C67" t="str">
            <v>Nord ouest</v>
          </cell>
        </row>
        <row r="68">
          <cell r="B68" t="str">
            <v>Meryama OUHNINI</v>
          </cell>
          <cell r="C68" t="str">
            <v>Nord ouest</v>
          </cell>
        </row>
        <row r="69">
          <cell r="B69" t="str">
            <v xml:space="preserve">YOUSSEF RACHID </v>
          </cell>
          <cell r="C69" t="str">
            <v>Meknès-Saîs</v>
          </cell>
        </row>
        <row r="70">
          <cell r="B70" t="str">
            <v xml:space="preserve">KHALID ZOUAK </v>
          </cell>
          <cell r="C70" t="str">
            <v>Meknès-Saîs</v>
          </cell>
        </row>
        <row r="71">
          <cell r="B71" t="str">
            <v xml:space="preserve">OUSSAMA ZBITA </v>
          </cell>
          <cell r="C71" t="str">
            <v>Meknès-Saîs</v>
          </cell>
        </row>
        <row r="72">
          <cell r="B72" t="str">
            <v xml:space="preserve">OUIAM BEN CHARAF </v>
          </cell>
          <cell r="C72" t="str">
            <v>Meknès-Saîs</v>
          </cell>
        </row>
        <row r="73">
          <cell r="B73" t="str">
            <v xml:space="preserve">YASSINE FARAJ </v>
          </cell>
          <cell r="C73" t="str">
            <v>Meknès-Saîs</v>
          </cell>
        </row>
        <row r="74">
          <cell r="B74" t="str">
            <v xml:space="preserve">ADIL EL MAHFOUDI </v>
          </cell>
          <cell r="C74" t="str">
            <v>Meknès-Saîs</v>
          </cell>
        </row>
        <row r="75">
          <cell r="B75" t="str">
            <v xml:space="preserve">ZAKARIA EL KABBAJ </v>
          </cell>
          <cell r="C75" t="str">
            <v>Oriental</v>
          </cell>
        </row>
        <row r="76">
          <cell r="B76" t="str">
            <v>CHAKIB HAMZA</v>
          </cell>
          <cell r="C76" t="str">
            <v>Oriental</v>
          </cell>
        </row>
        <row r="77">
          <cell r="B77" t="str">
            <v xml:space="preserve">MOHAMED EL ABDELLAOUI </v>
          </cell>
          <cell r="C77" t="str">
            <v>Oriental</v>
          </cell>
        </row>
        <row r="78">
          <cell r="B78" t="str">
            <v xml:space="preserve">KAMAL HADDI </v>
          </cell>
          <cell r="C78" t="str">
            <v>Oriental</v>
          </cell>
        </row>
        <row r="79">
          <cell r="B79" t="str">
            <v>MEYSAA BENAMAR</v>
          </cell>
          <cell r="C79" t="str">
            <v>Oriental</v>
          </cell>
        </row>
        <row r="80">
          <cell r="B80" t="str">
            <v>MONSIF BAHIA</v>
          </cell>
          <cell r="C80" t="str">
            <v>Centre Sud</v>
          </cell>
        </row>
        <row r="81">
          <cell r="B81" t="str">
            <v>M.Abdelaziz Mahfoud</v>
          </cell>
          <cell r="C81" t="str">
            <v>EVM</v>
          </cell>
        </row>
        <row r="82">
          <cell r="B82" t="str">
            <v>EV KENYA</v>
          </cell>
          <cell r="C82" t="str">
            <v>KENYA</v>
          </cell>
        </row>
        <row r="83">
          <cell r="B83" t="str">
            <v>Redouane nda</v>
          </cell>
          <cell r="C83" t="str">
            <v>EVM</v>
          </cell>
        </row>
        <row r="84">
          <cell r="B84" t="str">
            <v>AYOUB HAJJAJ</v>
          </cell>
          <cell r="C84" t="str">
            <v>Meknès-Saîs</v>
          </cell>
        </row>
        <row r="85">
          <cell r="B85" t="str">
            <v>M. MUSTAPHA EL HOUARI</v>
          </cell>
          <cell r="C85" t="str">
            <v>Atlas-Draa</v>
          </cell>
        </row>
        <row r="86">
          <cell r="B86" t="str">
            <v>EVM Marketing</v>
          </cell>
          <cell r="C86" t="str">
            <v>EVM</v>
          </cell>
        </row>
        <row r="87">
          <cell r="B87" t="str">
            <v>M. AZGUAR MOHAMED</v>
          </cell>
          <cell r="C87" t="str">
            <v>Gharb</v>
          </cell>
        </row>
        <row r="88">
          <cell r="B88" t="str">
            <v>FATIMA ZAHRAE MAMOUNI</v>
          </cell>
          <cell r="C88" t="str">
            <v>EVM DEVELOPMENT</v>
          </cell>
        </row>
        <row r="89">
          <cell r="B89" t="str">
            <v>ABDELWAHID EL GAHHAZ</v>
          </cell>
          <cell r="C89" t="str">
            <v>Centre ouest</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s>
    <sheetDataSet>
      <sheetData sheetId="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s>
    <sheetDataSet>
      <sheetData sheetId="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Code"/>
      <sheetName val="Feuil1"/>
      <sheetName val="BD1"/>
      <sheetName val="Potabilité"/>
      <sheetName val="Irrigation"/>
      <sheetName val="Biofertilisants"/>
      <sheetName val="Végétaux"/>
      <sheetName val="BD1_LACQ.xlsx"/>
      <sheetName val="TCD"/>
      <sheetName val="Feuil2"/>
    </sheetNames>
    <sheetDataSet>
      <sheetData sheetId="0"/>
      <sheetData sheetId="1"/>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F"/>
      <sheetName val="BD1"/>
      <sheetName val="DATA"/>
      <sheetName val="FF.xlsx"/>
    </sheetNames>
    <sheetDataSet>
      <sheetData sheetId="0" refreshError="1"/>
      <sheetData sheetId="1"/>
      <sheetData sheetId="2"/>
      <sheetData sheetId="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s>
    <sheetDataSet>
      <sheetData sheetId="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s>
    <sheetDataSet>
      <sheetData sheetId="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s>
    <sheetDataSet>
      <sheetData sheetId="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s>
    <sheetDataSet>
      <sheetData sheetId="0" refreshError="1"/>
    </sheetDataSet>
  </externalBook>
</externalLink>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1.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008000"/>
    <pageSetUpPr fitToPage="1"/>
  </sheetPr>
  <dimension ref="A1:BC46"/>
  <sheetViews>
    <sheetView showGridLines="0" view="pageBreakPreview" zoomScaleNormal="100" zoomScaleSheetLayoutView="100" workbookViewId="0"/>
  </sheetViews>
  <sheetFormatPr baseColWidth="10" defaultColWidth="10.8984375" defaultRowHeight="16.2"/>
  <cols>
    <col min="1" max="1" width="30.8984375" style="18" customWidth="1"/>
    <col min="2" max="2" width="7.8984375" style="18" customWidth="1"/>
    <col min="3" max="3" width="19.59765625" style="21" customWidth="1"/>
    <col min="4" max="4" width="15.8984375" style="18" customWidth="1"/>
    <col min="5" max="5" width="13" style="18" customWidth="1"/>
    <col min="6" max="6" width="15.3984375" style="18" customWidth="1"/>
    <col min="7" max="8" width="11.59765625" style="18" customWidth="1"/>
    <col min="9" max="9" width="11.69921875" style="18" customWidth="1"/>
    <col min="10" max="10" width="10.8984375" style="18" hidden="1" customWidth="1"/>
    <col min="11" max="12" width="10.8984375" style="21" hidden="1" customWidth="1"/>
    <col min="13" max="13" width="11.59765625" style="21" hidden="1" customWidth="1"/>
    <col min="14" max="21" width="10.8984375" style="18" hidden="1" customWidth="1"/>
    <col min="22" max="22" width="10.8984375" style="188" hidden="1" customWidth="1"/>
    <col min="23" max="51" width="10.8984375" style="188" customWidth="1"/>
    <col min="52" max="55" width="10.8984375" style="188"/>
    <col min="56" max="16384" width="10.8984375" style="18"/>
  </cols>
  <sheetData>
    <row r="1" spans="1:22" ht="15.9" customHeight="1">
      <c r="C1" s="956"/>
      <c r="D1" s="1020" t="str">
        <f>"RAPPORT D’ANALYSE D’EAU D’IRRIGATION  N°EAU"&amp;G8</f>
        <v>RAPPORT D’ANALYSE D’EAU D’IRRIGATION  N°EAU100078</v>
      </c>
      <c r="E1" s="1020"/>
      <c r="F1" s="1020"/>
      <c r="G1" s="1020"/>
      <c r="H1" s="956"/>
      <c r="V1" s="887" t="s">
        <v>1212</v>
      </c>
    </row>
    <row r="2" spans="1:22" ht="11.1" customHeight="1">
      <c r="C2" s="956"/>
      <c r="D2" s="1020"/>
      <c r="E2" s="1020"/>
      <c r="F2" s="1020"/>
      <c r="G2" s="1020"/>
      <c r="H2" s="956"/>
      <c r="V2" s="887" t="s">
        <v>1211</v>
      </c>
    </row>
    <row r="3" spans="1:22" ht="11.1" customHeight="1">
      <c r="C3" s="956"/>
      <c r="D3" s="1020"/>
      <c r="E3" s="1020"/>
      <c r="F3" s="1020"/>
      <c r="G3" s="1020"/>
      <c r="H3" s="956"/>
      <c r="V3" s="188" t="str">
        <f>"C:\Users\Amine Bouslamti\Documents\mes docs\EAU"&amp;G8&amp;"_"&amp;B7&amp;"_"&amp;B14</f>
        <v>C:\Users\Amine Bouslamti\Documents\mes docs\EAU100078_ABDELLAOUI ANDALOUSSI MAANE MOHAMED_E2</v>
      </c>
    </row>
    <row r="4" spans="1:22" ht="12.9" customHeight="1">
      <c r="A4" s="18" t="s">
        <v>1273</v>
      </c>
      <c r="C4" s="956"/>
      <c r="D4" s="1020"/>
      <c r="E4" s="1020"/>
      <c r="F4" s="1020"/>
      <c r="G4" s="1020"/>
      <c r="H4" s="956"/>
    </row>
    <row r="5" spans="1:22" ht="20.100000000000001" customHeight="1">
      <c r="A5" s="79" t="s">
        <v>305</v>
      </c>
      <c r="C5" s="19"/>
      <c r="D5" s="1020"/>
      <c r="E5" s="1020"/>
      <c r="F5" s="1020"/>
      <c r="G5" s="1020"/>
    </row>
    <row r="6" spans="1:22" ht="18" customHeight="1">
      <c r="A6" s="80" t="s">
        <v>1276</v>
      </c>
      <c r="C6" s="19"/>
      <c r="D6" s="20"/>
      <c r="E6" s="20"/>
      <c r="H6" s="1019" t="s">
        <v>329</v>
      </c>
      <c r="I6" s="1019"/>
    </row>
    <row r="7" spans="1:22" ht="17.100000000000001" customHeight="1">
      <c r="A7" s="82" t="s">
        <v>299</v>
      </c>
      <c r="B7" s="1018" t="str">
        <f>UPPER('VBA2'!B6)</f>
        <v>ABDELLAOUI ANDALOUSSI MAANE MOHAMED</v>
      </c>
      <c r="C7" s="1018"/>
      <c r="D7" s="1018"/>
      <c r="E7" s="1013" t="s">
        <v>289</v>
      </c>
      <c r="F7" s="1013"/>
      <c r="G7" s="1017" t="str">
        <f>'VBA2'!P6</f>
        <v>LABDALLAOUI NABIL</v>
      </c>
      <c r="H7" s="1017"/>
      <c r="I7" s="1017"/>
    </row>
    <row r="8" spans="1:22" ht="17.100000000000001" customHeight="1">
      <c r="A8" s="82" t="s">
        <v>298</v>
      </c>
      <c r="B8" s="1012" t="str">
        <f>IF('VBA2'!D6="","",'VBA2'!D6)</f>
        <v>A 206731</v>
      </c>
      <c r="C8" s="1012"/>
      <c r="D8" s="1012"/>
      <c r="E8" s="1013" t="s">
        <v>290</v>
      </c>
      <c r="F8" s="1013"/>
      <c r="G8" s="1012">
        <f>'VBA2'!A6</f>
        <v>100078</v>
      </c>
      <c r="H8" s="1012"/>
      <c r="I8" s="1012"/>
    </row>
    <row r="9" spans="1:22" ht="17.100000000000001" customHeight="1">
      <c r="A9" s="82" t="s">
        <v>297</v>
      </c>
      <c r="B9" s="1012" t="str">
        <f>IF('VBA2'!C6="","",'VBA2'!C6)</f>
        <v>SECT 11 BLOC F N°9 HAY RIAD RABAT</v>
      </c>
      <c r="C9" s="1012"/>
      <c r="D9" s="1012"/>
      <c r="E9" s="1013" t="s">
        <v>287</v>
      </c>
      <c r="F9" s="1013"/>
      <c r="G9" s="1017" t="str">
        <f>'VBA2'!AC6&amp;"°C"</f>
        <v>4,8°C</v>
      </c>
      <c r="H9" s="1017"/>
      <c r="I9" s="1017"/>
    </row>
    <row r="10" spans="1:22" ht="17.100000000000001" customHeight="1">
      <c r="A10" s="82" t="s">
        <v>300</v>
      </c>
      <c r="B10" s="1012" t="str">
        <f>IF('VBA2'!L6="","",'VBA2'!L6)</f>
        <v>_</v>
      </c>
      <c r="C10" s="1012"/>
      <c r="D10" s="1012"/>
      <c r="E10" s="1013" t="s">
        <v>292</v>
      </c>
      <c r="F10" s="1013"/>
      <c r="G10" s="1017">
        <f>'VBA2'!O6</f>
        <v>44327</v>
      </c>
      <c r="H10" s="1017"/>
      <c r="I10" s="1017"/>
    </row>
    <row r="11" spans="1:22" ht="17.100000000000001" customHeight="1">
      <c r="A11" s="82" t="s">
        <v>296</v>
      </c>
      <c r="B11" s="1012" t="str">
        <f>IF('VBA2'!M6="","",'VBA2'!M6)</f>
        <v>_</v>
      </c>
      <c r="C11" s="1012"/>
      <c r="D11" s="1012"/>
      <c r="E11" s="1013" t="s">
        <v>291</v>
      </c>
      <c r="F11" s="1013"/>
      <c r="G11" s="1017">
        <f>'VBA2'!E6</f>
        <v>44327</v>
      </c>
      <c r="H11" s="1017"/>
      <c r="I11" s="1017"/>
      <c r="K11" s="92"/>
    </row>
    <row r="12" spans="1:22" ht="17.100000000000001" customHeight="1">
      <c r="A12" s="82" t="s">
        <v>301</v>
      </c>
      <c r="B12" s="1012" t="str">
        <f>'VBA2'!J6</f>
        <v>EAU DE PUITS</v>
      </c>
      <c r="C12" s="1012"/>
      <c r="D12" s="1012"/>
      <c r="E12" s="1013" t="s">
        <v>293</v>
      </c>
      <c r="F12" s="1013"/>
      <c r="G12" s="1017">
        <f>G11</f>
        <v>44327</v>
      </c>
      <c r="H12" s="1017"/>
      <c r="I12" s="1017"/>
      <c r="K12" s="92"/>
    </row>
    <row r="13" spans="1:22" ht="17.100000000000001" customHeight="1">
      <c r="A13" s="82" t="s">
        <v>310</v>
      </c>
      <c r="B13" s="1012" t="str">
        <f>'VBA2'!X6&amp;"  "&amp;'VBA2'!Y6</f>
        <v xml:space="preserve">  </v>
      </c>
      <c r="C13" s="1012"/>
      <c r="D13" s="1012"/>
      <c r="E13" s="1013" t="s">
        <v>294</v>
      </c>
      <c r="F13" s="1013"/>
      <c r="G13" s="1017">
        <f ca="1">TODAY()</f>
        <v>45009</v>
      </c>
      <c r="H13" s="1017"/>
      <c r="I13" s="1017"/>
      <c r="K13" s="92"/>
    </row>
    <row r="14" spans="1:22" ht="17.100000000000001" customHeight="1">
      <c r="A14" s="82" t="s">
        <v>295</v>
      </c>
      <c r="B14" s="1014" t="str">
        <f>IF('VBA2'!K6="","",'VBA2'!K6)</f>
        <v>E2</v>
      </c>
      <c r="C14" s="1015"/>
      <c r="D14" s="1015"/>
      <c r="E14" s="1015"/>
      <c r="F14" s="1015"/>
      <c r="G14" s="1015"/>
      <c r="H14" s="1015"/>
      <c r="I14" s="1016"/>
      <c r="K14" s="92"/>
    </row>
    <row r="15" spans="1:22" ht="17.100000000000001" customHeight="1">
      <c r="C15" s="18"/>
      <c r="E15" s="1013" t="s">
        <v>311</v>
      </c>
      <c r="F15" s="1013"/>
      <c r="G15" s="1018" t="str">
        <f>IF('VBA2'!Z6="","",'VBA2'!Z6)</f>
        <v/>
      </c>
      <c r="H15" s="1018"/>
      <c r="I15" s="1018"/>
      <c r="K15" s="92"/>
    </row>
    <row r="16" spans="1:22" ht="11.1" customHeight="1"/>
    <row r="17" spans="1:18" ht="17.100000000000001" customHeight="1">
      <c r="A17" s="997" t="s">
        <v>2</v>
      </c>
      <c r="B17" s="1000" t="s">
        <v>3</v>
      </c>
      <c r="C17" s="1000" t="s">
        <v>263</v>
      </c>
      <c r="D17" s="1002" t="s">
        <v>281</v>
      </c>
      <c r="E17" s="1003"/>
      <c r="F17" s="1000" t="s">
        <v>280</v>
      </c>
      <c r="G17" s="989" t="s">
        <v>4</v>
      </c>
      <c r="H17" s="990"/>
      <c r="I17" s="991"/>
    </row>
    <row r="18" spans="1:18" ht="15.9" customHeight="1">
      <c r="A18" s="998"/>
      <c r="B18" s="1001"/>
      <c r="C18" s="1001"/>
      <c r="D18" s="1004"/>
      <c r="E18" s="1005"/>
      <c r="F18" s="1001"/>
      <c r="G18" s="22" t="s">
        <v>282</v>
      </c>
      <c r="H18" s="23" t="s">
        <v>283</v>
      </c>
      <c r="I18" s="24" t="s">
        <v>284</v>
      </c>
    </row>
    <row r="19" spans="1:18" ht="23.1" customHeight="1">
      <c r="A19" s="25" t="s">
        <v>275</v>
      </c>
      <c r="B19" s="26"/>
      <c r="C19" s="26"/>
      <c r="D19" s="27"/>
      <c r="E19" s="27"/>
      <c r="F19" s="26"/>
      <c r="G19" s="28"/>
      <c r="H19" s="29"/>
      <c r="I19" s="29"/>
      <c r="K19" s="21" t="s">
        <v>288</v>
      </c>
      <c r="L19" s="78" t="s">
        <v>268</v>
      </c>
      <c r="M19" s="78" t="s">
        <v>269</v>
      </c>
      <c r="N19" s="93">
        <f>HLOOKUP(B21,'VBA2'!$A$1:$V$3,3,FALSE)*0.902</f>
        <v>0.82262400000000002</v>
      </c>
    </row>
    <row r="20" spans="1:18" ht="23.1" customHeight="1">
      <c r="A20" s="30" t="s">
        <v>322</v>
      </c>
      <c r="B20" s="31" t="s">
        <v>252</v>
      </c>
      <c r="C20" s="939" t="s">
        <v>1237</v>
      </c>
      <c r="D20" s="1008">
        <f>CEILING(HLOOKUP(B20,'VBA2'!$A$1:$V$3,3,FALSE),"0,05")</f>
        <v>6.65</v>
      </c>
      <c r="E20" s="1009"/>
      <c r="F20" s="31" t="str">
        <f>TEXT(L20,"0,00")&amp;" à "&amp;TEXT(M20,"0,00")</f>
        <v>6,50 à 8,40</v>
      </c>
      <c r="G20" s="32" t="str">
        <f>IF(K20=0,"",IF($E$12="D","",IF(K20&lt;=$L20-($M20-$L20),"I"&amp;"IIII",IF(K20&gt;=$M20+($M20-$L20),REPT("I",40)&amp;"I",REPT("I",27+(K20-$L20)/($M20-$L20)*13)&amp;"I"))))</f>
        <v>IIIIIIIIIIIIIIIIIIIIIIIIIIIII</v>
      </c>
      <c r="H20" s="33"/>
      <c r="I20" s="34"/>
      <c r="K20" s="92">
        <f>HLOOKUP(B20,'VBA2'!$A$1:$V$3,3,FALSE)</f>
        <v>6.65</v>
      </c>
      <c r="L20" s="78">
        <v>6.5</v>
      </c>
      <c r="M20" s="78">
        <v>8.4</v>
      </c>
    </row>
    <row r="21" spans="1:18" ht="23.1" customHeight="1">
      <c r="A21" s="35" t="s">
        <v>321</v>
      </c>
      <c r="B21" s="36" t="s">
        <v>253</v>
      </c>
      <c r="C21" s="940" t="s">
        <v>1238</v>
      </c>
      <c r="D21" s="987" t="str">
        <f>TEXT(HLOOKUP(B21,'VBA2'!$A$1:$V$3,3,FALSE),"0,00")&amp;" (mS/cm)"</f>
        <v>0,91 (mS/cm)</v>
      </c>
      <c r="E21" s="988"/>
      <c r="F21" s="36" t="str">
        <f>TEXT(L21,"0,00")&amp;" à "&amp;TEXT(M21,"0,00")</f>
        <v>0,70 à 3,00</v>
      </c>
      <c r="G21" s="37" t="str">
        <f>IF(K21=0,"",IF($E$12="D","",IF(K21&lt;=$L21-($M21-$L21),"I"&amp;"IIII",IF(K21&gt;=$M21+($M21-$L21),REPT("I",60)&amp;"I",REPT("I",27+(K21-$L21)/($M21-$L21)*13)&amp;"I"))))</f>
        <v>IIIIIIIIIIIIIIIIIIIIIIIIIIIII</v>
      </c>
      <c r="H21" s="38"/>
      <c r="I21" s="39"/>
      <c r="K21" s="92">
        <f>HLOOKUP(B21,'VBA2'!$A$1:$V$3,3,FALSE)</f>
        <v>0.91200000000000003</v>
      </c>
      <c r="L21" s="93">
        <v>0.7</v>
      </c>
      <c r="M21" s="78">
        <v>3</v>
      </c>
    </row>
    <row r="22" spans="1:18" ht="23.1" customHeight="1">
      <c r="A22" s="35" t="s">
        <v>323</v>
      </c>
      <c r="B22" s="36" t="s">
        <v>253</v>
      </c>
      <c r="C22" s="940" t="s">
        <v>1238</v>
      </c>
      <c r="D22" s="987" t="str">
        <f>TEXT(HLOOKUP(B22,'VBA2'!$A$1:$V$3,3,FALSE),"0,00")*1000&amp;" (µS/cm)"</f>
        <v>910 (µS/cm)</v>
      </c>
      <c r="E22" s="988"/>
      <c r="F22" s="36" t="str">
        <f>TEXT(L21,"0,00")*1000&amp;" à "&amp;TEXT(M21,"0,00")*1000</f>
        <v>700 à 3000</v>
      </c>
      <c r="G22" s="37" t="str">
        <f>+G21</f>
        <v>IIIIIIIIIIIIIIIIIIIIIIIIIIIII</v>
      </c>
      <c r="H22" s="38"/>
      <c r="I22" s="39"/>
      <c r="K22" s="94">
        <f>HLOOKUP(B22,'VBA2'!$A$1:$V$3,3,FALSE)*1000</f>
        <v>912</v>
      </c>
      <c r="L22" s="95">
        <v>700</v>
      </c>
      <c r="M22" s="95">
        <v>3000</v>
      </c>
    </row>
    <row r="23" spans="1:18" ht="23.1" customHeight="1">
      <c r="A23" s="40" t="s">
        <v>285</v>
      </c>
      <c r="B23" s="41" t="s">
        <v>254</v>
      </c>
      <c r="C23" s="42" t="s">
        <v>273</v>
      </c>
      <c r="D23" s="1006" t="str">
        <f>TEXT(IF(K21&lt;0.05,1.365079*K21,IF(K21&lt;0.166,0.947658*K21,IF(K21&lt;0.333,0.769574*K21,IF(K21&lt;0.833,0.71592*K21,IF(K21&lt;10,0.758544*K21,0.850432*K21))))),"0,00")&amp;" (g/l)"</f>
        <v>0,69 (g/l)</v>
      </c>
      <c r="E23" s="1007"/>
      <c r="F23" s="41" t="str">
        <f>TEXT(L23,"0,00")&amp;" à "&amp;TEXT(M23,"0,00")</f>
        <v>0,56 à 2,54</v>
      </c>
      <c r="G23" s="43" t="str">
        <f>IF(K23=0,"",IF($E$12="D","",IF(K23&lt;=$L23-($M23-$L23),"I"&amp;"IIII",IF(K23&gt;=$M23+($M23-$L23),REPT("I",60)&amp;"I",REPT("I",27+(K23-$L23)/($M23-$L23)*13)&amp;"I"))))</f>
        <v>IIIIIIIIIIIIIIIIIIIIIIIIIIII</v>
      </c>
      <c r="H23" s="44"/>
      <c r="I23" s="45"/>
      <c r="K23" s="92">
        <f>IF(K21&lt;0.05,1.365079*K21,IF(K21&lt;0.166,0.947658*K21,IF(K21&lt;0.333,0.769574*K21,IF(K21&lt;0.833,0.71592*K21,IF(K21&lt;10,0.758544*K21,0.850432*K21)))))</f>
        <v>0.69179212800000001</v>
      </c>
      <c r="L23" s="93">
        <f>L21*1.116*0.71592</f>
        <v>0.55927670399999996</v>
      </c>
      <c r="M23" s="93">
        <f>M21*1.116*0.758544</f>
        <v>2.5396053120000004</v>
      </c>
    </row>
    <row r="24" spans="1:18" ht="20.100000000000001" customHeight="1">
      <c r="A24" s="25" t="s">
        <v>286</v>
      </c>
      <c r="B24" s="26"/>
      <c r="C24" s="26"/>
      <c r="D24" s="27"/>
      <c r="E24" s="27"/>
      <c r="F24" s="26"/>
      <c r="G24" s="28"/>
      <c r="H24" s="29"/>
      <c r="I24" s="29"/>
      <c r="L24" s="78"/>
      <c r="M24" s="78"/>
    </row>
    <row r="25" spans="1:18" ht="23.1" customHeight="1">
      <c r="A25" s="30" t="s">
        <v>246</v>
      </c>
      <c r="B25" s="31" t="s">
        <v>255</v>
      </c>
      <c r="C25" s="941" t="s">
        <v>1272</v>
      </c>
      <c r="D25" s="46" t="str">
        <f>IF(HLOOKUP(B25,'VBA2'!$A$1:$V$3,3,FALSE)&lt;0.5,"Inf à 0,5 (mg/l)",IF(HLOOKUP(B25,'VBA2'!$A$1:$V$3,3,FALSE)&lt;9,TEXT(HLOOKUP(B25,'VBA2'!$A$1:$V$3,3,FALSE),"0,00"),IF(HLOOKUP(B25,'VBA2'!$A$1:$V$3,3,FALSE)&gt;100,TEXT(HLOOKUP(B25,'VBA2'!$A$1:$V$3,3,FALSE),"0"),TEXT(HLOOKUP(B25,'VBA2'!$A$1:$V$3,3,FALSE),"0,0")))&amp;" (mg/l)")</f>
        <v>30,1 (mg/l)</v>
      </c>
      <c r="E25" s="47" t="str">
        <f>IF(HLOOKUP(B25,'VBA2'!$A$1:$V$3,3,FALSE)&lt;0.5,"-",TEXT(HLOOKUP(B25,'VBA2'!$A$1:$V$3,3,FALSE)/62,"0,00")&amp;" (méq/L)")</f>
        <v>0,49 (méq/L)</v>
      </c>
      <c r="F25" s="31" t="str">
        <f t="shared" ref="F25:F35" si="0">L25&amp;" à "&amp;M25</f>
        <v>22 à 33</v>
      </c>
      <c r="G25" s="32" t="str">
        <f>IF(R25=0,"",IF($E$12="D","",IF(R25&lt;=$L25-($M25-$L25),"I"&amp;"IIII",IF(R25&gt;=$M25+($M25-$L25),REPT("I",60)&amp;"I",REPT("I",27+(R25-$L25)/($M25-$L25)*13)&amp;"I"))))</f>
        <v>IIIIIIIIIIIIIIIIIIIIIIIIIIIIIIIIIIIII</v>
      </c>
      <c r="H25" s="86"/>
      <c r="I25" s="34"/>
      <c r="K25" s="21">
        <f>IF(HLOOKUP(B25,'VBA2'!$A$1:$V$3,3,FALSE)&lt;0.5,"Inf à 0,5",HLOOKUP(B25,'VBA2'!$A$1:$V$3,3,FALSE))</f>
        <v>30.12</v>
      </c>
      <c r="L25" s="78">
        <v>22</v>
      </c>
      <c r="M25" s="78">
        <v>33</v>
      </c>
      <c r="Q25" s="93"/>
      <c r="R25" s="18">
        <f>HLOOKUP(B25,'VBA2'!$A$1:$V$3,3,FALSE)</f>
        <v>30.12</v>
      </c>
    </row>
    <row r="26" spans="1:18" ht="23.1" customHeight="1">
      <c r="A26" s="48" t="s">
        <v>247</v>
      </c>
      <c r="B26" s="49" t="s">
        <v>257</v>
      </c>
      <c r="C26" s="942" t="s">
        <v>1239</v>
      </c>
      <c r="D26" s="50" t="str">
        <f>IF(HLOOKUP(B26,'VBA2'!$A$1:$V$3,3,FALSE)&lt;0.5,"Inf à 0,10 (mg/l)",IF(HLOOKUP(B26,'VBA2'!$A$1:$V$3,3,FALSE)&lt;9,TEXT(HLOOKUP(B26,'VBA2'!$A$1:$V$3,3,FALSE),"0,00"),IF(HLOOKUP(B26,'VBA2'!$A$1:$V$3,3,FALSE)&gt;100,TEXT(HLOOKUP(B26,'VBA2'!$A$1:$V$3,3,FALSE),"0"),TEXT(HLOOKUP(B26,'VBA2'!$A$1:$V$3,3,FALSE),"0,0")))&amp;" (mg/l)")</f>
        <v>Inf à 0,10 (mg/l)</v>
      </c>
      <c r="E26" s="51" t="str">
        <f>IF(HLOOKUP(B26,'VBA2'!$A$1:$V$3,3,FALSE)&lt;0.1,"-",TEXT(HLOOKUP(B26,'VBA2'!$A$1:$V$3,3,FALSE)/18,"0,00")&amp;" (méq/L)")</f>
        <v>0,01 (méq/L)</v>
      </c>
      <c r="F26" s="49" t="str">
        <f t="shared" si="0"/>
        <v>7 à 44</v>
      </c>
      <c r="G26" s="52" t="str">
        <f>IF(R26&lt;0.1,"",IF($E$12="D","",IF(R26&lt;=$L26-($M26-$L26),"I"&amp;"IIII",IF(R26&gt;=$M26+($M26-$L26),REPT("I",60)&amp;"I",REPT("I",27+(R26-$L26)/($M26-$L26)*13)&amp;"I"))))</f>
        <v>IIIIIIIIIIIIIIIIIIIIIIIII</v>
      </c>
      <c r="H26" s="53"/>
      <c r="I26" s="54"/>
      <c r="K26" s="21">
        <f>IF(HLOOKUP(B26,'VBA2'!$A$1:$V$3,3,FALSE)&lt;0.1,"Inf à 0,10",HLOOKUP(B26,'VBA2'!$A$1:$V$3,3,FALSE))</f>
        <v>0.13</v>
      </c>
      <c r="L26" s="78">
        <v>7</v>
      </c>
      <c r="M26" s="78">
        <v>44</v>
      </c>
      <c r="Q26" s="93"/>
      <c r="R26" s="18">
        <f>HLOOKUP(B26,'VBA2'!$A$1:$V$3,3,FALSE)</f>
        <v>0.13</v>
      </c>
    </row>
    <row r="27" spans="1:18" ht="23.1" customHeight="1">
      <c r="A27" s="35" t="s">
        <v>317</v>
      </c>
      <c r="B27" s="36" t="s">
        <v>7</v>
      </c>
      <c r="C27" s="943" t="s">
        <v>1240</v>
      </c>
      <c r="D27" s="84" t="str">
        <f>IF(HLOOKUP(B27,'VBA2'!$A$1:$V$3,3,FALSE)&lt;9,TEXT(HLOOKUP(B27,'VBA2'!$A$1:$V$3,3,FALSE),"0,00"),IF(HLOOKUP(B27,'VBA2'!$A$1:$V$3,3,FALSE)&gt;100,TEXT(HLOOKUP(B27,'VBA2'!$A$1:$V$3,3,FALSE),"0"),TEXT(HLOOKUP(B27,'VBA2'!$A$1:$V$3,3,FALSE),"0,0")))&amp;" (mg/l)"</f>
        <v>55,3 (mg/l)</v>
      </c>
      <c r="E27" s="55" t="str">
        <f>TEXT(HLOOKUP(B27,'VBA2'!$A$1:$V$3,3,FALSE)/20,"0,00")&amp;" (méq/L)"</f>
        <v>2,77 (méq/L)</v>
      </c>
      <c r="F27" s="36" t="str">
        <f t="shared" ref="F27:F29" si="1">L27&amp;" à "&amp;M27</f>
        <v>70 à 120</v>
      </c>
      <c r="G27" s="37" t="str">
        <f t="shared" ref="G27:G30" si="2">IF(K27=0,"",IF($E$12="D","",IF(K27&lt;=$L27-($M27-$L27),"I"&amp;"IIII",IF(K27&gt;=$M27+($M27-$L27),REPT("I",60)&amp;"I",REPT("I",27+(K27-$L27)/($M27-$L27)*13)&amp;"I"))))</f>
        <v>IIIIIIIIIIIIIIIIIIIIIIII</v>
      </c>
      <c r="H27" s="38"/>
      <c r="I27" s="39"/>
      <c r="K27" s="21">
        <f>HLOOKUP(B27,'VBA2'!$A$1:$V$3,3,FALSE)</f>
        <v>55.31</v>
      </c>
      <c r="L27" s="78">
        <v>70</v>
      </c>
      <c r="M27" s="78">
        <v>120</v>
      </c>
      <c r="Q27" s="93"/>
      <c r="R27" s="18">
        <f>HLOOKUP(B27,'VBA2'!$A$1:$V$3,3,FALSE)</f>
        <v>55.31</v>
      </c>
    </row>
    <row r="28" spans="1:18" ht="23.1" customHeight="1">
      <c r="A28" s="35" t="s">
        <v>318</v>
      </c>
      <c r="B28" s="36" t="s">
        <v>6</v>
      </c>
      <c r="C28" s="943" t="s">
        <v>1240</v>
      </c>
      <c r="D28" s="84" t="str">
        <f>IF(HLOOKUP(B28,'VBA2'!$A$1:$V$3,3,FALSE)&lt;9,TEXT(HLOOKUP(B28,'VBA2'!$A$1:$V$3,3,FALSE),"0,00"),IF(HLOOKUP(B28,'VBA2'!$A$1:$V$3,3,FALSE)&gt;100,TEXT(HLOOKUP(B28,'VBA2'!$A$1:$V$3,3,FALSE),"0"),TEXT(HLOOKUP(B28,'VBA2'!$A$1:$V$3,3,FALSE),"0,0")))&amp;" (mg/l)"</f>
        <v>22,6 (mg/l)</v>
      </c>
      <c r="E28" s="56" t="str">
        <f>TEXT(HLOOKUP(B28,'VBA2'!$A$1:$V$3,3,FALSE)/12,"0,00")&amp;" (méq/L)"</f>
        <v>1,88 (méq/L)</v>
      </c>
      <c r="F28" s="36" t="str">
        <f t="shared" si="1"/>
        <v>20 à 50</v>
      </c>
      <c r="G28" s="37" t="str">
        <f t="shared" si="2"/>
        <v>IIIIIIIIIIIIIIIIIIIIIIIIIIIII</v>
      </c>
      <c r="H28" s="38"/>
      <c r="I28" s="39"/>
      <c r="K28" s="21">
        <f>HLOOKUP(B28,'VBA2'!$A$1:$V$3,3,FALSE)</f>
        <v>22.6</v>
      </c>
      <c r="L28" s="78">
        <v>20</v>
      </c>
      <c r="M28" s="78">
        <v>50</v>
      </c>
      <c r="Q28" s="93"/>
      <c r="R28" s="18">
        <f>HLOOKUP(B28,'VBA2'!$A$1:$V$3,3,FALSE)</f>
        <v>22.6</v>
      </c>
    </row>
    <row r="29" spans="1:18" ht="23.1" customHeight="1">
      <c r="A29" s="35" t="s">
        <v>319</v>
      </c>
      <c r="B29" s="36" t="s">
        <v>5</v>
      </c>
      <c r="C29" s="943" t="s">
        <v>1240</v>
      </c>
      <c r="D29" s="84" t="str">
        <f>IF(HLOOKUP(B29,'VBA2'!$A$1:$V$3,3,FALSE)&lt;9,TEXT(HLOOKUP(B29,'VBA2'!$A$1:$V$3,3,FALSE),"0,00"),IF(HLOOKUP(B29,'VBA2'!$A$1:$V$3,3,FALSE)&gt;100,TEXT(HLOOKUP(B29,'VBA2'!$A$1:$V$3,3,FALSE),"0"),TEXT(HLOOKUP(B29,'VBA2'!$A$1:$V$3,3,FALSE),"0,0")))&amp;" (mg/l)"</f>
        <v>8,64 (mg/l)</v>
      </c>
      <c r="E29" s="57" t="str">
        <f>TEXT(HLOOKUP(B29,'VBA2'!$A$1:$V$3,3,FALSE)/40,"0,00")&amp;" (méq/L)"</f>
        <v>0,22 (méq/L)</v>
      </c>
      <c r="F29" s="36" t="str">
        <f t="shared" si="1"/>
        <v>50 à 150</v>
      </c>
      <c r="G29" s="37" t="str">
        <f t="shared" si="2"/>
        <v>IIIIIIIIIIIIIIIIIIIIII</v>
      </c>
      <c r="H29" s="38"/>
      <c r="I29" s="39"/>
      <c r="K29" s="21">
        <f>HLOOKUP(B29,'VBA2'!$A$1:$V$3,3,FALSE)</f>
        <v>8.64</v>
      </c>
      <c r="L29" s="78">
        <v>50</v>
      </c>
      <c r="M29" s="78">
        <v>150</v>
      </c>
      <c r="Q29" s="93"/>
      <c r="R29" s="18">
        <f>HLOOKUP(B29,'VBA2'!$A$1:$V$3,3,FALSE)</f>
        <v>8.64</v>
      </c>
    </row>
    <row r="30" spans="1:18" ht="23.1" customHeight="1">
      <c r="A30" s="35" t="s">
        <v>320</v>
      </c>
      <c r="B30" s="36" t="s">
        <v>8</v>
      </c>
      <c r="C30" s="943" t="s">
        <v>1240</v>
      </c>
      <c r="D30" s="58" t="str">
        <f>IF(HLOOKUP(B30,'VBA2'!$A$1:$V$3,3,FALSE)&lt;9,TEXT(HLOOKUP(B30,'VBA2'!$A$1:$V$3,3,FALSE),"0,00"),IF(HLOOKUP(B30,'VBA2'!$A$1:$V$3,3,FALSE)&gt;100,TEXT(HLOOKUP(B30,'VBA2'!$A$1:$V$3,3,FALSE),"0"),TEXT(HLOOKUP(B30,'VBA2'!$A$1:$V$3,3,FALSE),"0,0")))&amp;" (mg/l)"</f>
        <v>104 (mg/l)</v>
      </c>
      <c r="E30" s="59" t="str">
        <f>TEXT(HLOOKUP(B30,'VBA2'!$A$1:$V$3,3,FALSE)/23,"0,00")&amp;" (méq/L)"</f>
        <v>4,51 (méq/L)</v>
      </c>
      <c r="F30" s="36" t="str">
        <f>"Inf à "&amp;TEXT(M30,"0")</f>
        <v>Inf à 914</v>
      </c>
      <c r="G30" s="37" t="str">
        <f t="shared" si="2"/>
        <v>IIIIIIIIIIIIIIIIIIIIIIIIIIIII</v>
      </c>
      <c r="H30" s="38"/>
      <c r="I30" s="39"/>
      <c r="K30" s="21">
        <f>HLOOKUP(B30,'VBA2'!$A$1:$V$3,3,FALSE)</f>
        <v>103.69</v>
      </c>
      <c r="L30" s="78">
        <v>0</v>
      </c>
      <c r="M30" s="96">
        <f>(23*9*SQRT(HLOOKUP(B27,'VBA2'!$A$1:$V$3,3,FALSE)+HLOOKUP(B28,'VBA2'!$A$1:$V$3,3,FALSE))/2)</f>
        <v>913.55973942594471</v>
      </c>
      <c r="Q30" s="93"/>
      <c r="R30" s="18">
        <f>HLOOKUP(B30,'VBA2'!$A$1:$V$3,3,FALSE)</f>
        <v>103.69</v>
      </c>
    </row>
    <row r="31" spans="1:18" ht="23.1" customHeight="1">
      <c r="A31" s="60" t="s">
        <v>272</v>
      </c>
      <c r="B31" s="61" t="s">
        <v>271</v>
      </c>
      <c r="C31" s="61" t="s">
        <v>273</v>
      </c>
      <c r="D31" s="995">
        <f>(HLOOKUP(B30,'VBA2'!$A$1:$V$3,3,FALSE)/23)/(SQRT((HLOOKUP(B27,'VBA2'!$A$1:$V$3,3,FALSE)/20)+(HLOOKUP(B28,'VBA2'!$A$1:$V$3,3,FALSE)/12)/2))</f>
        <v>2.3414666840352334</v>
      </c>
      <c r="E31" s="996"/>
      <c r="F31" s="61" t="s">
        <v>21</v>
      </c>
      <c r="G31" s="62"/>
      <c r="H31" s="63"/>
      <c r="I31" s="64"/>
      <c r="Q31" s="93"/>
    </row>
    <row r="32" spans="1:18" ht="23.1" customHeight="1">
      <c r="A32" s="35" t="s">
        <v>249</v>
      </c>
      <c r="B32" s="36" t="s">
        <v>274</v>
      </c>
      <c r="C32" s="943" t="s">
        <v>1241</v>
      </c>
      <c r="D32" s="65" t="str">
        <f>IF(HLOOKUP(B32,'VBA2'!$A$1:$V$3,3,FALSE)&lt;0.2,"Inf à 0,20 (mg/l)",IF(HLOOKUP(B32,'VBA2'!$A$1:$V$3,3,FALSE)&lt;9,TEXT(HLOOKUP(B32,'VBA2'!$A$1:$V$3,3,FALSE),"0,00"),IF(HLOOKUP(B32,'VBA2'!$A$1:$V$3,3,FALSE)&gt;100,TEXT(HLOOKUP(B32,'VBA2'!$A$1:$V$3,3,FALSE),"0"),TEXT(HLOOKUP(B32,'VBA2'!$A$1:$V$3,3,FALSE),"0,0")))&amp;" (mg/l)")</f>
        <v>0,46 (mg/l)</v>
      </c>
      <c r="E32" s="90" t="str">
        <f>IF(HLOOKUP(B32,'VBA2'!$A$1:$V$3,3,FALSE)&lt;0.1,"-",TEXT(HLOOKUP(B32,'VBA2'!$A$1:$V$3,3,FALSE)/18,"0,00")&amp;" (méq/L)")</f>
        <v>0,03 (méq/L)</v>
      </c>
      <c r="F32" s="36" t="str">
        <f>L32&amp;" à "&amp;M32</f>
        <v>3 à 6</v>
      </c>
      <c r="G32" s="37" t="str">
        <f>IF(K32&lt;0.2,"",IF($E$12="D","",IF(K32&lt;=$L32-($M32-$L32),"I"&amp;"IIII",IF(K32&gt;=$M32+($M32-$L32),REPT("I",60)&amp;"I",REPT("I",27+(K32-$L32)/($M32-$L32)*13)&amp;"I"))))</f>
        <v>IIIIIIIIIIIIIIII</v>
      </c>
      <c r="H32" s="38"/>
      <c r="I32" s="39"/>
      <c r="K32" s="21">
        <f>HLOOKUP(B32,'VBA2'!$A$1:$V$3,3,FALSE)</f>
        <v>0.45899999999999996</v>
      </c>
      <c r="L32" s="78">
        <v>3</v>
      </c>
      <c r="M32" s="78">
        <v>6</v>
      </c>
      <c r="Q32" s="93"/>
      <c r="R32" s="18">
        <f>HLOOKUP(B32,'VBA2'!$A$1:$V$3,3,FALSE)</f>
        <v>0.45899999999999996</v>
      </c>
    </row>
    <row r="33" spans="1:18" ht="23.1" customHeight="1">
      <c r="A33" s="35" t="s">
        <v>242</v>
      </c>
      <c r="B33" s="36" t="s">
        <v>9</v>
      </c>
      <c r="C33" s="943" t="s">
        <v>1244</v>
      </c>
      <c r="D33" s="67" t="str">
        <f>IF(HLOOKUP(B33,'VBA2'!$A$1:$V$3,3,FALSE)&lt;9,TEXT(HLOOKUP(B33,'VBA2'!$A$1:$V$3,3,FALSE),"0,00"),IF(HLOOKUP(B33,'VBA2'!$A$1:$V$3,3,FALSE)&gt;100,TEXT(HLOOKUP(B33,'VBA2'!$A$1:$V$3,3,FALSE),"0"),TEXT(HLOOKUP(B33,'VBA2'!$A$1:$V$3,3,FALSE),"0,0")))&amp;" (mg/l)"</f>
        <v>171 (mg/l)</v>
      </c>
      <c r="E33" s="56" t="str">
        <f>TEXT(HLOOKUP(B33,'VBA2'!$A$1:$V$3,3,FALSE)/35.5,"0,00")&amp;" (méq/L)"</f>
        <v>4,82 (méq/L)</v>
      </c>
      <c r="F33" s="36" t="str">
        <f>"Inf à "&amp;M33</f>
        <v>Inf à 335</v>
      </c>
      <c r="G33" s="37" t="str">
        <f>IF(K33=0,"",IF($E$12="D","",IF(K33&lt;=$L33-($M33-$L33),"I"&amp;"IIII",IF(K33&gt;=$M33+($M33-$L33),REPT("I",60)&amp;"I",REPT("I",27+(K33-$L33)/($M33-$L33)*13)&amp;"I"))))</f>
        <v>IIIIIIIIIIIIIIIIIIIIIIIIIIIIIIIIII</v>
      </c>
      <c r="H33" s="38"/>
      <c r="I33" s="39"/>
      <c r="K33" s="21">
        <f>HLOOKUP(B33,'VBA2'!$A$1:$V$3,3,FALSE)</f>
        <v>171.08849999999998</v>
      </c>
      <c r="L33" s="78">
        <v>0</v>
      </c>
      <c r="M33" s="78">
        <v>335</v>
      </c>
      <c r="Q33" s="93"/>
      <c r="R33" s="18">
        <f>HLOOKUP(B33,'VBA2'!$A$1:$V$3,3,FALSE)</f>
        <v>171.08849999999998</v>
      </c>
    </row>
    <row r="34" spans="1:18" ht="23.1" customHeight="1">
      <c r="A34" s="35" t="s">
        <v>248</v>
      </c>
      <c r="B34" s="36" t="s">
        <v>258</v>
      </c>
      <c r="C34" s="943" t="s">
        <v>1242</v>
      </c>
      <c r="D34" s="67" t="str">
        <f>IF(HLOOKUP(B34,'VBA2'!$A$1:$V$3,3,FALSE)&lt;1,"Inf à 1,0 (mg/l)",IF(HLOOKUP(B34,'VBA2'!$A$1:$V$3,3,FALSE)&lt;9,TEXT(HLOOKUP(B34,'VBA2'!$A$1:$V$3,3,FALSE),"0,00"),IF(HLOOKUP(B34,'VBA2'!$A$1:$V$3,3,FALSE)&gt;100,TEXT(HLOOKUP(B34,'VBA2'!$A$1:$V$3,3,FALSE),"0"),TEXT(HLOOKUP(B34,'VBA2'!$A$1:$V$3,3,FALSE),"0,0")))&amp;" (mg/l)")</f>
        <v>14,5 (mg/l)</v>
      </c>
      <c r="E34" s="56" t="str">
        <f>IF(HLOOKUP(B34,'VBA2'!$A$1:$V$3,3,FALSE)&lt;0.1,"-",TEXT(HLOOKUP(B34,'VBA2'!$A$1:$V$3,3,FALSE)/18,"0,00")&amp;" (méq/L)")</f>
        <v>0,80 (méq/L)</v>
      </c>
      <c r="F34" s="36" t="str">
        <f t="shared" si="0"/>
        <v>35 à 250</v>
      </c>
      <c r="G34" s="37" t="str">
        <f>IF(K34=0,"",IF($E$12="D","",IF(K34&lt;=$L34-($M34-$L34),"I"&amp;"IIII",IF(K34&gt;=$M34+($M34-$L34),REPT("I",60)&amp;"I",REPT("I",27+(K34-$L34)/($M34-$L34)*13)&amp;"I"))))</f>
        <v>IIIIIIIIIIIIIIIIIIIIIIIIII</v>
      </c>
      <c r="H34" s="38"/>
      <c r="I34" s="39"/>
      <c r="K34" s="21">
        <f>HLOOKUP(B34,'VBA2'!$A$1:$V$3,3,FALSE)</f>
        <v>14.45</v>
      </c>
      <c r="L34" s="78">
        <v>35</v>
      </c>
      <c r="M34" s="78">
        <v>250</v>
      </c>
      <c r="Q34" s="93"/>
      <c r="R34" s="18">
        <f>HLOOKUP(B34,'VBA2'!$A$1:$V$3,3,FALSE)</f>
        <v>14.45</v>
      </c>
    </row>
    <row r="35" spans="1:18" ht="23.1" customHeight="1">
      <c r="A35" s="35" t="s">
        <v>250</v>
      </c>
      <c r="B35" s="36" t="s">
        <v>259</v>
      </c>
      <c r="C35" s="943" t="s">
        <v>1243</v>
      </c>
      <c r="D35" s="67" t="str">
        <f>IF(HLOOKUP(B35,'VBA2'!$A$1:$V$3,3,FALSE)&lt;9,TEXT(HLOOKUP(B35,'VBA2'!$A$1:$V$3,3,FALSE),"0,00"),IF(HLOOKUP(B35,'VBA2'!$A$1:$V$3,3,FALSE)&gt;100,TEXT(HLOOKUP(B35,'VBA2'!$A$1:$V$3,3,FALSE),"0"),TEXT(HLOOKUP(B35,'VBA2'!$A$1:$V$3,3,FALSE),"0,0")))&amp;" (mg/l)"</f>
        <v>271 (mg/l)</v>
      </c>
      <c r="E35" s="56" t="str">
        <f>TEXT(HLOOKUP(B35,'VBA2'!$A$1:$V$3,3,FALSE)/61,"0,00")&amp;" (méq/L)"</f>
        <v>4,45 (méq/L)</v>
      </c>
      <c r="F35" s="36" t="str">
        <f t="shared" si="0"/>
        <v>92 à 510</v>
      </c>
      <c r="G35" s="37" t="str">
        <f>IF(K35=0,"",IF($E$12="D","",IF(K35&lt;=$L35-($M35-$L35),"I"&amp;"IIII",IF(K35&gt;=$M35+($M35-$L35),REPT("I",60)&amp;"I",REPT("I",27+(K35-$L35)/($M35-$L35)*13)&amp;"I"))))</f>
        <v>IIIIIIIIIIIIIIIIIIIIIIIIIIIIIIIII</v>
      </c>
      <c r="H35" s="38"/>
      <c r="I35" s="39"/>
      <c r="K35" s="21">
        <f>HLOOKUP(B35,'VBA2'!$A$1:$V$3,3,FALSE)</f>
        <v>271.20999999999998</v>
      </c>
      <c r="L35" s="78">
        <v>92</v>
      </c>
      <c r="M35" s="78">
        <v>510</v>
      </c>
      <c r="Q35" s="93"/>
      <c r="R35" s="18">
        <f>HLOOKUP(B35,'VBA2'!$A$1:$V$3,3,FALSE)</f>
        <v>271.20999999999998</v>
      </c>
    </row>
    <row r="36" spans="1:18" ht="23.1" customHeight="1">
      <c r="A36" s="68" t="s">
        <v>251</v>
      </c>
      <c r="B36" s="69" t="s">
        <v>260</v>
      </c>
      <c r="C36" s="944" t="s">
        <v>1243</v>
      </c>
      <c r="D36" s="85" t="str">
        <f>IF(K36=0,"-",HLOOKUP(B36,'VBA2'!$A$1:$V$3,3,FALSE)&amp;" mg/l")</f>
        <v>-</v>
      </c>
      <c r="E36" s="70" t="str">
        <f>IF(K36=0,"-",TEXT(HLOOKUP(B36,'VBA2'!$A$1:$V$3,3,FALSE)/62,"0,00")&amp;" (méq/L)")</f>
        <v>-</v>
      </c>
      <c r="F36" s="69" t="s">
        <v>21</v>
      </c>
      <c r="G36" s="71" t="str">
        <f>IF(K36=0,"",IF($E$12="D","",IF(K36&lt;=$L36-($M36-$L36),"I"&amp;"IIII",IF(K36&gt;=$M36+($M36-$L36),REPT("I",60)&amp;"I",REPT("I",27+(K36-$L36)/($M36-$L36)*13)&amp;"I"))))</f>
        <v/>
      </c>
      <c r="H36" s="72"/>
      <c r="I36" s="73"/>
      <c r="K36" s="21">
        <f>HLOOKUP(B36,'VBA2'!$A$1:$V$3,3,FALSE)</f>
        <v>0</v>
      </c>
      <c r="L36" s="78"/>
      <c r="M36" s="78"/>
      <c r="Q36" s="93"/>
    </row>
    <row r="37" spans="1:18" ht="20.100000000000001" customHeight="1">
      <c r="A37" s="25" t="s">
        <v>10</v>
      </c>
      <c r="B37" s="26"/>
      <c r="C37" s="26"/>
      <c r="D37" s="27"/>
      <c r="E37" s="27"/>
      <c r="F37" s="26"/>
      <c r="G37" s="28"/>
      <c r="H37" s="29"/>
      <c r="I37" s="29"/>
      <c r="L37" s="78"/>
      <c r="M37" s="78"/>
    </row>
    <row r="38" spans="1:18" ht="23.1" customHeight="1">
      <c r="A38" s="30" t="s">
        <v>1245</v>
      </c>
      <c r="B38" s="31" t="s">
        <v>12</v>
      </c>
      <c r="C38" s="945" t="s">
        <v>1240</v>
      </c>
      <c r="D38" s="1010" t="str">
        <f>IF(K38=0,"-",IF(K38&lt;0.01,"Inf à 0,010 (mg/l)",TEXT(HLOOKUP(B38,'VBA2'!$A$1:$V$3,3,FALSE),"0,000")&amp;" (mg/l)"))</f>
        <v>0,110 (mg/l)</v>
      </c>
      <c r="E38" s="1011"/>
      <c r="F38" s="31" t="str">
        <f t="shared" ref="F38:F42" si="3">L38&amp;" à "&amp;M38</f>
        <v>0,01 à 2</v>
      </c>
      <c r="G38" s="32" t="str">
        <f>IF(K38=0,"",IF(O38="D","",IF(K38&lt;=$L38-($M38-$L38),"I"&amp;"IIII",IF(K38&gt;=$M38+($M38-$L38),REPT("I",60)&amp;"I",REPT("I",27+(K38-$L38)/($M38-$L38)*13)&amp;"I"))))</f>
        <v>IIIIIIIIIIIIIIIIIIIIIIIIIIII</v>
      </c>
      <c r="H38" s="86"/>
      <c r="I38" s="34"/>
      <c r="K38" s="21">
        <f>HLOOKUP(B38,'VBA2'!$A$1:$V$3,3,FALSE)</f>
        <v>0.11</v>
      </c>
      <c r="L38" s="78">
        <v>0.01</v>
      </c>
      <c r="M38" s="78">
        <v>2</v>
      </c>
      <c r="N38" s="97"/>
      <c r="O38" s="81" t="str">
        <f>IF(D38="Inf à 0,010 (mg/l)","D","")</f>
        <v/>
      </c>
    </row>
    <row r="39" spans="1:18" ht="23.1" customHeight="1">
      <c r="A39" s="35" t="s">
        <v>1246</v>
      </c>
      <c r="B39" s="36" t="s">
        <v>14</v>
      </c>
      <c r="C39" s="946" t="s">
        <v>1240</v>
      </c>
      <c r="D39" s="987" t="str">
        <f>IF(K39=0,"-",IF(K39&lt;0.01,"Inf à 0,015 (mg/l)",TEXT(HLOOKUP(B39,'VBA2'!$A$1:$V$3,3,FALSE),"0,000")&amp;" (mg/l)"))</f>
        <v>Inf à 0,015 (mg/l)</v>
      </c>
      <c r="E39" s="988"/>
      <c r="F39" s="36" t="str">
        <f t="shared" si="3"/>
        <v>0,01 à 0,2</v>
      </c>
      <c r="G39" s="37" t="str">
        <f>IF(K39=0,"",IF(O39="D","",IF(K39&lt;=$L39-($M39-$L39),"I"&amp;"IIII",IF(K39&gt;=$M39+($M39-$L39),REPT("I",60)&amp;"I",REPT("I",27+(K39-$L39)/($M39-$L39)*13)&amp;"I"))))</f>
        <v/>
      </c>
      <c r="H39" s="38"/>
      <c r="I39" s="39"/>
      <c r="K39" s="21">
        <f>HLOOKUP(B39,'VBA2'!$A$1:$V$3,3,FALSE)</f>
        <v>1E-3</v>
      </c>
      <c r="L39" s="78">
        <v>0.01</v>
      </c>
      <c r="M39" s="78">
        <v>0.2</v>
      </c>
      <c r="N39" s="97"/>
      <c r="O39" s="81" t="str">
        <f>IF(D39="Inf à 0,015 (mg/l)","D","")</f>
        <v>D</v>
      </c>
    </row>
    <row r="40" spans="1:18" ht="23.1" customHeight="1">
      <c r="A40" s="35" t="s">
        <v>1247</v>
      </c>
      <c r="B40" s="36" t="s">
        <v>16</v>
      </c>
      <c r="C40" s="946" t="s">
        <v>1240</v>
      </c>
      <c r="D40" s="987" t="str">
        <f>IF(K40=0,"-",IF(K40&lt;0.01,"Inf à 0,015 (mg/l)",TEXT(HLOOKUP(B40,'VBA2'!$A$1:$V$3,3,FALSE),"0,000")&amp;" (mg/l)"))</f>
        <v>Inf à 0,015 (mg/l)</v>
      </c>
      <c r="E40" s="988"/>
      <c r="F40" s="36" t="str">
        <f t="shared" si="3"/>
        <v>0,01 à 0,2</v>
      </c>
      <c r="G40" s="37" t="str">
        <f>IF(K40=0,"",IF(O40="D","",IF(K40&lt;=$L40-($M40-$L40),"I"&amp;"IIII",IF(K40&gt;=$M40+($M40-$L40),REPT("I",60)&amp;"I",REPT("I",27+(K40-$L40)/($M40-$L40)*13)&amp;"I"))))</f>
        <v/>
      </c>
      <c r="H40" s="38"/>
      <c r="I40" s="39"/>
      <c r="K40" s="21">
        <f>HLOOKUP(B40,'VBA2'!$A$1:$V$3,3,FALSE)</f>
        <v>1E-3</v>
      </c>
      <c r="L40" s="78">
        <v>0.01</v>
      </c>
      <c r="M40" s="78">
        <v>0.2</v>
      </c>
      <c r="N40" s="97"/>
      <c r="O40" s="81" t="str">
        <f>IF(D40="Inf à 0,015 (mg/l)","D","")</f>
        <v>D</v>
      </c>
    </row>
    <row r="41" spans="1:18" ht="23.1" customHeight="1">
      <c r="A41" s="35" t="s">
        <v>1248</v>
      </c>
      <c r="B41" s="36" t="s">
        <v>18</v>
      </c>
      <c r="C41" s="946" t="s">
        <v>1240</v>
      </c>
      <c r="D41" s="987" t="str">
        <f>IF(K41=0,"-",IF(K41&lt;0.01,"Inf à 0,005 (mg/l)",TEXT(HLOOKUP(B41,'VBA2'!$A$1:$V$3,3,FALSE),"0,000")&amp;" (mg/l)"))</f>
        <v>Inf à 0,005 (mg/l)</v>
      </c>
      <c r="E41" s="988"/>
      <c r="F41" s="36" t="str">
        <f t="shared" si="3"/>
        <v>0,01 à 0,5</v>
      </c>
      <c r="G41" s="37" t="str">
        <f>IF(K41=0,"",IF(O41="D","",IF(K41&lt;=$L41-($M41-$L41),"I"&amp;"IIII",IF(K41&gt;=$M41+($M41-$L41),REPT("I",60)&amp;"I",REPT("I",27+(K41-$L41)/($M41-$L41)*13)&amp;"I"))))</f>
        <v/>
      </c>
      <c r="H41" s="38"/>
      <c r="I41" s="39"/>
      <c r="K41" s="21">
        <f>HLOOKUP(B41,'VBA2'!$A$1:$V$3,3,FALSE)</f>
        <v>1E-3</v>
      </c>
      <c r="L41" s="78">
        <v>0.01</v>
      </c>
      <c r="M41" s="78">
        <v>0.5</v>
      </c>
      <c r="N41" s="97"/>
      <c r="O41" s="81" t="str">
        <f>IF(D41="Inf à 0,005 (mg/l)","D","")</f>
        <v>D</v>
      </c>
    </row>
    <row r="42" spans="1:18" ht="23.1" customHeight="1">
      <c r="A42" s="68" t="s">
        <v>19</v>
      </c>
      <c r="B42" s="69" t="s">
        <v>20</v>
      </c>
      <c r="C42" s="947" t="s">
        <v>1240</v>
      </c>
      <c r="D42" s="985" t="str">
        <f>IF(K42=0,"-",IF(K42&lt;0.01,"Inf à 0,100 (mg/l)",TEXT(HLOOKUP(B42,'VBA2'!$A$1:$V$3,3,FALSE),"0,000")&amp;" (mg/l)"))</f>
        <v>-</v>
      </c>
      <c r="E42" s="986"/>
      <c r="F42" s="69" t="str">
        <f t="shared" si="3"/>
        <v>0,7 à 3</v>
      </c>
      <c r="G42" s="71" t="str">
        <f>IF(K42=0,"",IF(O42="D","",IF(K42&lt;=$L42-($M42-$L42),"I"&amp;"IIII",IF(K42&gt;=$M42+($M42-$L42),REPT("I",60)&amp;"I",REPT("I",27+(K42-$L42)/($M42-$L42)*13)&amp;"I"))))</f>
        <v/>
      </c>
      <c r="H42" s="72"/>
      <c r="I42" s="73"/>
      <c r="K42" s="21">
        <f>HLOOKUP(B42,'VBA2'!$A$1:$V$3,3,FALSE)</f>
        <v>0</v>
      </c>
      <c r="L42" s="78">
        <v>0.7</v>
      </c>
      <c r="M42" s="78">
        <v>3</v>
      </c>
      <c r="N42" s="97"/>
      <c r="O42" s="81" t="str">
        <f>IF(D42="Inf à 0,100 (mg/l)","D","")</f>
        <v/>
      </c>
    </row>
    <row r="43" spans="1:18" ht="4.5" customHeight="1">
      <c r="A43" s="91" t="str">
        <f>"Σ"&amp;"-"&amp;TEXT(K25/62+K32/97+K33/35.5+K34/48+K35/62,"0,0")&amp;"/+"&amp;TEXT(K26/18+K27/20+K28/12+K29/40+K30/23,"0,0")</f>
        <v>Σ-10,0/+9,4</v>
      </c>
      <c r="B43" s="75"/>
      <c r="C43" s="27"/>
      <c r="D43" s="27"/>
      <c r="E43" s="27"/>
      <c r="F43" s="27"/>
      <c r="G43" s="29"/>
      <c r="H43" s="29"/>
      <c r="I43" s="29"/>
    </row>
    <row r="44" spans="1:18" ht="117.75" customHeight="1">
      <c r="A44" s="999" t="s">
        <v>1209</v>
      </c>
      <c r="B44" s="999"/>
      <c r="C44" s="999"/>
      <c r="D44" s="999"/>
      <c r="E44" s="999"/>
      <c r="F44" s="999"/>
      <c r="G44" s="999"/>
      <c r="H44" s="999"/>
      <c r="I44" s="999"/>
    </row>
    <row r="45" spans="1:18" ht="20.25" customHeight="1">
      <c r="A45" s="993" t="s">
        <v>1266</v>
      </c>
      <c r="B45" s="994"/>
      <c r="C45" s="994"/>
      <c r="D45" s="994"/>
      <c r="E45" s="994"/>
      <c r="F45" s="994"/>
      <c r="G45" s="994"/>
      <c r="H45" s="994"/>
      <c r="I45" s="994"/>
    </row>
    <row r="46" spans="1:18" ht="36" customHeight="1">
      <c r="A46" s="992"/>
      <c r="B46" s="992"/>
      <c r="C46" s="87"/>
      <c r="D46" s="77"/>
      <c r="E46" s="78"/>
      <c r="F46" s="992"/>
      <c r="G46" s="992"/>
      <c r="H46" s="992"/>
    </row>
  </sheetData>
  <mergeCells count="46">
    <mergeCell ref="H6:I6"/>
    <mergeCell ref="D1:G5"/>
    <mergeCell ref="G9:I9"/>
    <mergeCell ref="E9:F9"/>
    <mergeCell ref="E12:F12"/>
    <mergeCell ref="G12:I12"/>
    <mergeCell ref="B9:D9"/>
    <mergeCell ref="E11:F11"/>
    <mergeCell ref="G11:I11"/>
    <mergeCell ref="B10:D10"/>
    <mergeCell ref="E10:F10"/>
    <mergeCell ref="G10:I10"/>
    <mergeCell ref="B11:D11"/>
    <mergeCell ref="B7:D7"/>
    <mergeCell ref="E7:F7"/>
    <mergeCell ref="G7:I7"/>
    <mergeCell ref="B8:D8"/>
    <mergeCell ref="E8:F8"/>
    <mergeCell ref="G8:I8"/>
    <mergeCell ref="D39:E39"/>
    <mergeCell ref="D40:E40"/>
    <mergeCell ref="D41:E41"/>
    <mergeCell ref="B12:D12"/>
    <mergeCell ref="E13:F13"/>
    <mergeCell ref="B13:D13"/>
    <mergeCell ref="E15:F15"/>
    <mergeCell ref="D22:E22"/>
    <mergeCell ref="B14:I14"/>
    <mergeCell ref="G13:I13"/>
    <mergeCell ref="G15:I15"/>
    <mergeCell ref="D42:E42"/>
    <mergeCell ref="D21:E21"/>
    <mergeCell ref="G17:I17"/>
    <mergeCell ref="A46:B46"/>
    <mergeCell ref="F46:H46"/>
    <mergeCell ref="A45:I45"/>
    <mergeCell ref="D31:E31"/>
    <mergeCell ref="A17:A18"/>
    <mergeCell ref="A44:I44"/>
    <mergeCell ref="C17:C18"/>
    <mergeCell ref="B17:B18"/>
    <mergeCell ref="D17:E18"/>
    <mergeCell ref="F17:F18"/>
    <mergeCell ref="D23:E23"/>
    <mergeCell ref="D20:E20"/>
    <mergeCell ref="D38:E38"/>
  </mergeCells>
  <phoneticPr fontId="36" type="noConversion"/>
  <printOptions horizontalCentered="1"/>
  <pageMargins left="0.36000000000000004" right="0.36000000000000004" top="0.79000000000000015" bottom="0.01" header="0.10999999999999999" footer="0.1"/>
  <pageSetup paperSize="9" scale="64" orientation="portrait" r:id="rId1"/>
  <headerFooter>
    <oddFooter>&amp;C&amp;"Calibri,Gras"&amp;K000000FIN DE PAGE_x000D_------------------------------_x000D_&amp;"Calibri,Normal"AGROPOLIS-GI5 GI6, Commune de Mejjate, Meknes, Maroc_x000D_Tél:+212 538 00 49 20/ www.elephantvert.ch / contactmaroc@elephantvert.ch</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LOT_EAUX">
                <anchor moveWithCells="1" sizeWithCells="1">
                  <from>
                    <xdr:col>23</xdr:col>
                    <xdr:colOff>289560</xdr:colOff>
                    <xdr:row>3</xdr:row>
                    <xdr:rowOff>83820</xdr:rowOff>
                  </from>
                  <to>
                    <xdr:col>24</xdr:col>
                    <xdr:colOff>685800</xdr:colOff>
                    <xdr:row>5</xdr:row>
                    <xdr:rowOff>144780</xdr:rowOff>
                  </to>
                </anchor>
              </controlPr>
            </control>
          </mc:Choice>
        </mc:AlternateContent>
      </controls>
    </mc:Choice>
  </mc:AlternateContent>
  <extLst>
    <ext xmlns:mx="http://schemas.microsoft.com/office/mac/excel/2008/main" uri="{64002731-A6B0-56B0-2670-7721B7C09600}">
      <mx:PLV Mode="0" OnePage="0" WScale="75"/>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A1:AH15"/>
  <sheetViews>
    <sheetView workbookViewId="0">
      <selection activeCell="A3" sqref="A3:XFD3"/>
    </sheetView>
  </sheetViews>
  <sheetFormatPr baseColWidth="10" defaultRowHeight="15.6"/>
  <sheetData>
    <row r="1" spans="1:34" s="10" customFormat="1">
      <c r="A1" s="1021" t="s">
        <v>217</v>
      </c>
      <c r="B1" s="103" t="s">
        <v>331</v>
      </c>
      <c r="C1" s="103" t="s">
        <v>332</v>
      </c>
      <c r="D1" s="103" t="s">
        <v>252</v>
      </c>
      <c r="E1" s="103" t="s">
        <v>253</v>
      </c>
      <c r="F1" s="104" t="s">
        <v>333</v>
      </c>
      <c r="G1" s="104" t="s">
        <v>334</v>
      </c>
      <c r="H1" s="104" t="s">
        <v>335</v>
      </c>
      <c r="I1" s="104" t="s">
        <v>336</v>
      </c>
      <c r="J1" s="104" t="s">
        <v>337</v>
      </c>
      <c r="K1" s="104" t="s">
        <v>338</v>
      </c>
      <c r="L1" s="104" t="s">
        <v>339</v>
      </c>
      <c r="M1" s="104" t="s">
        <v>12</v>
      </c>
      <c r="N1" s="104" t="s">
        <v>14</v>
      </c>
      <c r="O1" s="104" t="s">
        <v>16</v>
      </c>
      <c r="P1" s="104" t="s">
        <v>18</v>
      </c>
      <c r="Q1" s="104" t="s">
        <v>20</v>
      </c>
      <c r="R1" s="104" t="s">
        <v>9</v>
      </c>
      <c r="S1" s="104" t="s">
        <v>340</v>
      </c>
      <c r="T1" s="104" t="s">
        <v>341</v>
      </c>
      <c r="U1" s="104" t="s">
        <v>342</v>
      </c>
      <c r="V1" s="104" t="s">
        <v>343</v>
      </c>
      <c r="W1" s="104" t="s">
        <v>344</v>
      </c>
      <c r="X1" s="104" t="s">
        <v>345</v>
      </c>
      <c r="Y1" s="104" t="s">
        <v>346</v>
      </c>
      <c r="Z1" s="104" t="s">
        <v>347</v>
      </c>
      <c r="AA1" s="104" t="s">
        <v>348</v>
      </c>
      <c r="AB1" s="104" t="s">
        <v>349</v>
      </c>
      <c r="AC1" s="104" t="s">
        <v>350</v>
      </c>
    </row>
    <row r="2" spans="1:34" s="10" customFormat="1">
      <c r="A2" s="1021"/>
      <c r="B2" s="103" t="s">
        <v>351</v>
      </c>
      <c r="C2" s="103" t="s">
        <v>352</v>
      </c>
      <c r="D2" s="103" t="s">
        <v>261</v>
      </c>
      <c r="E2" s="103" t="s">
        <v>262</v>
      </c>
      <c r="F2" s="104" t="s">
        <v>351</v>
      </c>
      <c r="G2" s="104" t="s">
        <v>351</v>
      </c>
      <c r="H2" s="104" t="s">
        <v>351</v>
      </c>
      <c r="I2" s="104" t="s">
        <v>351</v>
      </c>
      <c r="J2" s="104" t="s">
        <v>351</v>
      </c>
      <c r="K2" s="104" t="s">
        <v>351</v>
      </c>
      <c r="L2" s="104" t="s">
        <v>351</v>
      </c>
      <c r="M2" s="104" t="s">
        <v>353</v>
      </c>
      <c r="N2" s="104" t="s">
        <v>353</v>
      </c>
      <c r="O2" s="104" t="s">
        <v>353</v>
      </c>
      <c r="P2" s="104" t="s">
        <v>353</v>
      </c>
      <c r="Q2" s="104" t="s">
        <v>353</v>
      </c>
      <c r="R2" s="104" t="s">
        <v>351</v>
      </c>
      <c r="S2" s="104" t="s">
        <v>354</v>
      </c>
      <c r="T2" s="104" t="s">
        <v>353</v>
      </c>
    </row>
    <row r="3" spans="1:34" s="108" customFormat="1">
      <c r="A3" s="896">
        <v>909359</v>
      </c>
      <c r="B3" s="898">
        <v>27</v>
      </c>
      <c r="C3" s="899"/>
      <c r="D3" s="900">
        <v>8.69</v>
      </c>
      <c r="E3" s="900">
        <v>2.2799999999999998</v>
      </c>
      <c r="F3" s="900">
        <v>2.1010050000000002</v>
      </c>
      <c r="G3" s="900">
        <v>1.68</v>
      </c>
      <c r="H3" s="900">
        <v>2.25</v>
      </c>
      <c r="I3" s="900">
        <v>0.25</v>
      </c>
      <c r="J3" s="900">
        <v>9.73</v>
      </c>
      <c r="K3" s="900">
        <v>0.82</v>
      </c>
      <c r="L3" s="899">
        <v>58.473221422861648</v>
      </c>
      <c r="M3" s="108">
        <v>417.91</v>
      </c>
      <c r="N3" s="108">
        <v>144.75</v>
      </c>
      <c r="O3" s="108">
        <v>317.5</v>
      </c>
      <c r="P3" s="108">
        <v>1845.69</v>
      </c>
    </row>
    <row r="4" spans="1:34">
      <c r="R4">
        <f>IF(I3="","-",0.65*I3-8*EXP(-17))</f>
        <v>0.16249966880498251</v>
      </c>
    </row>
    <row r="5" spans="1:34" s="5" customFormat="1" ht="23.1" customHeight="1">
      <c r="A5" s="6" t="s">
        <v>217</v>
      </c>
      <c r="B5" s="1" t="s">
        <v>218</v>
      </c>
      <c r="C5" s="1" t="s">
        <v>0</v>
      </c>
      <c r="D5" s="1" t="s">
        <v>243</v>
      </c>
      <c r="E5" s="2" t="s">
        <v>219</v>
      </c>
      <c r="F5" s="1" t="s">
        <v>220</v>
      </c>
      <c r="G5" s="1" t="s">
        <v>221</v>
      </c>
      <c r="H5" s="1" t="s">
        <v>222</v>
      </c>
      <c r="I5" s="1" t="s">
        <v>223</v>
      </c>
      <c r="J5" s="1" t="s">
        <v>224</v>
      </c>
      <c r="K5" s="1" t="s">
        <v>225</v>
      </c>
      <c r="L5" s="1" t="s">
        <v>1</v>
      </c>
      <c r="M5" s="1" t="s">
        <v>226</v>
      </c>
      <c r="N5" s="3" t="s">
        <v>227</v>
      </c>
      <c r="O5" s="2" t="s">
        <v>228</v>
      </c>
      <c r="P5" s="1" t="s">
        <v>229</v>
      </c>
      <c r="Q5" s="1" t="s">
        <v>230</v>
      </c>
      <c r="R5" s="1" t="s">
        <v>231</v>
      </c>
      <c r="S5" s="4" t="s">
        <v>232</v>
      </c>
      <c r="T5" s="2" t="s">
        <v>233</v>
      </c>
      <c r="U5" s="3" t="s">
        <v>234</v>
      </c>
      <c r="V5" s="1" t="s">
        <v>235</v>
      </c>
      <c r="W5" s="1" t="s">
        <v>236</v>
      </c>
      <c r="X5" s="1" t="s">
        <v>237</v>
      </c>
      <c r="Y5" s="1" t="s">
        <v>238</v>
      </c>
      <c r="Z5" s="1" t="s">
        <v>239</v>
      </c>
      <c r="AA5" s="1" t="s">
        <v>240</v>
      </c>
      <c r="AB5" s="1" t="s">
        <v>241</v>
      </c>
    </row>
    <row r="6" spans="1:34">
      <c r="A6">
        <v>909359</v>
      </c>
      <c r="B6" t="s">
        <v>1191</v>
      </c>
      <c r="C6" t="s">
        <v>1192</v>
      </c>
      <c r="D6" t="s">
        <v>314</v>
      </c>
      <c r="E6" s="99">
        <v>43654</v>
      </c>
      <c r="F6" s="100" t="e">
        <f>+MONTH([10]!Tableau1[[#This Row],[Date de réception ]])</f>
        <v>#REF!</v>
      </c>
      <c r="G6" s="100" t="e">
        <f>+YEAR([10]!Tableau1[[#This Row],[Date de réception ]])</f>
        <v>#REF!</v>
      </c>
      <c r="H6" s="100">
        <f>1</f>
        <v>1</v>
      </c>
      <c r="I6" s="100" t="s">
        <v>1193</v>
      </c>
      <c r="J6" t="s">
        <v>1194</v>
      </c>
      <c r="K6" t="s">
        <v>1195</v>
      </c>
      <c r="L6" t="s">
        <v>314</v>
      </c>
      <c r="M6" t="s">
        <v>314</v>
      </c>
      <c r="N6" t="s">
        <v>1196</v>
      </c>
      <c r="O6" s="101">
        <v>43647</v>
      </c>
      <c r="P6" t="s">
        <v>1197</v>
      </c>
      <c r="Q6" t="e">
        <f>VLOOKUP([10]!Tableau1[[#This Row],[Commercial]],[10]!Tableau2[#All],2,0)</f>
        <v>#REF!</v>
      </c>
      <c r="R6" s="100"/>
      <c r="S6" s="99"/>
      <c r="T6" s="99"/>
      <c r="U6" t="s">
        <v>421</v>
      </c>
      <c r="AE6" t="s">
        <v>312</v>
      </c>
      <c r="AG6" t="s">
        <v>313</v>
      </c>
      <c r="AH6" t="s">
        <v>312</v>
      </c>
    </row>
    <row r="13" spans="1:34" s="107" customFormat="1">
      <c r="A13" s="1022" t="s">
        <v>217</v>
      </c>
      <c r="B13" s="105" t="s">
        <v>355</v>
      </c>
      <c r="C13" s="106" t="s">
        <v>333</v>
      </c>
      <c r="D13" s="106" t="s">
        <v>356</v>
      </c>
      <c r="E13" s="106" t="s">
        <v>5</v>
      </c>
      <c r="F13" s="106" t="s">
        <v>8</v>
      </c>
      <c r="G13" s="106" t="s">
        <v>7</v>
      </c>
      <c r="H13" s="106" t="s">
        <v>6</v>
      </c>
      <c r="I13" s="106" t="s">
        <v>12</v>
      </c>
      <c r="J13" s="106" t="s">
        <v>14</v>
      </c>
      <c r="K13" s="106" t="s">
        <v>16</v>
      </c>
      <c r="L13" s="106" t="s">
        <v>18</v>
      </c>
      <c r="M13" s="106" t="s">
        <v>20</v>
      </c>
      <c r="N13" s="106" t="s">
        <v>21</v>
      </c>
      <c r="O13" s="106" t="s">
        <v>331</v>
      </c>
    </row>
    <row r="14" spans="1:34" s="107" customFormat="1">
      <c r="A14" s="1022"/>
      <c r="B14" s="105" t="s">
        <v>351</v>
      </c>
      <c r="C14" s="106" t="s">
        <v>351</v>
      </c>
      <c r="D14" s="106" t="s">
        <v>351</v>
      </c>
      <c r="E14" s="106" t="s">
        <v>351</v>
      </c>
      <c r="F14" s="106" t="s">
        <v>351</v>
      </c>
      <c r="G14" s="106" t="s">
        <v>351</v>
      </c>
      <c r="H14" s="106" t="s">
        <v>351</v>
      </c>
      <c r="I14" s="106" t="s">
        <v>353</v>
      </c>
      <c r="J14" s="106" t="s">
        <v>353</v>
      </c>
      <c r="K14" s="106" t="s">
        <v>353</v>
      </c>
      <c r="L14" s="106" t="s">
        <v>353</v>
      </c>
      <c r="M14" s="106" t="s">
        <v>353</v>
      </c>
      <c r="N14" s="106" t="s">
        <v>357</v>
      </c>
      <c r="O14" s="106" t="s">
        <v>351</v>
      </c>
    </row>
    <row r="15" spans="1:34" s="100" customFormat="1">
      <c r="A15" s="108">
        <v>806647</v>
      </c>
      <c r="B15" s="102">
        <v>90.423699621081639</v>
      </c>
      <c r="C15" s="102">
        <v>2.5772328000000004</v>
      </c>
      <c r="D15" s="100">
        <v>0.14000000000000001</v>
      </c>
      <c r="E15" s="100">
        <v>0.85</v>
      </c>
      <c r="F15" s="100">
        <v>0.01</v>
      </c>
      <c r="G15" s="100">
        <v>0.94</v>
      </c>
      <c r="H15" s="100">
        <v>0.13</v>
      </c>
      <c r="I15" s="100">
        <v>10.58</v>
      </c>
      <c r="J15" s="100">
        <v>0.53</v>
      </c>
      <c r="K15" s="100">
        <v>41.57</v>
      </c>
      <c r="L15" s="100">
        <v>337.31</v>
      </c>
      <c r="M15" s="100">
        <v>63.66</v>
      </c>
      <c r="N15" s="100">
        <v>11.612</v>
      </c>
      <c r="O15" s="102">
        <f t="shared" ref="O15" si="0">100-B15</f>
        <v>9.5763003789183614</v>
      </c>
    </row>
  </sheetData>
  <mergeCells count="2">
    <mergeCell ref="A1:A2"/>
    <mergeCell ref="A13:A14"/>
  </mergeCells>
  <conditionalFormatting sqref="AJ6">
    <cfRule type="cellIs" dxfId="89" priority="89" operator="equal">
      <formula>"non"</formula>
    </cfRule>
  </conditionalFormatting>
  <conditionalFormatting sqref="A3">
    <cfRule type="duplicateValues" dxfId="88" priority="3"/>
  </conditionalFormatting>
  <conditionalFormatting sqref="A3">
    <cfRule type="duplicateValues" dxfId="87" priority="4"/>
  </conditionalFormatting>
  <conditionalFormatting sqref="A3">
    <cfRule type="duplicateValues" dxfId="86" priority="2"/>
  </conditionalFormatting>
  <conditionalFormatting sqref="A3">
    <cfRule type="duplicateValues" dxfId="85" priority="1"/>
  </conditionalFormatting>
  <pageMargins left="0.75" right="0.75" top="1" bottom="1" header="0.5" footer="0.5"/>
  <pageSetup paperSize="9" orientation="landscape"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0000000}">
          <x14:formula1>
            <xm:f>'C:\Users\rachakzouhair\Desktop\DATA LACQ\Gestion du LACQ\[BD1_LACQ2.xlsx]DATA'!#REF!</xm:f>
          </x14:formula1>
          <xm:sqref>AJ6 AE6 AG6:AH6</xm:sqref>
        </x14:dataValidation>
        <x14:dataValidation type="list" allowBlank="1" showInputMessage="1" showErrorMessage="1" xr:uid="{00000000-0002-0000-0100-000001000000}">
          <x14:formula1>
            <xm:f>'C:\Users\rachakzouhair\Desktop\DATA LACQ\Gestion du LACQ\[BD1_LACQ2.xlsx]DATA'!#REF!</xm:f>
          </x14:formula1>
          <xm:sqref>P6</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tabColor rgb="FF008000"/>
  </sheetPr>
  <dimension ref="A1:BB60"/>
  <sheetViews>
    <sheetView showGridLines="0" topLeftCell="A13" zoomScaleSheetLayoutView="119" workbookViewId="0"/>
  </sheetViews>
  <sheetFormatPr baseColWidth="10" defaultColWidth="10.8984375" defaultRowHeight="16.2"/>
  <cols>
    <col min="1" max="1" width="26.3984375" style="18" customWidth="1"/>
    <col min="2" max="2" width="7.8984375" style="18" customWidth="1"/>
    <col min="3" max="3" width="8" style="18" customWidth="1"/>
    <col min="4" max="4" width="20.8984375" style="18" customWidth="1"/>
    <col min="5" max="5" width="13.09765625" style="78" customWidth="1"/>
    <col min="6" max="6" width="13.8984375" style="78" customWidth="1"/>
    <col min="7" max="7" width="8.3984375" style="18" customWidth="1"/>
    <col min="8" max="9" width="9.3984375" style="18" customWidth="1"/>
    <col min="10" max="10" width="5.5" style="18" customWidth="1"/>
    <col min="11" max="44" width="10.8984375" style="18" hidden="1" customWidth="1"/>
    <col min="45" max="48" width="10.8984375" style="18" customWidth="1"/>
    <col min="49" max="54" width="10.8984375" style="18" hidden="1" customWidth="1"/>
    <col min="55" max="65" width="10.8984375" style="18" customWidth="1"/>
    <col min="66" max="16384" width="10.8984375" style="18"/>
  </cols>
  <sheetData>
    <row r="1" spans="1:49" ht="15.9" customHeight="1">
      <c r="C1" s="1020" t="str">
        <f>"RAPPORT D'ANALYSE AMENDEMENT ORGANIQUE ET SUPPORT DE CULTURE                                                    N°"&amp;G8</f>
        <v>RAPPORT D'ANALYSE AMENDEMENT ORGANIQUE ET SUPPORT DE CULTURE                                                    N°PO909359</v>
      </c>
      <c r="D1" s="1020"/>
      <c r="E1" s="1020"/>
      <c r="F1" s="1020"/>
      <c r="G1" s="1020"/>
      <c r="H1" s="1020"/>
      <c r="I1" s="1020"/>
      <c r="J1" s="1020"/>
      <c r="M1" s="109"/>
      <c r="N1" s="109"/>
      <c r="O1" s="109"/>
      <c r="P1" s="109"/>
      <c r="Q1" s="109"/>
      <c r="V1" s="887" t="s">
        <v>1188</v>
      </c>
      <c r="AW1" s="109"/>
    </row>
    <row r="2" spans="1:49" ht="11.1" customHeight="1">
      <c r="C2" s="1020"/>
      <c r="D2" s="1020"/>
      <c r="E2" s="1020"/>
      <c r="F2" s="1020"/>
      <c r="G2" s="1020"/>
      <c r="H2" s="1020"/>
      <c r="I2" s="1020"/>
      <c r="J2" s="1020"/>
      <c r="V2" s="887" t="s">
        <v>1187</v>
      </c>
      <c r="AW2" s="887" t="str">
        <f>"Users:asmaabenhida:Documents:Gestion laboratoire:Rapport_d'analyses:BIOF:"&amp;G8&amp;"_"&amp;B7&amp;"_"&amp;B12</f>
        <v>Users:asmaabenhida:Documents:Gestion laboratoire:Rapport_d'analyses:BIOF:PO909359_ENA_CPT 10% 70J</v>
      </c>
    </row>
    <row r="3" spans="1:49" ht="11.1" customHeight="1">
      <c r="C3" s="1020"/>
      <c r="D3" s="1020"/>
      <c r="E3" s="1020"/>
      <c r="F3" s="1020"/>
      <c r="G3" s="1020"/>
      <c r="H3" s="1020"/>
      <c r="I3" s="1020"/>
      <c r="J3" s="1020"/>
    </row>
    <row r="4" spans="1:49" ht="21" customHeight="1">
      <c r="C4" s="1020"/>
      <c r="D4" s="1020"/>
      <c r="E4" s="1020"/>
      <c r="F4" s="1020"/>
      <c r="G4" s="1020"/>
      <c r="H4" s="1020"/>
      <c r="I4" s="1020"/>
      <c r="J4" s="1020"/>
    </row>
    <row r="5" spans="1:49" ht="15.9" customHeight="1">
      <c r="A5" s="79" t="s">
        <v>305</v>
      </c>
      <c r="C5" s="1020"/>
      <c r="D5" s="1020"/>
      <c r="E5" s="1020"/>
      <c r="F5" s="1020"/>
      <c r="G5" s="1020"/>
      <c r="H5" s="1020"/>
      <c r="I5" s="1020"/>
      <c r="J5" s="1020"/>
    </row>
    <row r="6" spans="1:49" ht="18.899999999999999" customHeight="1">
      <c r="A6" s="110" t="s">
        <v>358</v>
      </c>
      <c r="B6" s="1058"/>
      <c r="C6" s="1058"/>
      <c r="D6" s="1058"/>
      <c r="E6" s="1058"/>
      <c r="F6" s="1058"/>
      <c r="G6" s="1058"/>
      <c r="H6" s="1058"/>
      <c r="I6" s="1058"/>
      <c r="J6" s="1058"/>
    </row>
    <row r="7" spans="1:49" ht="17.100000000000001" customHeight="1">
      <c r="A7" s="111" t="s">
        <v>299</v>
      </c>
      <c r="B7" s="1057" t="str">
        <f>VBA_BIOF!B6</f>
        <v>ENA</v>
      </c>
      <c r="C7" s="1057"/>
      <c r="D7" s="1057"/>
      <c r="E7" s="1054" t="s">
        <v>289</v>
      </c>
      <c r="F7" s="1054"/>
      <c r="G7" s="1055" t="str">
        <f>IF(VBA_BIOF!P6="","",VBA_BIOF!P6)</f>
        <v>M. ANAS ELGHALI</v>
      </c>
      <c r="H7" s="1055"/>
      <c r="I7" s="1055"/>
      <c r="J7" s="1055"/>
    </row>
    <row r="8" spans="1:49" ht="17.100000000000001" customHeight="1">
      <c r="A8" s="111" t="s">
        <v>298</v>
      </c>
      <c r="B8" s="1053" t="str">
        <f>IF(VBA_BIOF!D6="","_",VBA_BIOF!D6)</f>
        <v>_</v>
      </c>
      <c r="C8" s="1053"/>
      <c r="D8" s="1053"/>
      <c r="E8" s="1054" t="s">
        <v>290</v>
      </c>
      <c r="F8" s="1054"/>
      <c r="G8" s="1053" t="str">
        <f>"PO"&amp;VBA_BIOF!A6</f>
        <v>PO909359</v>
      </c>
      <c r="H8" s="1053"/>
      <c r="I8" s="1053"/>
      <c r="J8" s="1053"/>
    </row>
    <row r="9" spans="1:49" ht="17.100000000000001" customHeight="1">
      <c r="A9" s="111" t="s">
        <v>297</v>
      </c>
      <c r="B9" s="1053" t="str">
        <f>IF(VBA_BIOF!C6="","_",VBA_BIOF!C6)</f>
        <v>KM 10 RTE HAJ KADDOUR MEKNES</v>
      </c>
      <c r="C9" s="1053"/>
      <c r="D9" s="1053"/>
      <c r="E9" s="1054" t="s">
        <v>292</v>
      </c>
      <c r="F9" s="1054"/>
      <c r="G9" s="1055">
        <f>VBA_BIOF!O6</f>
        <v>43647</v>
      </c>
      <c r="H9" s="1055"/>
      <c r="I9" s="1055"/>
      <c r="J9" s="1055"/>
    </row>
    <row r="10" spans="1:49" ht="17.100000000000001" customHeight="1">
      <c r="A10" s="111" t="s">
        <v>359</v>
      </c>
      <c r="B10" s="1053" t="str">
        <f>IF(VBA_BIOF!L6="","_",VBA_BIOF!L6)</f>
        <v>_</v>
      </c>
      <c r="C10" s="1053"/>
      <c r="D10" s="1053"/>
      <c r="E10" s="1054" t="s">
        <v>291</v>
      </c>
      <c r="F10" s="1054"/>
      <c r="G10" s="1055">
        <f>VBA_BIOF!E6</f>
        <v>43654</v>
      </c>
      <c r="H10" s="1055"/>
      <c r="I10" s="1055"/>
      <c r="J10" s="1055"/>
    </row>
    <row r="11" spans="1:49" ht="17.100000000000001" customHeight="1">
      <c r="A11" s="111" t="s">
        <v>296</v>
      </c>
      <c r="B11" s="1053" t="str">
        <f>IF(VBA_BIOF!M6="","_",VBA_BIOF!M6)</f>
        <v>_</v>
      </c>
      <c r="C11" s="1053"/>
      <c r="D11" s="1053"/>
      <c r="E11" s="1054" t="s">
        <v>293</v>
      </c>
      <c r="F11" s="1054"/>
      <c r="G11" s="1055">
        <f>G10</f>
        <v>43654</v>
      </c>
      <c r="H11" s="1055"/>
      <c r="I11" s="1055"/>
      <c r="J11" s="1055"/>
    </row>
    <row r="12" spans="1:49" ht="17.100000000000001" customHeight="1">
      <c r="A12" s="111" t="s">
        <v>295</v>
      </c>
      <c r="B12" s="1053" t="str">
        <f>IF(VBA_BIOF!K6="","_",VBA_BIOF!K6)</f>
        <v>CPT 10% 70J</v>
      </c>
      <c r="C12" s="1053"/>
      <c r="D12" s="1053"/>
      <c r="E12" s="1054" t="s">
        <v>360</v>
      </c>
      <c r="F12" s="1054"/>
      <c r="G12" s="1056" t="str">
        <f ca="1">TEXT(NOW(),"jj/mm/aa hh:mm")</f>
        <v>24/03/23 13:38</v>
      </c>
      <c r="H12" s="1056"/>
      <c r="I12" s="1056"/>
      <c r="J12" s="1056"/>
    </row>
    <row r="13" spans="1:49" ht="2.1" customHeight="1"/>
    <row r="14" spans="1:49" ht="2.1" customHeight="1"/>
    <row r="15" spans="1:49" ht="11.1" customHeight="1"/>
    <row r="16" spans="1:49" ht="27.9" customHeight="1">
      <c r="A16" s="1034" t="s">
        <v>361</v>
      </c>
      <c r="B16" s="1035"/>
      <c r="C16" s="1035"/>
      <c r="D16" s="1035"/>
      <c r="E16" s="1035"/>
      <c r="F16" s="1035"/>
      <c r="G16" s="1035"/>
      <c r="H16" s="1035"/>
      <c r="I16" s="1035"/>
      <c r="J16" s="1036"/>
    </row>
    <row r="17" spans="1:10" ht="9" customHeight="1">
      <c r="A17" s="1037" t="s">
        <v>2</v>
      </c>
      <c r="B17" s="1037" t="s">
        <v>3</v>
      </c>
      <c r="C17" s="1037" t="s">
        <v>362</v>
      </c>
      <c r="D17" s="1037" t="s">
        <v>263</v>
      </c>
      <c r="E17" s="989" t="s">
        <v>363</v>
      </c>
      <c r="F17" s="991"/>
      <c r="G17" s="1040" t="s">
        <v>364</v>
      </c>
      <c r="H17" s="1040"/>
      <c r="I17" s="1040"/>
      <c r="J17" s="1040"/>
    </row>
    <row r="18" spans="1:10" ht="9" customHeight="1">
      <c r="A18" s="1037"/>
      <c r="B18" s="1037"/>
      <c r="C18" s="1037"/>
      <c r="D18" s="1037"/>
      <c r="E18" s="1038"/>
      <c r="F18" s="1039"/>
      <c r="G18" s="1040"/>
      <c r="H18" s="1040"/>
      <c r="I18" s="1040"/>
      <c r="J18" s="1040"/>
    </row>
    <row r="19" spans="1:10" ht="18" customHeight="1">
      <c r="A19" s="1037"/>
      <c r="B19" s="1037"/>
      <c r="C19" s="1037"/>
      <c r="D19" s="1037"/>
      <c r="E19" s="112" t="s">
        <v>365</v>
      </c>
      <c r="F19" s="112" t="s">
        <v>366</v>
      </c>
      <c r="G19" s="1040"/>
      <c r="H19" s="1040"/>
      <c r="I19" s="1040"/>
      <c r="J19" s="1040"/>
    </row>
    <row r="20" spans="1:10" s="113" customFormat="1" ht="21.9" customHeight="1">
      <c r="A20" s="80" t="s">
        <v>367</v>
      </c>
      <c r="B20" s="80"/>
      <c r="C20" s="80"/>
      <c r="E20" s="78"/>
      <c r="F20" s="78"/>
    </row>
    <row r="21" spans="1:10" s="113" customFormat="1" ht="20.100000000000001" customHeight="1">
      <c r="A21" s="114" t="s">
        <v>368</v>
      </c>
      <c r="B21" s="115" t="s">
        <v>331</v>
      </c>
      <c r="C21" s="116" t="s">
        <v>351</v>
      </c>
      <c r="D21" s="115" t="s">
        <v>369</v>
      </c>
      <c r="E21" s="115" t="s">
        <v>21</v>
      </c>
      <c r="F21" s="886">
        <f>IF(HLOOKUP(B21,VBA_BIOF!$A$1:$Q$3,3,FALSE)="","-",HLOOKUP(B21,VBA_BIOF!$A$1:$Q$3,3,FALSE))</f>
        <v>27</v>
      </c>
      <c r="G21" s="1041" t="str">
        <f>IF(F21="-","",IF(F21&gt;0,"Humidité: "&amp;TEXT(100-F21,"0,0")&amp;" %",""))</f>
        <v>Humidité: 73,0 %</v>
      </c>
      <c r="H21" s="1042"/>
      <c r="I21" s="1042"/>
      <c r="J21" s="1043"/>
    </row>
    <row r="22" spans="1:10" s="113" customFormat="1" ht="20.100000000000001" customHeight="1">
      <c r="A22" s="117" t="s">
        <v>370</v>
      </c>
      <c r="B22" s="118" t="s">
        <v>332</v>
      </c>
      <c r="C22" s="119" t="s">
        <v>371</v>
      </c>
      <c r="D22" s="118"/>
      <c r="E22" s="118" t="s">
        <v>21</v>
      </c>
      <c r="F22" s="120" t="str">
        <f>IF(HLOOKUP(B22,VBA_BIOF!$A$1:$Q$3,3,FALSE)="","-",HLOOKUP(B22,VBA_BIOF!$A$1:$Q$3,3,FALSE))</f>
        <v>-</v>
      </c>
      <c r="G22" s="121"/>
      <c r="H22" s="122"/>
      <c r="I22" s="122"/>
      <c r="J22" s="123"/>
    </row>
    <row r="23" spans="1:10" ht="20.100000000000001" customHeight="1">
      <c r="A23" s="117" t="s">
        <v>372</v>
      </c>
      <c r="B23" s="118" t="s">
        <v>252</v>
      </c>
      <c r="C23" s="119" t="s">
        <v>21</v>
      </c>
      <c r="D23" s="118" t="s">
        <v>373</v>
      </c>
      <c r="E23" s="118" t="s">
        <v>21</v>
      </c>
      <c r="F23" s="124">
        <f>IF(HLOOKUP(B23,VBA_BIOF!$A$1:$Q$3,3,FALSE)="","-",HLOOKUP(B23,VBA_BIOF!$A$1:$Q$3,3,FALSE))</f>
        <v>8.69</v>
      </c>
      <c r="G23" s="125" t="str">
        <f>IF(F23="-","",IF(VALUE(F23)&lt;5,"Produit extrèmement acid",IF(VALUE(F23)&lt;6,"Produit très acid",IF(VALUE(F23)&lt;6.6,"Produit acid",IF(VALUE(F23)&lt;7.4,"Produit pratiquement neutre",IF(VALUE(F23)&lt;7.8,"Produit légèrement alcalin","Produit alcalin"))))))</f>
        <v>Produit alcalin</v>
      </c>
      <c r="H23" s="126"/>
      <c r="I23" s="126"/>
      <c r="J23" s="127"/>
    </row>
    <row r="24" spans="1:10" ht="20.100000000000001" customHeight="1">
      <c r="A24" s="117" t="s">
        <v>374</v>
      </c>
      <c r="B24" s="118" t="s">
        <v>253</v>
      </c>
      <c r="C24" s="119" t="s">
        <v>375</v>
      </c>
      <c r="D24" s="118" t="s">
        <v>376</v>
      </c>
      <c r="E24" s="118" t="s">
        <v>21</v>
      </c>
      <c r="F24" s="128">
        <f>IF(HLOOKUP(B24,VBA_BIOF!$A$1:$Q$3,3,FALSE)="","-",HLOOKUP(B24,VBA_BIOF!$A$1:$Q$3,3,FALSE))</f>
        <v>2.2799999999999998</v>
      </c>
      <c r="G24" s="125"/>
      <c r="H24" s="126"/>
      <c r="I24" s="126"/>
      <c r="J24" s="127"/>
    </row>
    <row r="25" spans="1:10" s="113" customFormat="1" ht="20.100000000000001" customHeight="1">
      <c r="A25" s="893" t="s">
        <v>377</v>
      </c>
      <c r="B25" s="894" t="s">
        <v>339</v>
      </c>
      <c r="C25" s="36" t="s">
        <v>351</v>
      </c>
      <c r="D25" s="894" t="s">
        <v>378</v>
      </c>
      <c r="E25" s="895">
        <f>IF(HLOOKUP(B25,VBA_BIOF!$A$1:$Q$3,3,FALSE)="","-",HLOOKUP(B25,VBA_BIOF!$A$1:$Q$3,3,FALSE))</f>
        <v>58.473221422861648</v>
      </c>
      <c r="F25" s="895">
        <f>IF($F$21="-","-",E25-(E25*(100-$F$21)/100))</f>
        <v>15.787769784172646</v>
      </c>
      <c r="G25" s="1044" t="str">
        <f>IF(E25="-","","Carb.org en % ms: "&amp;TEXT(E25/2,"0,0"))</f>
        <v>Carb.org en % ms: 29,2</v>
      </c>
      <c r="H25" s="1045"/>
      <c r="I25" s="1045"/>
      <c r="J25" s="1046"/>
    </row>
    <row r="26" spans="1:10" s="113" customFormat="1" ht="20.100000000000001" customHeight="1">
      <c r="A26" s="129" t="s">
        <v>379</v>
      </c>
      <c r="B26" s="130" t="s">
        <v>333</v>
      </c>
      <c r="C26" s="131" t="s">
        <v>351</v>
      </c>
      <c r="D26" s="130" t="s">
        <v>380</v>
      </c>
      <c r="E26" s="130">
        <f>IF(HLOOKUP(B26,VBA_BIOF!$A$1:$Q$3,3,FALSE)="","-",HLOOKUP(B26,VBA_BIOF!$A$1:$Q$3,3,FALSE))</f>
        <v>2.1010050000000002</v>
      </c>
      <c r="F26" s="132">
        <f>IF($E$26="-","-",E26-(E26*(100-$F$21)/100))</f>
        <v>0.56727135000000017</v>
      </c>
      <c r="G26" s="1047" t="str">
        <f>IF(E26="-","-","Rapport C/N : "&amp;IF(E25="","",TEXT(E25/2/E26,"0,0")))</f>
        <v>Rapport C/N : 13,9</v>
      </c>
      <c r="H26" s="1048"/>
      <c r="I26" s="1048"/>
      <c r="J26" s="1049"/>
    </row>
    <row r="27" spans="1:10" s="113" customFormat="1" ht="23.1" hidden="1" customHeight="1">
      <c r="A27" s="133" t="s">
        <v>381</v>
      </c>
      <c r="B27" s="134" t="s">
        <v>340</v>
      </c>
      <c r="C27" s="135" t="s">
        <v>354</v>
      </c>
      <c r="D27" s="134" t="s">
        <v>264</v>
      </c>
      <c r="E27" s="134" t="str">
        <f>IF(HLOOKUP(B27,VBA_BIOF!$A$1:$T$3,3,FALSE)="","-",HLOOKUP(B27,VBA_BIOF!$A$1:$T$3,3,FALSE))</f>
        <v>-</v>
      </c>
      <c r="F27" s="136" t="str">
        <f>IF(E27="-","-",E27-(E27*(100-$F$21)/100))</f>
        <v>-</v>
      </c>
      <c r="G27" s="1050"/>
      <c r="H27" s="1051"/>
      <c r="I27" s="1051"/>
      <c r="J27" s="1052"/>
    </row>
    <row r="28" spans="1:10" s="113" customFormat="1" ht="23.1" hidden="1" customHeight="1">
      <c r="A28" s="133" t="s">
        <v>382</v>
      </c>
      <c r="B28" s="134" t="s">
        <v>341</v>
      </c>
      <c r="C28" s="135" t="s">
        <v>353</v>
      </c>
      <c r="D28" s="134" t="s">
        <v>383</v>
      </c>
      <c r="E28" s="134" t="s">
        <v>384</v>
      </c>
      <c r="F28" s="134" t="str">
        <f>IF(E28="-","-","Inf à "&amp;TEXT((10-(10*(100-$F$21)/100)),"0,00"))</f>
        <v>Inf à 2,70</v>
      </c>
      <c r="G28" s="1050"/>
      <c r="H28" s="1051"/>
      <c r="I28" s="1051"/>
      <c r="J28" s="1052"/>
    </row>
    <row r="29" spans="1:10" s="113" customFormat="1" ht="20.100000000000001" hidden="1" customHeight="1">
      <c r="A29" s="137" t="s">
        <v>385</v>
      </c>
      <c r="B29" s="138" t="s">
        <v>386</v>
      </c>
      <c r="C29" s="135" t="s">
        <v>354</v>
      </c>
      <c r="D29" s="138" t="s">
        <v>387</v>
      </c>
      <c r="E29" s="139">
        <f>(E25*10/2)*41%</f>
        <v>119.87010391686637</v>
      </c>
      <c r="F29" s="124">
        <f t="shared" ref="F29:F30" si="0">IF(E29="","-",E29-(E29*(100-$F$21)/100))</f>
        <v>32.364928057553911</v>
      </c>
      <c r="G29" s="1025"/>
      <c r="H29" s="1026"/>
      <c r="I29" s="1026"/>
      <c r="J29" s="1027"/>
    </row>
    <row r="30" spans="1:10" s="113" customFormat="1" ht="20.100000000000001" hidden="1" customHeight="1">
      <c r="A30" s="137" t="s">
        <v>388</v>
      </c>
      <c r="B30" s="138" t="s">
        <v>389</v>
      </c>
      <c r="C30" s="135" t="s">
        <v>354</v>
      </c>
      <c r="D30" s="138" t="s">
        <v>387</v>
      </c>
      <c r="E30" s="139">
        <f>(E25*10/2)*53%</f>
        <v>154.95403677058337</v>
      </c>
      <c r="F30" s="124">
        <f t="shared" si="0"/>
        <v>41.837589928057511</v>
      </c>
      <c r="G30" s="1025"/>
      <c r="H30" s="1026"/>
      <c r="I30" s="1026"/>
      <c r="J30" s="1027"/>
    </row>
    <row r="31" spans="1:10" s="113" customFormat="1" ht="20.100000000000001" hidden="1" customHeight="1">
      <c r="A31" s="137" t="s">
        <v>390</v>
      </c>
      <c r="B31" s="138" t="s">
        <v>391</v>
      </c>
      <c r="C31" s="140"/>
      <c r="D31" s="138" t="s">
        <v>392</v>
      </c>
      <c r="E31" s="141" t="e">
        <f>E26-(E27/10)</f>
        <v>#VALUE!</v>
      </c>
      <c r="F31" s="142" t="e">
        <f>IF(E31="","-",E31-(E31*(100-$F$21)/100))</f>
        <v>#VALUE!</v>
      </c>
      <c r="G31" s="1025"/>
      <c r="H31" s="1026"/>
      <c r="I31" s="1026"/>
      <c r="J31" s="1027"/>
    </row>
    <row r="32" spans="1:10" s="113" customFormat="1" ht="20.100000000000001" hidden="1" customHeight="1">
      <c r="A32" s="143" t="s">
        <v>393</v>
      </c>
      <c r="B32" s="144" t="s">
        <v>394</v>
      </c>
      <c r="C32" s="145" t="s">
        <v>395</v>
      </c>
      <c r="D32" s="144" t="s">
        <v>396</v>
      </c>
      <c r="E32" s="146" t="s">
        <v>21</v>
      </c>
      <c r="F32" s="146">
        <v>298.5</v>
      </c>
      <c r="G32" s="1028"/>
      <c r="H32" s="1029"/>
      <c r="I32" s="1029"/>
      <c r="J32" s="1030"/>
    </row>
    <row r="33" spans="1:49" s="113" customFormat="1" ht="23.1" customHeight="1">
      <c r="A33" s="80" t="s">
        <v>397</v>
      </c>
      <c r="B33" s="80"/>
      <c r="C33" s="80"/>
      <c r="D33" s="78"/>
      <c r="E33" s="78"/>
      <c r="F33" s="78"/>
      <c r="AT33" s="78"/>
    </row>
    <row r="34" spans="1:49" s="154" customFormat="1" ht="20.100000000000001" customHeight="1">
      <c r="A34" s="147" t="s">
        <v>398</v>
      </c>
      <c r="B34" s="148" t="s">
        <v>334</v>
      </c>
      <c r="C34" s="149" t="s">
        <v>351</v>
      </c>
      <c r="D34" s="148" t="s">
        <v>302</v>
      </c>
      <c r="E34" s="150">
        <f>IF(HLOOKUP(B34,VBA_BIOF!$A$1:$Q$3,3,FALSE)="","-",HLOOKUP(B34,VBA_BIOF!$A$1:$Q$3,3,FALSE)*2.29*1)</f>
        <v>3.8472</v>
      </c>
      <c r="F34" s="150">
        <f>IF($E$34="-","-",E34-(E34*(100-$F$21)/100))</f>
        <v>1.0387439999999999</v>
      </c>
      <c r="G34" s="151" t="s">
        <v>399</v>
      </c>
      <c r="H34" s="152"/>
      <c r="I34" s="152"/>
      <c r="J34" s="153"/>
    </row>
    <row r="35" spans="1:49" s="154" customFormat="1" ht="20.100000000000001" customHeight="1">
      <c r="A35" s="155" t="s">
        <v>400</v>
      </c>
      <c r="B35" s="156" t="s">
        <v>335</v>
      </c>
      <c r="C35" s="157" t="s">
        <v>351</v>
      </c>
      <c r="D35" s="156" t="s">
        <v>302</v>
      </c>
      <c r="E35" s="158">
        <f>IF(HLOOKUP(B35,VBA_BIOF!$A$1:$Q$3,3,FALSE)="","-",HLOOKUP(B35,VBA_BIOF!$A$1:$Q$3,3,FALSE)*1.2*1)</f>
        <v>2.6999999999999997</v>
      </c>
      <c r="F35" s="158">
        <f>IF($E$35="-","-",E35-(E35*(100-$F$21)/100))</f>
        <v>0.72899999999999987</v>
      </c>
      <c r="G35" s="159"/>
      <c r="H35" s="160"/>
      <c r="I35" s="160"/>
      <c r="J35" s="161"/>
    </row>
    <row r="36" spans="1:49" s="154" customFormat="1" ht="20.100000000000001" customHeight="1">
      <c r="A36" s="155" t="s">
        <v>401</v>
      </c>
      <c r="B36" s="156" t="s">
        <v>338</v>
      </c>
      <c r="C36" s="157" t="s">
        <v>351</v>
      </c>
      <c r="D36" s="156" t="s">
        <v>302</v>
      </c>
      <c r="E36" s="158">
        <f>IF(HLOOKUP(B36,VBA_BIOF!$A$1:$Q$3,3,FALSE)="","-",HLOOKUP(B36,VBA_BIOF!$A$1:$Q$3,3,FALSE)*1.6666*1)</f>
        <v>1.3666119999999999</v>
      </c>
      <c r="F36" s="158">
        <f>IF($E$36="-","-",E36-(E36*(100-$F$21)/100))</f>
        <v>0.36898523999999999</v>
      </c>
      <c r="G36" s="159"/>
      <c r="H36" s="160"/>
      <c r="I36" s="160"/>
      <c r="J36" s="161"/>
    </row>
    <row r="37" spans="1:49" s="154" customFormat="1" ht="20.100000000000001" customHeight="1">
      <c r="A37" s="162" t="s">
        <v>402</v>
      </c>
      <c r="B37" s="163" t="s">
        <v>337</v>
      </c>
      <c r="C37" s="164" t="s">
        <v>351</v>
      </c>
      <c r="D37" s="163" t="s">
        <v>302</v>
      </c>
      <c r="E37" s="165">
        <f>IF(HLOOKUP(B37,VBA_BIOF!$A$1:$Q$3,3,FALSE)="","-",HLOOKUP(B37,VBA_BIOF!$A$1:$Q$3,3,FALSE)*1.4*1)</f>
        <v>13.622</v>
      </c>
      <c r="F37" s="165">
        <f>IF($E$37="-","-",E37-(E37*(100-$F$21)/100))</f>
        <v>3.6779399999999995</v>
      </c>
      <c r="G37" s="159"/>
      <c r="H37" s="160"/>
      <c r="I37" s="160"/>
      <c r="J37" s="161"/>
    </row>
    <row r="38" spans="1:49" s="113" customFormat="1" ht="20.100000000000001" customHeight="1">
      <c r="A38" s="166" t="s">
        <v>403</v>
      </c>
      <c r="B38" s="167" t="s">
        <v>336</v>
      </c>
      <c r="C38" s="168" t="s">
        <v>351</v>
      </c>
      <c r="D38" s="167" t="s">
        <v>302</v>
      </c>
      <c r="E38" s="169">
        <f>IF(HLOOKUP(B38,VBA_BIOF!$A$1:$Q$3,3,FALSE)="","-",HLOOKUP(B38,VBA_BIOF!$A$1:$Q$3,3,FALSE)*1.347*1)</f>
        <v>0.33674999999999999</v>
      </c>
      <c r="F38" s="169">
        <f>IF($E$38="-","-",E38-(E38*(100-$F$21)/100))</f>
        <v>9.0922499999999989E-2</v>
      </c>
      <c r="G38" s="159"/>
      <c r="H38" s="160"/>
      <c r="I38" s="160"/>
      <c r="J38" s="161"/>
    </row>
    <row r="39" spans="1:49" s="113" customFormat="1" ht="20.100000000000001" customHeight="1">
      <c r="A39" s="166" t="s">
        <v>242</v>
      </c>
      <c r="B39" s="167" t="s">
        <v>9</v>
      </c>
      <c r="C39" s="168" t="s">
        <v>351</v>
      </c>
      <c r="D39" s="167" t="s">
        <v>273</v>
      </c>
      <c r="E39" s="169">
        <f>VBA_BIOF!R4</f>
        <v>0.16249966880498251</v>
      </c>
      <c r="F39" s="169">
        <f>IF(E39="-","-",E39-(E39*(100-$F$21)/100))</f>
        <v>4.3874910577345272E-2</v>
      </c>
      <c r="G39" s="159"/>
      <c r="H39" s="160"/>
      <c r="I39" s="160"/>
      <c r="J39" s="161"/>
    </row>
    <row r="40" spans="1:49" s="113" customFormat="1" ht="20.100000000000001" customHeight="1">
      <c r="A40" s="170" t="s">
        <v>17</v>
      </c>
      <c r="B40" s="171" t="s">
        <v>18</v>
      </c>
      <c r="C40" s="172" t="s">
        <v>353</v>
      </c>
      <c r="D40" s="171" t="s">
        <v>302</v>
      </c>
      <c r="E40" s="173">
        <f>IF(HLOOKUP(B40,VBA_BIOF!$A$1:$Q$3,3,FALSE)="","-",HLOOKUP(B40,VBA_BIOF!$A$1:$Q$3,3,FALSE))</f>
        <v>1845.69</v>
      </c>
      <c r="F40" s="174">
        <f>IF(OR($F$21="-",E40="-"),"-",E40-(E40*(100-$F$21)/100))</f>
        <v>498.33630000000016</v>
      </c>
      <c r="G40" s="159"/>
      <c r="H40" s="160"/>
      <c r="I40" s="160"/>
      <c r="J40" s="161"/>
    </row>
    <row r="41" spans="1:49" s="113" customFormat="1" ht="20.100000000000001" customHeight="1">
      <c r="A41" s="117" t="s">
        <v>11</v>
      </c>
      <c r="B41" s="118" t="s">
        <v>12</v>
      </c>
      <c r="C41" s="119" t="s">
        <v>353</v>
      </c>
      <c r="D41" s="118" t="s">
        <v>302</v>
      </c>
      <c r="E41" s="124">
        <f>IF(HLOOKUP(B41,VBA_BIOF!$A$1:$Q$3,3,FALSE)="","-",HLOOKUP(B41,VBA_BIOF!$A$1:$Q$3,3,FALSE))</f>
        <v>417.91</v>
      </c>
      <c r="F41" s="124">
        <f>IF(OR($F$21="-",E41="-"),"-",E41-(E41*(100-$F$21)/100))</f>
        <v>112.83570000000003</v>
      </c>
      <c r="G41" s="159"/>
      <c r="H41" s="160"/>
      <c r="I41" s="160"/>
      <c r="J41" s="161"/>
    </row>
    <row r="42" spans="1:49" s="113" customFormat="1" ht="20.100000000000001" customHeight="1">
      <c r="A42" s="117" t="s">
        <v>13</v>
      </c>
      <c r="B42" s="118" t="s">
        <v>14</v>
      </c>
      <c r="C42" s="119" t="s">
        <v>353</v>
      </c>
      <c r="D42" s="118" t="s">
        <v>302</v>
      </c>
      <c r="E42" s="124">
        <f>IF(HLOOKUP(B42,VBA_BIOF!$A$1:$Q$3,3,FALSE)="","-",HLOOKUP(B42,VBA_BIOF!$A$1:$Q$3,3,FALSE))</f>
        <v>144.75</v>
      </c>
      <c r="F42" s="124">
        <f>IF(OR($F$21="-",E42="-"),"-",E42-(E42*(100-$F$21)/100))</f>
        <v>39.082499999999996</v>
      </c>
      <c r="G42" s="159"/>
      <c r="H42" s="160"/>
      <c r="I42" s="160"/>
      <c r="J42" s="161"/>
    </row>
    <row r="43" spans="1:49" s="113" customFormat="1" ht="20.100000000000001" customHeight="1">
      <c r="A43" s="117" t="s">
        <v>15</v>
      </c>
      <c r="B43" s="118" t="s">
        <v>16</v>
      </c>
      <c r="C43" s="119" t="s">
        <v>353</v>
      </c>
      <c r="D43" s="118" t="s">
        <v>302</v>
      </c>
      <c r="E43" s="128">
        <f>IF(HLOOKUP(B43,VBA_BIOF!$A$1:$Q$3,3,FALSE)="","-",HLOOKUP(B43,VBA_BIOF!$A$1:$Q$3,3,FALSE))</f>
        <v>317.5</v>
      </c>
      <c r="F43" s="124">
        <f>IF(OR($F$21="-",E43="-"),"-",E43-(E43*(100-$F$21)/100))</f>
        <v>85.724999999999994</v>
      </c>
      <c r="G43" s="159"/>
      <c r="H43" s="160"/>
      <c r="I43" s="160"/>
      <c r="J43" s="161"/>
    </row>
    <row r="44" spans="1:49" s="113" customFormat="1" ht="20.100000000000001" customHeight="1">
      <c r="A44" s="175" t="s">
        <v>19</v>
      </c>
      <c r="B44" s="176" t="s">
        <v>20</v>
      </c>
      <c r="C44" s="177" t="s">
        <v>353</v>
      </c>
      <c r="D44" s="176" t="s">
        <v>302</v>
      </c>
      <c r="E44" s="178" t="str">
        <f>IF(HLOOKUP(B44,VBA_BIOF!$A$1:$Q$3,3,FALSE)="","-",HLOOKUP(B44,VBA_BIOF!$A$1:$Q$3,3,FALSE))</f>
        <v>-</v>
      </c>
      <c r="F44" s="130" t="str">
        <f>IF(OR($F$21="-",E44="-"),"-",E44-(E44*(100-$F$21)/100))</f>
        <v>-</v>
      </c>
      <c r="G44" s="179"/>
      <c r="H44" s="180"/>
      <c r="I44" s="180"/>
      <c r="J44" s="181"/>
      <c r="AU44" s="78"/>
      <c r="AV44" s="78" t="s">
        <v>404</v>
      </c>
    </row>
    <row r="45" spans="1:49" s="113" customFormat="1" ht="20.100000000000001" hidden="1" customHeight="1">
      <c r="A45" s="117" t="s">
        <v>405</v>
      </c>
      <c r="B45" s="118" t="s">
        <v>342</v>
      </c>
      <c r="C45" s="119" t="s">
        <v>353</v>
      </c>
      <c r="D45" s="118" t="s">
        <v>302</v>
      </c>
      <c r="E45" s="120" t="str">
        <f>IF(HLOOKUP(B45,VBA_BIOF!$A$1:$AC$3,3,FALSE)="","-",IF(HLOOKUP(B45,VBA_BIOF!$A$1:$AC$3,3,FALSE)&lt;AV45,"Inf à 0,15",HLOOKUP(B45,VBA_BIOF!$A$1:$AC$3,3,FALSE)))</f>
        <v>-</v>
      </c>
      <c r="F45" s="128" t="str">
        <f>IF(OR($F$21="-",E45="-"),"-",IF(HLOOKUP(B45,VBA_BIOF!$A$1:$AC$3,3,FALSE)&lt;AV45,"Inf à 0,15",E45-(E45*(100-$F$21)/100)))</f>
        <v>-</v>
      </c>
      <c r="G45" s="182"/>
      <c r="H45" s="182"/>
      <c r="I45" s="182"/>
      <c r="J45" s="183"/>
      <c r="AU45" s="78" t="s">
        <v>342</v>
      </c>
      <c r="AV45" s="78">
        <f>0.15</f>
        <v>0.15</v>
      </c>
      <c r="AW45" s="93"/>
    </row>
    <row r="46" spans="1:49" s="113" customFormat="1" ht="20.100000000000001" hidden="1" customHeight="1">
      <c r="A46" s="117" t="s">
        <v>406</v>
      </c>
      <c r="B46" s="118" t="s">
        <v>343</v>
      </c>
      <c r="C46" s="119" t="s">
        <v>353</v>
      </c>
      <c r="D46" s="118" t="s">
        <v>302</v>
      </c>
      <c r="E46" s="120" t="str">
        <f>IF(HLOOKUP(B46,VBA_BIOF!$A$1:$AC$3,3,FALSE)="","-",IF(HLOOKUP(B46,VBA_BIOF!$A$1:$AC$3,3,FALSE)&lt;AV46,"Inf à 0,10",HLOOKUP(B46,VBA_BIOF!$A$1:$AC$3,3,FALSE)))</f>
        <v>-</v>
      </c>
      <c r="F46" s="128" t="str">
        <f>IF(OR($F$21="-",E46="-"),"-",IF(HLOOKUP(B46,VBA_BIOF!$A$1:$AC$3,3,FALSE)&lt;AV46,"Inf à 0,15",E46-(E46*(100-$F$21)/100)))</f>
        <v>-</v>
      </c>
      <c r="G46" s="182"/>
      <c r="H46" s="182"/>
      <c r="I46" s="182"/>
      <c r="J46" s="183"/>
      <c r="AU46" s="78" t="s">
        <v>343</v>
      </c>
      <c r="AV46" s="78">
        <v>0.1</v>
      </c>
      <c r="AW46" s="93"/>
    </row>
    <row r="47" spans="1:49" s="113" customFormat="1" ht="20.100000000000001" hidden="1" customHeight="1">
      <c r="A47" s="117" t="s">
        <v>407</v>
      </c>
      <c r="B47" s="118" t="s">
        <v>344</v>
      </c>
      <c r="C47" s="119" t="s">
        <v>353</v>
      </c>
      <c r="D47" s="118" t="s">
        <v>302</v>
      </c>
      <c r="E47" s="124" t="str">
        <f>IF(HLOOKUP(B47,VBA_BIOF!$A$1:$AC$3,3,FALSE)="","-",IF(HLOOKUP(B47,VBA_BIOF!$A$1:$AC$3,3,FALSE)&lt;AV47,"Inf à 0,10",HLOOKUP(B47,VBA_BIOF!$A$1:$AC$3,3,FALSE)))</f>
        <v>-</v>
      </c>
      <c r="F47" s="124" t="str">
        <f>IF(OR($F$21="-",E47="-"),"-",IF(HLOOKUP(B47,VBA_BIOF!$A$1:$AC$3,3,FALSE)&lt;AV47,"Inf à 0,15",E47-(E47*(100-$F$21)/100)))</f>
        <v>-</v>
      </c>
      <c r="G47" s="182"/>
      <c r="H47" s="182"/>
      <c r="I47" s="182"/>
      <c r="J47" s="183"/>
      <c r="AU47" s="78" t="s">
        <v>344</v>
      </c>
      <c r="AV47" s="78">
        <v>0.1</v>
      </c>
      <c r="AW47" s="93"/>
    </row>
    <row r="48" spans="1:49" s="113" customFormat="1" ht="20.100000000000001" hidden="1" customHeight="1">
      <c r="A48" s="117" t="s">
        <v>408</v>
      </c>
      <c r="B48" s="118" t="s">
        <v>345</v>
      </c>
      <c r="C48" s="119" t="s">
        <v>353</v>
      </c>
      <c r="D48" s="118" t="s">
        <v>302</v>
      </c>
      <c r="E48" s="124" t="str">
        <f>IF(HLOOKUP(B48,VBA_BIOF!$A$1:$AC$3,3,FALSE)="","-",IF(HLOOKUP(B48,VBA_BIOF!$A$1:$AC$3,3,FALSE)&lt;AV48,"Inf à 0,10",HLOOKUP(B48,VBA_BIOF!$A$1:$AC$3,3,FALSE)))</f>
        <v>-</v>
      </c>
      <c r="F48" s="124" t="str">
        <f>IF(OR($F$21="-",E48="-"),"-",IF(HLOOKUP(B48,VBA_BIOF!$A$1:$AC$3,3,FALSE)&lt;AV48,"Inf à 0,15",E48-(E48*(100-$F$21)/100)))</f>
        <v>-</v>
      </c>
      <c r="G48" s="182"/>
      <c r="H48" s="182"/>
      <c r="I48" s="182"/>
      <c r="J48" s="183"/>
      <c r="AU48" s="78" t="s">
        <v>345</v>
      </c>
      <c r="AV48" s="78">
        <v>0.1</v>
      </c>
      <c r="AW48" s="93"/>
    </row>
    <row r="49" spans="1:49" s="113" customFormat="1" ht="23.1" hidden="1" customHeight="1">
      <c r="A49" s="117" t="s">
        <v>409</v>
      </c>
      <c r="B49" s="118" t="s">
        <v>346</v>
      </c>
      <c r="C49" s="119" t="s">
        <v>353</v>
      </c>
      <c r="D49" s="118" t="s">
        <v>302</v>
      </c>
      <c r="E49" s="120" t="str">
        <f>IF(HLOOKUP(B49,VBA_BIOF!$A$1:$AC$3,3,FALSE)="","-",IF(HLOOKUP(B49,VBA_BIOF!$A$1:$AC$3,3,FALSE)&lt;AV49,"Inf à 0,10",HLOOKUP(B49,VBA_BIOF!$A$1:$AC$3,3,FALSE)))</f>
        <v>-</v>
      </c>
      <c r="F49" s="124" t="str">
        <f>IF(OR($F$21="-",E49="-"),"-",IF(HLOOKUP(B49,VBA_BIOF!$A$1:$AC$3,3,FALSE)&lt;AV49,"Inf à 0,15",E49-(E49*(100-$F$21)/100)))</f>
        <v>-</v>
      </c>
      <c r="G49" s="182"/>
      <c r="H49" s="182"/>
      <c r="I49" s="182"/>
      <c r="J49" s="183"/>
      <c r="AU49" s="78" t="s">
        <v>346</v>
      </c>
      <c r="AV49" s="78">
        <v>0.1</v>
      </c>
      <c r="AW49" s="93"/>
    </row>
    <row r="50" spans="1:49" s="113" customFormat="1" ht="21" hidden="1" customHeight="1">
      <c r="A50" s="117" t="s">
        <v>410</v>
      </c>
      <c r="B50" s="118" t="s">
        <v>347</v>
      </c>
      <c r="C50" s="119" t="s">
        <v>353</v>
      </c>
      <c r="D50" s="118" t="s">
        <v>302</v>
      </c>
      <c r="E50" s="124" t="str">
        <f>IF(HLOOKUP(B50,VBA_BIOF!$A$1:$AC$3,3,FALSE)="","-",IF(HLOOKUP(B50,VBA_BIOF!$A$1:$AC$3,3,FALSE)&lt;AV50,"Inf à 0,10",HLOOKUP(B50,VBA_BIOF!$A$1:$AC$3,3,FALSE)))</f>
        <v>-</v>
      </c>
      <c r="F50" s="124" t="str">
        <f>IF(OR($F$21="-",E50="-"),"-",IF(HLOOKUP(B50,VBA_BIOF!$A$1:$AC$3,3,FALSE)&lt;AV50,"Inf à 0,15",E50-(E50*(100-$F$21)/100)))</f>
        <v>-</v>
      </c>
      <c r="G50" s="182"/>
      <c r="H50" s="182"/>
      <c r="I50" s="182"/>
      <c r="J50" s="183"/>
      <c r="AU50" s="78" t="s">
        <v>347</v>
      </c>
      <c r="AV50" s="78">
        <v>0.1</v>
      </c>
      <c r="AW50" s="93"/>
    </row>
    <row r="51" spans="1:49" s="113" customFormat="1" ht="20.100000000000001" hidden="1" customHeight="1">
      <c r="A51" s="117" t="s">
        <v>411</v>
      </c>
      <c r="B51" s="118" t="s">
        <v>348</v>
      </c>
      <c r="C51" s="119" t="s">
        <v>353</v>
      </c>
      <c r="D51" s="118" t="s">
        <v>302</v>
      </c>
      <c r="E51" s="124" t="str">
        <f>IF(HLOOKUP(B51,VBA_BIOF!$A$1:$AC$3,3,FALSE)="","-",IF(HLOOKUP(B51,VBA_BIOF!$A$1:$AC$3,3,FALSE)&lt;AV51,"Inf à 0,10",HLOOKUP(B51,VBA_BIOF!$A$1:$AC$3,3,FALSE)))</f>
        <v>-</v>
      </c>
      <c r="F51" s="124" t="str">
        <f>IF(OR($F$21="-",E51="-"),"-",IF(HLOOKUP(B51,VBA_BIOF!$A$1:$AC$3,3,FALSE)&lt;AV51,"Inf à 0,15",E51-(E51*(100-$F$21)/100)))</f>
        <v>-</v>
      </c>
      <c r="G51" s="182"/>
      <c r="H51" s="182"/>
      <c r="I51" s="182"/>
      <c r="J51" s="183"/>
      <c r="AU51" s="78" t="s">
        <v>348</v>
      </c>
      <c r="AV51" s="78">
        <v>0.1</v>
      </c>
      <c r="AW51" s="93"/>
    </row>
    <row r="52" spans="1:49" s="113" customFormat="1" ht="20.100000000000001" hidden="1" customHeight="1">
      <c r="A52" s="175" t="s">
        <v>412</v>
      </c>
      <c r="B52" s="176" t="s">
        <v>349</v>
      </c>
      <c r="C52" s="177" t="s">
        <v>353</v>
      </c>
      <c r="D52" s="176" t="s">
        <v>302</v>
      </c>
      <c r="E52" s="130" t="str">
        <f>IF(HLOOKUP(B52,VBA_BIOF!$A$1:$AC$3,3,FALSE)="","-",IF(HLOOKUP(B52,VBA_BIOF!$A$1:$AC$3,3,FALSE)&lt;AV52,"Inf à 0,10",HLOOKUP(B52,VBA_BIOF!$A$1:$AC$3,3,FALSE)))</f>
        <v>-</v>
      </c>
      <c r="F52" s="130" t="str">
        <f>IF(OR($F$21="-",E52="-"),"-",IF(HLOOKUP(B52,VBA_BIOF!$A$1:$AC$3,3,FALSE)&lt;AV52,"Inf à 0,15",E52-(E52*(100-$F$21)/100)))</f>
        <v>-</v>
      </c>
      <c r="G52" s="184"/>
      <c r="H52" s="184"/>
      <c r="I52" s="184"/>
      <c r="J52" s="185"/>
      <c r="AU52" s="78" t="s">
        <v>349</v>
      </c>
      <c r="AV52" s="78">
        <v>0.1</v>
      </c>
      <c r="AW52" s="93"/>
    </row>
    <row r="53" spans="1:49" s="113" customFormat="1" ht="23.1" hidden="1" customHeight="1">
      <c r="A53" s="175" t="s">
        <v>413</v>
      </c>
      <c r="B53" s="176" t="s">
        <v>350</v>
      </c>
      <c r="C53" s="177" t="s">
        <v>353</v>
      </c>
      <c r="D53" s="176" t="s">
        <v>302</v>
      </c>
      <c r="E53" s="178" t="str">
        <f>IF(HLOOKUP(B53,VBA_BIOF!$A$1:$AC$3,3,FALSE)="","-",IF(HLOOKUP(B53,VBA_BIOF!$A$1:$AC$3,3,FALSE)&lt;AV53,"Inf à 0,10",HLOOKUP(B53,VBA_BIOF!$A$1:$AC$3,3,FALSE)))</f>
        <v>-</v>
      </c>
      <c r="F53" s="178" t="str">
        <f>IF(OR($F$21="-",E53="-"),"-",IF(HLOOKUP(B53,VBA_BIOF!$A$1:$AC$3,3,FALSE)&lt;AV53,"Inf à 0,15",E53-(E53*(100-$F$21)/100)))</f>
        <v>-</v>
      </c>
      <c r="G53" s="184"/>
      <c r="H53" s="184"/>
      <c r="I53" s="184"/>
      <c r="J53" s="185"/>
      <c r="AU53" s="21" t="s">
        <v>414</v>
      </c>
      <c r="AV53" s="78">
        <v>0.1</v>
      </c>
      <c r="AW53" s="93"/>
    </row>
    <row r="54" spans="1:49" s="113" customFormat="1" ht="23.1" customHeight="1">
      <c r="A54" s="186" t="s">
        <v>415</v>
      </c>
      <c r="B54" s="78"/>
      <c r="C54" s="78"/>
      <c r="E54" s="78"/>
      <c r="F54" s="78"/>
      <c r="G54" s="187"/>
      <c r="H54" s="187"/>
      <c r="I54" s="187"/>
      <c r="J54" s="187"/>
    </row>
    <row r="55" spans="1:49" s="113" customFormat="1" ht="23.1" customHeight="1">
      <c r="A55" s="126" t="s">
        <v>416</v>
      </c>
      <c r="B55" s="78"/>
      <c r="C55" s="78"/>
      <c r="E55" s="78"/>
      <c r="F55" s="78"/>
      <c r="G55" s="187"/>
      <c r="H55" s="187"/>
      <c r="I55" s="187"/>
      <c r="J55" s="187"/>
    </row>
    <row r="56" spans="1:49" ht="5.0999999999999996" customHeight="1">
      <c r="A56" s="1031"/>
      <c r="B56" s="1032"/>
      <c r="C56" s="1032"/>
      <c r="D56" s="1032"/>
      <c r="E56" s="1032"/>
      <c r="F56" s="1032"/>
      <c r="G56" s="1032"/>
      <c r="H56" s="1032"/>
      <c r="I56" s="1032"/>
      <c r="J56" s="1032"/>
    </row>
    <row r="57" spans="1:49" ht="32.1" customHeight="1">
      <c r="A57" s="992" t="s">
        <v>417</v>
      </c>
      <c r="B57" s="992"/>
      <c r="C57" s="992"/>
      <c r="D57" s="77"/>
      <c r="F57" s="1033" t="s">
        <v>418</v>
      </c>
      <c r="G57" s="1033"/>
      <c r="H57" s="1033"/>
      <c r="I57" s="1033"/>
    </row>
    <row r="58" spans="1:49">
      <c r="A58" s="1023" t="s">
        <v>419</v>
      </c>
      <c r="B58" s="1023"/>
      <c r="C58" s="1023"/>
      <c r="F58" s="1024" t="s">
        <v>420</v>
      </c>
      <c r="G58" s="1024"/>
      <c r="H58" s="1024"/>
      <c r="I58" s="1024"/>
    </row>
    <row r="60" spans="1:49" ht="68.099999999999994" customHeight="1"/>
  </sheetData>
  <mergeCells count="41">
    <mergeCell ref="B8:D8"/>
    <mergeCell ref="E8:F8"/>
    <mergeCell ref="G8:J8"/>
    <mergeCell ref="C1:J5"/>
    <mergeCell ref="B7:D7"/>
    <mergeCell ref="E7:F7"/>
    <mergeCell ref="G7:J7"/>
    <mergeCell ref="B6:J6"/>
    <mergeCell ref="B9:D9"/>
    <mergeCell ref="E9:F9"/>
    <mergeCell ref="G9:J9"/>
    <mergeCell ref="B10:D10"/>
    <mergeCell ref="E10:F10"/>
    <mergeCell ref="G10:J10"/>
    <mergeCell ref="B11:D11"/>
    <mergeCell ref="E11:F11"/>
    <mergeCell ref="G11:J11"/>
    <mergeCell ref="B12:D12"/>
    <mergeCell ref="E12:F12"/>
    <mergeCell ref="G12:J12"/>
    <mergeCell ref="G29:J29"/>
    <mergeCell ref="A16:J16"/>
    <mergeCell ref="A17:A19"/>
    <mergeCell ref="B17:B19"/>
    <mergeCell ref="C17:C19"/>
    <mergeCell ref="D17:D19"/>
    <mergeCell ref="E17:F18"/>
    <mergeCell ref="G17:J19"/>
    <mergeCell ref="G21:J21"/>
    <mergeCell ref="G25:J25"/>
    <mergeCell ref="G26:J26"/>
    <mergeCell ref="G27:J27"/>
    <mergeCell ref="G28:J28"/>
    <mergeCell ref="A58:C58"/>
    <mergeCell ref="F58:I58"/>
    <mergeCell ref="G30:J30"/>
    <mergeCell ref="G31:J31"/>
    <mergeCell ref="G32:J32"/>
    <mergeCell ref="A56:J56"/>
    <mergeCell ref="A57:C57"/>
    <mergeCell ref="F57:I57"/>
  </mergeCells>
  <phoneticPr fontId="36" type="noConversion"/>
  <printOptions horizontalCentered="1"/>
  <pageMargins left="0.16" right="0.16" top="0.79000000000000015" bottom="0.59" header="0.2" footer="0.2"/>
  <pageSetup paperSize="9" scale="70" orientation="portrait"/>
  <headerFooter>
    <oddFooter>&amp;C&amp;"Calibri,Gras"&amp;K000000FIN DE PAGE_x000D_------------------------------_x000D_&amp;"Calibri,Normal"AGROPOLIS-GI5 GI6, Commune de Mejjate, Meknes, Maroc_x000D_Tél:+212 538 00 49 20/ www.elephantvert.ch / contactmaroc@elephantvert.ch</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lletin_BIOF">
                <anchor moveWithCells="1" sizeWithCells="1">
                  <from>
                    <xdr:col>44</xdr:col>
                    <xdr:colOff>274320</xdr:colOff>
                    <xdr:row>6</xdr:row>
                    <xdr:rowOff>83820</xdr:rowOff>
                  </from>
                  <to>
                    <xdr:col>45</xdr:col>
                    <xdr:colOff>190500</xdr:colOff>
                    <xdr:row>8</xdr:row>
                    <xdr:rowOff>114300</xdr:rowOff>
                  </to>
                </anchor>
              </controlPr>
            </control>
          </mc:Choice>
        </mc:AlternateContent>
        <mc:AlternateContent xmlns:mc="http://schemas.openxmlformats.org/markup-compatibility/2006">
          <mc:Choice Requires="x14">
            <control shapeId="8194" r:id="rId4" name="Button 2">
              <controlPr defaultSize="0" print="0" autoFill="0" autoPict="0" macro="[0]!LOT_BIOF">
                <anchor moveWithCells="1" sizeWithCells="1">
                  <from>
                    <xdr:col>44</xdr:col>
                    <xdr:colOff>266700</xdr:colOff>
                    <xdr:row>4</xdr:row>
                    <xdr:rowOff>0</xdr:rowOff>
                  </from>
                  <to>
                    <xdr:col>45</xdr:col>
                    <xdr:colOff>152400</xdr:colOff>
                    <xdr:row>5</xdr:row>
                    <xdr:rowOff>152400</xdr:rowOff>
                  </to>
                </anchor>
              </controlPr>
            </control>
          </mc:Choice>
        </mc:AlternateContent>
      </controls>
    </mc:Choice>
  </mc:AlternateContent>
  <extLst>
    <ext xmlns:mx="http://schemas.microsoft.com/office/mac/excel/2008/main" uri="{64002731-A6B0-56B0-2670-7721B7C09600}">
      <mx:PLV Mode="0" OnePage="0" WScale="6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rgb="FF008000"/>
  </sheetPr>
  <dimension ref="C1:DC48"/>
  <sheetViews>
    <sheetView showGridLines="0" view="pageBreakPreview" zoomScale="80" zoomScaleNormal="100" zoomScaleSheetLayoutView="80" workbookViewId="0">
      <selection activeCell="I9" sqref="I9:L9"/>
    </sheetView>
  </sheetViews>
  <sheetFormatPr baseColWidth="10" defaultColWidth="10.8984375" defaultRowHeight="16.2"/>
  <cols>
    <col min="1" max="2" width="10.8984375" style="18"/>
    <col min="3" max="3" width="17.5" style="18" customWidth="1"/>
    <col min="4" max="4" width="7.8984375" style="18" customWidth="1"/>
    <col min="5" max="5" width="11.8984375" style="18" customWidth="1"/>
    <col min="6" max="6" width="17.69921875" style="18" customWidth="1"/>
    <col min="7" max="7" width="8.59765625" style="18" bestFit="1" customWidth="1"/>
    <col min="8" max="8" width="15.3984375" style="18" customWidth="1"/>
    <col min="9" max="9" width="10.8984375" style="18" customWidth="1"/>
    <col min="10" max="10" width="8.8984375" style="18" customWidth="1"/>
    <col min="11" max="11" width="8.09765625" style="18" customWidth="1"/>
    <col min="12" max="13" width="10.8984375" style="18" customWidth="1"/>
    <col min="14" max="14" width="100.09765625" style="18" customWidth="1"/>
    <col min="15" max="15" width="13.09765625" style="92" customWidth="1"/>
    <col min="16" max="16" width="10.8984375" style="18" customWidth="1"/>
    <col min="17" max="17" width="15.8984375" style="18" customWidth="1"/>
    <col min="18" max="24" width="10.8984375" style="18" customWidth="1"/>
    <col min="25" max="25" width="25.8984375" style="18" customWidth="1"/>
    <col min="26" max="29" width="10.8984375" style="21" customWidth="1"/>
    <col min="30" max="97" width="10.8984375" style="18" customWidth="1"/>
    <col min="98" max="98" width="15" style="18" customWidth="1"/>
    <col min="99" max="141" width="10.8984375" style="18" customWidth="1"/>
    <col min="142" max="16384" width="10.8984375" style="18"/>
  </cols>
  <sheetData>
    <row r="1" spans="3:107" ht="15.9" customHeight="1">
      <c r="C1" s="189"/>
      <c r="E1" s="956"/>
      <c r="F1" s="956"/>
      <c r="G1" s="1020" t="str">
        <f>"RAPPORT D'ANALYSE DE VEGETAUX N°VEG"&amp;I9</f>
        <v>RAPPORT D'ANALYSE DE VEGETAUX N°VEG106082</v>
      </c>
      <c r="H1" s="1020"/>
      <c r="I1" s="1020"/>
      <c r="J1" s="1020"/>
      <c r="K1" s="1020"/>
      <c r="L1" s="1020"/>
      <c r="V1" s="887" t="s">
        <v>1212</v>
      </c>
      <c r="AA1" s="21">
        <f>HLOOKUP(D11,$Z$2:$MO$3,2,FALSE)</f>
        <v>23</v>
      </c>
      <c r="AY1" s="1063" t="str">
        <f>"VEG"&amp;I9&amp;"_"&amp;D8&amp;"_"&amp;D11</f>
        <v>VEG106082_INAGRITECH_VIGNE</v>
      </c>
      <c r="AZ1" s="1063"/>
      <c r="BA1" s="1063"/>
      <c r="BB1" s="1063"/>
      <c r="BC1" s="1063"/>
      <c r="BD1" s="1063"/>
    </row>
    <row r="2" spans="3:107" ht="11.1" customHeight="1">
      <c r="E2" s="956"/>
      <c r="F2" s="956"/>
      <c r="G2" s="1020"/>
      <c r="H2" s="1020"/>
      <c r="I2" s="1020"/>
      <c r="J2" s="1020"/>
      <c r="K2" s="1020"/>
      <c r="L2" s="1020"/>
      <c r="V2" s="887" t="s">
        <v>1211</v>
      </c>
      <c r="Z2" s="190" t="s">
        <v>422</v>
      </c>
      <c r="AA2" s="190" t="s">
        <v>423</v>
      </c>
      <c r="AB2" s="190" t="s">
        <v>424</v>
      </c>
      <c r="AC2" s="190" t="s">
        <v>425</v>
      </c>
      <c r="AD2" s="190" t="s">
        <v>426</v>
      </c>
      <c r="AE2" s="190" t="s">
        <v>427</v>
      </c>
      <c r="AF2" s="190" t="s">
        <v>428</v>
      </c>
      <c r="AG2" s="190" t="s">
        <v>429</v>
      </c>
      <c r="AH2" s="190" t="s">
        <v>430</v>
      </c>
      <c r="AI2" s="190" t="s">
        <v>431</v>
      </c>
      <c r="AJ2" s="190" t="s">
        <v>432</v>
      </c>
      <c r="AK2" s="190" t="s">
        <v>433</v>
      </c>
      <c r="AL2" s="190" t="s">
        <v>434</v>
      </c>
      <c r="AM2" s="190" t="s">
        <v>435</v>
      </c>
      <c r="AN2" s="190" t="s">
        <v>436</v>
      </c>
      <c r="AO2" s="190" t="s">
        <v>437</v>
      </c>
      <c r="AP2" s="190" t="s">
        <v>471</v>
      </c>
      <c r="AQ2" s="190" t="s">
        <v>438</v>
      </c>
      <c r="AR2" s="190" t="s">
        <v>439</v>
      </c>
      <c r="AS2" s="190" t="s">
        <v>440</v>
      </c>
      <c r="AT2" s="190" t="s">
        <v>441</v>
      </c>
      <c r="AU2" s="190" t="s">
        <v>442</v>
      </c>
      <c r="AV2" s="190" t="s">
        <v>443</v>
      </c>
      <c r="AW2" s="190" t="s">
        <v>444</v>
      </c>
      <c r="AX2" s="190" t="s">
        <v>445</v>
      </c>
      <c r="AY2" s="190" t="s">
        <v>446</v>
      </c>
      <c r="AZ2" s="190" t="s">
        <v>447</v>
      </c>
      <c r="BA2" s="190" t="s">
        <v>484</v>
      </c>
      <c r="BB2" s="190" t="s">
        <v>1214</v>
      </c>
      <c r="BC2" s="190" t="s">
        <v>1216</v>
      </c>
      <c r="BD2" s="190" t="s">
        <v>487</v>
      </c>
      <c r="BE2" s="931" t="s">
        <v>1223</v>
      </c>
      <c r="BF2" s="931" t="s">
        <v>1227</v>
      </c>
      <c r="BG2" s="951" t="s">
        <v>482</v>
      </c>
    </row>
    <row r="3" spans="3:107" ht="11.1" customHeight="1">
      <c r="E3" s="956"/>
      <c r="F3" s="956"/>
      <c r="G3" s="1020"/>
      <c r="H3" s="1020"/>
      <c r="I3" s="1020"/>
      <c r="J3" s="1020"/>
      <c r="K3" s="1020"/>
      <c r="L3" s="1020"/>
      <c r="V3" s="887" t="str">
        <f>"C:\Users\Amine Bouslamti\Documents\mes docs\VEG"&amp;I9&amp;"_"&amp;D8&amp;"_"&amp;D11</f>
        <v>C:\Users\Amine Bouslamti\Documents\mes docs\VEG106082_INAGRITECH_VIGNE</v>
      </c>
      <c r="Z3" s="191">
        <v>33</v>
      </c>
      <c r="AA3" s="191">
        <v>1</v>
      </c>
      <c r="AB3" s="191">
        <v>2</v>
      </c>
      <c r="AC3" s="191">
        <v>3</v>
      </c>
      <c r="AD3" s="191">
        <v>4</v>
      </c>
      <c r="AE3" s="191">
        <v>5</v>
      </c>
      <c r="AF3" s="191">
        <v>6</v>
      </c>
      <c r="AG3" s="191">
        <v>7</v>
      </c>
      <c r="AH3" s="191">
        <v>8</v>
      </c>
      <c r="AI3" s="191">
        <v>9</v>
      </c>
      <c r="AJ3" s="191">
        <v>10</v>
      </c>
      <c r="AK3" s="191">
        <v>11</v>
      </c>
      <c r="AL3" s="191">
        <v>12</v>
      </c>
      <c r="AM3" s="192">
        <v>13</v>
      </c>
      <c r="AN3" s="191">
        <v>14</v>
      </c>
      <c r="AO3" s="191">
        <v>15</v>
      </c>
      <c r="AP3" s="191">
        <v>16</v>
      </c>
      <c r="AQ3" s="191">
        <v>17</v>
      </c>
      <c r="AR3" s="191">
        <v>18</v>
      </c>
      <c r="AS3" s="191">
        <v>19</v>
      </c>
      <c r="AT3" s="191">
        <v>20</v>
      </c>
      <c r="AU3" s="191">
        <v>21</v>
      </c>
      <c r="AV3" s="191">
        <v>36</v>
      </c>
      <c r="AW3" s="191">
        <v>23</v>
      </c>
      <c r="AX3" s="191">
        <v>37</v>
      </c>
      <c r="AY3" s="191">
        <v>25</v>
      </c>
      <c r="AZ3" s="191">
        <v>38</v>
      </c>
      <c r="BA3" s="191">
        <v>31</v>
      </c>
      <c r="BB3" s="191">
        <v>39</v>
      </c>
      <c r="BC3" s="191">
        <v>26</v>
      </c>
      <c r="BD3" s="191">
        <v>35</v>
      </c>
      <c r="BE3" s="931">
        <v>40</v>
      </c>
      <c r="BF3" s="931">
        <v>41</v>
      </c>
      <c r="BG3" s="951">
        <v>27</v>
      </c>
    </row>
    <row r="4" spans="3:107" ht="12.9" customHeight="1">
      <c r="E4" s="956"/>
      <c r="F4" s="956"/>
      <c r="G4" s="1020"/>
      <c r="H4" s="1020"/>
      <c r="I4" s="1020"/>
      <c r="J4" s="1020"/>
      <c r="K4" s="1020"/>
      <c r="L4" s="1020"/>
    </row>
    <row r="5" spans="3:107" ht="12.9" customHeight="1">
      <c r="C5" s="18" t="s">
        <v>1273</v>
      </c>
      <c r="E5" s="956"/>
      <c r="F5" s="956"/>
      <c r="G5" s="1020"/>
      <c r="H5" s="1020"/>
      <c r="I5" s="1020"/>
      <c r="J5" s="1020"/>
      <c r="K5" s="1020"/>
      <c r="L5" s="1020"/>
    </row>
    <row r="6" spans="3:107" ht="12.9" customHeight="1">
      <c r="C6" s="79" t="s">
        <v>305</v>
      </c>
      <c r="E6" s="19"/>
      <c r="F6" s="20"/>
      <c r="G6" s="1020"/>
      <c r="H6" s="1020"/>
      <c r="I6" s="1020"/>
      <c r="J6" s="1020"/>
      <c r="K6" s="1020"/>
      <c r="L6" s="1020"/>
    </row>
    <row r="7" spans="3:107" ht="12.9" customHeight="1">
      <c r="C7" s="110" t="s">
        <v>1277</v>
      </c>
      <c r="E7" s="19"/>
      <c r="F7" s="20"/>
      <c r="G7" s="1059"/>
      <c r="H7" s="1059"/>
      <c r="I7" s="1059"/>
      <c r="J7" s="1059"/>
      <c r="K7" s="1059"/>
      <c r="L7" s="1059"/>
    </row>
    <row r="8" spans="3:107" ht="17.100000000000001" customHeight="1">
      <c r="C8" s="82" t="s">
        <v>449</v>
      </c>
      <c r="D8" s="1064" t="str">
        <f>VBA_VEG!B6</f>
        <v>INAGRITECH</v>
      </c>
      <c r="E8" s="1064"/>
      <c r="F8" s="1064"/>
      <c r="G8" s="1013" t="s">
        <v>450</v>
      </c>
      <c r="H8" s="1013"/>
      <c r="I8" s="1017" t="str">
        <f>IF(VBA_VEG!P6="","",VBA_VEG!P6)</f>
        <v>M. MOHAMED AIT M'HAMED</v>
      </c>
      <c r="J8" s="1017"/>
      <c r="K8" s="1017"/>
      <c r="L8" s="1017"/>
    </row>
    <row r="9" spans="3:107" ht="17.100000000000001" customHeight="1">
      <c r="C9" s="82" t="s">
        <v>451</v>
      </c>
      <c r="D9" s="1012" t="str">
        <f>IF(VBA_VEG!D6="","",VBA_VEG!D6)</f>
        <v>RC 7275</v>
      </c>
      <c r="E9" s="1012"/>
      <c r="F9" s="1012"/>
      <c r="G9" s="1013" t="s">
        <v>452</v>
      </c>
      <c r="H9" s="1013"/>
      <c r="I9" s="1012">
        <f>VBA_VEG!A6</f>
        <v>106082</v>
      </c>
      <c r="J9" s="1012"/>
      <c r="K9" s="1012"/>
      <c r="L9" s="1012"/>
    </row>
    <row r="10" spans="3:107" ht="17.100000000000001" customHeight="1">
      <c r="C10" s="82" t="s">
        <v>0</v>
      </c>
      <c r="D10" s="1012" t="str">
        <f>IF(VBA_VEG!C6="","",VBA_VEG!C6)</f>
        <v xml:space="preserve">Z.I AIT MELLOULE </v>
      </c>
      <c r="E10" s="1012"/>
      <c r="F10" s="1012"/>
      <c r="G10" s="1013" t="s">
        <v>453</v>
      </c>
      <c r="H10" s="1013"/>
      <c r="I10" s="1017">
        <f>VBA_VEG!O6</f>
        <v>44319</v>
      </c>
      <c r="J10" s="1017"/>
      <c r="K10" s="1017"/>
      <c r="L10" s="1017"/>
    </row>
    <row r="11" spans="3:107" ht="17.100000000000001" customHeight="1">
      <c r="C11" s="82" t="s">
        <v>1</v>
      </c>
      <c r="D11" s="1012" t="str">
        <f>VBA_VEG!L6</f>
        <v>VIGNE</v>
      </c>
      <c r="E11" s="1012"/>
      <c r="F11" s="1012"/>
      <c r="G11" s="1013" t="s">
        <v>454</v>
      </c>
      <c r="H11" s="1013"/>
      <c r="I11" s="1017">
        <f>VBA_VEG!E6</f>
        <v>44322</v>
      </c>
      <c r="J11" s="1017"/>
      <c r="K11" s="1017"/>
      <c r="L11" s="1017"/>
    </row>
    <row r="12" spans="3:107" ht="17.100000000000001" customHeight="1">
      <c r="C12" s="82" t="s">
        <v>455</v>
      </c>
      <c r="D12" s="1012" t="str">
        <f>IF(VBA_VEG!M6="","",VBA_VEG!M6)</f>
        <v>_</v>
      </c>
      <c r="E12" s="1012"/>
      <c r="F12" s="1012"/>
      <c r="G12" s="1013" t="s">
        <v>456</v>
      </c>
      <c r="H12" s="1013"/>
      <c r="I12" s="1017">
        <f>I11</f>
        <v>44322</v>
      </c>
      <c r="J12" s="1017"/>
      <c r="K12" s="1017"/>
      <c r="L12" s="1017"/>
    </row>
    <row r="13" spans="3:107" ht="17.100000000000001" customHeight="1">
      <c r="C13" s="82" t="s">
        <v>459</v>
      </c>
      <c r="D13" s="1012" t="str">
        <f>VBA_VEG!X6&amp;" "&amp;VBA_VEG!Y6</f>
        <v>30° 34 09 34 9° 48 88 80</v>
      </c>
      <c r="E13" s="1012"/>
      <c r="F13" s="1012"/>
      <c r="G13" s="1013" t="s">
        <v>458</v>
      </c>
      <c r="H13" s="1013"/>
      <c r="I13" s="1017">
        <f ca="1">NOW()</f>
        <v>45009.568216435182</v>
      </c>
      <c r="J13" s="1017"/>
      <c r="K13" s="1017"/>
      <c r="L13" s="1017"/>
    </row>
    <row r="14" spans="3:107" ht="20.100000000000001" customHeight="1">
      <c r="C14" s="82" t="s">
        <v>457</v>
      </c>
      <c r="D14" s="1014" t="str">
        <f>IF(VBA_VEG!K6="","",VBA_VEG!K6)</f>
        <v>IAT-260-21 BIO SOLUTION AGRICOLE</v>
      </c>
      <c r="E14" s="1015"/>
      <c r="F14" s="1015"/>
      <c r="G14" s="1015"/>
      <c r="H14" s="1015"/>
      <c r="I14" s="1015"/>
      <c r="J14" s="1015"/>
      <c r="K14" s="1015"/>
      <c r="L14" s="1016"/>
    </row>
    <row r="15" spans="3:107" ht="20.100000000000001" customHeight="1">
      <c r="G15" s="1013" t="s">
        <v>239</v>
      </c>
      <c r="H15" s="1013"/>
      <c r="I15" s="1065" t="str">
        <f>IF(VBA_VEG!Z6="","",VBA_VEG!Z6)</f>
        <v/>
      </c>
      <c r="J15" s="1065"/>
      <c r="K15" s="1065"/>
      <c r="L15" s="1065"/>
    </row>
    <row r="16" spans="3:107" ht="20.100000000000001" customHeight="1">
      <c r="Z16" s="1060" t="s">
        <v>460</v>
      </c>
      <c r="AA16" s="1060"/>
      <c r="AB16" s="1060" t="s">
        <v>424</v>
      </c>
      <c r="AC16" s="1060"/>
      <c r="AD16" s="1060" t="s">
        <v>425</v>
      </c>
      <c r="AE16" s="1060"/>
      <c r="AF16" s="1060" t="s">
        <v>461</v>
      </c>
      <c r="AG16" s="1060"/>
      <c r="AH16" s="1060" t="s">
        <v>462</v>
      </c>
      <c r="AI16" s="1060"/>
      <c r="AJ16" s="1060" t="s">
        <v>428</v>
      </c>
      <c r="AK16" s="1060"/>
      <c r="AL16" s="1060" t="s">
        <v>463</v>
      </c>
      <c r="AM16" s="1060"/>
      <c r="AN16" s="1060" t="s">
        <v>464</v>
      </c>
      <c r="AO16" s="1060"/>
      <c r="AP16" s="1060" t="s">
        <v>465</v>
      </c>
      <c r="AQ16" s="1060"/>
      <c r="AR16" s="1060" t="s">
        <v>466</v>
      </c>
      <c r="AS16" s="1060"/>
      <c r="AT16" s="1060" t="s">
        <v>467</v>
      </c>
      <c r="AU16" s="1060"/>
      <c r="AV16" s="1060" t="s">
        <v>468</v>
      </c>
      <c r="AW16" s="1060"/>
      <c r="AX16" s="1062" t="s">
        <v>435</v>
      </c>
      <c r="AY16" s="1062"/>
      <c r="AZ16" s="1060" t="s">
        <v>469</v>
      </c>
      <c r="BA16" s="1060"/>
      <c r="BB16" s="1060" t="s">
        <v>470</v>
      </c>
      <c r="BC16" s="1060"/>
      <c r="BD16" s="1060" t="s">
        <v>471</v>
      </c>
      <c r="BE16" s="1060"/>
      <c r="BF16" s="1060" t="s">
        <v>472</v>
      </c>
      <c r="BG16" s="1060"/>
      <c r="BH16" s="1060" t="s">
        <v>473</v>
      </c>
      <c r="BI16" s="1060"/>
      <c r="BJ16" s="1060" t="s">
        <v>474</v>
      </c>
      <c r="BK16" s="1060"/>
      <c r="BL16" s="1060" t="s">
        <v>475</v>
      </c>
      <c r="BM16" s="1060"/>
      <c r="BN16" s="1060" t="s">
        <v>476</v>
      </c>
      <c r="BO16" s="1060"/>
      <c r="BP16" s="1060" t="s">
        <v>477</v>
      </c>
      <c r="BQ16" s="1060" t="s">
        <v>478</v>
      </c>
      <c r="BR16" s="1060" t="s">
        <v>479</v>
      </c>
      <c r="BS16" s="1060"/>
      <c r="BT16" s="1060" t="s">
        <v>480</v>
      </c>
      <c r="BU16" s="1060"/>
      <c r="BV16" s="1060" t="s">
        <v>481</v>
      </c>
      <c r="BW16" s="1060"/>
      <c r="BX16" s="1060" t="s">
        <v>1216</v>
      </c>
      <c r="BY16" s="1060"/>
      <c r="BZ16" s="1060" t="s">
        <v>482</v>
      </c>
      <c r="CA16" s="1060"/>
      <c r="CB16" s="1060" t="s">
        <v>434</v>
      </c>
      <c r="CC16" s="1060"/>
      <c r="CD16" s="1060" t="s">
        <v>444</v>
      </c>
      <c r="CE16" s="1060"/>
      <c r="CF16" s="1060" t="s">
        <v>483</v>
      </c>
      <c r="CG16" s="1060"/>
      <c r="CH16" s="1060" t="s">
        <v>484</v>
      </c>
      <c r="CI16" s="1060"/>
      <c r="CJ16" s="1060" t="s">
        <v>485</v>
      </c>
      <c r="CK16" s="1060"/>
      <c r="CL16" s="1060" t="s">
        <v>422</v>
      </c>
      <c r="CM16" s="1060"/>
      <c r="CN16" s="1060" t="s">
        <v>486</v>
      </c>
      <c r="CO16" s="1060"/>
      <c r="CP16" s="1060" t="s">
        <v>487</v>
      </c>
      <c r="CQ16" s="1060"/>
      <c r="CR16" s="1060" t="s">
        <v>443</v>
      </c>
      <c r="CS16" s="1060"/>
      <c r="CT16" s="1060" t="s">
        <v>488</v>
      </c>
      <c r="CU16" s="1060"/>
      <c r="CV16" s="1060" t="s">
        <v>447</v>
      </c>
      <c r="CW16" s="1060"/>
      <c r="CX16" s="1060" t="s">
        <v>1214</v>
      </c>
      <c r="CY16" s="1060"/>
      <c r="CZ16" s="1060" t="s">
        <v>1223</v>
      </c>
      <c r="DA16" s="1060"/>
      <c r="DB16" s="1060" t="s">
        <v>1227</v>
      </c>
      <c r="DC16" s="1060"/>
    </row>
    <row r="17" spans="3:107" ht="20.100000000000001" customHeight="1">
      <c r="C17" s="1068" t="s">
        <v>2</v>
      </c>
      <c r="D17" s="1070" t="s">
        <v>3</v>
      </c>
      <c r="E17" s="1037" t="s">
        <v>362</v>
      </c>
      <c r="F17" s="1037" t="s">
        <v>489</v>
      </c>
      <c r="G17" s="1037"/>
      <c r="H17" s="1072" t="s">
        <v>490</v>
      </c>
      <c r="I17" s="1040" t="s">
        <v>4</v>
      </c>
      <c r="J17" s="1040"/>
      <c r="K17" s="1040"/>
      <c r="L17" s="1040"/>
      <c r="Z17" s="1060"/>
      <c r="AA17" s="1060"/>
      <c r="AB17" s="1060"/>
      <c r="AC17" s="1060"/>
      <c r="AD17" s="1060"/>
      <c r="AE17" s="1060"/>
      <c r="AF17" s="1060"/>
      <c r="AG17" s="1060"/>
      <c r="AH17" s="1060"/>
      <c r="AI17" s="1060"/>
      <c r="AJ17" s="1060"/>
      <c r="AK17" s="1060"/>
      <c r="AL17" s="1060"/>
      <c r="AM17" s="1060"/>
      <c r="AN17" s="1060"/>
      <c r="AO17" s="1060"/>
      <c r="AP17" s="1060"/>
      <c r="AQ17" s="1060"/>
      <c r="AR17" s="1060"/>
      <c r="AS17" s="1060"/>
      <c r="AT17" s="1060"/>
      <c r="AU17" s="1060"/>
      <c r="AV17" s="1060"/>
      <c r="AW17" s="1060"/>
      <c r="AX17" s="1062"/>
      <c r="AY17" s="1062"/>
      <c r="AZ17" s="1060"/>
      <c r="BA17" s="1060"/>
      <c r="BB17" s="1060"/>
      <c r="BC17" s="1060"/>
      <c r="BD17" s="1060"/>
      <c r="BE17" s="1060"/>
      <c r="BF17" s="1060"/>
      <c r="BG17" s="1060"/>
      <c r="BH17" s="1060"/>
      <c r="BI17" s="1060"/>
      <c r="BJ17" s="1060"/>
      <c r="BK17" s="1060"/>
      <c r="BL17" s="1060"/>
      <c r="BM17" s="1060"/>
      <c r="BN17" s="1060"/>
      <c r="BO17" s="1060"/>
      <c r="BP17" s="1060"/>
      <c r="BQ17" s="1060"/>
      <c r="BR17" s="1060"/>
      <c r="BS17" s="1060"/>
      <c r="BT17" s="1060"/>
      <c r="BU17" s="1060"/>
      <c r="BV17" s="1060"/>
      <c r="BW17" s="1060"/>
      <c r="BX17" s="1060"/>
      <c r="BY17" s="1060"/>
      <c r="BZ17" s="1060"/>
      <c r="CA17" s="1060"/>
      <c r="CB17" s="1060"/>
      <c r="CC17" s="1060"/>
      <c r="CD17" s="1060"/>
      <c r="CE17" s="1060"/>
      <c r="CF17" s="1060" t="s">
        <v>483</v>
      </c>
      <c r="CG17" s="1060"/>
      <c r="CH17" s="1060"/>
      <c r="CI17" s="1060"/>
      <c r="CJ17" s="1060"/>
      <c r="CK17" s="1060"/>
      <c r="CL17" s="1060"/>
      <c r="CM17" s="1060"/>
      <c r="CN17" s="1060"/>
      <c r="CO17" s="1060"/>
      <c r="CP17" s="1060"/>
      <c r="CQ17" s="1060"/>
      <c r="CR17" s="1060"/>
      <c r="CS17" s="1060"/>
      <c r="CT17" s="1060"/>
      <c r="CU17" s="1060"/>
      <c r="CV17" s="1060"/>
      <c r="CW17" s="1060"/>
      <c r="CX17" s="1060"/>
      <c r="CY17" s="1060"/>
      <c r="CZ17" s="1060"/>
      <c r="DA17" s="1060"/>
      <c r="DB17" s="1060"/>
      <c r="DC17" s="1060"/>
    </row>
    <row r="18" spans="3:107" ht="20.100000000000001" customHeight="1">
      <c r="C18" s="1069"/>
      <c r="D18" s="1071"/>
      <c r="E18" s="1037"/>
      <c r="F18" s="1037"/>
      <c r="G18" s="1037"/>
      <c r="H18" s="1073"/>
      <c r="I18" s="1040"/>
      <c r="J18" s="1040"/>
      <c r="K18" s="1040"/>
      <c r="L18" s="1040"/>
      <c r="Z18" s="1066">
        <v>1</v>
      </c>
      <c r="AA18" s="1067"/>
      <c r="AB18" s="1061">
        <v>2</v>
      </c>
      <c r="AC18" s="1061"/>
      <c r="AD18" s="1061">
        <v>3</v>
      </c>
      <c r="AE18" s="1061"/>
      <c r="AF18" s="1061">
        <v>4</v>
      </c>
      <c r="AG18" s="1061"/>
      <c r="AH18" s="1061">
        <v>5</v>
      </c>
      <c r="AI18" s="1061"/>
      <c r="AJ18" s="1061">
        <v>6</v>
      </c>
      <c r="AK18" s="1061"/>
      <c r="AL18" s="1061">
        <v>7</v>
      </c>
      <c r="AM18" s="1061"/>
      <c r="AN18" s="1061">
        <v>8</v>
      </c>
      <c r="AO18" s="1061"/>
      <c r="AP18" s="1061">
        <v>9</v>
      </c>
      <c r="AQ18" s="1061"/>
      <c r="AR18" s="1061">
        <v>10</v>
      </c>
      <c r="AS18" s="1061"/>
      <c r="AT18" s="1061">
        <v>11</v>
      </c>
      <c r="AU18" s="1061"/>
      <c r="AV18" s="1061">
        <v>12</v>
      </c>
      <c r="AW18" s="1061"/>
      <c r="AX18" s="1061">
        <v>13</v>
      </c>
      <c r="AY18" s="1061"/>
      <c r="AZ18" s="1061">
        <v>14</v>
      </c>
      <c r="BA18" s="1061"/>
      <c r="BB18" s="1061">
        <v>15</v>
      </c>
      <c r="BC18" s="1061"/>
      <c r="BD18" s="1061">
        <v>16</v>
      </c>
      <c r="BE18" s="1061"/>
      <c r="BF18" s="1061">
        <v>17</v>
      </c>
      <c r="BG18" s="1061"/>
      <c r="BH18" s="1061">
        <v>18</v>
      </c>
      <c r="BI18" s="1061"/>
      <c r="BJ18" s="1061">
        <v>19</v>
      </c>
      <c r="BK18" s="1061"/>
      <c r="BL18" s="1061">
        <v>20</v>
      </c>
      <c r="BM18" s="1061"/>
      <c r="BN18" s="1061">
        <v>21</v>
      </c>
      <c r="BO18" s="1061"/>
      <c r="BP18" s="1061">
        <v>22</v>
      </c>
      <c r="BQ18" s="1061"/>
      <c r="BR18" s="1061">
        <v>23</v>
      </c>
      <c r="BS18" s="1061"/>
      <c r="BT18" s="1061">
        <v>24</v>
      </c>
      <c r="BU18" s="1061"/>
      <c r="BV18" s="1061">
        <v>25</v>
      </c>
      <c r="BW18" s="1061"/>
      <c r="BX18" s="1061">
        <v>26</v>
      </c>
      <c r="BY18" s="1061"/>
      <c r="BZ18" s="1061">
        <v>27</v>
      </c>
      <c r="CA18" s="1061"/>
      <c r="CB18" s="1061">
        <v>28</v>
      </c>
      <c r="CC18" s="1061"/>
      <c r="CD18" s="1061">
        <v>29</v>
      </c>
      <c r="CE18" s="1061"/>
      <c r="CF18" s="1061">
        <v>30</v>
      </c>
      <c r="CG18" s="1061"/>
      <c r="CH18" s="1061">
        <v>31</v>
      </c>
      <c r="CI18" s="1061"/>
      <c r="CJ18" s="1061">
        <v>32</v>
      </c>
      <c r="CK18" s="1061"/>
      <c r="CL18" s="1061">
        <v>33</v>
      </c>
      <c r="CM18" s="1061"/>
      <c r="CN18" s="1061">
        <v>34</v>
      </c>
      <c r="CO18" s="1061"/>
      <c r="CP18" s="1061">
        <v>35</v>
      </c>
      <c r="CQ18" s="1061"/>
      <c r="CR18" s="1061">
        <v>36</v>
      </c>
      <c r="CS18" s="1061"/>
      <c r="CT18" s="1061">
        <v>37</v>
      </c>
      <c r="CU18" s="1061"/>
      <c r="CV18" s="1061">
        <v>38</v>
      </c>
      <c r="CW18" s="1061"/>
      <c r="CX18" s="1061">
        <v>39</v>
      </c>
      <c r="CY18" s="1061"/>
      <c r="CZ18" s="1061">
        <v>40</v>
      </c>
      <c r="DA18" s="1061"/>
      <c r="DB18" s="1061">
        <v>41</v>
      </c>
      <c r="DC18" s="1061"/>
    </row>
    <row r="19" spans="3:107">
      <c r="C19" s="1074" t="s">
        <v>491</v>
      </c>
      <c r="D19" s="1075"/>
      <c r="E19" s="1075"/>
      <c r="F19" s="1075"/>
      <c r="G19" s="1075"/>
      <c r="H19" s="1075"/>
      <c r="I19" s="1075"/>
      <c r="J19" s="1075"/>
      <c r="K19" s="1075"/>
      <c r="L19" s="1076"/>
      <c r="O19" s="92" t="s">
        <v>492</v>
      </c>
      <c r="P19" s="18" t="s">
        <v>493</v>
      </c>
      <c r="R19" s="21" t="s">
        <v>494</v>
      </c>
      <c r="S19" s="21" t="s">
        <v>495</v>
      </c>
      <c r="T19" s="21" t="s">
        <v>496</v>
      </c>
      <c r="U19" s="21" t="s">
        <v>497</v>
      </c>
      <c r="V19" s="21" t="s">
        <v>498</v>
      </c>
      <c r="W19" s="21"/>
      <c r="X19" s="21"/>
      <c r="Y19" s="193" t="s">
        <v>491</v>
      </c>
      <c r="Z19" s="194" t="s">
        <v>499</v>
      </c>
      <c r="AA19" s="194" t="s">
        <v>500</v>
      </c>
      <c r="AB19" s="194" t="s">
        <v>499</v>
      </c>
      <c r="AC19" s="194" t="s">
        <v>500</v>
      </c>
      <c r="AD19" s="194" t="s">
        <v>499</v>
      </c>
      <c r="AE19" s="194" t="s">
        <v>500</v>
      </c>
      <c r="AF19" s="194" t="s">
        <v>499</v>
      </c>
      <c r="AG19" s="194" t="s">
        <v>500</v>
      </c>
      <c r="AH19" s="194" t="s">
        <v>499</v>
      </c>
      <c r="AI19" s="194" t="s">
        <v>500</v>
      </c>
      <c r="AJ19" s="194" t="s">
        <v>499</v>
      </c>
      <c r="AK19" s="194" t="s">
        <v>500</v>
      </c>
      <c r="AL19" s="194" t="s">
        <v>499</v>
      </c>
      <c r="AM19" s="194" t="s">
        <v>500</v>
      </c>
      <c r="AN19" s="194" t="s">
        <v>499</v>
      </c>
      <c r="AO19" s="194" t="s">
        <v>500</v>
      </c>
      <c r="AP19" s="194" t="s">
        <v>499</v>
      </c>
      <c r="AQ19" s="194" t="s">
        <v>500</v>
      </c>
      <c r="AR19" s="194" t="s">
        <v>499</v>
      </c>
      <c r="AS19" s="194" t="s">
        <v>500</v>
      </c>
      <c r="AT19" s="194" t="s">
        <v>499</v>
      </c>
      <c r="AU19" s="194" t="s">
        <v>500</v>
      </c>
      <c r="AV19" s="194" t="s">
        <v>499</v>
      </c>
      <c r="AW19" s="194" t="s">
        <v>500</v>
      </c>
      <c r="AX19" s="195" t="s">
        <v>499</v>
      </c>
      <c r="AY19" s="195" t="s">
        <v>500</v>
      </c>
      <c r="AZ19" s="194" t="s">
        <v>499</v>
      </c>
      <c r="BA19" s="194" t="s">
        <v>500</v>
      </c>
      <c r="BB19" s="194" t="s">
        <v>499</v>
      </c>
      <c r="BC19" s="194" t="s">
        <v>500</v>
      </c>
      <c r="BD19" s="196" t="s">
        <v>499</v>
      </c>
      <c r="BE19" s="196" t="s">
        <v>500</v>
      </c>
      <c r="BF19" s="194" t="s">
        <v>499</v>
      </c>
      <c r="BG19" s="194" t="s">
        <v>500</v>
      </c>
      <c r="BH19" s="194" t="s">
        <v>499</v>
      </c>
      <c r="BI19" s="194" t="s">
        <v>500</v>
      </c>
      <c r="BJ19" s="194" t="s">
        <v>499</v>
      </c>
      <c r="BK19" s="194" t="s">
        <v>500</v>
      </c>
      <c r="BL19" s="194" t="s">
        <v>499</v>
      </c>
      <c r="BM19" s="194" t="s">
        <v>500</v>
      </c>
      <c r="BN19" s="194" t="s">
        <v>499</v>
      </c>
      <c r="BO19" s="194" t="s">
        <v>500</v>
      </c>
      <c r="BP19" s="194" t="s">
        <v>499</v>
      </c>
      <c r="BQ19" s="194" t="s">
        <v>500</v>
      </c>
      <c r="BR19" s="194" t="s">
        <v>499</v>
      </c>
      <c r="BS19" s="194" t="s">
        <v>500</v>
      </c>
      <c r="BT19" s="194" t="s">
        <v>499</v>
      </c>
      <c r="BU19" s="194" t="s">
        <v>500</v>
      </c>
      <c r="BV19" s="194" t="s">
        <v>499</v>
      </c>
      <c r="BW19" s="194" t="s">
        <v>500</v>
      </c>
      <c r="BX19" s="194" t="s">
        <v>499</v>
      </c>
      <c r="BY19" s="194" t="s">
        <v>500</v>
      </c>
      <c r="BZ19" s="194" t="s">
        <v>499</v>
      </c>
      <c r="CA19" s="194" t="s">
        <v>500</v>
      </c>
      <c r="CB19" s="194" t="s">
        <v>499</v>
      </c>
      <c r="CC19" s="194" t="s">
        <v>500</v>
      </c>
      <c r="CD19" s="194" t="s">
        <v>499</v>
      </c>
      <c r="CE19" s="194" t="s">
        <v>500</v>
      </c>
      <c r="CF19" s="194" t="s">
        <v>499</v>
      </c>
      <c r="CG19" s="194" t="s">
        <v>500</v>
      </c>
      <c r="CH19" s="194" t="s">
        <v>499</v>
      </c>
      <c r="CI19" s="194" t="s">
        <v>500</v>
      </c>
      <c r="CJ19" s="194" t="s">
        <v>499</v>
      </c>
      <c r="CK19" s="194" t="s">
        <v>500</v>
      </c>
      <c r="CL19" s="194" t="s">
        <v>499</v>
      </c>
      <c r="CM19" s="194" t="s">
        <v>500</v>
      </c>
      <c r="CN19" s="194" t="s">
        <v>499</v>
      </c>
      <c r="CO19" s="194" t="s">
        <v>500</v>
      </c>
      <c r="CP19" s="194" t="s">
        <v>499</v>
      </c>
      <c r="CQ19" s="194" t="s">
        <v>500</v>
      </c>
      <c r="CR19" s="194" t="s">
        <v>499</v>
      </c>
      <c r="CS19" s="194" t="s">
        <v>500</v>
      </c>
      <c r="CT19" s="194" t="s">
        <v>499</v>
      </c>
      <c r="CU19" s="194" t="s">
        <v>500</v>
      </c>
      <c r="CV19" s="194" t="s">
        <v>499</v>
      </c>
      <c r="CW19" s="194" t="s">
        <v>500</v>
      </c>
      <c r="CX19" s="194" t="s">
        <v>499</v>
      </c>
      <c r="CY19" s="194" t="s">
        <v>500</v>
      </c>
      <c r="CZ19" s="194" t="s">
        <v>499</v>
      </c>
      <c r="DA19" s="194" t="s">
        <v>500</v>
      </c>
      <c r="DB19" s="194" t="s">
        <v>499</v>
      </c>
      <c r="DC19" s="194" t="s">
        <v>500</v>
      </c>
    </row>
    <row r="20" spans="3:107" ht="17.100000000000001" customHeight="1">
      <c r="C20" s="197" t="s">
        <v>501</v>
      </c>
      <c r="D20" s="198" t="s">
        <v>333</v>
      </c>
      <c r="E20" s="116" t="s">
        <v>502</v>
      </c>
      <c r="F20" s="1079">
        <f>HLOOKUP(D20,VBA_VEG!$B$1:$M$3,3,FALSE)</f>
        <v>3.1382400000000006</v>
      </c>
      <c r="G20" s="1080"/>
      <c r="H20" s="199" t="str">
        <f>R20&amp;" - "&amp;S20</f>
        <v>3 - 5</v>
      </c>
      <c r="I20" s="200"/>
      <c r="J20" s="201" t="str">
        <f>IF(((U20-F20)/(S20-R20))&gt;1.5,"I"&amp;REPT("I",20),IF(F20&lt;U20*0.89,"I"&amp;REPT("I",4*EXP(((U20-F20)/(S20-R20)))),IF(F20&lt;U20,"I"&amp;REPT("I",4.5*EXP(((U20-F20)/(S20-R20)))),IF(F20=U20,"I"&amp;"",""))))</f>
        <v>IIIIIII</v>
      </c>
      <c r="K20" s="202" t="str">
        <f>IF(((F20-U20)/(S20-R20))&gt;1.5,REPT("I",30),IF(F20&gt;1.1*U20,REPT("I",9*EXP(((F20-U20)/(S20-R20)))),IF(F20&gt;U20,REPT("I",4.5*EXP(((F20-U20)/(S20-R20)))),IF(F20=U20,"I",""))))</f>
        <v/>
      </c>
      <c r="L20" s="203"/>
      <c r="M20" s="18" t="str">
        <f>IF(F20&gt;T20,"Très élevé",IF(F20&gt;S20,"Elevé",IF(F20&lt;P20,"Très faible",IF(F20&lt;R20,"Faible","correct"))))</f>
        <v>correct</v>
      </c>
      <c r="O20" s="204">
        <f>R20/U20</f>
        <v>0.75</v>
      </c>
      <c r="P20" s="205">
        <f>U20*(1-2.25*V20)</f>
        <v>1.75</v>
      </c>
      <c r="Q20" s="205"/>
      <c r="R20" s="206">
        <f>CHOOSE($AA$1,Z20,AB20,AD20,AF20,AH20,AJ20,AL20,AN20,AP20,AR20,AT20,AV20,AX20,AZ20,BB20,BD20,BF20,BH20,BJ20,BL20,BN20,BP20,BR20,BT20,BV20,BX20,BZ20,CB20,CD20,CF20,CH20,CJ20,CL20,CN20,CP20,CR20,CT20,CV20,CX20,CZ20,DB20)</f>
        <v>3</v>
      </c>
      <c r="S20" s="206">
        <f>CHOOSE($AA$1,AA20,AC20,AE20,AG20,AI20,AK20,AM20,AO20,AQ20,AS20,AU20,AW20,AY20,BA20,BC20,BE20,BG20,BI20,BK20,BM20,BO20,BQ20,BS20,BU20,BW20,BY20,CA20,CC20,CE20,CG20,CI20,CK20,CM20,CO20,CQ20,CS20,CU20,CW20,CY20,DA20,DC20)</f>
        <v>5</v>
      </c>
      <c r="T20" s="206">
        <f>U20*(1+3*V20)</f>
        <v>7</v>
      </c>
      <c r="U20" s="205">
        <f>AVERAGE(R20:S20)</f>
        <v>4</v>
      </c>
      <c r="V20" s="205">
        <f>1-O20</f>
        <v>0.25</v>
      </c>
      <c r="W20" s="205"/>
      <c r="X20" s="205"/>
      <c r="Y20" s="18" t="s">
        <v>503</v>
      </c>
      <c r="Z20" s="196">
        <v>2.4</v>
      </c>
      <c r="AA20" s="196">
        <v>3</v>
      </c>
      <c r="AB20" s="196">
        <v>2.4</v>
      </c>
      <c r="AC20" s="196">
        <v>3.5</v>
      </c>
      <c r="AD20" s="196">
        <v>2.2000000000000002</v>
      </c>
      <c r="AE20" s="196">
        <v>2.7</v>
      </c>
      <c r="AF20" s="196">
        <v>1.8</v>
      </c>
      <c r="AG20" s="196">
        <v>2.2000000000000002</v>
      </c>
      <c r="AH20" s="196">
        <v>1.7</v>
      </c>
      <c r="AI20" s="196">
        <v>2.2000000000000002</v>
      </c>
      <c r="AJ20" s="196">
        <v>2.2000000000000002</v>
      </c>
      <c r="AK20" s="196">
        <v>2.8</v>
      </c>
      <c r="AL20" s="196">
        <v>1.76</v>
      </c>
      <c r="AM20" s="196">
        <v>2.64</v>
      </c>
      <c r="AN20" s="196">
        <v>3</v>
      </c>
      <c r="AO20" s="196">
        <v>3.5</v>
      </c>
      <c r="AP20" s="196">
        <v>3</v>
      </c>
      <c r="AQ20" s="196">
        <v>5</v>
      </c>
      <c r="AR20" s="196">
        <v>2.2999999999999998</v>
      </c>
      <c r="AS20" s="196">
        <v>3.45</v>
      </c>
      <c r="AT20" s="196">
        <v>3</v>
      </c>
      <c r="AU20" s="196">
        <v>3.5</v>
      </c>
      <c r="AV20" s="196">
        <v>3.2</v>
      </c>
      <c r="AW20" s="196">
        <v>4.2</v>
      </c>
      <c r="AX20" s="207">
        <v>1.6</v>
      </c>
      <c r="AY20" s="207">
        <v>2.2999999999999998</v>
      </c>
      <c r="AZ20" s="196">
        <v>2.4</v>
      </c>
      <c r="BA20" s="196">
        <v>3.5</v>
      </c>
      <c r="BB20" s="196">
        <v>2.2000000000000002</v>
      </c>
      <c r="BC20" s="196">
        <v>2.7</v>
      </c>
      <c r="BD20" s="196">
        <v>3</v>
      </c>
      <c r="BE20" s="196">
        <v>5</v>
      </c>
      <c r="BF20" s="196">
        <v>3</v>
      </c>
      <c r="BG20" s="196">
        <v>5</v>
      </c>
      <c r="BH20" s="196">
        <v>2.2000000000000002</v>
      </c>
      <c r="BI20" s="196">
        <v>2.7</v>
      </c>
      <c r="BJ20" s="196">
        <v>3</v>
      </c>
      <c r="BK20" s="196">
        <v>5</v>
      </c>
      <c r="BL20" s="196">
        <v>2.4</v>
      </c>
      <c r="BM20" s="196">
        <v>2.8</v>
      </c>
      <c r="BN20" s="196">
        <v>1.7</v>
      </c>
      <c r="BO20" s="196">
        <v>2.1</v>
      </c>
      <c r="BP20" s="196">
        <v>0.4</v>
      </c>
      <c r="BQ20" s="196">
        <v>0.8</v>
      </c>
      <c r="BR20" s="196">
        <v>3</v>
      </c>
      <c r="BS20" s="196">
        <v>5</v>
      </c>
      <c r="BT20" s="196">
        <v>2.2000000000000002</v>
      </c>
      <c r="BU20" s="196">
        <v>3.33</v>
      </c>
      <c r="BV20" s="196">
        <v>2.6</v>
      </c>
      <c r="BW20" s="196">
        <v>3.7</v>
      </c>
      <c r="BX20" s="196">
        <v>1.9</v>
      </c>
      <c r="BY20" s="196">
        <v>2.7</v>
      </c>
      <c r="BZ20" s="196">
        <v>3.5</v>
      </c>
      <c r="CA20" s="196">
        <v>5.5</v>
      </c>
      <c r="CB20" s="196">
        <v>3.2</v>
      </c>
      <c r="CC20" s="196">
        <v>4.2</v>
      </c>
      <c r="CD20" s="196">
        <v>3</v>
      </c>
      <c r="CE20" s="196">
        <v>5</v>
      </c>
      <c r="CF20" s="196">
        <v>4</v>
      </c>
      <c r="CG20" s="196">
        <v>5</v>
      </c>
      <c r="CH20" s="196">
        <v>2.6</v>
      </c>
      <c r="CI20" s="196">
        <v>3.5</v>
      </c>
      <c r="CJ20" s="196">
        <v>2.4</v>
      </c>
      <c r="CK20" s="196">
        <v>2.8</v>
      </c>
      <c r="CL20" s="196">
        <v>2.2000000000000002</v>
      </c>
      <c r="CM20" s="196">
        <v>4</v>
      </c>
      <c r="CN20" s="196">
        <v>3</v>
      </c>
      <c r="CO20" s="196">
        <v>5</v>
      </c>
      <c r="CP20" s="196">
        <v>3</v>
      </c>
      <c r="CQ20" s="196">
        <v>5</v>
      </c>
      <c r="CR20" s="196">
        <v>0.5</v>
      </c>
      <c r="CS20" s="196">
        <v>2.5</v>
      </c>
      <c r="CT20" s="196">
        <v>0.68</v>
      </c>
      <c r="CU20" s="196">
        <v>1.04</v>
      </c>
      <c r="CV20" s="196">
        <v>3.5</v>
      </c>
      <c r="CW20" s="196">
        <v>5</v>
      </c>
      <c r="CX20" s="196">
        <v>1.7</v>
      </c>
      <c r="CY20" s="196">
        <v>2.1</v>
      </c>
      <c r="CZ20" s="196">
        <v>2.5</v>
      </c>
      <c r="DA20" s="196">
        <v>5</v>
      </c>
      <c r="DB20" s="196">
        <v>1.8</v>
      </c>
      <c r="DC20" s="196">
        <v>2.5</v>
      </c>
    </row>
    <row r="21" spans="3:107" ht="17.100000000000001" customHeight="1">
      <c r="C21" s="208" t="s">
        <v>398</v>
      </c>
      <c r="D21" s="209" t="s">
        <v>356</v>
      </c>
      <c r="E21" s="119" t="s">
        <v>502</v>
      </c>
      <c r="F21" s="1081">
        <f>HLOOKUP(D21,VBA_VEG!$B$1:$M$3,3,FALSE)</f>
        <v>0.3</v>
      </c>
      <c r="G21" s="1082"/>
      <c r="H21" s="210" t="str">
        <f t="shared" ref="H21:H33" si="0">R21&amp;" - "&amp;S21</f>
        <v>0,25 - 0,4</v>
      </c>
      <c r="I21" s="211"/>
      <c r="J21" s="212" t="str">
        <f t="shared" ref="J21:J24" si="1">IF(((U21-F21)/(S21-R21))&gt;1.5,"I"&amp;REPT("I",20),IF(F21&lt;U21*0.89,"I"&amp;REPT("I",9*EXP(((U21-F21)/(S21-R21)))),IF(F21&lt;U21,"I"&amp;REPT("I",4.5*EXP(((U21-F21)/(S21-R21)))),IF(F21=U21,"I"&amp;"",""))))</f>
        <v>IIIIII</v>
      </c>
      <c r="K21" s="213" t="str">
        <f>IF(((F21-U21)/(S21-R21))&gt;1.5,REPT("I",30),IF(F21&gt;1.1*U21,REPT("I",9*EXP(((F21-U21)/(S21-R21)))),IF(F21&gt;U21,REPT("I",4.5*EXP(((F21-U21)/(S21-R21)))),IF(F21=U21,"I",""))))</f>
        <v/>
      </c>
      <c r="L21" s="214"/>
      <c r="M21" s="18" t="str">
        <f t="shared" ref="M21:M24" si="2">IF(F21&gt;T21,"Très élevé",IF(F21&gt;S21,"Elevé",IF(F21&lt;P21,"Très faible",IF(F21&lt;R21,"Faible","correct"))))</f>
        <v>correct</v>
      </c>
      <c r="O21" s="204">
        <f t="shared" ref="O21:O33" si="3">R21/U21</f>
        <v>0.76923076923076916</v>
      </c>
      <c r="P21" s="205">
        <f>U21*(1-2.25*V21)</f>
        <v>0.15624999999999994</v>
      </c>
      <c r="Q21" s="205"/>
      <c r="R21" s="206">
        <f t="shared" ref="R21:S29" si="4">CHOOSE($AA$1,Z21,AB21,AD21,AF21,AH21,AJ21,AL21,AN21,AP21,AR21,AT21,AV21,AX21,AZ21,BB21,BD21,BF21,BH21,BJ21,BL21,BN21,BP21,BR21,BT21,BV21,BX21,BZ21,CB21,CD21,CF21,CH21,CJ21,CL21,CN21,CP21,CR21,CT21,CV21,CX21,CZ21,DB21)</f>
        <v>0.25</v>
      </c>
      <c r="S21" s="206">
        <f t="shared" si="4"/>
        <v>0.4</v>
      </c>
      <c r="T21" s="206">
        <f>U21*(1+3*V21)</f>
        <v>0.55000000000000004</v>
      </c>
      <c r="U21" s="205">
        <f t="shared" ref="U21:U33" si="5">AVERAGE(R21:S21)</f>
        <v>0.32500000000000001</v>
      </c>
      <c r="V21" s="205">
        <f t="shared" ref="V21:V23" si="6">1-O21</f>
        <v>0.23076923076923084</v>
      </c>
      <c r="W21" s="205"/>
      <c r="X21" s="205"/>
      <c r="Y21" s="18" t="s">
        <v>504</v>
      </c>
      <c r="Z21" s="194">
        <v>0.14000000000000001</v>
      </c>
      <c r="AA21" s="194">
        <v>0.25</v>
      </c>
      <c r="AB21" s="194">
        <v>0.1</v>
      </c>
      <c r="AC21" s="194">
        <v>0.17</v>
      </c>
      <c r="AD21" s="194">
        <v>0.1</v>
      </c>
      <c r="AE21" s="194">
        <v>0.3</v>
      </c>
      <c r="AF21" s="194">
        <v>0.1</v>
      </c>
      <c r="AG21" s="194">
        <v>0.25</v>
      </c>
      <c r="AH21" s="194">
        <v>0.09</v>
      </c>
      <c r="AI21" s="194">
        <v>0.14000000000000001</v>
      </c>
      <c r="AJ21" s="194">
        <v>0.12</v>
      </c>
      <c r="AK21" s="194">
        <v>0.19</v>
      </c>
      <c r="AL21" s="194">
        <v>9.6000000000000002E-2</v>
      </c>
      <c r="AM21" s="194">
        <v>0.14399999999999999</v>
      </c>
      <c r="AN21" s="194">
        <v>0.2</v>
      </c>
      <c r="AO21" s="194">
        <v>0.4</v>
      </c>
      <c r="AP21" s="194">
        <v>0.25</v>
      </c>
      <c r="AQ21" s="194">
        <v>0.45</v>
      </c>
      <c r="AR21" s="194">
        <v>0.2</v>
      </c>
      <c r="AS21" s="194">
        <v>0.31</v>
      </c>
      <c r="AT21" s="194">
        <v>0.25</v>
      </c>
      <c r="AU21" s="194">
        <v>0.4</v>
      </c>
      <c r="AV21" s="194">
        <v>0.15</v>
      </c>
      <c r="AW21" s="194">
        <v>0.28000000000000003</v>
      </c>
      <c r="AX21" s="195">
        <v>0.1</v>
      </c>
      <c r="AY21" s="195">
        <v>0.2</v>
      </c>
      <c r="AZ21" s="194">
        <v>0.15</v>
      </c>
      <c r="BA21" s="194">
        <v>0.28000000000000003</v>
      </c>
      <c r="BB21" s="194">
        <v>0.14000000000000001</v>
      </c>
      <c r="BC21" s="194">
        <v>0.2</v>
      </c>
      <c r="BD21" s="196">
        <v>0.3</v>
      </c>
      <c r="BE21" s="196">
        <v>0.7</v>
      </c>
      <c r="BF21" s="194">
        <v>0.4</v>
      </c>
      <c r="BG21" s="194">
        <v>0.8</v>
      </c>
      <c r="BH21" s="194">
        <v>0.15</v>
      </c>
      <c r="BI21" s="194">
        <v>0.3</v>
      </c>
      <c r="BJ21" s="194">
        <v>0.4</v>
      </c>
      <c r="BK21" s="194">
        <v>0.8</v>
      </c>
      <c r="BL21" s="194">
        <v>0.12</v>
      </c>
      <c r="BM21" s="194">
        <v>0.18</v>
      </c>
      <c r="BN21" s="194">
        <v>0.1</v>
      </c>
      <c r="BO21" s="194">
        <v>0.3</v>
      </c>
      <c r="BP21" s="194">
        <v>0.1</v>
      </c>
      <c r="BQ21" s="194">
        <v>0.3</v>
      </c>
      <c r="BR21" s="194">
        <v>0.25</v>
      </c>
      <c r="BS21" s="194">
        <v>0.4</v>
      </c>
      <c r="BT21" s="194">
        <v>0.14399999999999999</v>
      </c>
      <c r="BU21" s="194">
        <v>0.216</v>
      </c>
      <c r="BV21" s="194">
        <v>0.18</v>
      </c>
      <c r="BW21" s="194">
        <v>0.4</v>
      </c>
      <c r="BX21" s="194">
        <v>0.1</v>
      </c>
      <c r="BY21" s="194">
        <v>0.3</v>
      </c>
      <c r="BZ21" s="194">
        <v>0.25</v>
      </c>
      <c r="CA21" s="194">
        <v>0.4</v>
      </c>
      <c r="CB21" s="194">
        <v>0.15</v>
      </c>
      <c r="CC21" s="194">
        <v>0.28000000000000003</v>
      </c>
      <c r="CD21" s="194">
        <v>0.25</v>
      </c>
      <c r="CE21" s="194">
        <v>0.4</v>
      </c>
      <c r="CF21" s="194">
        <v>0.25</v>
      </c>
      <c r="CG21" s="194">
        <v>0.5</v>
      </c>
      <c r="CH21" s="194">
        <v>0.15</v>
      </c>
      <c r="CI21" s="194">
        <v>0.28000000000000003</v>
      </c>
      <c r="CJ21" s="194">
        <v>0.12</v>
      </c>
      <c r="CK21" s="194">
        <v>0.18</v>
      </c>
      <c r="CL21" s="194">
        <v>0.3</v>
      </c>
      <c r="CM21" s="194">
        <v>0.6</v>
      </c>
      <c r="CN21" s="194">
        <v>0.3</v>
      </c>
      <c r="CO21" s="194">
        <v>0.7</v>
      </c>
      <c r="CP21" s="194">
        <v>0.3</v>
      </c>
      <c r="CQ21" s="194">
        <v>0.7</v>
      </c>
      <c r="CR21" s="194">
        <v>0.05</v>
      </c>
      <c r="CS21" s="194">
        <v>0.25</v>
      </c>
      <c r="CT21" s="194">
        <v>7.8E-2</v>
      </c>
      <c r="CU21" s="194">
        <v>0.11700000000000001</v>
      </c>
      <c r="CV21" s="194">
        <v>0.25</v>
      </c>
      <c r="CW21" s="194">
        <v>0.35</v>
      </c>
      <c r="CX21" s="194">
        <v>0.1</v>
      </c>
      <c r="CY21" s="194">
        <v>0.3</v>
      </c>
      <c r="CZ21" s="194">
        <v>0.3</v>
      </c>
      <c r="DA21" s="194">
        <v>0.6</v>
      </c>
      <c r="DB21" s="194">
        <v>0.3</v>
      </c>
      <c r="DC21" s="194">
        <v>0.4</v>
      </c>
    </row>
    <row r="22" spans="3:107" ht="17.100000000000001" customHeight="1">
      <c r="C22" s="208" t="s">
        <v>400</v>
      </c>
      <c r="D22" s="209" t="s">
        <v>5</v>
      </c>
      <c r="E22" s="119" t="s">
        <v>502</v>
      </c>
      <c r="F22" s="1081">
        <f>HLOOKUP(D22,VBA_VEG!$B$1:$M$3,3,FALSE)</f>
        <v>1.54</v>
      </c>
      <c r="G22" s="1082"/>
      <c r="H22" s="210" t="str">
        <f t="shared" si="0"/>
        <v>1 - 1,8</v>
      </c>
      <c r="I22" s="211"/>
      <c r="J22" s="212" t="str">
        <f>IF(((U22-F22)/(S22-R22))&gt;1.5,"I"&amp;REPT("I",20),IF(F22&lt;U22*0.89,"I"&amp;REPT("I",6*EXP(((U22-F22)/(S22-R22)))),IF(F22&lt;U22,"I"&amp;REPT("I",4.5*EXP(((U22-F22)/(S22-R22)))),IF(F22=U22,"I"&amp;"",""))))</f>
        <v/>
      </c>
      <c r="K22" s="213" t="str">
        <f t="shared" ref="K22:K23" si="7">IF(((F22-U22)/(S22-R22))&gt;1.5,REPT("I",30),IF(F22&gt;1.1*U22,REPT("I",9*EXP(((F22-U22)/(S22-R22)))),IF(F22&gt;U22,REPT("I",4.5*EXP(((F22-U22)/(S22-R22)))),IF(F22=U22,"I",""))))</f>
        <v>IIIII</v>
      </c>
      <c r="L22" s="214"/>
      <c r="M22" s="18" t="str">
        <f t="shared" si="2"/>
        <v>correct</v>
      </c>
      <c r="O22" s="204">
        <f t="shared" si="3"/>
        <v>0.7142857142857143</v>
      </c>
      <c r="P22" s="205">
        <f>U22*(1-2.25*V22)</f>
        <v>0.50000000000000011</v>
      </c>
      <c r="Q22" s="205"/>
      <c r="R22" s="206">
        <f t="shared" si="4"/>
        <v>1</v>
      </c>
      <c r="S22" s="206">
        <f t="shared" si="4"/>
        <v>1.8</v>
      </c>
      <c r="T22" s="206">
        <f>U22*(1+3*V22)</f>
        <v>2.6</v>
      </c>
      <c r="U22" s="205">
        <f t="shared" si="5"/>
        <v>1.4</v>
      </c>
      <c r="V22" s="205">
        <f t="shared" si="6"/>
        <v>0.2857142857142857</v>
      </c>
      <c r="W22" s="205"/>
      <c r="X22" s="205"/>
      <c r="Y22" s="18" t="s">
        <v>5</v>
      </c>
      <c r="Z22" s="194">
        <v>2</v>
      </c>
      <c r="AA22" s="194">
        <v>3.5</v>
      </c>
      <c r="AB22" s="194">
        <v>0.7</v>
      </c>
      <c r="AC22" s="194">
        <v>1.6</v>
      </c>
      <c r="AD22" s="194">
        <v>1.4</v>
      </c>
      <c r="AE22" s="194">
        <v>2</v>
      </c>
      <c r="AF22" s="194">
        <v>0.75</v>
      </c>
      <c r="AG22" s="194">
        <v>2</v>
      </c>
      <c r="AH22" s="194">
        <v>1</v>
      </c>
      <c r="AI22" s="194">
        <v>1.6</v>
      </c>
      <c r="AJ22" s="194">
        <v>1</v>
      </c>
      <c r="AK22" s="194">
        <v>1.8</v>
      </c>
      <c r="AL22" s="194">
        <v>0.89600000000000013</v>
      </c>
      <c r="AM22" s="194">
        <v>1.3440000000000001</v>
      </c>
      <c r="AN22" s="194">
        <v>1.5</v>
      </c>
      <c r="AO22" s="194">
        <v>2.5</v>
      </c>
      <c r="AP22" s="194">
        <v>2</v>
      </c>
      <c r="AQ22" s="194">
        <v>3</v>
      </c>
      <c r="AR22" s="194">
        <v>1.88</v>
      </c>
      <c r="AS22" s="194">
        <v>2.83</v>
      </c>
      <c r="AT22" s="194">
        <v>2.5</v>
      </c>
      <c r="AU22" s="194">
        <v>3.5</v>
      </c>
      <c r="AV22" s="194">
        <v>2</v>
      </c>
      <c r="AW22" s="194">
        <v>3</v>
      </c>
      <c r="AX22" s="195">
        <v>0.8</v>
      </c>
      <c r="AY22" s="195">
        <v>1.5</v>
      </c>
      <c r="AZ22" s="194">
        <v>1.6</v>
      </c>
      <c r="BA22" s="194">
        <v>3.5</v>
      </c>
      <c r="BB22" s="194">
        <v>1.2</v>
      </c>
      <c r="BC22" s="194">
        <v>2</v>
      </c>
      <c r="BD22" s="196">
        <v>2.5</v>
      </c>
      <c r="BE22" s="196">
        <v>5</v>
      </c>
      <c r="BF22" s="194">
        <v>2</v>
      </c>
      <c r="BG22" s="194">
        <v>6</v>
      </c>
      <c r="BH22" s="194">
        <v>1.2</v>
      </c>
      <c r="BI22" s="194">
        <v>2</v>
      </c>
      <c r="BJ22" s="194">
        <v>3</v>
      </c>
      <c r="BK22" s="194">
        <v>6</v>
      </c>
      <c r="BL22" s="194">
        <v>0.7</v>
      </c>
      <c r="BM22" s="194">
        <v>1.1000000000000001</v>
      </c>
      <c r="BN22" s="194">
        <v>0.4</v>
      </c>
      <c r="BO22" s="194">
        <v>0.65</v>
      </c>
      <c r="BP22" s="194">
        <v>1.5</v>
      </c>
      <c r="BQ22" s="194">
        <v>2.5</v>
      </c>
      <c r="BR22" s="194">
        <v>1</v>
      </c>
      <c r="BS22" s="194">
        <v>1.8</v>
      </c>
      <c r="BT22" s="194">
        <v>1.64</v>
      </c>
      <c r="BU22" s="194">
        <v>2.46</v>
      </c>
      <c r="BV22" s="194">
        <v>3.5</v>
      </c>
      <c r="BW22" s="194">
        <v>5.4</v>
      </c>
      <c r="BX22" s="194">
        <v>0.5</v>
      </c>
      <c r="BY22" s="194">
        <v>0.8</v>
      </c>
      <c r="BZ22" s="194">
        <v>1.9</v>
      </c>
      <c r="CA22" s="194">
        <v>4</v>
      </c>
      <c r="CB22" s="194">
        <v>2</v>
      </c>
      <c r="CC22" s="194">
        <v>3</v>
      </c>
      <c r="CD22" s="194">
        <v>1</v>
      </c>
      <c r="CE22" s="194">
        <v>1.8</v>
      </c>
      <c r="CF22" s="194">
        <v>3</v>
      </c>
      <c r="CG22" s="194">
        <v>5</v>
      </c>
      <c r="CH22" s="194">
        <v>1.6</v>
      </c>
      <c r="CI22" s="194">
        <v>3</v>
      </c>
      <c r="CJ22" s="194">
        <v>0.7</v>
      </c>
      <c r="CK22" s="194">
        <v>1.1000000000000001</v>
      </c>
      <c r="CL22" s="194">
        <v>1.5</v>
      </c>
      <c r="CM22" s="194">
        <v>3</v>
      </c>
      <c r="CN22" s="194">
        <v>3</v>
      </c>
      <c r="CO22" s="194">
        <v>6</v>
      </c>
      <c r="CP22" s="194">
        <v>2.5</v>
      </c>
      <c r="CQ22" s="194">
        <v>4</v>
      </c>
      <c r="CR22" s="194">
        <v>0.5</v>
      </c>
      <c r="CS22" s="194">
        <v>2</v>
      </c>
      <c r="CT22" s="194">
        <v>9.1999999999999998E-2</v>
      </c>
      <c r="CU22" s="194">
        <v>0.13300000000000001</v>
      </c>
      <c r="CV22" s="194">
        <v>1.5</v>
      </c>
      <c r="CW22" s="194">
        <v>4</v>
      </c>
      <c r="CX22" s="194">
        <v>0.4</v>
      </c>
      <c r="CY22" s="194">
        <v>0.65</v>
      </c>
      <c r="CZ22" s="194">
        <v>1.6</v>
      </c>
      <c r="DA22" s="194">
        <v>3</v>
      </c>
      <c r="DB22" s="194">
        <v>0.6</v>
      </c>
      <c r="DC22" s="194">
        <v>1</v>
      </c>
    </row>
    <row r="23" spans="3:107" ht="17.100000000000001" customHeight="1">
      <c r="C23" s="208" t="s">
        <v>401</v>
      </c>
      <c r="D23" s="209" t="s">
        <v>6</v>
      </c>
      <c r="E23" s="119" t="s">
        <v>502</v>
      </c>
      <c r="F23" s="1081">
        <f>HLOOKUP(D23,VBA_VEG!$B$1:$M$3,3,FALSE)</f>
        <v>0.32</v>
      </c>
      <c r="G23" s="1082"/>
      <c r="H23" s="210" t="str">
        <f t="shared" si="0"/>
        <v>0,3 - 0,6</v>
      </c>
      <c r="I23" s="211"/>
      <c r="J23" s="212" t="str">
        <f t="shared" si="1"/>
        <v>IIIIIIIIIIIIII</v>
      </c>
      <c r="K23" s="213" t="str">
        <f t="shared" si="7"/>
        <v/>
      </c>
      <c r="L23" s="214"/>
      <c r="M23" s="18" t="str">
        <f t="shared" si="2"/>
        <v>correct</v>
      </c>
      <c r="O23" s="204">
        <f t="shared" si="3"/>
        <v>0.66666666666666674</v>
      </c>
      <c r="P23" s="205">
        <f>U23*(1-2.25*V23)</f>
        <v>0.11250000000000009</v>
      </c>
      <c r="Q23" s="205"/>
      <c r="R23" s="206">
        <f t="shared" si="4"/>
        <v>0.3</v>
      </c>
      <c r="S23" s="206">
        <f t="shared" si="4"/>
        <v>0.6</v>
      </c>
      <c r="T23" s="206">
        <f>U23*(1+3*V23)</f>
        <v>0.8999999999999998</v>
      </c>
      <c r="U23" s="205">
        <f t="shared" si="5"/>
        <v>0.44999999999999996</v>
      </c>
      <c r="V23" s="205">
        <f t="shared" si="6"/>
        <v>0.33333333333333326</v>
      </c>
      <c r="W23" s="205"/>
      <c r="X23" s="205"/>
      <c r="Y23" s="18" t="s">
        <v>6</v>
      </c>
      <c r="Z23" s="194">
        <v>0.3</v>
      </c>
      <c r="AA23" s="194">
        <v>0.8</v>
      </c>
      <c r="AB23" s="194">
        <v>0.3</v>
      </c>
      <c r="AC23" s="194">
        <v>0.5</v>
      </c>
      <c r="AD23" s="194">
        <v>0.25</v>
      </c>
      <c r="AE23" s="194">
        <v>0.5</v>
      </c>
      <c r="AF23" s="194">
        <v>0.25</v>
      </c>
      <c r="AG23" s="194">
        <v>0.8</v>
      </c>
      <c r="AH23" s="194">
        <v>0.2</v>
      </c>
      <c r="AI23" s="194">
        <v>0.3</v>
      </c>
      <c r="AJ23" s="194">
        <v>0.3</v>
      </c>
      <c r="AK23" s="194">
        <v>0.7</v>
      </c>
      <c r="AL23" s="194">
        <v>0.76</v>
      </c>
      <c r="AM23" s="194">
        <v>1.1399999999999999</v>
      </c>
      <c r="AN23" s="194">
        <v>0.25</v>
      </c>
      <c r="AO23" s="194">
        <v>0.5</v>
      </c>
      <c r="AP23" s="194">
        <v>0.25</v>
      </c>
      <c r="AQ23" s="194">
        <v>0.9</v>
      </c>
      <c r="AR23" s="194">
        <v>0.23</v>
      </c>
      <c r="AS23" s="194">
        <v>0.35</v>
      </c>
      <c r="AT23" s="194">
        <v>0.12</v>
      </c>
      <c r="AU23" s="194">
        <v>0.4</v>
      </c>
      <c r="AV23" s="194">
        <v>0.3</v>
      </c>
      <c r="AW23" s="194">
        <v>0.8</v>
      </c>
      <c r="AX23" s="195">
        <v>0.13</v>
      </c>
      <c r="AY23" s="195">
        <v>0.3</v>
      </c>
      <c r="AZ23" s="194">
        <v>0.3</v>
      </c>
      <c r="BA23" s="194">
        <v>0.8</v>
      </c>
      <c r="BB23" s="194">
        <v>0.3</v>
      </c>
      <c r="BC23" s="194">
        <v>0.5</v>
      </c>
      <c r="BD23" s="196">
        <v>0.3</v>
      </c>
      <c r="BE23" s="196">
        <v>1</v>
      </c>
      <c r="BF23" s="194">
        <v>0.3</v>
      </c>
      <c r="BG23" s="194">
        <v>1</v>
      </c>
      <c r="BH23" s="194">
        <v>0.3</v>
      </c>
      <c r="BI23" s="194">
        <v>0.5</v>
      </c>
      <c r="BJ23" s="194">
        <v>0.3</v>
      </c>
      <c r="BK23" s="194">
        <v>0.8</v>
      </c>
      <c r="BL23" s="194">
        <v>0.26</v>
      </c>
      <c r="BM23" s="194">
        <v>0.6</v>
      </c>
      <c r="BN23" s="194">
        <v>0.14000000000000001</v>
      </c>
      <c r="BO23" s="194">
        <v>0.3</v>
      </c>
      <c r="BP23" s="194">
        <v>0.22</v>
      </c>
      <c r="BQ23" s="194">
        <v>0.66</v>
      </c>
      <c r="BR23" s="194">
        <v>0.3</v>
      </c>
      <c r="BS23" s="194">
        <v>0.6</v>
      </c>
      <c r="BT23" s="194">
        <v>0.248</v>
      </c>
      <c r="BU23" s="194">
        <v>0.37</v>
      </c>
      <c r="BV23" s="194">
        <v>0.26</v>
      </c>
      <c r="BW23" s="194">
        <v>0.6</v>
      </c>
      <c r="BX23" s="194">
        <v>0.25</v>
      </c>
      <c r="BY23" s="194">
        <v>0.5</v>
      </c>
      <c r="BZ23" s="194">
        <v>0.3</v>
      </c>
      <c r="CA23" s="194">
        <v>0.5</v>
      </c>
      <c r="CB23" s="194">
        <v>0.3</v>
      </c>
      <c r="CC23" s="194">
        <v>0.8</v>
      </c>
      <c r="CD23" s="194">
        <v>0.3</v>
      </c>
      <c r="CE23" s="194">
        <v>0.6</v>
      </c>
      <c r="CF23" s="194">
        <v>0.14000000000000001</v>
      </c>
      <c r="CG23" s="194">
        <v>0.5</v>
      </c>
      <c r="CH23" s="194">
        <v>0.3</v>
      </c>
      <c r="CI23" s="194">
        <v>0.8</v>
      </c>
      <c r="CJ23" s="194">
        <v>0.26</v>
      </c>
      <c r="CK23" s="194">
        <v>0.6</v>
      </c>
      <c r="CL23" s="194">
        <v>0.3</v>
      </c>
      <c r="CM23" s="194">
        <v>0.8</v>
      </c>
      <c r="CN23" s="194">
        <v>0.3</v>
      </c>
      <c r="CO23" s="194">
        <v>1</v>
      </c>
      <c r="CP23" s="194">
        <v>0.3</v>
      </c>
      <c r="CQ23" s="194">
        <v>1</v>
      </c>
      <c r="CR23" s="194">
        <v>0.5</v>
      </c>
      <c r="CS23" s="194">
        <v>4</v>
      </c>
      <c r="CT23" s="194">
        <v>0.29099999999999998</v>
      </c>
      <c r="CU23" s="194">
        <v>0.46200000000000002</v>
      </c>
      <c r="CV23" s="194">
        <v>0.3</v>
      </c>
      <c r="CW23" s="194">
        <v>0.8</v>
      </c>
      <c r="CX23" s="194">
        <v>0.14000000000000001</v>
      </c>
      <c r="CY23" s="194">
        <v>0.3</v>
      </c>
      <c r="CZ23" s="194">
        <v>0.3</v>
      </c>
      <c r="DA23" s="194">
        <v>0.6</v>
      </c>
      <c r="DB23" s="194">
        <v>0.2</v>
      </c>
      <c r="DC23" s="194">
        <v>0.4</v>
      </c>
    </row>
    <row r="24" spans="3:107" ht="17.100000000000001" customHeight="1">
      <c r="C24" s="215" t="s">
        <v>402</v>
      </c>
      <c r="D24" s="216" t="s">
        <v>7</v>
      </c>
      <c r="E24" s="177" t="s">
        <v>502</v>
      </c>
      <c r="F24" s="1083">
        <f>HLOOKUP(D24,VBA_VEG!$B$1:$M$3,3,FALSE)</f>
        <v>1.65</v>
      </c>
      <c r="G24" s="1084"/>
      <c r="H24" s="217" t="str">
        <f t="shared" si="0"/>
        <v>1,2 - 2,8</v>
      </c>
      <c r="I24" s="218"/>
      <c r="J24" s="219" t="str">
        <f t="shared" si="1"/>
        <v>IIIIIIIIIIII</v>
      </c>
      <c r="K24" s="220" t="str">
        <f>IF(((F24-U24)/(S24-R24))&gt;1.5,REPT("I",30),IF(F24&gt;1.1*U24,REPT("I",9*EXP(((F24-U24)/(S24-R24)))),IF(F24&gt;U24,REPT("I",4.5*EXP(((F24-U24)/(S24-R24)))),IF(F24=U24,"I",""))))</f>
        <v/>
      </c>
      <c r="L24" s="221"/>
      <c r="M24" s="18" t="str">
        <f t="shared" si="2"/>
        <v>correct</v>
      </c>
      <c r="O24" s="204">
        <f t="shared" si="3"/>
        <v>0.6</v>
      </c>
      <c r="P24" s="205">
        <f>U24*(1-2.25*V24)</f>
        <v>0.19999999999999996</v>
      </c>
      <c r="Q24" s="205"/>
      <c r="R24" s="206">
        <f t="shared" si="4"/>
        <v>1.2</v>
      </c>
      <c r="S24" s="206">
        <f t="shared" si="4"/>
        <v>2.8</v>
      </c>
      <c r="T24" s="206">
        <f>U24*(1+3*V24)</f>
        <v>4.4000000000000004</v>
      </c>
      <c r="U24" s="205">
        <f t="shared" si="5"/>
        <v>2</v>
      </c>
      <c r="V24" s="205">
        <f>1-O24</f>
        <v>0.4</v>
      </c>
      <c r="W24" s="205"/>
      <c r="X24" s="205"/>
      <c r="Y24" s="18" t="s">
        <v>7</v>
      </c>
      <c r="Z24" s="194">
        <v>1.7</v>
      </c>
      <c r="AA24" s="194">
        <v>3</v>
      </c>
      <c r="AB24" s="194">
        <v>2</v>
      </c>
      <c r="AC24" s="194">
        <v>5</v>
      </c>
      <c r="AD24" s="194">
        <v>2</v>
      </c>
      <c r="AE24" s="194">
        <v>4</v>
      </c>
      <c r="AF24" s="194">
        <v>1</v>
      </c>
      <c r="AG24" s="194">
        <v>3</v>
      </c>
      <c r="AH24" s="194">
        <v>0.8</v>
      </c>
      <c r="AI24" s="194">
        <v>1.4</v>
      </c>
      <c r="AJ24" s="194">
        <v>3</v>
      </c>
      <c r="AK24" s="194">
        <v>6</v>
      </c>
      <c r="AL24" s="194">
        <v>2.56</v>
      </c>
      <c r="AM24" s="194">
        <v>3.84</v>
      </c>
      <c r="AN24" s="194">
        <v>0.4</v>
      </c>
      <c r="AO24" s="194">
        <v>1.5</v>
      </c>
      <c r="AP24" s="194">
        <v>0.8</v>
      </c>
      <c r="AQ24" s="194">
        <v>2</v>
      </c>
      <c r="AR24" s="194">
        <v>1.96</v>
      </c>
      <c r="AS24" s="194">
        <v>2.94</v>
      </c>
      <c r="AT24" s="194">
        <v>0.15</v>
      </c>
      <c r="AU24" s="194">
        <v>0.5</v>
      </c>
      <c r="AV24" s="194">
        <v>1.5</v>
      </c>
      <c r="AW24" s="194">
        <v>2.7</v>
      </c>
      <c r="AX24" s="195">
        <v>1</v>
      </c>
      <c r="AY24" s="195">
        <v>2.5</v>
      </c>
      <c r="AZ24" s="194">
        <v>1.5</v>
      </c>
      <c r="BA24" s="194">
        <v>3</v>
      </c>
      <c r="BB24" s="194">
        <v>1.2</v>
      </c>
      <c r="BC24" s="194">
        <v>2</v>
      </c>
      <c r="BD24" s="196">
        <v>1</v>
      </c>
      <c r="BE24" s="196">
        <v>2.5</v>
      </c>
      <c r="BF24" s="194">
        <v>3</v>
      </c>
      <c r="BG24" s="194">
        <v>6</v>
      </c>
      <c r="BH24" s="194">
        <v>1.2</v>
      </c>
      <c r="BI24" s="194">
        <v>2</v>
      </c>
      <c r="BJ24" s="194">
        <v>2</v>
      </c>
      <c r="BK24" s="194">
        <v>4</v>
      </c>
      <c r="BL24" s="194">
        <v>3</v>
      </c>
      <c r="BM24" s="194">
        <v>6</v>
      </c>
      <c r="BN24" s="194">
        <v>0.4</v>
      </c>
      <c r="BO24" s="194">
        <v>0.8</v>
      </c>
      <c r="BP24" s="194">
        <v>1</v>
      </c>
      <c r="BQ24" s="194">
        <v>3</v>
      </c>
      <c r="BR24" s="194">
        <v>1.2</v>
      </c>
      <c r="BS24" s="194">
        <v>2.8</v>
      </c>
      <c r="BT24" s="194">
        <v>2.2799999999999998</v>
      </c>
      <c r="BU24" s="194">
        <v>3.5</v>
      </c>
      <c r="BV24" s="194">
        <v>0.4</v>
      </c>
      <c r="BW24" s="194">
        <v>1.2</v>
      </c>
      <c r="BX24" s="194">
        <v>0.6</v>
      </c>
      <c r="BY24" s="194">
        <v>1.2</v>
      </c>
      <c r="BZ24" s="194">
        <v>1.8</v>
      </c>
      <c r="CA24" s="194">
        <v>4</v>
      </c>
      <c r="CB24" s="194">
        <v>1.5</v>
      </c>
      <c r="CC24" s="194">
        <v>2.7</v>
      </c>
      <c r="CD24" s="194">
        <v>1.2</v>
      </c>
      <c r="CE24" s="194">
        <v>2.8</v>
      </c>
      <c r="CF24" s="194">
        <v>0.2</v>
      </c>
      <c r="CG24" s="194">
        <v>1</v>
      </c>
      <c r="CH24" s="194">
        <v>1.5</v>
      </c>
      <c r="CI24" s="194">
        <v>2.7</v>
      </c>
      <c r="CJ24" s="194">
        <v>3</v>
      </c>
      <c r="CK24" s="194">
        <v>6</v>
      </c>
      <c r="CL24" s="194">
        <v>0.6</v>
      </c>
      <c r="CM24" s="194">
        <v>2.5</v>
      </c>
      <c r="CN24" s="194">
        <v>1</v>
      </c>
      <c r="CO24" s="194">
        <v>2.5</v>
      </c>
      <c r="CP24" s="194">
        <v>2</v>
      </c>
      <c r="CQ24" s="194">
        <v>5</v>
      </c>
      <c r="CR24" s="194">
        <v>0.1</v>
      </c>
      <c r="CS24" s="194">
        <v>0.6</v>
      </c>
      <c r="CT24" s="194">
        <v>0.248</v>
      </c>
      <c r="CU24" s="194">
        <v>0.5</v>
      </c>
      <c r="CV24" s="194">
        <v>1</v>
      </c>
      <c r="CW24" s="194">
        <v>2.5</v>
      </c>
      <c r="CX24" s="194">
        <v>0.4</v>
      </c>
      <c r="CY24" s="194">
        <v>0.8</v>
      </c>
      <c r="CZ24" s="194">
        <v>1.3</v>
      </c>
      <c r="DA24" s="194">
        <v>3.5</v>
      </c>
      <c r="DB24" s="194">
        <v>0.8</v>
      </c>
      <c r="DC24" s="194">
        <v>1.2</v>
      </c>
    </row>
    <row r="25" spans="3:107">
      <c r="C25" s="1085" t="s">
        <v>505</v>
      </c>
      <c r="D25" s="1085"/>
      <c r="E25" s="1085"/>
      <c r="F25" s="1085"/>
      <c r="G25" s="1085"/>
      <c r="H25" s="1085"/>
      <c r="I25" s="1085"/>
      <c r="J25" s="1085"/>
      <c r="K25" s="1085"/>
      <c r="L25" s="1085"/>
      <c r="O25" s="204"/>
      <c r="R25" s="206"/>
      <c r="S25" s="206"/>
      <c r="T25" s="21"/>
      <c r="U25" s="21"/>
      <c r="V25" s="21"/>
      <c r="W25" s="21"/>
      <c r="X25" s="21"/>
      <c r="Y25" s="193" t="s">
        <v>505</v>
      </c>
      <c r="Z25" s="222"/>
      <c r="AA25" s="223"/>
      <c r="AB25" s="223"/>
      <c r="AC25" s="223"/>
      <c r="AD25" s="223"/>
      <c r="AE25" s="223"/>
      <c r="AF25" s="223"/>
      <c r="AG25" s="223"/>
      <c r="AH25" s="223"/>
      <c r="AI25" s="223"/>
      <c r="AJ25" s="223"/>
      <c r="AK25" s="223"/>
      <c r="AL25" s="223"/>
      <c r="AM25" s="223"/>
      <c r="AN25" s="223"/>
      <c r="AO25" s="223"/>
      <c r="AP25" s="223"/>
      <c r="AQ25" s="223"/>
      <c r="AR25" s="223"/>
      <c r="AS25" s="223"/>
      <c r="AT25" s="223"/>
      <c r="AU25" s="223"/>
      <c r="AV25" s="223"/>
      <c r="AW25" s="223"/>
      <c r="AX25" s="223"/>
      <c r="AY25" s="223"/>
      <c r="AZ25" s="223"/>
      <c r="BA25" s="223"/>
      <c r="BB25" s="223"/>
      <c r="BC25" s="223"/>
      <c r="BD25" s="223"/>
      <c r="BE25" s="223"/>
      <c r="BF25" s="223"/>
      <c r="BG25" s="223"/>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4"/>
      <c r="CT25" s="223"/>
      <c r="CU25" s="224"/>
      <c r="CV25" s="223"/>
      <c r="CW25" s="224"/>
      <c r="CX25" s="223"/>
      <c r="CY25" s="224"/>
      <c r="CZ25" s="223"/>
      <c r="DA25" s="224"/>
      <c r="DB25" s="223"/>
      <c r="DC25" s="224"/>
    </row>
    <row r="26" spans="3:107" ht="17.100000000000001" customHeight="1">
      <c r="C26" s="197" t="s">
        <v>403</v>
      </c>
      <c r="D26" s="198" t="s">
        <v>8</v>
      </c>
      <c r="E26" s="116" t="s">
        <v>502</v>
      </c>
      <c r="F26" s="1094">
        <f>VBA_VEG!F3</f>
        <v>0.08</v>
      </c>
      <c r="G26" s="1094"/>
      <c r="H26" s="199" t="str">
        <f>S26&amp;" - "&amp;R26</f>
        <v>0 - 0,1</v>
      </c>
      <c r="I26" s="225" t="str">
        <f>IF(F26=0,"",IF($H$12="D","",IF(F26&lt;=$R26-($S26-$R26),"I"&amp;"I",IF(F26&gt;=$S26+($S26-$R26),REPT("I",27)&amp;"I",REPT("I",9+(F26-$R26)/($S26-$R26)*9)&amp;"I"))))</f>
        <v>II</v>
      </c>
      <c r="J26" s="1095"/>
      <c r="K26" s="1095"/>
      <c r="L26" s="203"/>
      <c r="O26" s="204">
        <f t="shared" si="3"/>
        <v>2</v>
      </c>
      <c r="P26" s="205"/>
      <c r="Q26" s="205"/>
      <c r="R26" s="206">
        <f t="shared" si="4"/>
        <v>0.1</v>
      </c>
      <c r="S26" s="206">
        <f t="shared" si="4"/>
        <v>0</v>
      </c>
      <c r="T26" s="206">
        <f t="shared" ref="T26:T27" si="8">U26*(1+3*V26)</f>
        <v>-0.1</v>
      </c>
      <c r="U26" s="206">
        <f t="shared" si="5"/>
        <v>0.05</v>
      </c>
      <c r="V26" s="205">
        <f>1-O26</f>
        <v>-1</v>
      </c>
      <c r="W26" s="205"/>
      <c r="X26" s="205"/>
      <c r="Y26" s="18" t="s">
        <v>8</v>
      </c>
      <c r="Z26" s="194">
        <v>0.3</v>
      </c>
      <c r="AA26" s="194">
        <v>0.3</v>
      </c>
      <c r="AB26" s="194">
        <v>0.2</v>
      </c>
      <c r="AC26" s="194">
        <v>0.16</v>
      </c>
      <c r="AD26" s="194">
        <v>0.2</v>
      </c>
      <c r="AE26" s="194">
        <v>0.16</v>
      </c>
      <c r="AF26" s="194">
        <v>0.16</v>
      </c>
      <c r="AG26" s="194">
        <v>0.2</v>
      </c>
      <c r="AH26" s="194">
        <v>0.2</v>
      </c>
      <c r="AI26" s="194">
        <v>0.16</v>
      </c>
      <c r="AJ26" s="194">
        <v>0.2</v>
      </c>
      <c r="AK26" s="194">
        <v>0.16</v>
      </c>
      <c r="AL26" s="194">
        <v>0.2</v>
      </c>
      <c r="AM26" s="194">
        <v>0.16</v>
      </c>
      <c r="AN26" s="194">
        <v>0.3</v>
      </c>
      <c r="AO26" s="194">
        <v>0.3</v>
      </c>
      <c r="AP26" s="194">
        <v>0.2</v>
      </c>
      <c r="AQ26" s="194">
        <v>0.16</v>
      </c>
      <c r="AR26" s="194">
        <v>0.2</v>
      </c>
      <c r="AS26" s="194">
        <v>0.16</v>
      </c>
      <c r="AT26" s="194">
        <v>0.2</v>
      </c>
      <c r="AU26" s="194">
        <v>0.16</v>
      </c>
      <c r="AV26" s="194">
        <v>0.02</v>
      </c>
      <c r="AW26" s="194">
        <v>0.02</v>
      </c>
      <c r="AX26" s="195">
        <v>0.2</v>
      </c>
      <c r="AY26" s="195">
        <v>0.2</v>
      </c>
      <c r="AZ26" s="194">
        <v>0.2</v>
      </c>
      <c r="BA26" s="194">
        <v>0.2</v>
      </c>
      <c r="BB26" s="194">
        <v>0.2</v>
      </c>
      <c r="BC26" s="194">
        <v>0.16</v>
      </c>
      <c r="BD26" s="196">
        <v>0.2</v>
      </c>
      <c r="BE26" s="196">
        <v>0.16</v>
      </c>
      <c r="BF26" s="194">
        <v>0.2</v>
      </c>
      <c r="BG26" s="194">
        <v>0.16</v>
      </c>
      <c r="BH26" s="194">
        <v>0.2</v>
      </c>
      <c r="BI26" s="194">
        <v>0.16</v>
      </c>
      <c r="BJ26" s="194">
        <v>0.2</v>
      </c>
      <c r="BK26" s="194">
        <v>0.16</v>
      </c>
      <c r="BL26" s="194">
        <v>0.2</v>
      </c>
      <c r="BM26" s="194">
        <v>0.16</v>
      </c>
      <c r="BN26" s="194">
        <v>0.2</v>
      </c>
      <c r="BO26" s="194">
        <v>0.16</v>
      </c>
      <c r="BP26" s="194">
        <v>0.2</v>
      </c>
      <c r="BQ26" s="194">
        <v>0.16</v>
      </c>
      <c r="BR26" s="194">
        <v>0.1</v>
      </c>
      <c r="BS26" s="194"/>
      <c r="BT26" s="194">
        <v>50</v>
      </c>
      <c r="BU26" s="194">
        <v>110</v>
      </c>
      <c r="BV26" s="194">
        <v>0.2</v>
      </c>
      <c r="BW26" s="194">
        <v>0.16</v>
      </c>
      <c r="BX26" s="194">
        <v>0.2</v>
      </c>
      <c r="BY26" s="194">
        <v>0.16</v>
      </c>
      <c r="BZ26" s="194">
        <v>0.2</v>
      </c>
      <c r="CA26" s="194">
        <v>0.16</v>
      </c>
      <c r="CB26" s="194">
        <v>0.2</v>
      </c>
      <c r="CC26" s="194">
        <v>0.16</v>
      </c>
      <c r="CD26" s="194">
        <v>0.2</v>
      </c>
      <c r="CE26" s="194">
        <v>0.16</v>
      </c>
      <c r="CF26" s="194">
        <v>0.2</v>
      </c>
      <c r="CG26" s="194">
        <v>0.16</v>
      </c>
      <c r="CH26" s="194">
        <v>0.2</v>
      </c>
      <c r="CI26" s="194">
        <v>0.16</v>
      </c>
      <c r="CJ26" s="194">
        <v>0.2</v>
      </c>
      <c r="CK26" s="194">
        <v>0.16</v>
      </c>
      <c r="CL26" s="194">
        <v>0.2</v>
      </c>
      <c r="CM26" s="194">
        <v>0.16</v>
      </c>
      <c r="CN26" s="194">
        <v>0.2</v>
      </c>
      <c r="CO26" s="194">
        <v>0.16</v>
      </c>
      <c r="CP26" s="194">
        <v>0.2</v>
      </c>
      <c r="CQ26" s="194">
        <v>0.16</v>
      </c>
      <c r="CR26" s="194">
        <v>0.02</v>
      </c>
      <c r="CS26" s="194">
        <v>0.14000000000000001</v>
      </c>
      <c r="CT26" s="194">
        <v>0.02</v>
      </c>
      <c r="CU26" s="194">
        <v>0.14799999999999999</v>
      </c>
      <c r="CV26" s="194">
        <v>0.02</v>
      </c>
      <c r="CW26" s="194">
        <v>1.7</v>
      </c>
      <c r="CX26" s="194">
        <v>0.2</v>
      </c>
      <c r="CY26" s="194">
        <v>0.16</v>
      </c>
      <c r="CZ26" s="194">
        <v>0.2</v>
      </c>
      <c r="DA26" s="194">
        <v>0.16</v>
      </c>
      <c r="DB26" s="194">
        <v>0.05</v>
      </c>
      <c r="DC26" s="194">
        <v>0.11</v>
      </c>
    </row>
    <row r="27" spans="3:107" ht="17.100000000000001" customHeight="1">
      <c r="C27" s="215" t="s">
        <v>242</v>
      </c>
      <c r="D27" s="216" t="s">
        <v>9</v>
      </c>
      <c r="E27" s="177" t="s">
        <v>502</v>
      </c>
      <c r="F27" s="1096">
        <f>F26*1.3947534658436</f>
        <v>0.11158027726748801</v>
      </c>
      <c r="G27" s="1096"/>
      <c r="H27" s="217" t="str">
        <f>S27&amp;" - "&amp;R27</f>
        <v>0 - 0,8</v>
      </c>
      <c r="I27" s="226" t="str">
        <f>IF(F27=0,"",IF($H$12="D","",IF(F27&lt;=$R27-($S27-$R27),"I"&amp;"I",IF(F27&gt;=$S27+($S27-$R27),REPT("I",27)&amp;"I",REPT("I",9+(F27-$R27)/($S27-$R27)*9)&amp;"I"))))</f>
        <v>II</v>
      </c>
      <c r="J27" s="227"/>
      <c r="K27" s="227"/>
      <c r="L27" s="221"/>
      <c r="O27" s="204">
        <f t="shared" si="3"/>
        <v>2</v>
      </c>
      <c r="P27" s="205"/>
      <c r="Q27" s="205"/>
      <c r="R27" s="206">
        <f t="shared" si="4"/>
        <v>0.8</v>
      </c>
      <c r="S27" s="206">
        <f t="shared" si="4"/>
        <v>0</v>
      </c>
      <c r="T27" s="206">
        <f t="shared" si="8"/>
        <v>-0.8</v>
      </c>
      <c r="U27" s="206">
        <f t="shared" si="5"/>
        <v>0.4</v>
      </c>
      <c r="V27" s="205">
        <f>1-O27</f>
        <v>-1</v>
      </c>
      <c r="W27" s="205"/>
      <c r="X27" s="205"/>
      <c r="Y27" s="18" t="s">
        <v>9</v>
      </c>
      <c r="Z27" s="194">
        <v>0.02</v>
      </c>
      <c r="AA27" s="194">
        <v>0.02</v>
      </c>
      <c r="AB27" s="194">
        <v>0.3</v>
      </c>
      <c r="AC27" s="194">
        <v>0.3</v>
      </c>
      <c r="AD27" s="194">
        <v>0.3</v>
      </c>
      <c r="AE27" s="194">
        <v>0.3</v>
      </c>
      <c r="AF27" s="194">
        <v>0.3</v>
      </c>
      <c r="AG27" s="194">
        <v>0.3</v>
      </c>
      <c r="AH27" s="194">
        <v>0.3</v>
      </c>
      <c r="AI27" s="194">
        <v>0.3</v>
      </c>
      <c r="AJ27" s="194">
        <v>0.3</v>
      </c>
      <c r="AK27" s="194">
        <v>0.3</v>
      </c>
      <c r="AL27" s="194">
        <v>0.3</v>
      </c>
      <c r="AM27" s="194">
        <v>0.3</v>
      </c>
      <c r="AN27" s="194">
        <v>0.5</v>
      </c>
      <c r="AO27" s="194">
        <v>0.5</v>
      </c>
      <c r="AP27" s="194">
        <v>0.3</v>
      </c>
      <c r="AQ27" s="194">
        <v>0.3</v>
      </c>
      <c r="AR27" s="194">
        <v>0.3</v>
      </c>
      <c r="AS27" s="194">
        <v>0.3</v>
      </c>
      <c r="AT27" s="194">
        <v>0.3</v>
      </c>
      <c r="AU27" s="194">
        <v>0.3</v>
      </c>
      <c r="AV27" s="194">
        <v>0.3</v>
      </c>
      <c r="AW27" s="194">
        <v>0.3</v>
      </c>
      <c r="AX27" s="195">
        <v>0.3</v>
      </c>
      <c r="AY27" s="195">
        <v>0.5</v>
      </c>
      <c r="AZ27" s="194">
        <v>0.3</v>
      </c>
      <c r="BA27" s="194">
        <v>0.5</v>
      </c>
      <c r="BB27" s="194">
        <v>0.3</v>
      </c>
      <c r="BC27" s="194">
        <v>0.3</v>
      </c>
      <c r="BD27" s="196">
        <v>0.3</v>
      </c>
      <c r="BE27" s="196">
        <v>0.3</v>
      </c>
      <c r="BF27" s="194">
        <v>0.3</v>
      </c>
      <c r="BG27" s="194">
        <v>0.3</v>
      </c>
      <c r="BH27" s="194">
        <v>0.3</v>
      </c>
      <c r="BI27" s="194">
        <v>0.3</v>
      </c>
      <c r="BJ27" s="194">
        <v>0.3</v>
      </c>
      <c r="BK27" s="194">
        <v>0.3</v>
      </c>
      <c r="BL27" s="194">
        <v>0.3</v>
      </c>
      <c r="BM27" s="194">
        <v>0.3</v>
      </c>
      <c r="BN27" s="194">
        <v>0.3</v>
      </c>
      <c r="BO27" s="194">
        <v>0.3</v>
      </c>
      <c r="BP27" s="194">
        <v>0.3</v>
      </c>
      <c r="BQ27" s="194">
        <v>0.3</v>
      </c>
      <c r="BR27" s="194">
        <v>0.8</v>
      </c>
      <c r="BS27" s="194"/>
      <c r="BT27" s="194">
        <v>30</v>
      </c>
      <c r="BU27" s="194">
        <v>70</v>
      </c>
      <c r="BV27" s="194">
        <v>0.3</v>
      </c>
      <c r="BW27" s="194">
        <v>0.3</v>
      </c>
      <c r="BX27" s="194">
        <v>0.3</v>
      </c>
      <c r="BY27" s="194">
        <v>0.3</v>
      </c>
      <c r="BZ27" s="194">
        <v>0.3</v>
      </c>
      <c r="CA27" s="194">
        <v>0.3</v>
      </c>
      <c r="CB27" s="194">
        <v>0.3</v>
      </c>
      <c r="CC27" s="194">
        <v>0.3</v>
      </c>
      <c r="CD27" s="194">
        <v>0.3</v>
      </c>
      <c r="CE27" s="194">
        <v>0.3</v>
      </c>
      <c r="CF27" s="194">
        <v>0.3</v>
      </c>
      <c r="CG27" s="194">
        <v>0.3</v>
      </c>
      <c r="CH27" s="194">
        <v>0.3</v>
      </c>
      <c r="CI27" s="194">
        <v>0.3</v>
      </c>
      <c r="CJ27" s="194">
        <v>0.3</v>
      </c>
      <c r="CK27" s="194">
        <v>0.3</v>
      </c>
      <c r="CL27" s="194">
        <v>0.3</v>
      </c>
      <c r="CM27" s="194">
        <v>0.3</v>
      </c>
      <c r="CN27" s="194">
        <v>0.3</v>
      </c>
      <c r="CO27" s="194">
        <v>0.3</v>
      </c>
      <c r="CP27" s="194">
        <v>0.3</v>
      </c>
      <c r="CQ27" s="194">
        <v>0.3</v>
      </c>
      <c r="CR27" s="194">
        <v>0.05</v>
      </c>
      <c r="CS27" s="194">
        <v>0.25</v>
      </c>
      <c r="CT27" s="194">
        <v>0.05</v>
      </c>
      <c r="CU27" s="194">
        <v>0.25</v>
      </c>
      <c r="CV27" s="194">
        <v>0.05</v>
      </c>
      <c r="CW27" s="194">
        <v>2</v>
      </c>
      <c r="CX27" s="194">
        <v>0.3</v>
      </c>
      <c r="CY27" s="194">
        <v>0.3</v>
      </c>
      <c r="CZ27" s="194">
        <v>0.3</v>
      </c>
      <c r="DA27" s="194">
        <v>0.3</v>
      </c>
      <c r="DB27" s="194">
        <v>0.03</v>
      </c>
      <c r="DC27" s="194">
        <v>0.03</v>
      </c>
    </row>
    <row r="28" spans="3:107">
      <c r="C28" s="1085" t="s">
        <v>10</v>
      </c>
      <c r="D28" s="1085"/>
      <c r="E28" s="1085"/>
      <c r="F28" s="1085"/>
      <c r="G28" s="1085"/>
      <c r="H28" s="1085"/>
      <c r="I28" s="1085"/>
      <c r="J28" s="1085"/>
      <c r="K28" s="1085"/>
      <c r="L28" s="1085"/>
      <c r="O28" s="204"/>
      <c r="R28" s="206"/>
      <c r="S28" s="206"/>
      <c r="T28" s="21"/>
      <c r="U28" s="21"/>
      <c r="V28" s="21"/>
      <c r="W28" s="21"/>
      <c r="X28" s="21"/>
      <c r="Y28" s="193" t="s">
        <v>10</v>
      </c>
      <c r="Z28" s="222"/>
      <c r="AA28" s="223"/>
      <c r="AB28" s="223"/>
      <c r="AC28" s="223"/>
      <c r="AD28" s="223"/>
      <c r="AE28" s="223"/>
      <c r="AF28" s="223"/>
      <c r="AG28" s="223"/>
      <c r="AH28" s="223"/>
      <c r="AI28" s="223"/>
      <c r="AJ28" s="223"/>
      <c r="AK28" s="223"/>
      <c r="AL28" s="223"/>
      <c r="AM28" s="223"/>
      <c r="AN28" s="223"/>
      <c r="AO28" s="223"/>
      <c r="AP28" s="223"/>
      <c r="AQ28" s="223"/>
      <c r="AR28" s="223"/>
      <c r="AS28" s="223"/>
      <c r="AT28" s="223"/>
      <c r="AU28" s="223"/>
      <c r="AV28" s="223"/>
      <c r="AW28" s="223"/>
      <c r="AX28" s="223"/>
      <c r="AY28" s="223"/>
      <c r="AZ28" s="223"/>
      <c r="BA28" s="223"/>
      <c r="BB28" s="223"/>
      <c r="BC28" s="223"/>
      <c r="BD28" s="223"/>
      <c r="BE28" s="223"/>
      <c r="BF28" s="223"/>
      <c r="BG28" s="223"/>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4"/>
      <c r="CT28" s="223"/>
      <c r="CU28" s="224"/>
      <c r="CV28" s="223"/>
      <c r="CW28" s="224"/>
      <c r="CX28" s="223"/>
      <c r="CY28" s="224"/>
      <c r="CZ28" s="223"/>
      <c r="DA28" s="224"/>
      <c r="DB28" s="223"/>
      <c r="DC28" s="224"/>
    </row>
    <row r="29" spans="3:107">
      <c r="C29" s="228" t="s">
        <v>11</v>
      </c>
      <c r="D29" s="229" t="s">
        <v>12</v>
      </c>
      <c r="E29" s="116" t="s">
        <v>506</v>
      </c>
      <c r="F29" s="1077">
        <f>HLOOKUP(D29,VBA_VEG!$B$1:$M$3,3,FALSE)</f>
        <v>38.840000000000003</v>
      </c>
      <c r="G29" s="1077"/>
      <c r="H29" s="199" t="str">
        <f t="shared" si="0"/>
        <v>35 - 60</v>
      </c>
      <c r="I29" s="200"/>
      <c r="J29" s="230" t="str">
        <f t="shared" ref="J29:J32" si="9">IF(((U29-F29)/(S29-R29))&gt;1.5,"I"&amp;REPT("I",20),IF(F29&lt;U29*0.89,"I"&amp;REPT("I",9*EXP(((U29-F29)/(S29-R29)))),IF(F29&lt;U29,"I"&amp;REPT("I",4.5*EXP(((U29-F29)/(S29-R29)))),IF(F29=U29,"I"&amp;"",""))))</f>
        <v>IIIIIIIIIIIII</v>
      </c>
      <c r="K29" s="202" t="str">
        <f t="shared" ref="K29:K32" si="10">IF(((F29-U29)/(S29-R29))&gt;1.5,REPT("I",30),IF(F29&gt;1.1*U29,REPT("I",9*EXP(((F29-U29)/(S29-R29)))),IF(F29&gt;U29,REPT("I",4.5*EXP(((F29-U29)/(S29-R29)))),IF(F29=U29,"I",""))))</f>
        <v/>
      </c>
      <c r="L29" s="203"/>
      <c r="M29" s="18" t="str">
        <f>IF(F29&gt;S29,"Elevé",IF(F29&lt;R29,"Faible","correct"))</f>
        <v>correct</v>
      </c>
      <c r="O29" s="204">
        <f t="shared" si="3"/>
        <v>0.73684210526315785</v>
      </c>
      <c r="P29" s="205" t="b">
        <f>OR(M29="faible",M30="faible",M31="faible",M32="faible",M33="faible")</f>
        <v>1</v>
      </c>
      <c r="Q29" s="205"/>
      <c r="R29" s="206">
        <f t="shared" si="4"/>
        <v>35</v>
      </c>
      <c r="S29" s="206">
        <f t="shared" si="4"/>
        <v>60</v>
      </c>
      <c r="T29" s="206"/>
      <c r="U29" s="206">
        <f t="shared" si="5"/>
        <v>47.5</v>
      </c>
      <c r="V29" s="205">
        <f>1-O29</f>
        <v>0.26315789473684215</v>
      </c>
      <c r="W29" s="205"/>
      <c r="X29" s="205"/>
      <c r="Y29" s="18" t="s">
        <v>12</v>
      </c>
      <c r="Z29" s="194">
        <v>20</v>
      </c>
      <c r="AA29" s="194">
        <v>50</v>
      </c>
      <c r="AB29" s="194">
        <v>25</v>
      </c>
      <c r="AC29" s="194">
        <v>60</v>
      </c>
      <c r="AD29" s="194">
        <v>15</v>
      </c>
      <c r="AE29" s="194">
        <v>50</v>
      </c>
      <c r="AF29" s="194">
        <v>30</v>
      </c>
      <c r="AG29" s="194">
        <v>150</v>
      </c>
      <c r="AH29" s="194">
        <v>15</v>
      </c>
      <c r="AI29" s="194">
        <v>20</v>
      </c>
      <c r="AJ29" s="194">
        <v>25</v>
      </c>
      <c r="AK29" s="194">
        <v>110</v>
      </c>
      <c r="AL29" s="194">
        <v>17.5</v>
      </c>
      <c r="AM29" s="194">
        <v>32.5</v>
      </c>
      <c r="AN29" s="194">
        <v>20</v>
      </c>
      <c r="AO29" s="194">
        <v>40</v>
      </c>
      <c r="AP29" s="194">
        <v>20</v>
      </c>
      <c r="AQ29" s="194">
        <v>60</v>
      </c>
      <c r="AR29" s="194">
        <v>28</v>
      </c>
      <c r="AS29" s="194">
        <v>52</v>
      </c>
      <c r="AT29" s="194">
        <v>20</v>
      </c>
      <c r="AU29" s="194">
        <v>70</v>
      </c>
      <c r="AV29" s="194">
        <v>20</v>
      </c>
      <c r="AW29" s="194">
        <v>50</v>
      </c>
      <c r="AX29" s="195">
        <v>10</v>
      </c>
      <c r="AY29" s="195">
        <v>60</v>
      </c>
      <c r="AZ29" s="194">
        <v>20</v>
      </c>
      <c r="BA29" s="194">
        <v>50</v>
      </c>
      <c r="BB29" s="194">
        <v>20</v>
      </c>
      <c r="BC29" s="194">
        <v>50</v>
      </c>
      <c r="BD29" s="196">
        <v>30</v>
      </c>
      <c r="BE29" s="196">
        <v>100</v>
      </c>
      <c r="BF29" s="194">
        <v>50</v>
      </c>
      <c r="BG29" s="194">
        <v>100</v>
      </c>
      <c r="BH29" s="194">
        <v>20</v>
      </c>
      <c r="BI29" s="194">
        <v>50</v>
      </c>
      <c r="BJ29" s="194">
        <v>30</v>
      </c>
      <c r="BK29" s="194">
        <v>100</v>
      </c>
      <c r="BL29" s="194">
        <v>25</v>
      </c>
      <c r="BM29" s="194">
        <v>110</v>
      </c>
      <c r="BN29" s="194">
        <v>8</v>
      </c>
      <c r="BO29" s="194">
        <v>30</v>
      </c>
      <c r="BP29" s="194">
        <v>30</v>
      </c>
      <c r="BQ29" s="194">
        <v>60</v>
      </c>
      <c r="BR29" s="194">
        <v>35</v>
      </c>
      <c r="BS29" s="194">
        <v>60</v>
      </c>
      <c r="BT29" s="194"/>
      <c r="BU29" s="194"/>
      <c r="BV29" s="194">
        <v>10</v>
      </c>
      <c r="BW29" s="194">
        <v>50</v>
      </c>
      <c r="BX29" s="194">
        <v>8</v>
      </c>
      <c r="BY29" s="194">
        <v>30</v>
      </c>
      <c r="BZ29" s="194">
        <v>20</v>
      </c>
      <c r="CA29" s="194">
        <v>60</v>
      </c>
      <c r="CB29" s="194">
        <v>20</v>
      </c>
      <c r="CC29" s="194">
        <v>50</v>
      </c>
      <c r="CD29" s="194">
        <v>35</v>
      </c>
      <c r="CE29" s="194">
        <v>60</v>
      </c>
      <c r="CF29" s="194">
        <v>15</v>
      </c>
      <c r="CG29" s="194">
        <v>70</v>
      </c>
      <c r="CH29" s="194">
        <v>20</v>
      </c>
      <c r="CI29" s="194">
        <v>50</v>
      </c>
      <c r="CJ29" s="194">
        <v>25</v>
      </c>
      <c r="CK29" s="194">
        <v>110</v>
      </c>
      <c r="CL29" s="194">
        <v>25</v>
      </c>
      <c r="CM29" s="194">
        <v>80</v>
      </c>
      <c r="CN29" s="194">
        <v>30</v>
      </c>
      <c r="CO29" s="194">
        <v>100</v>
      </c>
      <c r="CP29" s="194">
        <v>20</v>
      </c>
      <c r="CQ29" s="194">
        <v>60</v>
      </c>
      <c r="CR29" s="194">
        <v>40</v>
      </c>
      <c r="CS29" s="194">
        <v>160</v>
      </c>
      <c r="CT29" s="194">
        <v>40</v>
      </c>
      <c r="CU29" s="194">
        <v>160</v>
      </c>
      <c r="CV29" s="194">
        <v>15</v>
      </c>
      <c r="CW29" s="194">
        <v>80</v>
      </c>
      <c r="CX29" s="194">
        <v>8</v>
      </c>
      <c r="CY29" s="194">
        <v>30</v>
      </c>
      <c r="CZ29" s="194">
        <v>20</v>
      </c>
      <c r="DA29" s="194">
        <v>50</v>
      </c>
      <c r="DB29" s="194">
        <v>25</v>
      </c>
      <c r="DC29" s="194">
        <v>35</v>
      </c>
    </row>
    <row r="30" spans="3:107">
      <c r="C30" s="231" t="s">
        <v>13</v>
      </c>
      <c r="D30" s="232" t="s">
        <v>14</v>
      </c>
      <c r="E30" s="119" t="s">
        <v>506</v>
      </c>
      <c r="F30" s="1078">
        <f>HLOOKUP(D30,VBA_VEG!$B$1:$M$3,3,FALSE)</f>
        <v>162.82</v>
      </c>
      <c r="G30" s="1078"/>
      <c r="H30" s="210" t="str">
        <f t="shared" si="0"/>
        <v>8 - 20</v>
      </c>
      <c r="I30" s="211"/>
      <c r="J30" s="233" t="str">
        <f t="shared" si="9"/>
        <v/>
      </c>
      <c r="K30" s="213" t="str">
        <f t="shared" si="10"/>
        <v>IIIIIIIIIIIIIIIIIIIIIIIIIIIIII</v>
      </c>
      <c r="L30" s="214"/>
      <c r="M30" s="18" t="str">
        <f t="shared" ref="M30:M33" si="11">IF(F30&gt;S30,"Elevé",IF(F30&lt;R30,"Faible","correct"))</f>
        <v>Elevé</v>
      </c>
      <c r="O30" s="204">
        <f t="shared" si="3"/>
        <v>0.5714285714285714</v>
      </c>
      <c r="P30" s="205"/>
      <c r="Q30" s="205"/>
      <c r="R30" s="206">
        <f t="shared" ref="R30:R33" si="12">CHOOSE($AA$1,Z30,AB30,AD30,AF30,AH30,AJ30,AL30,AN30,AP30,AR30,AT30,AV30,AX30,AZ30,BB30,BD30,BF30,BH30,BJ30,BL30,BN30,BP30,BR30,BT30,BV30,BX30,BZ30,CB30,CD30,CF30,CH30,CJ30,CL30,CN30,CP30,CR30,CT30,CV30,CX30,CZ30,DB30)</f>
        <v>8</v>
      </c>
      <c r="S30" s="206">
        <f t="shared" ref="S30:S33" si="13">CHOOSE($AA$1,AA30,AC30,AE30,AG30,AI30,AK30,AM30,AO30,AQ30,AS30,AU30,AW30,AY30,BA30,BC30,BE30,BG30,BI30,BK30,BM30,BO30,BQ30,BS30,BU30,BW30,BY30,CA30,CC30,CE30,CG30,CI30,CK30,CM30,CO30,CQ30,CS30,CU30,CW30,CY30,DA30,DC30)</f>
        <v>20</v>
      </c>
      <c r="T30" s="206"/>
      <c r="U30" s="206">
        <f t="shared" si="5"/>
        <v>14</v>
      </c>
      <c r="V30" s="205">
        <f>1-O30</f>
        <v>0.4285714285714286</v>
      </c>
      <c r="W30" s="205"/>
      <c r="X30" s="205"/>
      <c r="Y30" s="18" t="s">
        <v>14</v>
      </c>
      <c r="Z30" s="194">
        <v>6</v>
      </c>
      <c r="AA30" s="194">
        <v>16</v>
      </c>
      <c r="AB30" s="194">
        <v>6</v>
      </c>
      <c r="AC30" s="194">
        <v>15</v>
      </c>
      <c r="AD30" s="194">
        <v>4</v>
      </c>
      <c r="AE30" s="194">
        <v>20</v>
      </c>
      <c r="AF30" s="194">
        <v>5</v>
      </c>
      <c r="AG30" s="194">
        <v>15</v>
      </c>
      <c r="AH30" s="194">
        <v>3</v>
      </c>
      <c r="AI30" s="194">
        <v>5</v>
      </c>
      <c r="AJ30" s="194">
        <v>5</v>
      </c>
      <c r="AK30" s="194">
        <v>15</v>
      </c>
      <c r="AL30" s="194">
        <v>5</v>
      </c>
      <c r="AM30" s="194">
        <v>13</v>
      </c>
      <c r="AN30" s="194">
        <v>5</v>
      </c>
      <c r="AO30" s="194">
        <v>10</v>
      </c>
      <c r="AP30" s="194">
        <v>5</v>
      </c>
      <c r="AQ30" s="194">
        <v>19</v>
      </c>
      <c r="AR30" s="194">
        <v>9</v>
      </c>
      <c r="AS30" s="194">
        <v>16</v>
      </c>
      <c r="AT30" s="194">
        <v>5</v>
      </c>
      <c r="AU30" s="194">
        <v>15</v>
      </c>
      <c r="AV30" s="194">
        <v>5</v>
      </c>
      <c r="AW30" s="194">
        <v>16</v>
      </c>
      <c r="AX30" s="195">
        <v>6</v>
      </c>
      <c r="AY30" s="195">
        <v>120</v>
      </c>
      <c r="AZ30" s="194">
        <v>5</v>
      </c>
      <c r="BA30" s="194">
        <v>16</v>
      </c>
      <c r="BB30" s="194">
        <v>9</v>
      </c>
      <c r="BC30" s="194">
        <v>20</v>
      </c>
      <c r="BD30" s="196">
        <v>8</v>
      </c>
      <c r="BE30" s="196">
        <v>18</v>
      </c>
      <c r="BF30" s="194">
        <v>8</v>
      </c>
      <c r="BG30" s="194">
        <v>18</v>
      </c>
      <c r="BH30" s="194">
        <v>6</v>
      </c>
      <c r="BI30" s="194">
        <v>20</v>
      </c>
      <c r="BJ30" s="194">
        <v>8</v>
      </c>
      <c r="BK30" s="194">
        <v>18</v>
      </c>
      <c r="BL30" s="194">
        <v>5</v>
      </c>
      <c r="BM30" s="194">
        <v>15</v>
      </c>
      <c r="BN30" s="194">
        <v>5</v>
      </c>
      <c r="BO30" s="194">
        <v>20</v>
      </c>
      <c r="BP30" s="194">
        <v>10</v>
      </c>
      <c r="BQ30" s="194">
        <v>200</v>
      </c>
      <c r="BR30" s="194">
        <v>8</v>
      </c>
      <c r="BS30" s="194">
        <v>20</v>
      </c>
      <c r="BT30" s="194"/>
      <c r="BU30" s="194"/>
      <c r="BV30" s="194">
        <v>6</v>
      </c>
      <c r="BW30" s="194">
        <v>30</v>
      </c>
      <c r="BX30" s="194">
        <v>5</v>
      </c>
      <c r="BY30" s="194">
        <v>20</v>
      </c>
      <c r="BZ30" s="194">
        <v>5</v>
      </c>
      <c r="CA30" s="194">
        <v>15</v>
      </c>
      <c r="CB30" s="194">
        <v>5</v>
      </c>
      <c r="CC30" s="194">
        <v>16</v>
      </c>
      <c r="CD30" s="194">
        <v>8</v>
      </c>
      <c r="CE30" s="194">
        <v>20</v>
      </c>
      <c r="CF30" s="194">
        <v>6</v>
      </c>
      <c r="CG30" s="194">
        <v>20</v>
      </c>
      <c r="CH30" s="194">
        <v>5</v>
      </c>
      <c r="CI30" s="194">
        <v>16</v>
      </c>
      <c r="CJ30" s="194">
        <v>5</v>
      </c>
      <c r="CK30" s="194">
        <v>15</v>
      </c>
      <c r="CL30" s="194">
        <v>5</v>
      </c>
      <c r="CM30" s="194">
        <v>20</v>
      </c>
      <c r="CN30" s="194">
        <v>8</v>
      </c>
      <c r="CO30" s="194">
        <v>18</v>
      </c>
      <c r="CP30" s="194">
        <v>8</v>
      </c>
      <c r="CQ30" s="194">
        <v>20</v>
      </c>
      <c r="CR30" s="194">
        <v>5</v>
      </c>
      <c r="CS30" s="194">
        <v>40</v>
      </c>
      <c r="CT30" s="194">
        <v>5</v>
      </c>
      <c r="CU30" s="194">
        <v>40</v>
      </c>
      <c r="CV30" s="194">
        <v>5</v>
      </c>
      <c r="CW30" s="194">
        <v>10</v>
      </c>
      <c r="CX30" s="194">
        <v>5</v>
      </c>
      <c r="CY30" s="194">
        <v>20</v>
      </c>
      <c r="CZ30" s="194">
        <v>5</v>
      </c>
      <c r="DA30" s="194">
        <v>20</v>
      </c>
      <c r="DB30" s="194">
        <v>10</v>
      </c>
      <c r="DC30" s="194">
        <v>15</v>
      </c>
    </row>
    <row r="31" spans="3:107">
      <c r="C31" s="231" t="s">
        <v>15</v>
      </c>
      <c r="D31" s="232" t="s">
        <v>16</v>
      </c>
      <c r="E31" s="119" t="s">
        <v>506</v>
      </c>
      <c r="F31" s="1091">
        <f>HLOOKUP(D31,VBA_VEG!$B$1:$M$3,3,FALSE)</f>
        <v>46.65</v>
      </c>
      <c r="G31" s="1091"/>
      <c r="H31" s="210" t="str">
        <f t="shared" si="0"/>
        <v>30 - 200</v>
      </c>
      <c r="I31" s="211"/>
      <c r="J31" s="233" t="str">
        <f t="shared" si="9"/>
        <v>IIIIIIIIIIIIII</v>
      </c>
      <c r="K31" s="213" t="str">
        <f t="shared" si="10"/>
        <v/>
      </c>
      <c r="L31" s="214"/>
      <c r="M31" s="18" t="str">
        <f t="shared" si="11"/>
        <v>correct</v>
      </c>
      <c r="O31" s="204">
        <f t="shared" si="3"/>
        <v>0.2608695652173913</v>
      </c>
      <c r="P31" s="205"/>
      <c r="Q31" s="205"/>
      <c r="R31" s="206">
        <f t="shared" si="12"/>
        <v>30</v>
      </c>
      <c r="S31" s="206">
        <f t="shared" si="13"/>
        <v>200</v>
      </c>
      <c r="T31" s="206"/>
      <c r="U31" s="206">
        <f t="shared" si="5"/>
        <v>115</v>
      </c>
      <c r="V31" s="205">
        <f>1-O31</f>
        <v>0.73913043478260865</v>
      </c>
      <c r="W31" s="205"/>
      <c r="X31" s="205"/>
      <c r="Y31" s="18" t="s">
        <v>16</v>
      </c>
      <c r="Z31" s="194">
        <v>40</v>
      </c>
      <c r="AA31" s="194">
        <v>160</v>
      </c>
      <c r="AB31" s="194">
        <v>25</v>
      </c>
      <c r="AC31" s="194">
        <v>100</v>
      </c>
      <c r="AD31" s="194">
        <v>20</v>
      </c>
      <c r="AE31" s="194">
        <v>200</v>
      </c>
      <c r="AF31" s="194">
        <v>30</v>
      </c>
      <c r="AG31" s="194">
        <v>500</v>
      </c>
      <c r="AH31" s="194">
        <v>20</v>
      </c>
      <c r="AI31" s="194">
        <v>40</v>
      </c>
      <c r="AJ31" s="194">
        <v>25</v>
      </c>
      <c r="AK31" s="194">
        <v>100</v>
      </c>
      <c r="AL31" s="194">
        <v>45.5</v>
      </c>
      <c r="AM31" s="194">
        <v>84.5</v>
      </c>
      <c r="AN31" s="194">
        <v>30</v>
      </c>
      <c r="AO31" s="194">
        <v>200</v>
      </c>
      <c r="AP31" s="194">
        <v>20</v>
      </c>
      <c r="AQ31" s="194">
        <v>200</v>
      </c>
      <c r="AR31" s="194">
        <v>40</v>
      </c>
      <c r="AS31" s="194">
        <v>72</v>
      </c>
      <c r="AT31" s="194">
        <v>50</v>
      </c>
      <c r="AU31" s="194">
        <v>160</v>
      </c>
      <c r="AV31" s="194">
        <v>40</v>
      </c>
      <c r="AW31" s="194">
        <v>160</v>
      </c>
      <c r="AX31" s="195">
        <v>25</v>
      </c>
      <c r="AY31" s="195">
        <v>90</v>
      </c>
      <c r="AZ31" s="194">
        <v>40</v>
      </c>
      <c r="BA31" s="194">
        <v>160</v>
      </c>
      <c r="BB31" s="194">
        <v>60</v>
      </c>
      <c r="BC31" s="194">
        <v>130</v>
      </c>
      <c r="BD31" s="196">
        <v>30</v>
      </c>
      <c r="BE31" s="196">
        <v>100</v>
      </c>
      <c r="BF31" s="194">
        <v>50</v>
      </c>
      <c r="BG31" s="194">
        <v>100</v>
      </c>
      <c r="BH31" s="194">
        <v>50</v>
      </c>
      <c r="BI31" s="194">
        <v>100</v>
      </c>
      <c r="BJ31" s="194">
        <v>50</v>
      </c>
      <c r="BK31" s="194">
        <v>100</v>
      </c>
      <c r="BL31" s="194">
        <v>25</v>
      </c>
      <c r="BM31" s="194">
        <v>100</v>
      </c>
      <c r="BN31" s="194">
        <v>50</v>
      </c>
      <c r="BO31" s="194">
        <v>350</v>
      </c>
      <c r="BP31" s="194">
        <v>30</v>
      </c>
      <c r="BQ31" s="194">
        <v>300</v>
      </c>
      <c r="BR31" s="194">
        <v>30</v>
      </c>
      <c r="BS31" s="194">
        <v>200</v>
      </c>
      <c r="BT31" s="194"/>
      <c r="BU31" s="194"/>
      <c r="BV31" s="194">
        <v>200</v>
      </c>
      <c r="BW31" s="194">
        <v>1000</v>
      </c>
      <c r="BX31" s="194">
        <v>50</v>
      </c>
      <c r="BY31" s="194">
        <v>350</v>
      </c>
      <c r="BZ31" s="194">
        <v>20</v>
      </c>
      <c r="CA31" s="194">
        <v>100</v>
      </c>
      <c r="CB31" s="194">
        <v>40</v>
      </c>
      <c r="CC31" s="194">
        <v>160</v>
      </c>
      <c r="CD31" s="194">
        <v>30</v>
      </c>
      <c r="CE31" s="194">
        <v>200</v>
      </c>
      <c r="CF31" s="194">
        <v>20</v>
      </c>
      <c r="CG31" s="194">
        <v>150</v>
      </c>
      <c r="CH31" s="194">
        <v>40</v>
      </c>
      <c r="CI31" s="194">
        <v>160</v>
      </c>
      <c r="CJ31" s="194">
        <v>25</v>
      </c>
      <c r="CK31" s="194">
        <v>100</v>
      </c>
      <c r="CL31" s="194">
        <v>40</v>
      </c>
      <c r="CM31" s="194">
        <v>300</v>
      </c>
      <c r="CN31" s="194">
        <v>30</v>
      </c>
      <c r="CO31" s="194">
        <v>100</v>
      </c>
      <c r="CP31" s="194">
        <v>50</v>
      </c>
      <c r="CQ31" s="194">
        <v>300</v>
      </c>
      <c r="CR31" s="194">
        <v>20</v>
      </c>
      <c r="CS31" s="194">
        <v>160</v>
      </c>
      <c r="CT31" s="194">
        <v>20</v>
      </c>
      <c r="CU31" s="194">
        <v>160</v>
      </c>
      <c r="CV31" s="194">
        <v>30</v>
      </c>
      <c r="CW31" s="194">
        <v>200</v>
      </c>
      <c r="CX31" s="194">
        <v>50</v>
      </c>
      <c r="CY31" s="194">
        <v>350</v>
      </c>
      <c r="CZ31" s="194">
        <v>30</v>
      </c>
      <c r="DA31" s="194">
        <v>100</v>
      </c>
      <c r="DB31" s="194">
        <v>300</v>
      </c>
      <c r="DC31" s="194">
        <v>1000</v>
      </c>
    </row>
    <row r="32" spans="3:107">
      <c r="C32" s="208" t="s">
        <v>17</v>
      </c>
      <c r="D32" s="209" t="s">
        <v>18</v>
      </c>
      <c r="E32" s="119" t="s">
        <v>506</v>
      </c>
      <c r="F32" s="1091">
        <f>HLOOKUP(D32,VBA_VEG!$B$1:$M$3,3,FALSE)</f>
        <v>94.19</v>
      </c>
      <c r="G32" s="1091"/>
      <c r="H32" s="210" t="str">
        <f t="shared" si="0"/>
        <v>110 - 250</v>
      </c>
      <c r="I32" s="211"/>
      <c r="J32" s="233" t="str">
        <f t="shared" si="9"/>
        <v>IIIIIIIIIIIIIIIII</v>
      </c>
      <c r="K32" s="213" t="str">
        <f t="shared" si="10"/>
        <v/>
      </c>
      <c r="L32" s="214"/>
      <c r="M32" s="18" t="str">
        <f t="shared" si="11"/>
        <v>Faible</v>
      </c>
      <c r="O32" s="204">
        <f t="shared" si="3"/>
        <v>0.61111111111111116</v>
      </c>
      <c r="P32" s="205"/>
      <c r="Q32" s="205"/>
      <c r="R32" s="206">
        <f t="shared" si="12"/>
        <v>110</v>
      </c>
      <c r="S32" s="206">
        <f t="shared" si="13"/>
        <v>250</v>
      </c>
      <c r="T32" s="206"/>
      <c r="U32" s="206">
        <f t="shared" si="5"/>
        <v>180</v>
      </c>
      <c r="V32" s="205">
        <f>1-O32</f>
        <v>0.38888888888888884</v>
      </c>
      <c r="W32" s="205"/>
      <c r="X32" s="205"/>
      <c r="Y32" s="18" t="s">
        <v>18</v>
      </c>
      <c r="Z32" s="194">
        <v>100</v>
      </c>
      <c r="AA32" s="194">
        <v>200</v>
      </c>
      <c r="AB32" s="194">
        <v>60</v>
      </c>
      <c r="AC32" s="194">
        <v>150</v>
      </c>
      <c r="AD32" s="194">
        <v>60</v>
      </c>
      <c r="AE32" s="194">
        <v>200</v>
      </c>
      <c r="AF32" s="194">
        <v>50</v>
      </c>
      <c r="AG32" s="194">
        <v>200</v>
      </c>
      <c r="AH32" s="194">
        <v>60</v>
      </c>
      <c r="AI32" s="194">
        <v>100</v>
      </c>
      <c r="AJ32" s="194">
        <v>60</v>
      </c>
      <c r="AK32" s="194">
        <v>150</v>
      </c>
      <c r="AL32" s="194">
        <v>119</v>
      </c>
      <c r="AM32" s="194">
        <v>221</v>
      </c>
      <c r="AN32" s="194">
        <v>50</v>
      </c>
      <c r="AO32" s="194">
        <v>200</v>
      </c>
      <c r="AP32" s="194">
        <v>25</v>
      </c>
      <c r="AQ32" s="194">
        <v>250</v>
      </c>
      <c r="AR32" s="194">
        <v>53</v>
      </c>
      <c r="AS32" s="194">
        <v>98</v>
      </c>
      <c r="AT32" s="194">
        <v>20</v>
      </c>
      <c r="AU32" s="194">
        <v>250</v>
      </c>
      <c r="AV32" s="194">
        <v>80</v>
      </c>
      <c r="AW32" s="194">
        <v>250</v>
      </c>
      <c r="AX32" s="195">
        <v>50</v>
      </c>
      <c r="AY32" s="195">
        <v>150</v>
      </c>
      <c r="AZ32" s="194">
        <v>80</v>
      </c>
      <c r="BA32" s="194">
        <v>250</v>
      </c>
      <c r="BB32" s="194">
        <v>60</v>
      </c>
      <c r="BC32" s="194">
        <v>200</v>
      </c>
      <c r="BD32" s="196">
        <v>60</v>
      </c>
      <c r="BE32" s="196">
        <v>200</v>
      </c>
      <c r="BF32" s="194">
        <v>90</v>
      </c>
      <c r="BG32" s="194">
        <v>200</v>
      </c>
      <c r="BH32" s="194">
        <v>100</v>
      </c>
      <c r="BI32" s="194">
        <v>250</v>
      </c>
      <c r="BJ32" s="194">
        <v>90</v>
      </c>
      <c r="BK32" s="194">
        <v>200</v>
      </c>
      <c r="BL32" s="194">
        <v>60</v>
      </c>
      <c r="BM32" s="194">
        <v>150</v>
      </c>
      <c r="BN32" s="194">
        <v>60</v>
      </c>
      <c r="BO32" s="194">
        <v>200</v>
      </c>
      <c r="BP32" s="194">
        <v>10</v>
      </c>
      <c r="BQ32" s="194">
        <v>80</v>
      </c>
      <c r="BR32" s="194">
        <v>110</v>
      </c>
      <c r="BS32" s="194">
        <v>250</v>
      </c>
      <c r="BT32" s="194"/>
      <c r="BU32" s="194"/>
      <c r="BV32" s="194">
        <v>80</v>
      </c>
      <c r="BW32" s="194">
        <v>300</v>
      </c>
      <c r="BX32" s="194">
        <v>60</v>
      </c>
      <c r="BY32" s="194">
        <v>200</v>
      </c>
      <c r="BZ32" s="194">
        <v>40</v>
      </c>
      <c r="CA32" s="194">
        <v>200</v>
      </c>
      <c r="CB32" s="194">
        <v>80</v>
      </c>
      <c r="CC32" s="194">
        <v>250</v>
      </c>
      <c r="CD32" s="194">
        <v>110</v>
      </c>
      <c r="CE32" s="194">
        <v>250</v>
      </c>
      <c r="CF32" s="194">
        <v>30</v>
      </c>
      <c r="CG32" s="194">
        <v>150</v>
      </c>
      <c r="CH32" s="194">
        <v>80</v>
      </c>
      <c r="CI32" s="194">
        <v>250</v>
      </c>
      <c r="CJ32" s="194">
        <v>60</v>
      </c>
      <c r="CK32" s="194">
        <v>150</v>
      </c>
      <c r="CL32" s="194">
        <v>30</v>
      </c>
      <c r="CM32" s="194">
        <v>200</v>
      </c>
      <c r="CN32" s="194">
        <v>60</v>
      </c>
      <c r="CO32" s="194">
        <v>200</v>
      </c>
      <c r="CP32" s="194">
        <v>60</v>
      </c>
      <c r="CQ32" s="194">
        <v>300</v>
      </c>
      <c r="CR32" s="194">
        <v>50</v>
      </c>
      <c r="CS32" s="194">
        <v>200</v>
      </c>
      <c r="CT32" s="194">
        <v>50</v>
      </c>
      <c r="CU32" s="194">
        <v>200</v>
      </c>
      <c r="CV32" s="194">
        <v>60</v>
      </c>
      <c r="CW32" s="194">
        <v>200</v>
      </c>
      <c r="CX32" s="194">
        <v>60</v>
      </c>
      <c r="CY32" s="194">
        <v>200</v>
      </c>
      <c r="CZ32" s="194">
        <v>40</v>
      </c>
      <c r="DA32" s="194">
        <v>100</v>
      </c>
      <c r="DB32" s="194">
        <v>60</v>
      </c>
      <c r="DC32" s="194">
        <v>100</v>
      </c>
    </row>
    <row r="33" spans="3:107" ht="17.100000000000001" customHeight="1">
      <c r="C33" s="215" t="s">
        <v>19</v>
      </c>
      <c r="D33" s="216" t="s">
        <v>20</v>
      </c>
      <c r="E33" s="177" t="s">
        <v>506</v>
      </c>
      <c r="F33" s="1092">
        <f>IF(VBA_VEG!M3="","",HLOOKUP(D33,VBA_VEG!$B$1:$M$3,3,FALSE))</f>
        <v>135.69</v>
      </c>
      <c r="G33" s="1092"/>
      <c r="H33" s="217" t="str">
        <f t="shared" si="0"/>
        <v>30 - 200</v>
      </c>
      <c r="I33" s="218"/>
      <c r="J33" s="234" t="str">
        <f>IF(F33="","",IF(((U33-F33)/(S33-R33))&gt;1.5,"I"&amp;REPT("I",20),IF(F33&lt;U33*0.89,"I"&amp;REPT("I",9*EXP(((U33-F33)/(S33-R33)))),IF(F33&lt;U33,"I"&amp;REPT("I",4.5*EXP(((U33-F33)/(S33-R33)))),IF(F33=U33,"I"&amp;"","")))))</f>
        <v/>
      </c>
      <c r="K33" s="220" t="str">
        <f>IF(F33="","",IF(((F33-U33)/(S33-R33))&gt;1.5,REPT("I",30),IF(F33&gt;1.1*U33,REPT("I",9*EXP(((F33-U33)/(S33-R33)))),IF(F33&gt;U33,REPT("I",4.5*EXP(((F33-U33)/(S33-R33)))),IF(F33=U33,"I","")))))</f>
        <v>IIIIIIIIII</v>
      </c>
      <c r="L33" s="221"/>
      <c r="M33" s="18" t="str">
        <f t="shared" si="11"/>
        <v>correct</v>
      </c>
      <c r="O33" s="204">
        <f t="shared" si="3"/>
        <v>0.2608695652173913</v>
      </c>
      <c r="P33" s="205"/>
      <c r="Q33" s="205"/>
      <c r="R33" s="206">
        <f t="shared" si="12"/>
        <v>30</v>
      </c>
      <c r="S33" s="206">
        <f t="shared" si="13"/>
        <v>200</v>
      </c>
      <c r="T33" s="206"/>
      <c r="U33" s="206">
        <f t="shared" si="5"/>
        <v>115</v>
      </c>
      <c r="V33" s="205">
        <f>1-O33</f>
        <v>0.73913043478260865</v>
      </c>
      <c r="W33" s="205"/>
      <c r="X33" s="205"/>
      <c r="Y33" s="18" t="s">
        <v>20</v>
      </c>
      <c r="Z33" s="194">
        <v>25</v>
      </c>
      <c r="AA33" s="194">
        <v>60</v>
      </c>
      <c r="AB33" s="194">
        <v>35</v>
      </c>
      <c r="AC33" s="194">
        <v>100</v>
      </c>
      <c r="AD33" s="194">
        <v>30</v>
      </c>
      <c r="AE33" s="194">
        <v>70</v>
      </c>
      <c r="AF33" s="194">
        <v>50</v>
      </c>
      <c r="AG33" s="194">
        <v>100</v>
      </c>
      <c r="AH33" s="194">
        <v>15</v>
      </c>
      <c r="AI33" s="194">
        <v>20</v>
      </c>
      <c r="AJ33" s="194">
        <v>50</v>
      </c>
      <c r="AK33" s="194">
        <v>200</v>
      </c>
      <c r="AL33" s="194">
        <v>59.5</v>
      </c>
      <c r="AM33" s="194">
        <v>110.5</v>
      </c>
      <c r="AN33" s="194">
        <v>20</v>
      </c>
      <c r="AO33" s="194">
        <v>60</v>
      </c>
      <c r="AP33" s="194">
        <v>15</v>
      </c>
      <c r="AQ33" s="194">
        <v>40</v>
      </c>
      <c r="AR33" s="194">
        <v>35</v>
      </c>
      <c r="AS33" s="194">
        <v>65</v>
      </c>
      <c r="AT33" s="194">
        <v>5</v>
      </c>
      <c r="AU33" s="194">
        <v>20</v>
      </c>
      <c r="AV33" s="194">
        <v>20</v>
      </c>
      <c r="AW33" s="194">
        <v>60</v>
      </c>
      <c r="AX33" s="195">
        <v>20</v>
      </c>
      <c r="AY33" s="195">
        <v>80</v>
      </c>
      <c r="AZ33" s="194">
        <v>20</v>
      </c>
      <c r="BA33" s="194">
        <v>60</v>
      </c>
      <c r="BB33" s="194">
        <v>30</v>
      </c>
      <c r="BC33" s="194">
        <v>60</v>
      </c>
      <c r="BD33" s="196">
        <v>20</v>
      </c>
      <c r="BE33" s="196">
        <v>60</v>
      </c>
      <c r="BF33" s="194">
        <v>20</v>
      </c>
      <c r="BG33" s="194">
        <v>60</v>
      </c>
      <c r="BH33" s="194">
        <v>25</v>
      </c>
      <c r="BI33" s="194">
        <v>50</v>
      </c>
      <c r="BJ33" s="194">
        <v>20</v>
      </c>
      <c r="BK33" s="194">
        <v>60</v>
      </c>
      <c r="BL33" s="194">
        <v>50</v>
      </c>
      <c r="BM33" s="194">
        <v>200</v>
      </c>
      <c r="BN33" s="194">
        <v>30</v>
      </c>
      <c r="BO33" s="194">
        <v>70</v>
      </c>
      <c r="BP33" s="194">
        <v>20</v>
      </c>
      <c r="BQ33" s="194">
        <v>40</v>
      </c>
      <c r="BR33" s="194">
        <v>30</v>
      </c>
      <c r="BS33" s="194">
        <v>200</v>
      </c>
      <c r="BT33" s="194"/>
      <c r="BU33" s="194"/>
      <c r="BV33" s="194">
        <v>10</v>
      </c>
      <c r="BW33" s="194">
        <v>50</v>
      </c>
      <c r="BX33" s="194">
        <v>30</v>
      </c>
      <c r="BY33" s="194">
        <v>70</v>
      </c>
      <c r="BZ33" s="194">
        <v>20</v>
      </c>
      <c r="CA33" s="194">
        <v>80</v>
      </c>
      <c r="CB33" s="194">
        <v>20</v>
      </c>
      <c r="CC33" s="194">
        <v>60</v>
      </c>
      <c r="CD33" s="194">
        <v>30</v>
      </c>
      <c r="CE33" s="194">
        <v>80</v>
      </c>
      <c r="CF33" s="194">
        <v>5</v>
      </c>
      <c r="CG33" s="194">
        <v>15</v>
      </c>
      <c r="CH33" s="194">
        <v>20</v>
      </c>
      <c r="CI33" s="194">
        <v>60</v>
      </c>
      <c r="CJ33" s="194">
        <v>50</v>
      </c>
      <c r="CK33" s="194">
        <v>100</v>
      </c>
      <c r="CL33" s="194">
        <v>25</v>
      </c>
      <c r="CM33" s="194">
        <v>80</v>
      </c>
      <c r="CN33" s="194">
        <v>20</v>
      </c>
      <c r="CO33" s="194">
        <v>60</v>
      </c>
      <c r="CP33" s="194">
        <v>30</v>
      </c>
      <c r="CQ33" s="194">
        <v>200</v>
      </c>
      <c r="CR33" s="194">
        <v>20</v>
      </c>
      <c r="CS33" s="194">
        <v>140</v>
      </c>
      <c r="CT33" s="194">
        <v>20</v>
      </c>
      <c r="CU33" s="194">
        <v>140</v>
      </c>
      <c r="CV33" s="194">
        <v>35</v>
      </c>
      <c r="CW33" s="194">
        <v>80</v>
      </c>
      <c r="CX33" s="194">
        <v>30</v>
      </c>
      <c r="CY33" s="194">
        <v>70</v>
      </c>
      <c r="CZ33" s="194">
        <v>20</v>
      </c>
      <c r="DA33" s="194">
        <v>60</v>
      </c>
      <c r="DB33" s="194">
        <v>40</v>
      </c>
      <c r="DC33" s="194">
        <v>50</v>
      </c>
    </row>
    <row r="34" spans="3:107" ht="17.100000000000001" customHeight="1">
      <c r="C34" s="235" t="s">
        <v>507</v>
      </c>
      <c r="D34" s="236"/>
      <c r="E34" s="236"/>
      <c r="F34" s="236"/>
      <c r="G34" s="236"/>
      <c r="H34" s="236"/>
      <c r="I34" s="236"/>
      <c r="J34" s="236"/>
      <c r="K34" s="236"/>
      <c r="L34" s="237"/>
      <c r="P34" s="93"/>
      <c r="Q34" s="93"/>
      <c r="R34" s="206"/>
      <c r="S34" s="206"/>
      <c r="T34" s="78"/>
      <c r="U34" s="78"/>
      <c r="V34" s="78"/>
      <c r="W34" s="78"/>
      <c r="X34" s="78"/>
      <c r="Y34" s="193" t="s">
        <v>507</v>
      </c>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9"/>
      <c r="AY34" s="239"/>
      <c r="AZ34" s="238"/>
      <c r="BA34" s="238"/>
      <c r="BB34" s="238"/>
      <c r="BC34" s="238"/>
      <c r="BD34" s="240"/>
      <c r="BE34" s="240"/>
      <c r="BF34" s="238"/>
      <c r="BG34" s="238"/>
      <c r="BH34" s="238"/>
      <c r="BI34" s="238"/>
      <c r="BJ34" s="238"/>
      <c r="BK34" s="238"/>
      <c r="BL34" s="238"/>
      <c r="BM34" s="238"/>
      <c r="BN34" s="238"/>
      <c r="BO34" s="238"/>
      <c r="BP34" s="238"/>
      <c r="BQ34" s="238"/>
      <c r="BR34" s="238"/>
      <c r="BS34" s="238"/>
      <c r="BT34" s="238"/>
      <c r="BU34" s="238"/>
      <c r="BV34" s="238"/>
      <c r="BW34" s="238"/>
      <c r="BX34" s="238"/>
      <c r="BY34" s="238"/>
      <c r="BZ34" s="238"/>
      <c r="CA34" s="238"/>
      <c r="CB34" s="238"/>
      <c r="CC34" s="238"/>
      <c r="CD34" s="238"/>
      <c r="CE34" s="238"/>
      <c r="CF34" s="238"/>
      <c r="CG34" s="238"/>
      <c r="CH34" s="238"/>
      <c r="CI34" s="238"/>
      <c r="CJ34" s="238"/>
      <c r="CK34" s="238"/>
      <c r="CL34" s="238"/>
      <c r="CM34" s="238"/>
      <c r="CN34" s="238"/>
      <c r="CO34" s="238"/>
      <c r="CP34" s="238"/>
      <c r="CQ34" s="238"/>
      <c r="CR34" s="238"/>
      <c r="CS34" s="238"/>
      <c r="CT34" s="238"/>
      <c r="CU34" s="238"/>
      <c r="CV34" s="238"/>
      <c r="CW34" s="238"/>
    </row>
    <row r="35" spans="3:107">
      <c r="C35" s="228" t="s">
        <v>508</v>
      </c>
      <c r="D35" s="241"/>
      <c r="E35" s="242" t="s">
        <v>21</v>
      </c>
      <c r="F35" s="1093">
        <f>F20/F21</f>
        <v>10.460800000000003</v>
      </c>
      <c r="G35" s="1093"/>
      <c r="H35" s="243">
        <f>U35</f>
        <v>12.307692307692307</v>
      </c>
      <c r="I35" s="200"/>
      <c r="J35" s="201" t="str">
        <f>IF(((U35-F35)/(O35-N35))&gt;1.5,"I"&amp;REPT("I",20),IF(F35&lt;U35*0.89,"I"&amp;REPT("I",9*EXP(((U35-F35)/(O35-N35)))),IF(F35&lt;U35,"I"&amp;REPT("I",4.5*EXP(((U35-F35)/(O35-N35)))),IF(F35=U35,"I"&amp;"",""))))</f>
        <v>IIIIIIIIIIIIIIIIIIIII</v>
      </c>
      <c r="K35" s="202" t="str">
        <f>IF(((F35-U35)/(O35-N35))&gt;1.5,REPT("I",30),IF(F35&gt;1.1*U35,REPT("I",9*EXP(((F35-U35)/(O35-N35)))),IF(F35&gt;U35,REPT("I",4.5*EXP(((F35-U35)/(O35-N35)))),IF(F35=U35,"I",""))))</f>
        <v/>
      </c>
      <c r="L35" s="203"/>
      <c r="M35" s="18" t="str">
        <f t="shared" ref="M35:M41" si="14">IF(F35&gt;Q35,"Elevé",IF(F35&lt;P35,"Faible","correct"))</f>
        <v>Faible</v>
      </c>
      <c r="N35" s="18">
        <f>+MIN(R35:S35)</f>
        <v>12</v>
      </c>
      <c r="O35" s="18">
        <f t="shared" ref="O35:O39" si="15">IF(R35=S35,R35*1.1,MAX(R35:S35))</f>
        <v>12.5</v>
      </c>
      <c r="P35" s="206">
        <f>CHOOSE($AA$1,Z35,AB35,AD35,AF35,AH35,AJ35,AL35,AN35,AP35,AR35,AT35,AV35,AX35,AZ35,BB35,BD35,BF35,BH35,BJ35,BL35,BN35,BP35,BR35,BT35,BV35,BX35,BZ35,CB35,CD35,CF35,CH35,CJ35,CL35,CN35,CP35,CR35,CT35,CV35,CX35,CZ35,DB35)</f>
        <v>12</v>
      </c>
      <c r="Q35" s="206">
        <f>CHOOSE($AA$1,AA35,AC35,AE35,AG35,AI35,AK35,AM35,AO35,AQ35,AS35,AU35,AW35,AY35,BA35,BC35,BE35,BG35,BI35,BK35,BM35,BO35,BQ35,BS35,BU35,BW35,BY35,CA35,CC35,CE35,CG35,CI35,CK35,CM35,CO35,CQ35,CS35,CU35,CW35,CY35,DA35,DC35)</f>
        <v>12.5</v>
      </c>
      <c r="R35" s="206">
        <f t="shared" ref="R35" si="16">CHOOSE($AA$1,Z35,AB35,AD35,AF35,AH35,AJ35,AL35,AN35,AP35,AR35,AT35,AV35,AX35,AZ35,BB35,BD35,BF35,BH35,BJ35,BL35,BN35,BP35,BR35,BT35,BV35,BX35,BZ35,CB35,CD35,CF35,CH35,CJ35,CL35,CN35,CP35,CR35,CT35,CV35,CX35,CZ35,DB35)</f>
        <v>12</v>
      </c>
      <c r="S35" s="206">
        <f t="shared" ref="S35" si="17">CHOOSE($AA$1,AA35,AC35,AE35,AG35,AI35,AK35,AM35,AO35,AQ35,AS35,AU35,AW35,AY35,BA35,BC35,BE35,BG35,BI35,BK35,BM35,BO35,BQ35,BS35,BU35,BW35,BY35,CA35,CC35,CE35,CG35,CI35,CK35,CM35,CO35,CQ35,CS35,CU35,CW35,CY35,DA35,DC35)</f>
        <v>12.5</v>
      </c>
      <c r="T35" s="206"/>
      <c r="U35" s="205">
        <f>U20/U21</f>
        <v>12.307692307692307</v>
      </c>
      <c r="V35" s="206"/>
      <c r="W35" s="205">
        <f>CHOOSE($AA$1,Z35,AB35,AD35,AF35,AH35,AJ35,AL35,AN35,AP35,AR35,AT35,AV35,AX35,AZ35,BB35,BD35,BF35,BH35,BJ35,BL35,BN35,BP35,BR35,BT35,BV35,BX35,BZ35,CB35,CD35,CF35,CH35,CJ35,CL35,CN35,CP35,CR35,CT35,CX35)</f>
        <v>12</v>
      </c>
      <c r="X35" s="205">
        <f>CHOOSE($AA$1,AA35,AC35,AE35,AG35,AI35,AK35,AM35,AO35,AQ35,AS35,AU35,AW35,AY35,BA35,BC35,BE35,BG35,BI35,BK35,BM35,BO35,BQ35,BS35,BU35,BW35,BY35,CA35,CC35,CE35,CG35,CI35,CK35,CM35,CO35,CQ35,CS35,CU35)</f>
        <v>12.5</v>
      </c>
      <c r="Y35" s="18" t="s">
        <v>508</v>
      </c>
      <c r="Z35" s="244">
        <f>Z20/Z21</f>
        <v>17.142857142857142</v>
      </c>
      <c r="AA35" s="244">
        <f>AA20/AA21</f>
        <v>12</v>
      </c>
      <c r="AB35" s="244">
        <f>AB20/AB21</f>
        <v>23.999999999999996</v>
      </c>
      <c r="AC35" s="244">
        <f t="shared" ref="AC35:CN35" si="18">AC20/AC21</f>
        <v>20.588235294117645</v>
      </c>
      <c r="AD35" s="244">
        <f t="shared" si="18"/>
        <v>22</v>
      </c>
      <c r="AE35" s="244">
        <f t="shared" si="18"/>
        <v>9.0000000000000018</v>
      </c>
      <c r="AF35" s="244">
        <f t="shared" si="18"/>
        <v>18</v>
      </c>
      <c r="AG35" s="244">
        <f t="shared" si="18"/>
        <v>8.8000000000000007</v>
      </c>
      <c r="AH35" s="244">
        <f t="shared" si="18"/>
        <v>18.888888888888889</v>
      </c>
      <c r="AI35" s="244">
        <f t="shared" si="18"/>
        <v>15.714285714285714</v>
      </c>
      <c r="AJ35" s="244">
        <f t="shared" si="18"/>
        <v>18.333333333333336</v>
      </c>
      <c r="AK35" s="244">
        <f t="shared" si="18"/>
        <v>14.736842105263158</v>
      </c>
      <c r="AL35" s="244">
        <f t="shared" si="18"/>
        <v>18.333333333333332</v>
      </c>
      <c r="AM35" s="244">
        <f t="shared" si="18"/>
        <v>18.333333333333336</v>
      </c>
      <c r="AN35" s="244">
        <f t="shared" si="18"/>
        <v>15</v>
      </c>
      <c r="AO35" s="244">
        <f t="shared" si="18"/>
        <v>8.75</v>
      </c>
      <c r="AP35" s="244">
        <f t="shared" si="18"/>
        <v>12</v>
      </c>
      <c r="AQ35" s="244">
        <f t="shared" si="18"/>
        <v>11.111111111111111</v>
      </c>
      <c r="AR35" s="244">
        <f t="shared" si="18"/>
        <v>11.499999999999998</v>
      </c>
      <c r="AS35" s="244">
        <f t="shared" si="18"/>
        <v>11.129032258064516</v>
      </c>
      <c r="AT35" s="244">
        <f t="shared" si="18"/>
        <v>12</v>
      </c>
      <c r="AU35" s="244">
        <f t="shared" si="18"/>
        <v>8.75</v>
      </c>
      <c r="AV35" s="244">
        <f t="shared" si="18"/>
        <v>21.333333333333336</v>
      </c>
      <c r="AW35" s="244">
        <f t="shared" si="18"/>
        <v>15</v>
      </c>
      <c r="AX35" s="244">
        <f t="shared" si="18"/>
        <v>16</v>
      </c>
      <c r="AY35" s="244">
        <f t="shared" si="18"/>
        <v>11.499999999999998</v>
      </c>
      <c r="AZ35" s="244">
        <f t="shared" si="18"/>
        <v>16</v>
      </c>
      <c r="BA35" s="244">
        <f t="shared" si="18"/>
        <v>12.499999999999998</v>
      </c>
      <c r="BB35" s="244">
        <f t="shared" si="18"/>
        <v>15.714285714285714</v>
      </c>
      <c r="BC35" s="244">
        <f t="shared" si="18"/>
        <v>13.5</v>
      </c>
      <c r="BD35" s="244">
        <f t="shared" si="18"/>
        <v>10</v>
      </c>
      <c r="BE35" s="244">
        <f t="shared" si="18"/>
        <v>7.1428571428571432</v>
      </c>
      <c r="BF35" s="244">
        <f t="shared" si="18"/>
        <v>7.5</v>
      </c>
      <c r="BG35" s="244">
        <f t="shared" si="18"/>
        <v>6.25</v>
      </c>
      <c r="BH35" s="244">
        <f t="shared" si="18"/>
        <v>14.666666666666668</v>
      </c>
      <c r="BI35" s="244">
        <f t="shared" si="18"/>
        <v>9.0000000000000018</v>
      </c>
      <c r="BJ35" s="244">
        <f t="shared" si="18"/>
        <v>7.5</v>
      </c>
      <c r="BK35" s="244">
        <f t="shared" si="18"/>
        <v>6.25</v>
      </c>
      <c r="BL35" s="244">
        <f t="shared" si="18"/>
        <v>20</v>
      </c>
      <c r="BM35" s="244">
        <f t="shared" si="18"/>
        <v>15.555555555555555</v>
      </c>
      <c r="BN35" s="244">
        <f t="shared" si="18"/>
        <v>17</v>
      </c>
      <c r="BO35" s="244">
        <f t="shared" si="18"/>
        <v>7.0000000000000009</v>
      </c>
      <c r="BP35" s="244">
        <f t="shared" si="18"/>
        <v>4</v>
      </c>
      <c r="BQ35" s="244">
        <f t="shared" si="18"/>
        <v>2.666666666666667</v>
      </c>
      <c r="BR35" s="244">
        <f t="shared" si="18"/>
        <v>12</v>
      </c>
      <c r="BS35" s="244">
        <f t="shared" si="18"/>
        <v>12.5</v>
      </c>
      <c r="BT35" s="244">
        <f t="shared" si="18"/>
        <v>15.27777777777778</v>
      </c>
      <c r="BU35" s="244">
        <f t="shared" si="18"/>
        <v>15.416666666666668</v>
      </c>
      <c r="BV35" s="244">
        <f t="shared" si="18"/>
        <v>14.444444444444445</v>
      </c>
      <c r="BW35" s="244">
        <f t="shared" si="18"/>
        <v>9.25</v>
      </c>
      <c r="BX35" s="244">
        <f t="shared" si="18"/>
        <v>18.999999999999996</v>
      </c>
      <c r="BY35" s="244">
        <f t="shared" si="18"/>
        <v>9.0000000000000018</v>
      </c>
      <c r="BZ35" s="244">
        <f t="shared" si="18"/>
        <v>14</v>
      </c>
      <c r="CA35" s="244">
        <f t="shared" si="18"/>
        <v>13.75</v>
      </c>
      <c r="CB35" s="244">
        <f t="shared" si="18"/>
        <v>21.333333333333336</v>
      </c>
      <c r="CC35" s="244">
        <f t="shared" si="18"/>
        <v>15</v>
      </c>
      <c r="CD35" s="244">
        <f t="shared" si="18"/>
        <v>12</v>
      </c>
      <c r="CE35" s="244">
        <f t="shared" si="18"/>
        <v>12.5</v>
      </c>
      <c r="CF35" s="244">
        <f t="shared" si="18"/>
        <v>16</v>
      </c>
      <c r="CG35" s="244">
        <f t="shared" si="18"/>
        <v>10</v>
      </c>
      <c r="CH35" s="244">
        <f t="shared" si="18"/>
        <v>17.333333333333336</v>
      </c>
      <c r="CI35" s="244">
        <f t="shared" si="18"/>
        <v>12.499999999999998</v>
      </c>
      <c r="CJ35" s="244">
        <f t="shared" si="18"/>
        <v>20</v>
      </c>
      <c r="CK35" s="244">
        <f t="shared" si="18"/>
        <v>15.555555555555555</v>
      </c>
      <c r="CL35" s="244">
        <f t="shared" si="18"/>
        <v>7.3333333333333339</v>
      </c>
      <c r="CM35" s="244">
        <f t="shared" si="18"/>
        <v>6.666666666666667</v>
      </c>
      <c r="CN35" s="244">
        <f t="shared" si="18"/>
        <v>10</v>
      </c>
      <c r="CO35" s="244">
        <f t="shared" ref="CO35:CS35" si="19">CO20/CO21</f>
        <v>7.1428571428571432</v>
      </c>
      <c r="CP35" s="244">
        <f t="shared" si="19"/>
        <v>10</v>
      </c>
      <c r="CQ35" s="244">
        <f t="shared" si="19"/>
        <v>7.1428571428571432</v>
      </c>
      <c r="CR35" s="244">
        <v>9.98</v>
      </c>
      <c r="CS35" s="244">
        <f t="shared" si="19"/>
        <v>10</v>
      </c>
      <c r="CT35" s="244">
        <v>9.98</v>
      </c>
      <c r="CU35" s="244">
        <f t="shared" ref="CU35:CW35" si="20">CU20/CU21</f>
        <v>8.8888888888888893</v>
      </c>
      <c r="CV35" s="244">
        <v>9.98</v>
      </c>
      <c r="CW35" s="244">
        <f t="shared" si="20"/>
        <v>14.285714285714286</v>
      </c>
      <c r="CX35" s="244">
        <v>7</v>
      </c>
      <c r="CY35" s="244">
        <v>9.98</v>
      </c>
      <c r="CZ35" s="244">
        <v>9.98</v>
      </c>
      <c r="DA35" s="244">
        <f t="shared" ref="DA35:DC35" si="21">DA20/DA21</f>
        <v>8.3333333333333339</v>
      </c>
      <c r="DB35" s="244">
        <v>9.98</v>
      </c>
      <c r="DC35" s="244">
        <f t="shared" si="21"/>
        <v>6.25</v>
      </c>
    </row>
    <row r="36" spans="3:107">
      <c r="C36" s="231" t="s">
        <v>509</v>
      </c>
      <c r="D36" s="245"/>
      <c r="E36" s="246" t="s">
        <v>21</v>
      </c>
      <c r="F36" s="1089">
        <f>F20/F22</f>
        <v>2.037818181818182</v>
      </c>
      <c r="G36" s="1089"/>
      <c r="H36" s="247">
        <f>U36</f>
        <v>2.8571428571428572</v>
      </c>
      <c r="I36" s="211"/>
      <c r="J36" s="212" t="str">
        <f t="shared" ref="J36:J41" si="22">IF(((U36-F36)/(O36-N36))&gt;1.5,"I"&amp;REPT("I",20),IF(F36&lt;U36*0.89,"I"&amp;REPT("I",9*EXP(((U36-F36)/(O36-N36)))),IF(F36&lt;U36,"I"&amp;REPT("I",4.5*EXP(((U36-F36)/(O36-N36)))),IF(F36=U36,"I"&amp;"",""))))</f>
        <v>IIIIIIIIIIIIIIIIIIIII</v>
      </c>
      <c r="K36" s="213" t="str">
        <f t="shared" ref="K36:K41" si="23">IF(((F36-U36)/(O36-N36))&gt;1.5,REPT("I",30),IF(F36&gt;1.1*U36,REPT("I",9*EXP(((F36-U36)/(O36-N36)))),IF(F36&gt;U36,REPT("I",4.5*EXP(((F36-U36)/(O36-N36)))),IF(F36=U36,"I",""))))</f>
        <v/>
      </c>
      <c r="L36" s="214"/>
      <c r="M36" s="18" t="str">
        <f t="shared" si="14"/>
        <v>Faible</v>
      </c>
      <c r="N36" s="18">
        <f t="shared" ref="N36:N37" si="24">+MIN(R36:S36)</f>
        <v>2.7777777777777777</v>
      </c>
      <c r="O36" s="18">
        <f t="shared" si="15"/>
        <v>3</v>
      </c>
      <c r="P36" s="206">
        <f t="shared" ref="P36:P40" si="25">CHOOSE($AA$1,Z36,AB36,AD36,AF36,AH36,AJ36,AL36,AN36,AP36,AR36,AT36,AV36,AX36,AZ36,BB36,BD36,BF36,BH36,BJ36,BL36,BN36,BP36,BR36,BT36,BV36,BX36,BZ36,CB36,CD36,CF36,CH36,CJ36,CL36,CN36,CP36,CR36,CT36,CV36,CX36,CZ36,DB36)</f>
        <v>3</v>
      </c>
      <c r="Q36" s="206">
        <f t="shared" ref="Q36:Q40" si="26">CHOOSE($AA$1,AA36,AC36,AE36,AG36,AI36,AK36,AM36,AO36,AQ36,AS36,AU36,AW36,AY36,BA36,BC36,BE36,BG36,BI36,BK36,BM36,BO36,BQ36,BS36,BU36,BW36,BY36,CA36,CC36,CE36,CG36,CI36,CK36,CM36,CO36,CQ36,CS36,CU36,CW36,CY36,DA36,DC36)</f>
        <v>2.7777777777777777</v>
      </c>
      <c r="R36" s="206">
        <f t="shared" ref="R36:R41" si="27">CHOOSE($AA$1,Z36,AB36,AD36,AF36,AH36,AJ36,AL36,AN36,AP36,AR36,AT36,AV36,AX36,AZ36,BB36,BD36,BF36,BH36,BJ36,BL36,BN36,BP36,BR36,BT36,BV36,BX36,BZ36,CB36,CD36,CF36,CH36,CJ36,CL36,CN36,CP36,CR36,CT36,CV36,CX36,CZ36,DB36)</f>
        <v>3</v>
      </c>
      <c r="S36" s="206">
        <f t="shared" ref="S36:S41" si="28">CHOOSE($AA$1,AA36,AC36,AE36,AG36,AI36,AK36,AM36,AO36,AQ36,AS36,AU36,AW36,AY36,BA36,BC36,BE36,BG36,BI36,BK36,BM36,BO36,BQ36,BS36,BU36,BW36,BY36,CA36,CC36,CE36,CG36,CI36,CK36,CM36,CO36,CQ36,CS36,CU36,CW36,CY36,DA36,DC36)</f>
        <v>2.7777777777777777</v>
      </c>
      <c r="T36" s="206"/>
      <c r="U36" s="205">
        <f>U20/U22</f>
        <v>2.8571428571428572</v>
      </c>
      <c r="V36" s="206"/>
      <c r="W36" s="205">
        <f t="shared" ref="W36:X41" si="29">CHOOSE($AA$1,Z36,AB36,AD36,AF36,AH36,AJ36,AL36,AN36,AP36,AR36,AT36,AV36,AX36,AZ36,BB36,BD36,BF36,BH36,BJ36,BL36,BN36,BP36,BR36,BT36,BV36,BX36,BZ36,CB36,CD36,CF36,CH36,CJ36,CL36,CN36,CP36,CR36,CT36)</f>
        <v>3</v>
      </c>
      <c r="X36" s="205">
        <f t="shared" si="29"/>
        <v>2.7777777777777777</v>
      </c>
      <c r="Y36" s="18" t="s">
        <v>509</v>
      </c>
      <c r="Z36" s="244">
        <f>Z20/Z22</f>
        <v>1.2</v>
      </c>
      <c r="AA36" s="244">
        <f>AA20/AA22</f>
        <v>0.8571428571428571</v>
      </c>
      <c r="AB36" s="244">
        <f>AB20/AB22</f>
        <v>3.4285714285714288</v>
      </c>
      <c r="AC36" s="244">
        <f t="shared" ref="AC36:CN36" si="30">AC20/AC22</f>
        <v>2.1875</v>
      </c>
      <c r="AD36" s="244">
        <f t="shared" si="30"/>
        <v>1.5714285714285716</v>
      </c>
      <c r="AE36" s="244">
        <f t="shared" si="30"/>
        <v>1.35</v>
      </c>
      <c r="AF36" s="244">
        <f t="shared" si="30"/>
        <v>2.4</v>
      </c>
      <c r="AG36" s="244">
        <f t="shared" si="30"/>
        <v>1.1000000000000001</v>
      </c>
      <c r="AH36" s="244">
        <f t="shared" si="30"/>
        <v>1.7</v>
      </c>
      <c r="AI36" s="244">
        <f t="shared" si="30"/>
        <v>1.375</v>
      </c>
      <c r="AJ36" s="244">
        <f t="shared" si="30"/>
        <v>2.2000000000000002</v>
      </c>
      <c r="AK36" s="244">
        <f t="shared" si="30"/>
        <v>1.5555555555555554</v>
      </c>
      <c r="AL36" s="244">
        <f t="shared" si="30"/>
        <v>1.964285714285714</v>
      </c>
      <c r="AM36" s="244">
        <f t="shared" si="30"/>
        <v>1.9642857142857142</v>
      </c>
      <c r="AN36" s="244">
        <f t="shared" si="30"/>
        <v>2</v>
      </c>
      <c r="AO36" s="244">
        <f t="shared" si="30"/>
        <v>1.4</v>
      </c>
      <c r="AP36" s="244">
        <f t="shared" si="30"/>
        <v>1.5</v>
      </c>
      <c r="AQ36" s="244">
        <f t="shared" si="30"/>
        <v>1.6666666666666667</v>
      </c>
      <c r="AR36" s="244">
        <f t="shared" si="30"/>
        <v>1.2234042553191489</v>
      </c>
      <c r="AS36" s="244">
        <f t="shared" si="30"/>
        <v>1.2190812720848057</v>
      </c>
      <c r="AT36" s="244">
        <f t="shared" si="30"/>
        <v>1.2</v>
      </c>
      <c r="AU36" s="244">
        <f t="shared" si="30"/>
        <v>1</v>
      </c>
      <c r="AV36" s="244">
        <f t="shared" si="30"/>
        <v>1.6</v>
      </c>
      <c r="AW36" s="244">
        <f t="shared" si="30"/>
        <v>1.4000000000000001</v>
      </c>
      <c r="AX36" s="244">
        <f t="shared" si="30"/>
        <v>2</v>
      </c>
      <c r="AY36" s="244">
        <f t="shared" si="30"/>
        <v>1.5333333333333332</v>
      </c>
      <c r="AZ36" s="244">
        <f t="shared" si="30"/>
        <v>1.4999999999999998</v>
      </c>
      <c r="BA36" s="244">
        <f t="shared" si="30"/>
        <v>1</v>
      </c>
      <c r="BB36" s="244">
        <f t="shared" si="30"/>
        <v>1.8333333333333335</v>
      </c>
      <c r="BC36" s="244">
        <f t="shared" si="30"/>
        <v>1.35</v>
      </c>
      <c r="BD36" s="244">
        <f t="shared" si="30"/>
        <v>1.2</v>
      </c>
      <c r="BE36" s="244">
        <f t="shared" si="30"/>
        <v>1</v>
      </c>
      <c r="BF36" s="244">
        <f t="shared" si="30"/>
        <v>1.5</v>
      </c>
      <c r="BG36" s="244">
        <f t="shared" si="30"/>
        <v>0.83333333333333337</v>
      </c>
      <c r="BH36" s="244">
        <f t="shared" si="30"/>
        <v>1.8333333333333335</v>
      </c>
      <c r="BI36" s="244">
        <f t="shared" si="30"/>
        <v>1.35</v>
      </c>
      <c r="BJ36" s="244">
        <f t="shared" si="30"/>
        <v>1</v>
      </c>
      <c r="BK36" s="244">
        <f t="shared" si="30"/>
        <v>0.83333333333333337</v>
      </c>
      <c r="BL36" s="244">
        <f t="shared" si="30"/>
        <v>3.4285714285714288</v>
      </c>
      <c r="BM36" s="244">
        <f t="shared" si="30"/>
        <v>2.545454545454545</v>
      </c>
      <c r="BN36" s="244">
        <f t="shared" si="30"/>
        <v>4.25</v>
      </c>
      <c r="BO36" s="244">
        <f t="shared" si="30"/>
        <v>3.2307692307692308</v>
      </c>
      <c r="BP36" s="244">
        <f t="shared" si="30"/>
        <v>0.26666666666666666</v>
      </c>
      <c r="BQ36" s="244">
        <f t="shared" si="30"/>
        <v>0.32</v>
      </c>
      <c r="BR36" s="244">
        <f t="shared" si="30"/>
        <v>3</v>
      </c>
      <c r="BS36" s="244">
        <f t="shared" si="30"/>
        <v>2.7777777777777777</v>
      </c>
      <c r="BT36" s="244">
        <f t="shared" si="30"/>
        <v>1.3414634146341464</v>
      </c>
      <c r="BU36" s="244">
        <f t="shared" si="30"/>
        <v>1.3536585365853659</v>
      </c>
      <c r="BV36" s="244">
        <f t="shared" si="30"/>
        <v>0.74285714285714288</v>
      </c>
      <c r="BW36" s="244">
        <f t="shared" si="30"/>
        <v>0.68518518518518512</v>
      </c>
      <c r="BX36" s="244">
        <f t="shared" si="30"/>
        <v>3.8</v>
      </c>
      <c r="BY36" s="244">
        <f t="shared" si="30"/>
        <v>3.375</v>
      </c>
      <c r="BZ36" s="244">
        <f t="shared" si="30"/>
        <v>1.8421052631578949</v>
      </c>
      <c r="CA36" s="244">
        <f t="shared" si="30"/>
        <v>1.375</v>
      </c>
      <c r="CB36" s="244">
        <f t="shared" si="30"/>
        <v>1.6</v>
      </c>
      <c r="CC36" s="244">
        <f t="shared" si="30"/>
        <v>1.4000000000000001</v>
      </c>
      <c r="CD36" s="244">
        <f t="shared" si="30"/>
        <v>3</v>
      </c>
      <c r="CE36" s="244">
        <f t="shared" si="30"/>
        <v>2.7777777777777777</v>
      </c>
      <c r="CF36" s="244">
        <f t="shared" si="30"/>
        <v>1.3333333333333333</v>
      </c>
      <c r="CG36" s="244">
        <f t="shared" si="30"/>
        <v>1</v>
      </c>
      <c r="CH36" s="244">
        <f t="shared" si="30"/>
        <v>1.625</v>
      </c>
      <c r="CI36" s="244">
        <f t="shared" si="30"/>
        <v>1.1666666666666667</v>
      </c>
      <c r="CJ36" s="244">
        <f t="shared" si="30"/>
        <v>3.4285714285714288</v>
      </c>
      <c r="CK36" s="244">
        <f t="shared" si="30"/>
        <v>2.545454545454545</v>
      </c>
      <c r="CL36" s="244">
        <f t="shared" si="30"/>
        <v>1.4666666666666668</v>
      </c>
      <c r="CM36" s="244">
        <f t="shared" si="30"/>
        <v>1.3333333333333333</v>
      </c>
      <c r="CN36" s="244">
        <f t="shared" si="30"/>
        <v>1</v>
      </c>
      <c r="CO36" s="244">
        <f t="shared" ref="CO36:CW36" si="31">CO20/CO22</f>
        <v>0.83333333333333337</v>
      </c>
      <c r="CP36" s="244">
        <f t="shared" si="31"/>
        <v>1.2</v>
      </c>
      <c r="CQ36" s="244">
        <f t="shared" si="31"/>
        <v>1.25</v>
      </c>
      <c r="CR36" s="244">
        <f t="shared" si="31"/>
        <v>1</v>
      </c>
      <c r="CS36" s="244">
        <f t="shared" si="31"/>
        <v>1.25</v>
      </c>
      <c r="CT36" s="244">
        <f t="shared" si="31"/>
        <v>7.3913043478260878</v>
      </c>
      <c r="CU36" s="244">
        <f t="shared" si="31"/>
        <v>7.8195488721804507</v>
      </c>
      <c r="CV36" s="244">
        <f t="shared" si="31"/>
        <v>2.3333333333333335</v>
      </c>
      <c r="CW36" s="244">
        <f t="shared" si="31"/>
        <v>1.25</v>
      </c>
      <c r="CX36" s="244">
        <v>3.23</v>
      </c>
      <c r="CY36" s="244">
        <v>4.25</v>
      </c>
      <c r="CZ36" s="244">
        <f t="shared" ref="CZ36:DA36" si="32">CZ20/CZ22</f>
        <v>1.5625</v>
      </c>
      <c r="DA36" s="244">
        <f t="shared" si="32"/>
        <v>1.6666666666666667</v>
      </c>
      <c r="DB36" s="244">
        <f t="shared" ref="DB36:DC36" si="33">DB20/DB22</f>
        <v>3</v>
      </c>
      <c r="DC36" s="244">
        <f t="shared" si="33"/>
        <v>2.5</v>
      </c>
    </row>
    <row r="37" spans="3:107">
      <c r="C37" s="231" t="s">
        <v>510</v>
      </c>
      <c r="D37" s="245"/>
      <c r="E37" s="246" t="s">
        <v>21</v>
      </c>
      <c r="F37" s="1089">
        <f>F20/F24</f>
        <v>1.9019636363636367</v>
      </c>
      <c r="G37" s="1089"/>
      <c r="H37" s="247">
        <f t="shared" ref="H37:H40" si="34">U37</f>
        <v>2</v>
      </c>
      <c r="I37" s="211"/>
      <c r="J37" s="212" t="str">
        <f t="shared" si="22"/>
        <v>IIIIII</v>
      </c>
      <c r="K37" s="213" t="str">
        <f t="shared" si="23"/>
        <v/>
      </c>
      <c r="L37" s="214"/>
      <c r="M37" s="18" t="str">
        <f t="shared" si="14"/>
        <v>Elevé</v>
      </c>
      <c r="N37" s="18">
        <f t="shared" si="24"/>
        <v>1.7857142857142858</v>
      </c>
      <c r="O37" s="18">
        <f t="shared" si="15"/>
        <v>2.5</v>
      </c>
      <c r="P37" s="206">
        <f t="shared" si="25"/>
        <v>2.5</v>
      </c>
      <c r="Q37" s="206">
        <f t="shared" si="26"/>
        <v>1.7857142857142858</v>
      </c>
      <c r="R37" s="206">
        <f t="shared" si="27"/>
        <v>2.5</v>
      </c>
      <c r="S37" s="206">
        <f t="shared" si="28"/>
        <v>1.7857142857142858</v>
      </c>
      <c r="T37" s="206"/>
      <c r="U37" s="205">
        <f>U20/U24</f>
        <v>2</v>
      </c>
      <c r="V37" s="206"/>
      <c r="W37" s="205">
        <f t="shared" si="29"/>
        <v>2.5</v>
      </c>
      <c r="X37" s="205">
        <f t="shared" si="29"/>
        <v>1.7857142857142858</v>
      </c>
      <c r="Y37" s="18" t="s">
        <v>510</v>
      </c>
      <c r="Z37" s="244">
        <f>+Z20/Z24</f>
        <v>1.411764705882353</v>
      </c>
      <c r="AA37" s="244">
        <f>+AA20/AA24</f>
        <v>1</v>
      </c>
      <c r="AB37" s="244">
        <f>+AB20/AB24</f>
        <v>1.2</v>
      </c>
      <c r="AC37" s="244">
        <f t="shared" ref="AC37:CN37" si="35">+AC20/AC24</f>
        <v>0.7</v>
      </c>
      <c r="AD37" s="244">
        <f t="shared" si="35"/>
        <v>1.1000000000000001</v>
      </c>
      <c r="AE37" s="244">
        <f t="shared" si="35"/>
        <v>0.67500000000000004</v>
      </c>
      <c r="AF37" s="244">
        <f t="shared" si="35"/>
        <v>1.8</v>
      </c>
      <c r="AG37" s="244">
        <f t="shared" si="35"/>
        <v>0.73333333333333339</v>
      </c>
      <c r="AH37" s="244">
        <f t="shared" si="35"/>
        <v>2.125</v>
      </c>
      <c r="AI37" s="244">
        <f t="shared" si="35"/>
        <v>1.5714285714285716</v>
      </c>
      <c r="AJ37" s="244">
        <f t="shared" si="35"/>
        <v>0.73333333333333339</v>
      </c>
      <c r="AK37" s="244">
        <f t="shared" si="35"/>
        <v>0.46666666666666662</v>
      </c>
      <c r="AL37" s="244">
        <f t="shared" si="35"/>
        <v>0.6875</v>
      </c>
      <c r="AM37" s="244">
        <f t="shared" si="35"/>
        <v>0.68750000000000011</v>
      </c>
      <c r="AN37" s="244">
        <f t="shared" si="35"/>
        <v>7.5</v>
      </c>
      <c r="AO37" s="244">
        <f t="shared" si="35"/>
        <v>2.3333333333333335</v>
      </c>
      <c r="AP37" s="244">
        <f t="shared" si="35"/>
        <v>3.75</v>
      </c>
      <c r="AQ37" s="244">
        <f t="shared" si="35"/>
        <v>2.5</v>
      </c>
      <c r="AR37" s="244">
        <f t="shared" si="35"/>
        <v>1.1734693877551019</v>
      </c>
      <c r="AS37" s="244">
        <f t="shared" si="35"/>
        <v>1.1734693877551021</v>
      </c>
      <c r="AT37" s="244">
        <f t="shared" si="35"/>
        <v>20</v>
      </c>
      <c r="AU37" s="244">
        <f t="shared" si="35"/>
        <v>7</v>
      </c>
      <c r="AV37" s="244">
        <f t="shared" si="35"/>
        <v>2.1333333333333333</v>
      </c>
      <c r="AW37" s="244">
        <f t="shared" si="35"/>
        <v>1.5555555555555556</v>
      </c>
      <c r="AX37" s="244">
        <f t="shared" si="35"/>
        <v>1.6</v>
      </c>
      <c r="AY37" s="244">
        <f t="shared" si="35"/>
        <v>0.91999999999999993</v>
      </c>
      <c r="AZ37" s="244">
        <f t="shared" si="35"/>
        <v>1.5999999999999999</v>
      </c>
      <c r="BA37" s="244">
        <f t="shared" si="35"/>
        <v>1.1666666666666667</v>
      </c>
      <c r="BB37" s="244">
        <f t="shared" si="35"/>
        <v>1.8333333333333335</v>
      </c>
      <c r="BC37" s="244">
        <f t="shared" si="35"/>
        <v>1.35</v>
      </c>
      <c r="BD37" s="244">
        <f t="shared" si="35"/>
        <v>3</v>
      </c>
      <c r="BE37" s="244">
        <f t="shared" si="35"/>
        <v>2</v>
      </c>
      <c r="BF37" s="244">
        <f t="shared" si="35"/>
        <v>1</v>
      </c>
      <c r="BG37" s="244">
        <f t="shared" si="35"/>
        <v>0.83333333333333337</v>
      </c>
      <c r="BH37" s="244">
        <f t="shared" si="35"/>
        <v>1.8333333333333335</v>
      </c>
      <c r="BI37" s="244">
        <f t="shared" si="35"/>
        <v>1.35</v>
      </c>
      <c r="BJ37" s="244">
        <f t="shared" si="35"/>
        <v>1.5</v>
      </c>
      <c r="BK37" s="244">
        <f t="shared" si="35"/>
        <v>1.25</v>
      </c>
      <c r="BL37" s="244">
        <f t="shared" si="35"/>
        <v>0.79999999999999993</v>
      </c>
      <c r="BM37" s="244">
        <f t="shared" si="35"/>
        <v>0.46666666666666662</v>
      </c>
      <c r="BN37" s="244">
        <f t="shared" si="35"/>
        <v>4.25</v>
      </c>
      <c r="BO37" s="244">
        <f t="shared" si="35"/>
        <v>2.625</v>
      </c>
      <c r="BP37" s="244">
        <f t="shared" si="35"/>
        <v>0.4</v>
      </c>
      <c r="BQ37" s="244">
        <f t="shared" si="35"/>
        <v>0.26666666666666666</v>
      </c>
      <c r="BR37" s="244">
        <f t="shared" si="35"/>
        <v>2.5</v>
      </c>
      <c r="BS37" s="244">
        <f t="shared" si="35"/>
        <v>1.7857142857142858</v>
      </c>
      <c r="BT37" s="244">
        <f t="shared" si="35"/>
        <v>0.9649122807017545</v>
      </c>
      <c r="BU37" s="244">
        <f t="shared" si="35"/>
        <v>0.9514285714285714</v>
      </c>
      <c r="BV37" s="244">
        <f t="shared" si="35"/>
        <v>6.5</v>
      </c>
      <c r="BW37" s="244">
        <f t="shared" si="35"/>
        <v>3.0833333333333335</v>
      </c>
      <c r="BX37" s="244">
        <f t="shared" si="35"/>
        <v>3.1666666666666665</v>
      </c>
      <c r="BY37" s="244">
        <f t="shared" si="35"/>
        <v>2.2500000000000004</v>
      </c>
      <c r="BZ37" s="244">
        <f t="shared" si="35"/>
        <v>1.9444444444444444</v>
      </c>
      <c r="CA37" s="244">
        <f t="shared" si="35"/>
        <v>1.375</v>
      </c>
      <c r="CB37" s="244">
        <f t="shared" si="35"/>
        <v>2.1333333333333333</v>
      </c>
      <c r="CC37" s="244">
        <f t="shared" si="35"/>
        <v>1.5555555555555556</v>
      </c>
      <c r="CD37" s="244">
        <f t="shared" si="35"/>
        <v>2.5</v>
      </c>
      <c r="CE37" s="244">
        <f t="shared" si="35"/>
        <v>1.7857142857142858</v>
      </c>
      <c r="CF37" s="244">
        <f t="shared" si="35"/>
        <v>20</v>
      </c>
      <c r="CG37" s="244">
        <f t="shared" si="35"/>
        <v>5</v>
      </c>
      <c r="CH37" s="244">
        <f t="shared" si="35"/>
        <v>1.7333333333333334</v>
      </c>
      <c r="CI37" s="244">
        <f t="shared" si="35"/>
        <v>1.2962962962962963</v>
      </c>
      <c r="CJ37" s="244">
        <f t="shared" si="35"/>
        <v>0.79999999999999993</v>
      </c>
      <c r="CK37" s="244">
        <f t="shared" si="35"/>
        <v>0.46666666666666662</v>
      </c>
      <c r="CL37" s="244">
        <f t="shared" si="35"/>
        <v>3.666666666666667</v>
      </c>
      <c r="CM37" s="244">
        <f t="shared" si="35"/>
        <v>1.6</v>
      </c>
      <c r="CN37" s="244">
        <f t="shared" si="35"/>
        <v>3</v>
      </c>
      <c r="CO37" s="244">
        <f t="shared" ref="CO37:CW37" si="36">+CO20/CO24</f>
        <v>2</v>
      </c>
      <c r="CP37" s="244">
        <f t="shared" si="36"/>
        <v>1.5</v>
      </c>
      <c r="CQ37" s="244">
        <f t="shared" si="36"/>
        <v>1</v>
      </c>
      <c r="CR37" s="244">
        <f t="shared" si="36"/>
        <v>5</v>
      </c>
      <c r="CS37" s="244">
        <f t="shared" si="36"/>
        <v>4.166666666666667</v>
      </c>
      <c r="CT37" s="244">
        <f t="shared" si="36"/>
        <v>2.741935483870968</v>
      </c>
      <c r="CU37" s="244">
        <f t="shared" si="36"/>
        <v>2.08</v>
      </c>
      <c r="CV37" s="244">
        <f t="shared" si="36"/>
        <v>3.5</v>
      </c>
      <c r="CW37" s="244">
        <f t="shared" si="36"/>
        <v>2</v>
      </c>
      <c r="CX37" s="244">
        <v>2.63</v>
      </c>
      <c r="CY37" s="244">
        <v>4.25</v>
      </c>
      <c r="CZ37" s="244">
        <f t="shared" ref="CZ37:DA37" si="37">+CZ20/CZ24</f>
        <v>1.9230769230769229</v>
      </c>
      <c r="DA37" s="244">
        <f t="shared" si="37"/>
        <v>1.4285714285714286</v>
      </c>
      <c r="DB37" s="244">
        <f t="shared" ref="DB37:DC37" si="38">+DB20/DB24</f>
        <v>2.25</v>
      </c>
      <c r="DC37" s="244">
        <f t="shared" si="38"/>
        <v>2.0833333333333335</v>
      </c>
    </row>
    <row r="38" spans="3:107">
      <c r="C38" s="231" t="s">
        <v>511</v>
      </c>
      <c r="D38" s="248"/>
      <c r="E38" s="246" t="s">
        <v>21</v>
      </c>
      <c r="F38" s="1089">
        <f>F24/F21</f>
        <v>5.5</v>
      </c>
      <c r="G38" s="1089"/>
      <c r="H38" s="247">
        <f>U38</f>
        <v>6.1538461538461533</v>
      </c>
      <c r="I38" s="211"/>
      <c r="J38" s="212" t="str">
        <f t="shared" si="22"/>
        <v>IIIIIII</v>
      </c>
      <c r="K38" s="213" t="str">
        <f t="shared" si="23"/>
        <v/>
      </c>
      <c r="L38" s="214"/>
      <c r="M38" s="18" t="str">
        <f>IF(F38&gt;Q38,"Elevé",IF(F38&lt;P38,"Faible","correct"))</f>
        <v>correct</v>
      </c>
      <c r="N38" s="18">
        <f>+MIN(R38:S38)</f>
        <v>4.8</v>
      </c>
      <c r="O38" s="18">
        <f t="shared" si="15"/>
        <v>6.9999999999999991</v>
      </c>
      <c r="P38" s="206">
        <f t="shared" si="25"/>
        <v>4.8</v>
      </c>
      <c r="Q38" s="206">
        <f t="shared" si="26"/>
        <v>6.9999999999999991</v>
      </c>
      <c r="R38" s="206">
        <f t="shared" si="27"/>
        <v>4.8</v>
      </c>
      <c r="S38" s="206">
        <f t="shared" si="28"/>
        <v>6.9999999999999991</v>
      </c>
      <c r="T38" s="206"/>
      <c r="U38" s="205">
        <f>U24/U21</f>
        <v>6.1538461538461533</v>
      </c>
      <c r="V38" s="206"/>
      <c r="W38" s="205">
        <f t="shared" si="29"/>
        <v>4.8</v>
      </c>
      <c r="X38" s="205">
        <f t="shared" si="29"/>
        <v>6.9999999999999991</v>
      </c>
      <c r="Y38" s="18" t="s">
        <v>511</v>
      </c>
      <c r="Z38" s="244">
        <f>Z24/Z21</f>
        <v>12.142857142857141</v>
      </c>
      <c r="AA38" s="244">
        <f>AA24/AA21</f>
        <v>12</v>
      </c>
      <c r="AB38" s="244">
        <f>AB24/AB21</f>
        <v>20</v>
      </c>
      <c r="AC38" s="244">
        <f t="shared" ref="AC38:CN38" si="39">AC24/AC21</f>
        <v>29.411764705882351</v>
      </c>
      <c r="AD38" s="244">
        <f t="shared" si="39"/>
        <v>20</v>
      </c>
      <c r="AE38" s="244">
        <f t="shared" si="39"/>
        <v>13.333333333333334</v>
      </c>
      <c r="AF38" s="244">
        <f t="shared" si="39"/>
        <v>10</v>
      </c>
      <c r="AG38" s="244">
        <f t="shared" si="39"/>
        <v>12</v>
      </c>
      <c r="AH38" s="244">
        <f t="shared" si="39"/>
        <v>8.8888888888888893</v>
      </c>
      <c r="AI38" s="244">
        <f t="shared" si="39"/>
        <v>9.9999999999999982</v>
      </c>
      <c r="AJ38" s="244">
        <f t="shared" si="39"/>
        <v>25</v>
      </c>
      <c r="AK38" s="244">
        <f t="shared" si="39"/>
        <v>31.578947368421051</v>
      </c>
      <c r="AL38" s="244">
        <f t="shared" si="39"/>
        <v>26.666666666666668</v>
      </c>
      <c r="AM38" s="244">
        <f t="shared" si="39"/>
        <v>26.666666666666668</v>
      </c>
      <c r="AN38" s="244">
        <f t="shared" si="39"/>
        <v>2</v>
      </c>
      <c r="AO38" s="244">
        <f t="shared" si="39"/>
        <v>3.75</v>
      </c>
      <c r="AP38" s="244">
        <f t="shared" si="39"/>
        <v>3.2</v>
      </c>
      <c r="AQ38" s="244">
        <f t="shared" si="39"/>
        <v>4.4444444444444446</v>
      </c>
      <c r="AR38" s="244">
        <f t="shared" si="39"/>
        <v>9.7999999999999989</v>
      </c>
      <c r="AS38" s="244">
        <f t="shared" si="39"/>
        <v>9.4838709677419359</v>
      </c>
      <c r="AT38" s="244">
        <f t="shared" si="39"/>
        <v>0.6</v>
      </c>
      <c r="AU38" s="244">
        <f t="shared" si="39"/>
        <v>1.25</v>
      </c>
      <c r="AV38" s="244">
        <f t="shared" si="39"/>
        <v>10</v>
      </c>
      <c r="AW38" s="244">
        <f t="shared" si="39"/>
        <v>9.6428571428571423</v>
      </c>
      <c r="AX38" s="244">
        <f t="shared" si="39"/>
        <v>10</v>
      </c>
      <c r="AY38" s="244">
        <f t="shared" si="39"/>
        <v>12.5</v>
      </c>
      <c r="AZ38" s="244">
        <f t="shared" si="39"/>
        <v>10</v>
      </c>
      <c r="BA38" s="244">
        <f t="shared" si="39"/>
        <v>10.714285714285714</v>
      </c>
      <c r="BB38" s="244">
        <f t="shared" si="39"/>
        <v>8.5714285714285712</v>
      </c>
      <c r="BC38" s="244">
        <f t="shared" si="39"/>
        <v>10</v>
      </c>
      <c r="BD38" s="244">
        <f t="shared" si="39"/>
        <v>3.3333333333333335</v>
      </c>
      <c r="BE38" s="244">
        <f t="shared" si="39"/>
        <v>3.5714285714285716</v>
      </c>
      <c r="BF38" s="244">
        <v>6.55</v>
      </c>
      <c r="BG38" s="244">
        <f t="shared" si="39"/>
        <v>7.5</v>
      </c>
      <c r="BH38" s="244">
        <f t="shared" si="39"/>
        <v>8</v>
      </c>
      <c r="BI38" s="244">
        <f t="shared" si="39"/>
        <v>6.666666666666667</v>
      </c>
      <c r="BJ38" s="244">
        <v>4.9000000000000004</v>
      </c>
      <c r="BK38" s="244">
        <f t="shared" si="39"/>
        <v>5</v>
      </c>
      <c r="BL38" s="244">
        <f t="shared" si="39"/>
        <v>25</v>
      </c>
      <c r="BM38" s="244">
        <f t="shared" si="39"/>
        <v>33.333333333333336</v>
      </c>
      <c r="BN38" s="244">
        <f t="shared" si="39"/>
        <v>4</v>
      </c>
      <c r="BO38" s="244">
        <f t="shared" si="39"/>
        <v>2.666666666666667</v>
      </c>
      <c r="BP38" s="244">
        <f t="shared" si="39"/>
        <v>10</v>
      </c>
      <c r="BQ38" s="244">
        <f t="shared" si="39"/>
        <v>10</v>
      </c>
      <c r="BR38" s="244">
        <f t="shared" si="39"/>
        <v>4.8</v>
      </c>
      <c r="BS38" s="244">
        <f t="shared" si="39"/>
        <v>6.9999999999999991</v>
      </c>
      <c r="BT38" s="244">
        <f t="shared" si="39"/>
        <v>15.833333333333334</v>
      </c>
      <c r="BU38" s="244">
        <f t="shared" si="39"/>
        <v>16.203703703703702</v>
      </c>
      <c r="BV38" s="244">
        <f t="shared" si="39"/>
        <v>2.2222222222222223</v>
      </c>
      <c r="BW38" s="244">
        <f t="shared" si="39"/>
        <v>2.9999999999999996</v>
      </c>
      <c r="BX38" s="244">
        <f t="shared" si="39"/>
        <v>5.9999999999999991</v>
      </c>
      <c r="BY38" s="244">
        <f t="shared" si="39"/>
        <v>4</v>
      </c>
      <c r="BZ38" s="244">
        <f t="shared" si="39"/>
        <v>7.2</v>
      </c>
      <c r="CA38" s="244">
        <f t="shared" si="39"/>
        <v>10</v>
      </c>
      <c r="CB38" s="244">
        <f t="shared" si="39"/>
        <v>10</v>
      </c>
      <c r="CC38" s="244">
        <f t="shared" si="39"/>
        <v>9.6428571428571423</v>
      </c>
      <c r="CD38" s="244">
        <f t="shared" si="39"/>
        <v>4.8</v>
      </c>
      <c r="CE38" s="244">
        <f t="shared" si="39"/>
        <v>6.9999999999999991</v>
      </c>
      <c r="CF38" s="244">
        <f t="shared" si="39"/>
        <v>0.8</v>
      </c>
      <c r="CG38" s="244">
        <f t="shared" si="39"/>
        <v>2</v>
      </c>
      <c r="CH38" s="244">
        <f t="shared" si="39"/>
        <v>10</v>
      </c>
      <c r="CI38" s="244">
        <f t="shared" si="39"/>
        <v>9.6428571428571423</v>
      </c>
      <c r="CJ38" s="244">
        <f t="shared" si="39"/>
        <v>25</v>
      </c>
      <c r="CK38" s="244">
        <f t="shared" si="39"/>
        <v>33.333333333333336</v>
      </c>
      <c r="CL38" s="244">
        <f t="shared" si="39"/>
        <v>2</v>
      </c>
      <c r="CM38" s="244">
        <f t="shared" si="39"/>
        <v>4.166666666666667</v>
      </c>
      <c r="CN38" s="244">
        <f t="shared" si="39"/>
        <v>3.3333333333333335</v>
      </c>
      <c r="CO38" s="244">
        <f t="shared" ref="CO38:CS38" si="40">CO24/CO21</f>
        <v>3.5714285714285716</v>
      </c>
      <c r="CP38" s="244">
        <f t="shared" si="40"/>
        <v>6.666666666666667</v>
      </c>
      <c r="CQ38" s="244">
        <f t="shared" si="40"/>
        <v>7.1428571428571432</v>
      </c>
      <c r="CR38" s="244">
        <f t="shared" si="40"/>
        <v>2</v>
      </c>
      <c r="CS38" s="244">
        <f t="shared" si="40"/>
        <v>2.4</v>
      </c>
      <c r="CT38" s="244">
        <f>CT24/CT21</f>
        <v>3.1794871794871793</v>
      </c>
      <c r="CU38" s="244">
        <f t="shared" ref="CU38:CW38" si="41">CU24/CU21</f>
        <v>4.2735042735042734</v>
      </c>
      <c r="CV38" s="244">
        <f>CV24/CV21</f>
        <v>4</v>
      </c>
      <c r="CW38" s="244">
        <f t="shared" si="41"/>
        <v>7.1428571428571432</v>
      </c>
      <c r="CX38" s="244">
        <v>2.67</v>
      </c>
      <c r="CY38" s="244">
        <v>4</v>
      </c>
      <c r="CZ38" s="244">
        <f>CZ24/CZ21</f>
        <v>4.3333333333333339</v>
      </c>
      <c r="DA38" s="244">
        <f t="shared" ref="DA38:DC38" si="42">DA24/DA21</f>
        <v>5.8333333333333339</v>
      </c>
      <c r="DB38" s="244">
        <f>DB24/DB21</f>
        <v>2.666666666666667</v>
      </c>
      <c r="DC38" s="244">
        <f t="shared" si="42"/>
        <v>2.9999999999999996</v>
      </c>
    </row>
    <row r="39" spans="3:107" ht="17.100000000000001" customHeight="1">
      <c r="C39" s="231" t="s">
        <v>512</v>
      </c>
      <c r="D39" s="248"/>
      <c r="E39" s="246" t="s">
        <v>21</v>
      </c>
      <c r="F39" s="1089">
        <f>F22/F23</f>
        <v>4.8125</v>
      </c>
      <c r="G39" s="1089"/>
      <c r="H39" s="247">
        <f t="shared" si="34"/>
        <v>3.1111111111111112</v>
      </c>
      <c r="I39" s="211"/>
      <c r="J39" s="212" t="str">
        <f t="shared" si="22"/>
        <v/>
      </c>
      <c r="K39" s="213" t="str">
        <f t="shared" si="23"/>
        <v>IIIIIIIIIIIIIIIIIIIIIIIIIIIIII</v>
      </c>
      <c r="L39" s="214"/>
      <c r="M39" s="18" t="str">
        <f t="shared" si="14"/>
        <v>Elevé</v>
      </c>
      <c r="N39" s="18">
        <f t="shared" ref="N39:N41" si="43">+MIN(R39:S39)</f>
        <v>3</v>
      </c>
      <c r="O39" s="18">
        <f t="shared" si="15"/>
        <v>3.3333333333333335</v>
      </c>
      <c r="P39" s="206">
        <f t="shared" si="25"/>
        <v>3.3333333333333335</v>
      </c>
      <c r="Q39" s="206">
        <f t="shared" si="26"/>
        <v>3</v>
      </c>
      <c r="R39" s="206">
        <f t="shared" si="27"/>
        <v>3.3333333333333335</v>
      </c>
      <c r="S39" s="206">
        <f t="shared" si="28"/>
        <v>3</v>
      </c>
      <c r="T39" s="206"/>
      <c r="U39" s="205">
        <f>U22/U23</f>
        <v>3.1111111111111112</v>
      </c>
      <c r="V39" s="206"/>
      <c r="W39" s="205">
        <f t="shared" si="29"/>
        <v>3.3333333333333335</v>
      </c>
      <c r="X39" s="205">
        <f t="shared" si="29"/>
        <v>3</v>
      </c>
      <c r="Y39" s="18" t="s">
        <v>512</v>
      </c>
      <c r="Z39" s="244">
        <f>Z22/Z23</f>
        <v>6.666666666666667</v>
      </c>
      <c r="AA39" s="244">
        <f>AA22/AA23</f>
        <v>4.375</v>
      </c>
      <c r="AB39" s="244">
        <f>AB22/AB23</f>
        <v>2.3333333333333335</v>
      </c>
      <c r="AC39" s="244">
        <f t="shared" ref="AC39:CN39" si="44">AC22/AC23</f>
        <v>3.2</v>
      </c>
      <c r="AD39" s="244">
        <f t="shared" si="44"/>
        <v>5.6</v>
      </c>
      <c r="AE39" s="244">
        <f t="shared" si="44"/>
        <v>4</v>
      </c>
      <c r="AF39" s="244">
        <f t="shared" si="44"/>
        <v>3</v>
      </c>
      <c r="AG39" s="244">
        <f t="shared" si="44"/>
        <v>2.5</v>
      </c>
      <c r="AH39" s="244">
        <f t="shared" si="44"/>
        <v>5</v>
      </c>
      <c r="AI39" s="244">
        <f t="shared" si="44"/>
        <v>5.3333333333333339</v>
      </c>
      <c r="AJ39" s="244">
        <f t="shared" si="44"/>
        <v>3.3333333333333335</v>
      </c>
      <c r="AK39" s="244">
        <f t="shared" si="44"/>
        <v>2.5714285714285716</v>
      </c>
      <c r="AL39" s="244">
        <f t="shared" si="44"/>
        <v>1.1789473684210527</v>
      </c>
      <c r="AM39" s="244">
        <f t="shared" si="44"/>
        <v>1.1789473684210527</v>
      </c>
      <c r="AN39" s="244">
        <f t="shared" si="44"/>
        <v>6</v>
      </c>
      <c r="AO39" s="244">
        <f t="shared" si="44"/>
        <v>5</v>
      </c>
      <c r="AP39" s="244">
        <f t="shared" si="44"/>
        <v>8</v>
      </c>
      <c r="AQ39" s="244">
        <f t="shared" si="44"/>
        <v>3.333333333333333</v>
      </c>
      <c r="AR39" s="244">
        <f t="shared" si="44"/>
        <v>8.1739130434782599</v>
      </c>
      <c r="AS39" s="244">
        <f t="shared" si="44"/>
        <v>8.0857142857142872</v>
      </c>
      <c r="AT39" s="244">
        <f t="shared" si="44"/>
        <v>20.833333333333336</v>
      </c>
      <c r="AU39" s="244">
        <f t="shared" si="44"/>
        <v>8.75</v>
      </c>
      <c r="AV39" s="244">
        <f t="shared" si="44"/>
        <v>6.666666666666667</v>
      </c>
      <c r="AW39" s="244">
        <f t="shared" si="44"/>
        <v>3.75</v>
      </c>
      <c r="AX39" s="244">
        <f t="shared" si="44"/>
        <v>6.1538461538461542</v>
      </c>
      <c r="AY39" s="244">
        <f t="shared" si="44"/>
        <v>5</v>
      </c>
      <c r="AZ39" s="244">
        <f>AZ22/AZ23</f>
        <v>5.3333333333333339</v>
      </c>
      <c r="BA39" s="244">
        <f t="shared" si="44"/>
        <v>4.375</v>
      </c>
      <c r="BB39" s="244">
        <v>3.99</v>
      </c>
      <c r="BC39" s="244">
        <f t="shared" si="44"/>
        <v>4</v>
      </c>
      <c r="BD39" s="244">
        <f t="shared" si="44"/>
        <v>8.3333333333333339</v>
      </c>
      <c r="BE39" s="244">
        <f t="shared" si="44"/>
        <v>5</v>
      </c>
      <c r="BF39" s="244">
        <f t="shared" si="44"/>
        <v>6.666666666666667</v>
      </c>
      <c r="BG39" s="244">
        <f t="shared" si="44"/>
        <v>6</v>
      </c>
      <c r="BH39" s="244">
        <v>3.77</v>
      </c>
      <c r="BI39" s="244">
        <f t="shared" si="44"/>
        <v>4</v>
      </c>
      <c r="BJ39" s="244">
        <f t="shared" si="44"/>
        <v>10</v>
      </c>
      <c r="BK39" s="244">
        <f t="shared" si="44"/>
        <v>7.5</v>
      </c>
      <c r="BL39" s="244">
        <f t="shared" si="44"/>
        <v>2.6923076923076921</v>
      </c>
      <c r="BM39" s="244">
        <f t="shared" si="44"/>
        <v>1.8333333333333335</v>
      </c>
      <c r="BN39" s="244">
        <f t="shared" si="44"/>
        <v>2.8571428571428572</v>
      </c>
      <c r="BO39" s="244">
        <f t="shared" si="44"/>
        <v>2.166666666666667</v>
      </c>
      <c r="BP39" s="244">
        <f t="shared" si="44"/>
        <v>6.8181818181818183</v>
      </c>
      <c r="BQ39" s="244">
        <f t="shared" si="44"/>
        <v>3.7878787878787876</v>
      </c>
      <c r="BR39" s="244">
        <f t="shared" si="44"/>
        <v>3.3333333333333335</v>
      </c>
      <c r="BS39" s="244">
        <f t="shared" si="44"/>
        <v>3</v>
      </c>
      <c r="BT39" s="244">
        <f t="shared" si="44"/>
        <v>6.6129032258064511</v>
      </c>
      <c r="BU39" s="244">
        <f t="shared" si="44"/>
        <v>6.6486486486486482</v>
      </c>
      <c r="BV39" s="244">
        <f t="shared" si="44"/>
        <v>13.461538461538462</v>
      </c>
      <c r="BW39" s="244">
        <f t="shared" si="44"/>
        <v>9.0000000000000018</v>
      </c>
      <c r="BX39" s="244">
        <f t="shared" si="44"/>
        <v>2</v>
      </c>
      <c r="BY39" s="244">
        <f t="shared" si="44"/>
        <v>1.6</v>
      </c>
      <c r="BZ39" s="244">
        <f t="shared" si="44"/>
        <v>6.333333333333333</v>
      </c>
      <c r="CA39" s="244">
        <f t="shared" si="44"/>
        <v>8</v>
      </c>
      <c r="CB39" s="244">
        <f t="shared" si="44"/>
        <v>6.666666666666667</v>
      </c>
      <c r="CC39" s="244">
        <f t="shared" si="44"/>
        <v>3.75</v>
      </c>
      <c r="CD39" s="244">
        <f t="shared" si="44"/>
        <v>3.3333333333333335</v>
      </c>
      <c r="CE39" s="244">
        <f t="shared" si="44"/>
        <v>3</v>
      </c>
      <c r="CF39" s="244">
        <f t="shared" si="44"/>
        <v>21.428571428571427</v>
      </c>
      <c r="CG39" s="244">
        <f t="shared" si="44"/>
        <v>10</v>
      </c>
      <c r="CH39" s="244">
        <f t="shared" si="44"/>
        <v>5.3333333333333339</v>
      </c>
      <c r="CI39" s="244">
        <f t="shared" si="44"/>
        <v>3.75</v>
      </c>
      <c r="CJ39" s="244">
        <f t="shared" si="44"/>
        <v>2.6923076923076921</v>
      </c>
      <c r="CK39" s="244">
        <f t="shared" si="44"/>
        <v>1.8333333333333335</v>
      </c>
      <c r="CL39" s="244">
        <f t="shared" si="44"/>
        <v>5</v>
      </c>
      <c r="CM39" s="244">
        <f t="shared" si="44"/>
        <v>3.75</v>
      </c>
      <c r="CN39" s="244">
        <f t="shared" si="44"/>
        <v>10</v>
      </c>
      <c r="CO39" s="244">
        <f t="shared" ref="CO39:CV39" si="45">CO22/CO23</f>
        <v>6</v>
      </c>
      <c r="CP39" s="244">
        <f t="shared" si="45"/>
        <v>8.3333333333333339</v>
      </c>
      <c r="CQ39" s="244">
        <f t="shared" si="45"/>
        <v>4</v>
      </c>
      <c r="CR39" s="244">
        <f t="shared" si="45"/>
        <v>1</v>
      </c>
      <c r="CS39" s="244">
        <f t="shared" si="45"/>
        <v>0.5</v>
      </c>
      <c r="CT39" s="244">
        <f t="shared" si="45"/>
        <v>0.31615120274914094</v>
      </c>
      <c r="CU39" s="244">
        <f t="shared" si="45"/>
        <v>0.2878787878787879</v>
      </c>
      <c r="CV39" s="244">
        <f t="shared" si="45"/>
        <v>5</v>
      </c>
      <c r="CW39" s="244">
        <v>5.0999999999999996</v>
      </c>
      <c r="CX39" s="244">
        <f t="shared" ref="CX39" si="46">CX22/CX23</f>
        <v>2.8571428571428572</v>
      </c>
      <c r="CY39" s="244">
        <v>5.0999999999999996</v>
      </c>
      <c r="CZ39" s="244">
        <f t="shared" ref="CZ39:DB39" si="47">CZ22/CZ23</f>
        <v>5.3333333333333339</v>
      </c>
      <c r="DA39" s="244">
        <v>5.0999999999999996</v>
      </c>
      <c r="DB39" s="244">
        <f t="shared" si="47"/>
        <v>2.9999999999999996</v>
      </c>
      <c r="DC39" s="244">
        <v>6.1</v>
      </c>
    </row>
    <row r="40" spans="3:107">
      <c r="C40" s="231" t="s">
        <v>513</v>
      </c>
      <c r="D40" s="248"/>
      <c r="E40" s="246" t="s">
        <v>21</v>
      </c>
      <c r="F40" s="1089">
        <f>F22/F24</f>
        <v>0.93333333333333346</v>
      </c>
      <c r="G40" s="1089"/>
      <c r="H40" s="247">
        <f t="shared" si="34"/>
        <v>0.7</v>
      </c>
      <c r="I40" s="211"/>
      <c r="J40" s="212" t="str">
        <f>IF(((U40-F40)/(O40-N40))&gt;1.5,"I"&amp;REPT("I",20),IF(F40&lt;U40*0.89,"I"&amp;REPT("I",9*EXP(((U40-F40)/(O40-N40)))),IF(F40&lt;U40,"I"&amp;REPT("I",4.5*EXP(((U40-F40)/(O40-N40)))),IF(F40=U40,"I"&amp;"",""))))</f>
        <v/>
      </c>
      <c r="K40" s="213" t="str">
        <f t="shared" si="23"/>
        <v>IIIIIIIIIIIIIIIIIIIIIIIIIIIIII</v>
      </c>
      <c r="L40" s="214"/>
      <c r="M40" s="18" t="str">
        <f t="shared" si="14"/>
        <v>Elevé</v>
      </c>
      <c r="N40" s="18">
        <f t="shared" si="43"/>
        <v>0.6428571428571429</v>
      </c>
      <c r="O40" s="18">
        <f>IF(R40=S40,R40*1.1,MAX(R40:S40))</f>
        <v>0.83333333333333337</v>
      </c>
      <c r="P40" s="206">
        <f t="shared" si="25"/>
        <v>0.83333333333333337</v>
      </c>
      <c r="Q40" s="206">
        <f t="shared" si="26"/>
        <v>0.6428571428571429</v>
      </c>
      <c r="R40" s="206">
        <f t="shared" si="27"/>
        <v>0.83333333333333337</v>
      </c>
      <c r="S40" s="206">
        <f t="shared" si="28"/>
        <v>0.6428571428571429</v>
      </c>
      <c r="T40" s="206"/>
      <c r="U40" s="205">
        <f>U22/U24</f>
        <v>0.7</v>
      </c>
      <c r="V40" s="206"/>
      <c r="W40" s="205">
        <f t="shared" si="29"/>
        <v>0.83333333333333337</v>
      </c>
      <c r="X40" s="205">
        <f t="shared" si="29"/>
        <v>0.6428571428571429</v>
      </c>
      <c r="Y40" s="18" t="s">
        <v>513</v>
      </c>
      <c r="Z40" s="244">
        <f>Z22/Z24</f>
        <v>1.1764705882352942</v>
      </c>
      <c r="AA40" s="244">
        <f>AA22/AA24</f>
        <v>1.1666666666666667</v>
      </c>
      <c r="AB40" s="244">
        <f>AB22/AB24</f>
        <v>0.35</v>
      </c>
      <c r="AC40" s="244">
        <f t="shared" ref="AC40:CN40" si="48">AC22/AC24</f>
        <v>0.32</v>
      </c>
      <c r="AD40" s="244">
        <f t="shared" si="48"/>
        <v>0.7</v>
      </c>
      <c r="AE40" s="244">
        <f t="shared" si="48"/>
        <v>0.5</v>
      </c>
      <c r="AF40" s="244">
        <f t="shared" si="48"/>
        <v>0.75</v>
      </c>
      <c r="AG40" s="244">
        <f t="shared" si="48"/>
        <v>0.66666666666666663</v>
      </c>
      <c r="AH40" s="244">
        <f t="shared" si="48"/>
        <v>1.25</v>
      </c>
      <c r="AI40" s="244">
        <f t="shared" si="48"/>
        <v>1.142857142857143</v>
      </c>
      <c r="AJ40" s="244">
        <f t="shared" si="48"/>
        <v>0.33333333333333331</v>
      </c>
      <c r="AK40" s="244">
        <f t="shared" si="48"/>
        <v>0.3</v>
      </c>
      <c r="AL40" s="244">
        <f t="shared" si="48"/>
        <v>0.35000000000000003</v>
      </c>
      <c r="AM40" s="244">
        <f t="shared" si="48"/>
        <v>0.35000000000000003</v>
      </c>
      <c r="AN40" s="244">
        <f t="shared" si="48"/>
        <v>3.75</v>
      </c>
      <c r="AO40" s="244">
        <f t="shared" si="48"/>
        <v>1.6666666666666667</v>
      </c>
      <c r="AP40" s="244">
        <f t="shared" si="48"/>
        <v>2.5</v>
      </c>
      <c r="AQ40" s="244">
        <f t="shared" si="48"/>
        <v>1.5</v>
      </c>
      <c r="AR40" s="244">
        <f t="shared" si="48"/>
        <v>0.95918367346938771</v>
      </c>
      <c r="AS40" s="244">
        <f t="shared" si="48"/>
        <v>0.96258503401360551</v>
      </c>
      <c r="AT40" s="244">
        <f t="shared" si="48"/>
        <v>16.666666666666668</v>
      </c>
      <c r="AU40" s="244">
        <f t="shared" si="48"/>
        <v>7</v>
      </c>
      <c r="AV40" s="244">
        <f t="shared" si="48"/>
        <v>1.3333333333333333</v>
      </c>
      <c r="AW40" s="244">
        <f t="shared" si="48"/>
        <v>1.1111111111111109</v>
      </c>
      <c r="AX40" s="244">
        <f t="shared" si="48"/>
        <v>0.8</v>
      </c>
      <c r="AY40" s="244">
        <f t="shared" si="48"/>
        <v>0.6</v>
      </c>
      <c r="AZ40" s="244">
        <f t="shared" si="48"/>
        <v>1.0666666666666667</v>
      </c>
      <c r="BA40" s="244">
        <f t="shared" si="48"/>
        <v>1.1666666666666667</v>
      </c>
      <c r="BB40" s="244">
        <v>0.6</v>
      </c>
      <c r="BC40" s="244">
        <f t="shared" si="48"/>
        <v>1</v>
      </c>
      <c r="BD40" s="244">
        <f t="shared" si="48"/>
        <v>2.5</v>
      </c>
      <c r="BE40" s="244">
        <f t="shared" si="48"/>
        <v>2</v>
      </c>
      <c r="BF40" s="244">
        <f t="shared" si="48"/>
        <v>0.66666666666666663</v>
      </c>
      <c r="BG40" s="244">
        <f t="shared" si="48"/>
        <v>1</v>
      </c>
      <c r="BH40" s="244">
        <v>0.95</v>
      </c>
      <c r="BI40" s="244">
        <f t="shared" si="48"/>
        <v>1</v>
      </c>
      <c r="BJ40" s="244">
        <v>1.3</v>
      </c>
      <c r="BK40" s="244">
        <f t="shared" si="48"/>
        <v>1.5</v>
      </c>
      <c r="BL40" s="244">
        <f t="shared" si="48"/>
        <v>0.23333333333333331</v>
      </c>
      <c r="BM40" s="244">
        <f t="shared" si="48"/>
        <v>0.18333333333333335</v>
      </c>
      <c r="BN40" s="244">
        <f t="shared" si="48"/>
        <v>1</v>
      </c>
      <c r="BO40" s="244">
        <f t="shared" si="48"/>
        <v>0.8125</v>
      </c>
      <c r="BP40" s="244">
        <f t="shared" si="48"/>
        <v>1.5</v>
      </c>
      <c r="BQ40" s="244">
        <f t="shared" si="48"/>
        <v>0.83333333333333337</v>
      </c>
      <c r="BR40" s="244">
        <f t="shared" si="48"/>
        <v>0.83333333333333337</v>
      </c>
      <c r="BS40" s="244">
        <f t="shared" si="48"/>
        <v>0.6428571428571429</v>
      </c>
      <c r="BT40" s="244">
        <f t="shared" si="48"/>
        <v>0.7192982456140351</v>
      </c>
      <c r="BU40" s="244">
        <f t="shared" si="48"/>
        <v>0.70285714285714285</v>
      </c>
      <c r="BV40" s="244">
        <f t="shared" si="48"/>
        <v>8.75</v>
      </c>
      <c r="BW40" s="244">
        <f t="shared" si="48"/>
        <v>4.5000000000000009</v>
      </c>
      <c r="BX40" s="244">
        <f t="shared" si="48"/>
        <v>0.83333333333333337</v>
      </c>
      <c r="BY40" s="244">
        <f t="shared" si="48"/>
        <v>0.66666666666666674</v>
      </c>
      <c r="BZ40" s="244">
        <f t="shared" si="48"/>
        <v>1.0555555555555556</v>
      </c>
      <c r="CA40" s="244">
        <f t="shared" si="48"/>
        <v>1</v>
      </c>
      <c r="CB40" s="244">
        <f t="shared" si="48"/>
        <v>1.3333333333333333</v>
      </c>
      <c r="CC40" s="244">
        <f t="shared" si="48"/>
        <v>1.1111111111111109</v>
      </c>
      <c r="CD40" s="244">
        <f t="shared" si="48"/>
        <v>0.83333333333333337</v>
      </c>
      <c r="CE40" s="244">
        <f t="shared" si="48"/>
        <v>0.6428571428571429</v>
      </c>
      <c r="CF40" s="244">
        <f t="shared" si="48"/>
        <v>15</v>
      </c>
      <c r="CG40" s="244">
        <f t="shared" si="48"/>
        <v>5</v>
      </c>
      <c r="CH40" s="244">
        <f t="shared" si="48"/>
        <v>1.0666666666666667</v>
      </c>
      <c r="CI40" s="244">
        <f t="shared" si="48"/>
        <v>1.1111111111111109</v>
      </c>
      <c r="CJ40" s="244">
        <f t="shared" si="48"/>
        <v>0.23333333333333331</v>
      </c>
      <c r="CK40" s="244">
        <f t="shared" si="48"/>
        <v>0.18333333333333335</v>
      </c>
      <c r="CL40" s="244">
        <f t="shared" si="48"/>
        <v>2.5</v>
      </c>
      <c r="CM40" s="244">
        <f t="shared" si="48"/>
        <v>1.2</v>
      </c>
      <c r="CN40" s="244">
        <f t="shared" si="48"/>
        <v>3</v>
      </c>
      <c r="CO40" s="244">
        <f t="shared" ref="CO40:CW40" si="49">CO22/CO24</f>
        <v>2.4</v>
      </c>
      <c r="CP40" s="244">
        <f t="shared" si="49"/>
        <v>1.25</v>
      </c>
      <c r="CQ40" s="244">
        <f t="shared" si="49"/>
        <v>0.8</v>
      </c>
      <c r="CR40" s="244">
        <f t="shared" si="49"/>
        <v>5</v>
      </c>
      <c r="CS40" s="244">
        <f t="shared" si="49"/>
        <v>3.3333333333333335</v>
      </c>
      <c r="CT40" s="244">
        <f t="shared" si="49"/>
        <v>0.37096774193548387</v>
      </c>
      <c r="CU40" s="244">
        <f t="shared" si="49"/>
        <v>0.26600000000000001</v>
      </c>
      <c r="CV40" s="244">
        <f t="shared" si="49"/>
        <v>1.5</v>
      </c>
      <c r="CW40" s="244">
        <f t="shared" si="49"/>
        <v>1.6</v>
      </c>
      <c r="CX40" s="244">
        <v>0.81</v>
      </c>
      <c r="CY40" s="244">
        <v>1</v>
      </c>
      <c r="CZ40" s="244">
        <f t="shared" ref="CZ40:DA40" si="50">CZ22/CZ24</f>
        <v>1.2307692307692308</v>
      </c>
      <c r="DA40" s="244">
        <f t="shared" si="50"/>
        <v>0.8571428571428571</v>
      </c>
      <c r="DB40" s="244">
        <f t="shared" ref="DB40:DC40" si="51">DB22/DB24</f>
        <v>0.74999999999999989</v>
      </c>
      <c r="DC40" s="244">
        <f t="shared" si="51"/>
        <v>0.83333333333333337</v>
      </c>
    </row>
    <row r="41" spans="3:107" ht="17.100000000000001" customHeight="1">
      <c r="C41" s="249" t="s">
        <v>514</v>
      </c>
      <c r="D41" s="250"/>
      <c r="E41" s="251" t="s">
        <v>21</v>
      </c>
      <c r="F41" s="1090">
        <f>F24/F23</f>
        <v>5.15625</v>
      </c>
      <c r="G41" s="1090"/>
      <c r="H41" s="252">
        <f>U41</f>
        <v>4.4444444444444446</v>
      </c>
      <c r="I41" s="218"/>
      <c r="J41" s="219" t="str">
        <f t="shared" si="22"/>
        <v/>
      </c>
      <c r="K41" s="220" t="str">
        <f t="shared" si="23"/>
        <v>IIIIIIIIIIIIIIIIIIIIIIIIII</v>
      </c>
      <c r="L41" s="221"/>
      <c r="M41" s="18" t="str">
        <f t="shared" si="14"/>
        <v>Elevé</v>
      </c>
      <c r="N41" s="18">
        <f t="shared" si="43"/>
        <v>4</v>
      </c>
      <c r="O41" s="18">
        <f>IF(R41=S41,R41*1.1,MAX(R41:S41))</f>
        <v>4.666666666666667</v>
      </c>
      <c r="P41" s="206">
        <f t="shared" ref="P41" si="52">CHOOSE($AA$1,Z41,AB41,AD41,AF41,AH41,AJ41,AL41,AN41,AP41,AR41,AT41,AV41,AX41,AZ41,BB41,BD41,BF41,BH41,BJ41,BL41,BN41,BP41,BR41,BT41,BV41,BX41,BZ41,CB41,CD41,CF41,CH41,CJ41,CL41,CN41,CP41,CR41,CT41,CV41,CX41,CZ41,DB41)</f>
        <v>4</v>
      </c>
      <c r="Q41" s="206">
        <f t="shared" ref="Q41" si="53">CHOOSE($AA$1,AA41,AC41,AE41,AG41,AI41,AK41,AM41,AO41,AQ41,AS41,AU41,AW41,AY41,BA41,BC41,BE41,BG41,BI41,BK41,BM41,BO41,BQ41,BS41,BU41,BW41,BY41,CA41,CC41,CE41,CG41,CI41,CK41,CM41,CO41,CQ41,CS41,CU41,CW41,CY41,DA41,DC41)</f>
        <v>4.666666666666667</v>
      </c>
      <c r="R41" s="206">
        <f t="shared" si="27"/>
        <v>4</v>
      </c>
      <c r="S41" s="206">
        <f t="shared" si="28"/>
        <v>4.666666666666667</v>
      </c>
      <c r="T41" s="206"/>
      <c r="U41" s="205">
        <f>U24/U23</f>
        <v>4.4444444444444446</v>
      </c>
      <c r="V41" s="206"/>
      <c r="W41" s="205">
        <f t="shared" si="29"/>
        <v>4</v>
      </c>
      <c r="X41" s="205">
        <f t="shared" si="29"/>
        <v>4.666666666666667</v>
      </c>
      <c r="Y41" s="18" t="s">
        <v>514</v>
      </c>
      <c r="Z41" s="244">
        <f>Z24/Z23</f>
        <v>5.666666666666667</v>
      </c>
      <c r="AA41" s="244">
        <f>AA24/AA23</f>
        <v>3.75</v>
      </c>
      <c r="AB41" s="244">
        <f>AB24/AB23</f>
        <v>6.666666666666667</v>
      </c>
      <c r="AC41" s="244">
        <f t="shared" ref="AC41:CN41" si="54">AC24/AC23</f>
        <v>10</v>
      </c>
      <c r="AD41" s="244">
        <f t="shared" si="54"/>
        <v>8</v>
      </c>
      <c r="AE41" s="244">
        <v>9</v>
      </c>
      <c r="AF41" s="244">
        <f t="shared" si="54"/>
        <v>4</v>
      </c>
      <c r="AG41" s="244">
        <f t="shared" si="54"/>
        <v>3.75</v>
      </c>
      <c r="AH41" s="244">
        <f t="shared" si="54"/>
        <v>4</v>
      </c>
      <c r="AI41" s="244">
        <f t="shared" si="54"/>
        <v>4.666666666666667</v>
      </c>
      <c r="AJ41" s="244">
        <f t="shared" si="54"/>
        <v>10</v>
      </c>
      <c r="AK41" s="244">
        <f t="shared" si="54"/>
        <v>8.5714285714285712</v>
      </c>
      <c r="AL41" s="244">
        <f t="shared" si="54"/>
        <v>3.3684210526315788</v>
      </c>
      <c r="AM41" s="244">
        <f t="shared" si="54"/>
        <v>3.3684210526315792</v>
      </c>
      <c r="AN41" s="244">
        <f t="shared" si="54"/>
        <v>1.6</v>
      </c>
      <c r="AO41" s="244">
        <f t="shared" si="54"/>
        <v>3</v>
      </c>
      <c r="AP41" s="244">
        <f t="shared" si="54"/>
        <v>3.2</v>
      </c>
      <c r="AQ41" s="244">
        <f t="shared" si="54"/>
        <v>2.2222222222222223</v>
      </c>
      <c r="AR41" s="244">
        <f t="shared" si="54"/>
        <v>8.5217391304347814</v>
      </c>
      <c r="AS41" s="244">
        <f t="shared" si="54"/>
        <v>8.4</v>
      </c>
      <c r="AT41" s="244">
        <v>1.22</v>
      </c>
      <c r="AU41" s="244">
        <f t="shared" si="54"/>
        <v>1.25</v>
      </c>
      <c r="AV41" s="244">
        <f t="shared" si="54"/>
        <v>5</v>
      </c>
      <c r="AW41" s="244">
        <f t="shared" si="54"/>
        <v>3.375</v>
      </c>
      <c r="AX41" s="244">
        <f t="shared" si="54"/>
        <v>7.6923076923076916</v>
      </c>
      <c r="AY41" s="244">
        <f t="shared" si="54"/>
        <v>8.3333333333333339</v>
      </c>
      <c r="AZ41" s="244">
        <f t="shared" si="54"/>
        <v>5</v>
      </c>
      <c r="BA41" s="244">
        <f t="shared" si="54"/>
        <v>3.75</v>
      </c>
      <c r="BB41" s="244">
        <v>3.5</v>
      </c>
      <c r="BC41" s="244">
        <f t="shared" si="54"/>
        <v>4</v>
      </c>
      <c r="BD41" s="244">
        <f t="shared" si="54"/>
        <v>3.3333333333333335</v>
      </c>
      <c r="BE41" s="244">
        <f t="shared" si="54"/>
        <v>2.5</v>
      </c>
      <c r="BF41" s="244">
        <f t="shared" si="54"/>
        <v>10</v>
      </c>
      <c r="BG41" s="244">
        <f t="shared" si="54"/>
        <v>6</v>
      </c>
      <c r="BH41" s="244">
        <v>3.55</v>
      </c>
      <c r="BI41" s="244">
        <f t="shared" si="54"/>
        <v>4</v>
      </c>
      <c r="BJ41" s="244">
        <f t="shared" si="54"/>
        <v>6.666666666666667</v>
      </c>
      <c r="BK41" s="244">
        <f t="shared" si="54"/>
        <v>5</v>
      </c>
      <c r="BL41" s="244">
        <f t="shared" si="54"/>
        <v>11.538461538461538</v>
      </c>
      <c r="BM41" s="244">
        <f t="shared" si="54"/>
        <v>10</v>
      </c>
      <c r="BN41" s="244">
        <f t="shared" si="54"/>
        <v>2.8571428571428572</v>
      </c>
      <c r="BO41" s="244">
        <f t="shared" si="54"/>
        <v>2.666666666666667</v>
      </c>
      <c r="BP41" s="244">
        <f t="shared" si="54"/>
        <v>4.5454545454545459</v>
      </c>
      <c r="BQ41" s="244">
        <f t="shared" si="54"/>
        <v>4.545454545454545</v>
      </c>
      <c r="BR41" s="244">
        <f t="shared" si="54"/>
        <v>4</v>
      </c>
      <c r="BS41" s="244">
        <f t="shared" si="54"/>
        <v>4.666666666666667</v>
      </c>
      <c r="BT41" s="244">
        <f t="shared" si="54"/>
        <v>9.193548387096774</v>
      </c>
      <c r="BU41" s="244">
        <f t="shared" si="54"/>
        <v>9.4594594594594597</v>
      </c>
      <c r="BV41" s="244">
        <f t="shared" si="54"/>
        <v>1.5384615384615385</v>
      </c>
      <c r="BW41" s="244">
        <f t="shared" si="54"/>
        <v>2</v>
      </c>
      <c r="BX41" s="244">
        <f t="shared" si="54"/>
        <v>2.4</v>
      </c>
      <c r="BY41" s="244">
        <f t="shared" si="54"/>
        <v>2.4</v>
      </c>
      <c r="BZ41" s="244">
        <f t="shared" si="54"/>
        <v>6</v>
      </c>
      <c r="CA41" s="244">
        <f t="shared" si="54"/>
        <v>8</v>
      </c>
      <c r="CB41" s="244">
        <f t="shared" si="54"/>
        <v>5</v>
      </c>
      <c r="CC41" s="244">
        <f t="shared" si="54"/>
        <v>3.375</v>
      </c>
      <c r="CD41" s="244">
        <f t="shared" si="54"/>
        <v>4</v>
      </c>
      <c r="CE41" s="244">
        <f t="shared" si="54"/>
        <v>4.666666666666667</v>
      </c>
      <c r="CF41" s="244">
        <f t="shared" si="54"/>
        <v>1.4285714285714286</v>
      </c>
      <c r="CG41" s="244">
        <f t="shared" si="54"/>
        <v>2</v>
      </c>
      <c r="CH41" s="244">
        <f t="shared" si="54"/>
        <v>5</v>
      </c>
      <c r="CI41" s="244">
        <f t="shared" si="54"/>
        <v>3.375</v>
      </c>
      <c r="CJ41" s="244">
        <f t="shared" si="54"/>
        <v>11.538461538461538</v>
      </c>
      <c r="CK41" s="244">
        <f t="shared" si="54"/>
        <v>10</v>
      </c>
      <c r="CL41" s="244">
        <f t="shared" si="54"/>
        <v>2</v>
      </c>
      <c r="CM41" s="244">
        <f t="shared" si="54"/>
        <v>3.125</v>
      </c>
      <c r="CN41" s="244">
        <f t="shared" si="54"/>
        <v>3.3333333333333335</v>
      </c>
      <c r="CO41" s="244">
        <f t="shared" ref="CO41:CW41" si="55">CO24/CO23</f>
        <v>2.5</v>
      </c>
      <c r="CP41" s="244">
        <f t="shared" si="55"/>
        <v>6.666666666666667</v>
      </c>
      <c r="CQ41" s="244">
        <f t="shared" si="55"/>
        <v>5</v>
      </c>
      <c r="CR41" s="244">
        <f t="shared" si="55"/>
        <v>0.2</v>
      </c>
      <c r="CS41" s="244">
        <f t="shared" si="55"/>
        <v>0.15</v>
      </c>
      <c r="CT41" s="244">
        <f t="shared" si="55"/>
        <v>0.8522336769759451</v>
      </c>
      <c r="CU41" s="244">
        <f t="shared" si="55"/>
        <v>1.0822510822510822</v>
      </c>
      <c r="CV41" s="244">
        <f t="shared" si="55"/>
        <v>3.3333333333333335</v>
      </c>
      <c r="CW41" s="244">
        <f t="shared" si="55"/>
        <v>3.125</v>
      </c>
      <c r="CX41" s="244">
        <v>2.67</v>
      </c>
      <c r="CY41" s="244">
        <v>2.86</v>
      </c>
      <c r="CZ41" s="244">
        <f t="shared" ref="CZ41:DA41" si="56">CZ24/CZ23</f>
        <v>4.3333333333333339</v>
      </c>
      <c r="DA41" s="244">
        <f t="shared" si="56"/>
        <v>5.8333333333333339</v>
      </c>
      <c r="DB41" s="244">
        <f t="shared" ref="DB41:DC41" si="57">DB24/DB23</f>
        <v>4</v>
      </c>
      <c r="DC41" s="244">
        <f t="shared" si="57"/>
        <v>2.9999999999999996</v>
      </c>
    </row>
    <row r="42" spans="3:107" ht="21" customHeight="1">
      <c r="C42" s="253" t="str">
        <f>UPPER("Commentaires :")</f>
        <v>COMMENTAIRES :</v>
      </c>
      <c r="D42" s="254"/>
    </row>
    <row r="43" spans="3:107" ht="54" customHeight="1">
      <c r="C43" s="1086" t="str">
        <f>'Feuilles commentaire'!A6</f>
        <v>*Teneur correcte en azote, mais trop élevée par rapport au calcium, montrant des feuilles plus juvéniles que la référence. Ne pas accentuer les apports azotés et vérifier la disponibilité en calcium du sol.</v>
      </c>
      <c r="D43" s="1086"/>
      <c r="E43" s="1086"/>
      <c r="F43" s="1086"/>
      <c r="G43" s="1086"/>
      <c r="H43" s="1086"/>
      <c r="I43" s="1086"/>
      <c r="J43" s="1086"/>
      <c r="K43" s="1086"/>
      <c r="L43" s="1086"/>
    </row>
    <row r="44" spans="3:107" ht="54" customHeight="1">
      <c r="C44" s="1086" t="str">
        <f>'Feuilles commentaire'!A46</f>
        <v>*Niveau correct en phosphore.  Il est inutile d'augmenter ici les apports en cet élément.</v>
      </c>
      <c r="D44" s="1086"/>
      <c r="E44" s="1086"/>
      <c r="F44" s="1086"/>
      <c r="G44" s="1086"/>
      <c r="H44" s="1086"/>
      <c r="I44" s="1086"/>
      <c r="J44" s="1086"/>
      <c r="K44" s="1086"/>
      <c r="L44" s="1086"/>
    </row>
    <row r="45" spans="3:107" ht="54" customHeight="1">
      <c r="C45" s="1086" t="str">
        <f>'Feuilles commentaire'!A99</f>
        <v>*Teneur correcte en potassium, il est inutile d'accentuer les apports en cet élément.</v>
      </c>
      <c r="D45" s="1086"/>
      <c r="E45" s="1086"/>
      <c r="F45" s="1086"/>
      <c r="G45" s="1086"/>
      <c r="H45" s="1086"/>
      <c r="I45" s="1086"/>
      <c r="J45" s="1086"/>
      <c r="K45" s="1086"/>
      <c r="L45" s="1086"/>
    </row>
    <row r="46" spans="3:107" ht="3.9" customHeight="1">
      <c r="C46" s="1087"/>
      <c r="D46" s="1088"/>
      <c r="E46" s="1088"/>
      <c r="F46" s="1088"/>
      <c r="G46" s="1088"/>
      <c r="H46" s="1088"/>
      <c r="I46" s="1088"/>
      <c r="J46" s="1088"/>
      <c r="K46" s="1088"/>
      <c r="L46" s="1088"/>
    </row>
    <row r="47" spans="3:107" ht="36" customHeight="1">
      <c r="C47" s="992"/>
      <c r="D47" s="992"/>
      <c r="E47" s="992"/>
      <c r="F47" s="77"/>
      <c r="G47" s="78"/>
      <c r="H47" s="992"/>
      <c r="I47" s="992"/>
      <c r="J47" s="992"/>
      <c r="K47" s="992"/>
    </row>
    <row r="48" spans="3:107" ht="84.9" customHeight="1"/>
  </sheetData>
  <mergeCells count="140">
    <mergeCell ref="DB16:DC17"/>
    <mergeCell ref="DB18:DC18"/>
    <mergeCell ref="CX16:CY17"/>
    <mergeCell ref="CX18:CY18"/>
    <mergeCell ref="C45:L45"/>
    <mergeCell ref="C46:L46"/>
    <mergeCell ref="C47:E47"/>
    <mergeCell ref="H47:K47"/>
    <mergeCell ref="F38:G38"/>
    <mergeCell ref="F39:G39"/>
    <mergeCell ref="F40:G40"/>
    <mergeCell ref="F41:G41"/>
    <mergeCell ref="C43:L43"/>
    <mergeCell ref="C44:L44"/>
    <mergeCell ref="F31:G31"/>
    <mergeCell ref="F32:G32"/>
    <mergeCell ref="F33:G33"/>
    <mergeCell ref="F35:G35"/>
    <mergeCell ref="F36:G36"/>
    <mergeCell ref="F37:G37"/>
    <mergeCell ref="F26:G26"/>
    <mergeCell ref="J26:K26"/>
    <mergeCell ref="F27:G27"/>
    <mergeCell ref="C28:L28"/>
    <mergeCell ref="F29:G29"/>
    <mergeCell ref="F30:G30"/>
    <mergeCell ref="F20:G20"/>
    <mergeCell ref="F21:G21"/>
    <mergeCell ref="F22:G22"/>
    <mergeCell ref="F23:G23"/>
    <mergeCell ref="F24:G24"/>
    <mergeCell ref="C25:L25"/>
    <mergeCell ref="CN18:CO18"/>
    <mergeCell ref="CP18:CQ18"/>
    <mergeCell ref="CR18:CS18"/>
    <mergeCell ref="AX18:AY18"/>
    <mergeCell ref="AZ18:BA18"/>
    <mergeCell ref="BB18:BC18"/>
    <mergeCell ref="AF18:AG18"/>
    <mergeCell ref="AH18:AI18"/>
    <mergeCell ref="AJ18:AK18"/>
    <mergeCell ref="AL18:AM18"/>
    <mergeCell ref="AN18:AO18"/>
    <mergeCell ref="AP18:AQ18"/>
    <mergeCell ref="CT18:CU18"/>
    <mergeCell ref="CV18:CW18"/>
    <mergeCell ref="C19:L19"/>
    <mergeCell ref="CB18:CC18"/>
    <mergeCell ref="CD18:CE18"/>
    <mergeCell ref="CF18:CG18"/>
    <mergeCell ref="CH18:CI18"/>
    <mergeCell ref="CJ18:CK18"/>
    <mergeCell ref="CL18:CM18"/>
    <mergeCell ref="BP18:BQ18"/>
    <mergeCell ref="BR18:BS18"/>
    <mergeCell ref="BT18:BU18"/>
    <mergeCell ref="BV18:BW18"/>
    <mergeCell ref="BX18:BY18"/>
    <mergeCell ref="BZ18:CA18"/>
    <mergeCell ref="BD18:BE18"/>
    <mergeCell ref="BF18:BG18"/>
    <mergeCell ref="BH18:BI18"/>
    <mergeCell ref="BJ18:BK18"/>
    <mergeCell ref="BL18:BM18"/>
    <mergeCell ref="BN18:BO18"/>
    <mergeCell ref="AR18:AS18"/>
    <mergeCell ref="AT18:AU18"/>
    <mergeCell ref="AV18:AW18"/>
    <mergeCell ref="CN16:CO17"/>
    <mergeCell ref="CP16:CQ17"/>
    <mergeCell ref="CR16:CS17"/>
    <mergeCell ref="CT16:CU17"/>
    <mergeCell ref="CV16:CW17"/>
    <mergeCell ref="C17:C18"/>
    <mergeCell ref="D17:D18"/>
    <mergeCell ref="E17:E18"/>
    <mergeCell ref="F17:G18"/>
    <mergeCell ref="H17:H18"/>
    <mergeCell ref="CB16:CC17"/>
    <mergeCell ref="CD16:CE17"/>
    <mergeCell ref="CF16:CG17"/>
    <mergeCell ref="CH16:CI17"/>
    <mergeCell ref="CJ16:CK17"/>
    <mergeCell ref="CL16:CM17"/>
    <mergeCell ref="BP16:BQ17"/>
    <mergeCell ref="BR16:BS17"/>
    <mergeCell ref="BT16:BU17"/>
    <mergeCell ref="BV16:BW17"/>
    <mergeCell ref="BX16:BY17"/>
    <mergeCell ref="BZ16:CA17"/>
    <mergeCell ref="BD16:BE17"/>
    <mergeCell ref="BF16:BG17"/>
    <mergeCell ref="BB16:BC17"/>
    <mergeCell ref="AY1:BD1"/>
    <mergeCell ref="D8:F8"/>
    <mergeCell ref="G8:H8"/>
    <mergeCell ref="I8:L8"/>
    <mergeCell ref="D9:F9"/>
    <mergeCell ref="G9:H9"/>
    <mergeCell ref="I9:L9"/>
    <mergeCell ref="AF16:AG17"/>
    <mergeCell ref="AH16:AI17"/>
    <mergeCell ref="AJ16:AK17"/>
    <mergeCell ref="AL16:AM17"/>
    <mergeCell ref="AN16:AO17"/>
    <mergeCell ref="AP16:AQ17"/>
    <mergeCell ref="D13:F13"/>
    <mergeCell ref="G15:H15"/>
    <mergeCell ref="I15:L15"/>
    <mergeCell ref="Z16:AA17"/>
    <mergeCell ref="AB16:AC17"/>
    <mergeCell ref="AD16:AE17"/>
    <mergeCell ref="I17:L18"/>
    <mergeCell ref="Z18:AA18"/>
    <mergeCell ref="AB18:AC18"/>
    <mergeCell ref="AD18:AE18"/>
    <mergeCell ref="G1:L7"/>
    <mergeCell ref="CZ16:DA17"/>
    <mergeCell ref="CZ18:DA18"/>
    <mergeCell ref="D12:F12"/>
    <mergeCell ref="G12:H12"/>
    <mergeCell ref="I12:L12"/>
    <mergeCell ref="D10:F10"/>
    <mergeCell ref="G10:H10"/>
    <mergeCell ref="I10:L10"/>
    <mergeCell ref="D11:F11"/>
    <mergeCell ref="G11:H11"/>
    <mergeCell ref="I11:L11"/>
    <mergeCell ref="D14:L14"/>
    <mergeCell ref="G13:H13"/>
    <mergeCell ref="I13:L13"/>
    <mergeCell ref="BH16:BI17"/>
    <mergeCell ref="BJ16:BK17"/>
    <mergeCell ref="BL16:BM17"/>
    <mergeCell ref="BN16:BO17"/>
    <mergeCell ref="AR16:AS17"/>
    <mergeCell ref="AT16:AU17"/>
    <mergeCell ref="AV16:AW17"/>
    <mergeCell ref="AX16:AY17"/>
    <mergeCell ref="AZ16:BA17"/>
  </mergeCells>
  <phoneticPr fontId="36" type="noConversion"/>
  <printOptions horizontalCentered="1"/>
  <pageMargins left="0.36000000000000004" right="0.36000000000000004" top="0.79000000000000015" bottom="0.01" header="0.10999999999999999" footer="0.1"/>
  <pageSetup paperSize="9" scale="72" orientation="portrait" r:id="rId1"/>
  <headerFooter>
    <oddFooter>&amp;C&amp;"Calibri,Gras"&amp;K000000FIN DE PAGE_x000D_------------------------------_x000D_&amp;"Calibri,Normal"AGROPOLIS-GI5 GI6, Commune de Mejjate, Meknes, Maroc_x000D_Tél:+212 538 00 49 20/ www.elephantvert.ch / contactmaroc@elephantvert.ch</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LOT_VEG">
                <anchor moveWithCells="1" sizeWithCells="1">
                  <from>
                    <xdr:col>0</xdr:col>
                    <xdr:colOff>411480</xdr:colOff>
                    <xdr:row>1</xdr:row>
                    <xdr:rowOff>0</xdr:rowOff>
                  </from>
                  <to>
                    <xdr:col>1</xdr:col>
                    <xdr:colOff>297180</xdr:colOff>
                    <xdr:row>3</xdr:row>
                    <xdr:rowOff>152400</xdr:rowOff>
                  </to>
                </anchor>
              </controlPr>
            </control>
          </mc:Choice>
        </mc:AlternateContent>
      </controls>
    </mc:Choice>
  </mc:AlternateContent>
  <extLst>
    <ext xmlns:mx="http://schemas.microsoft.com/office/mac/excel/2008/main" uri="{64002731-A6B0-56B0-2670-7721B7C09600}">
      <mx:PLV Mode="0" OnePage="0" WScale="8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dimension ref="A1:AP7"/>
  <sheetViews>
    <sheetView topLeftCell="P1" workbookViewId="0">
      <selection activeCell="A3" sqref="A3:XFD3"/>
    </sheetView>
  </sheetViews>
  <sheetFormatPr baseColWidth="10" defaultRowHeight="15.6"/>
  <sheetData>
    <row r="1" spans="1:42" s="10" customFormat="1">
      <c r="A1" s="1097" t="s">
        <v>217</v>
      </c>
      <c r="B1" s="290" t="s">
        <v>277</v>
      </c>
      <c r="C1" s="290" t="s">
        <v>517</v>
      </c>
      <c r="D1" s="290" t="s">
        <v>518</v>
      </c>
      <c r="E1" s="291" t="s">
        <v>252</v>
      </c>
      <c r="F1" s="291" t="s">
        <v>253</v>
      </c>
      <c r="G1" s="292" t="s">
        <v>255</v>
      </c>
      <c r="H1" s="291" t="s">
        <v>256</v>
      </c>
      <c r="I1" s="291" t="s">
        <v>257</v>
      </c>
      <c r="J1" s="291" t="s">
        <v>9</v>
      </c>
      <c r="K1" s="291" t="s">
        <v>258</v>
      </c>
      <c r="L1" s="291" t="s">
        <v>259</v>
      </c>
      <c r="M1" s="291" t="s">
        <v>260</v>
      </c>
      <c r="N1" s="291" t="s">
        <v>7</v>
      </c>
      <c r="O1" s="291" t="s">
        <v>6</v>
      </c>
      <c r="P1" s="291" t="s">
        <v>519</v>
      </c>
      <c r="Q1" s="291" t="s">
        <v>520</v>
      </c>
      <c r="R1" s="291" t="s">
        <v>12</v>
      </c>
      <c r="S1" s="291" t="s">
        <v>14</v>
      </c>
      <c r="T1" s="291" t="s">
        <v>16</v>
      </c>
      <c r="U1" s="291" t="s">
        <v>18</v>
      </c>
      <c r="V1" s="291" t="s">
        <v>20</v>
      </c>
      <c r="W1" s="291" t="s">
        <v>350</v>
      </c>
      <c r="X1" s="291" t="s">
        <v>342</v>
      </c>
      <c r="Y1" s="291" t="s">
        <v>348</v>
      </c>
      <c r="Z1" s="291" t="s">
        <v>349</v>
      </c>
      <c r="AA1" s="291" t="s">
        <v>343</v>
      </c>
      <c r="AB1" s="291" t="s">
        <v>345</v>
      </c>
      <c r="AC1" s="291" t="s">
        <v>521</v>
      </c>
      <c r="AD1" s="291" t="s">
        <v>414</v>
      </c>
      <c r="AE1" s="291" t="s">
        <v>522</v>
      </c>
      <c r="AF1" s="291" t="s">
        <v>346</v>
      </c>
      <c r="AG1" s="291" t="s">
        <v>523</v>
      </c>
      <c r="AH1" s="291" t="s">
        <v>524</v>
      </c>
      <c r="AI1" s="291" t="s">
        <v>525</v>
      </c>
      <c r="AJ1" s="291" t="s">
        <v>526</v>
      </c>
      <c r="AK1" s="291" t="s">
        <v>527</v>
      </c>
    </row>
    <row r="2" spans="1:42" s="10" customFormat="1">
      <c r="A2" s="1097"/>
      <c r="B2" s="290" t="s">
        <v>278</v>
      </c>
      <c r="C2" s="290" t="s">
        <v>279</v>
      </c>
      <c r="D2" s="290" t="s">
        <v>279</v>
      </c>
      <c r="E2" s="291" t="s">
        <v>261</v>
      </c>
      <c r="F2" s="291" t="s">
        <v>262</v>
      </c>
      <c r="G2" s="292" t="s">
        <v>279</v>
      </c>
      <c r="H2" s="291" t="s">
        <v>279</v>
      </c>
      <c r="I2" s="291" t="s">
        <v>279</v>
      </c>
      <c r="J2" s="291" t="s">
        <v>279</v>
      </c>
      <c r="K2" s="291" t="s">
        <v>279</v>
      </c>
      <c r="L2" s="291" t="s">
        <v>279</v>
      </c>
      <c r="M2" s="291" t="s">
        <v>279</v>
      </c>
      <c r="N2" s="291" t="s">
        <v>279</v>
      </c>
      <c r="O2" s="291" t="s">
        <v>279</v>
      </c>
      <c r="P2" s="291" t="s">
        <v>279</v>
      </c>
      <c r="Q2" s="291" t="s">
        <v>528</v>
      </c>
      <c r="R2" s="291" t="s">
        <v>279</v>
      </c>
      <c r="S2" s="291" t="s">
        <v>279</v>
      </c>
      <c r="T2" s="291" t="s">
        <v>279</v>
      </c>
      <c r="U2" s="291" t="s">
        <v>279</v>
      </c>
      <c r="V2" s="291" t="s">
        <v>279</v>
      </c>
      <c r="W2" s="291" t="s">
        <v>279</v>
      </c>
      <c r="X2" s="291" t="s">
        <v>529</v>
      </c>
      <c r="Y2" s="291" t="s">
        <v>529</v>
      </c>
      <c r="Z2" s="291" t="s">
        <v>529</v>
      </c>
      <c r="AA2" s="291" t="s">
        <v>529</v>
      </c>
      <c r="AB2" s="291" t="s">
        <v>529</v>
      </c>
      <c r="AC2" s="291" t="s">
        <v>279</v>
      </c>
      <c r="AD2" s="291" t="s">
        <v>529</v>
      </c>
      <c r="AE2" s="291" t="s">
        <v>279</v>
      </c>
      <c r="AF2" s="291" t="s">
        <v>529</v>
      </c>
      <c r="AG2" s="291" t="s">
        <v>529</v>
      </c>
      <c r="AH2" s="291" t="s">
        <v>279</v>
      </c>
      <c r="AI2" s="291" t="s">
        <v>529</v>
      </c>
      <c r="AJ2" s="291" t="s">
        <v>529</v>
      </c>
      <c r="AK2" s="291" t="s">
        <v>529</v>
      </c>
    </row>
    <row r="3" spans="1:42">
      <c r="A3" s="932">
        <v>202024</v>
      </c>
      <c r="B3" s="933"/>
      <c r="C3" s="933"/>
      <c r="D3" s="933"/>
      <c r="E3" s="934">
        <v>7.53</v>
      </c>
      <c r="F3" s="934">
        <v>1.18</v>
      </c>
      <c r="G3" s="934">
        <v>8.98</v>
      </c>
      <c r="H3" s="934">
        <v>0</v>
      </c>
      <c r="I3" s="934">
        <v>0.22</v>
      </c>
      <c r="J3" s="934">
        <v>67.25</v>
      </c>
      <c r="K3" s="934">
        <v>157.91</v>
      </c>
      <c r="L3" s="934">
        <v>11.3</v>
      </c>
      <c r="M3" s="934">
        <v>0</v>
      </c>
      <c r="N3" s="935">
        <v>152.74</v>
      </c>
      <c r="O3" s="935">
        <v>51.2</v>
      </c>
      <c r="P3" s="934"/>
      <c r="Q3" s="934">
        <v>0.88400000000000001</v>
      </c>
      <c r="R3" s="935">
        <v>0.02</v>
      </c>
      <c r="S3" s="935">
        <v>1E-3</v>
      </c>
      <c r="T3" s="935">
        <v>1E-3</v>
      </c>
      <c r="U3" s="935">
        <v>1E-3</v>
      </c>
      <c r="V3" s="100"/>
      <c r="W3" s="100"/>
      <c r="X3" s="100"/>
      <c r="Y3" s="100"/>
      <c r="Z3" s="100"/>
      <c r="AA3" s="100"/>
      <c r="AB3" s="100"/>
      <c r="AC3" s="100"/>
      <c r="AD3" s="100"/>
      <c r="AE3" s="100"/>
      <c r="AF3" s="100"/>
      <c r="AG3" s="100"/>
      <c r="AH3" s="100"/>
      <c r="AI3" s="100"/>
      <c r="AJ3" s="100"/>
      <c r="AK3" s="100"/>
      <c r="AL3" s="100"/>
      <c r="AM3" s="100"/>
      <c r="AN3" s="100"/>
      <c r="AO3" s="100"/>
      <c r="AP3" s="100"/>
    </row>
    <row r="6" spans="1:42" s="301" customFormat="1" ht="23.1" customHeight="1">
      <c r="A6" s="293" t="s">
        <v>217</v>
      </c>
      <c r="B6" s="294" t="s">
        <v>218</v>
      </c>
      <c r="C6" s="294" t="s">
        <v>0</v>
      </c>
      <c r="D6" s="294" t="s">
        <v>243</v>
      </c>
      <c r="E6" s="295" t="s">
        <v>219</v>
      </c>
      <c r="F6" s="294" t="s">
        <v>220</v>
      </c>
      <c r="G6" s="294" t="s">
        <v>221</v>
      </c>
      <c r="H6" s="294" t="s">
        <v>222</v>
      </c>
      <c r="I6" s="296" t="s">
        <v>223</v>
      </c>
      <c r="J6" s="297" t="s">
        <v>224</v>
      </c>
      <c r="K6" s="294" t="s">
        <v>225</v>
      </c>
      <c r="L6" s="297" t="s">
        <v>1</v>
      </c>
      <c r="M6" s="297" t="s">
        <v>226</v>
      </c>
      <c r="N6" s="294" t="s">
        <v>227</v>
      </c>
      <c r="O6" s="295" t="s">
        <v>228</v>
      </c>
      <c r="P6" s="298" t="s">
        <v>229</v>
      </c>
      <c r="Q6" s="299" t="s">
        <v>230</v>
      </c>
      <c r="R6" s="294" t="s">
        <v>231</v>
      </c>
      <c r="S6" s="295" t="s">
        <v>232</v>
      </c>
      <c r="T6" s="295" t="s">
        <v>233</v>
      </c>
      <c r="U6" s="300" t="s">
        <v>234</v>
      </c>
      <c r="V6" s="294" t="s">
        <v>235</v>
      </c>
      <c r="W6" s="294" t="s">
        <v>236</v>
      </c>
      <c r="X6" s="294" t="s">
        <v>237</v>
      </c>
      <c r="Y6" s="294" t="s">
        <v>238</v>
      </c>
      <c r="Z6" s="294" t="s">
        <v>239</v>
      </c>
      <c r="AA6" s="294" t="s">
        <v>240</v>
      </c>
      <c r="AB6" s="294" t="s">
        <v>241</v>
      </c>
      <c r="AC6" s="294" t="s">
        <v>277</v>
      </c>
      <c r="AD6" s="294" t="s">
        <v>530</v>
      </c>
    </row>
    <row r="7" spans="1:42" s="917" customFormat="1" ht="18">
      <c r="A7" s="920">
        <v>202024</v>
      </c>
      <c r="B7" s="917" t="s">
        <v>1217</v>
      </c>
      <c r="C7" s="917" t="s">
        <v>1218</v>
      </c>
      <c r="D7" s="921" t="s">
        <v>1219</v>
      </c>
      <c r="E7" s="922">
        <v>44166</v>
      </c>
      <c r="F7" s="923">
        <f>MONTH([12]!Tableau1[[#This Row],[Date de réception ]])</f>
        <v>1</v>
      </c>
      <c r="G7" s="923">
        <f>YEAR([12]!Tableau1[[#This Row],[Date de réception ]])</f>
        <v>2021</v>
      </c>
      <c r="H7" s="923">
        <f>1</f>
        <v>1</v>
      </c>
      <c r="I7" s="920" t="s">
        <v>304</v>
      </c>
      <c r="J7" s="920" t="s">
        <v>328</v>
      </c>
      <c r="K7" s="917" t="s">
        <v>1220</v>
      </c>
      <c r="L7" s="917" t="s">
        <v>314</v>
      </c>
      <c r="M7" s="930" t="s">
        <v>314</v>
      </c>
      <c r="N7" s="924" t="s">
        <v>1210</v>
      </c>
      <c r="O7" s="922">
        <v>44166</v>
      </c>
      <c r="P7" s="917" t="s">
        <v>1213</v>
      </c>
      <c r="Q7" s="925" t="str">
        <f>VLOOKUP([12]!Tableau1[[#This Row],[Commercial]],[12]!Tableau2[#All],2,FALSE)</f>
        <v>Oriental</v>
      </c>
      <c r="R7" s="926">
        <f>VLOOKUP([12]!Tableau1[[#This Row],[Menu]],[12]!Tableau3[#All],2,FALSE)</f>
        <v>400</v>
      </c>
      <c r="S7" s="927"/>
      <c r="T7" s="926" t="e">
        <f ca="1">IF([12]!Tableau1[[#This Row],[Date d''édition]]="","En cours ("&amp;NETWORKDAYS([12]!Tableau1[[#This Row],[Date de réception ]],TODAY())&amp;")",NETWORKDAYS([12]!Tableau1[[#This Row],[Date de réception ]],[12]!Tableau1[[#This Row],[Date d''édition]]-1))</f>
        <v>#REF!</v>
      </c>
      <c r="U7" s="928"/>
      <c r="AC7" s="929">
        <v>4.9000000000000004</v>
      </c>
      <c r="AD7" s="917">
        <f>VLOOKUP([12]!Tableau1[[#This Row],[Menu]],[12]!Tableau3[#All],3,FALSE)</f>
        <v>400</v>
      </c>
      <c r="AE7" s="918">
        <f>+[12]!Tableau1[[#This Row],[Subv]]+[12]!Tableau1[[#This Row],[CA (MAD HT)]]</f>
        <v>800</v>
      </c>
    </row>
  </sheetData>
  <mergeCells count="1">
    <mergeCell ref="A1:A2"/>
  </mergeCells>
  <conditionalFormatting sqref="A7">
    <cfRule type="expression" dxfId="84" priority="16">
      <formula>$S7&gt;0</formula>
    </cfRule>
    <cfRule type="duplicateValues" dxfId="83" priority="17"/>
  </conditionalFormatting>
  <conditionalFormatting sqref="A7">
    <cfRule type="expression" dxfId="82" priority="18">
      <formula>$S7&gt;0</formula>
    </cfRule>
    <cfRule type="duplicateValues" dxfId="81" priority="19"/>
  </conditionalFormatting>
  <conditionalFormatting sqref="N3">
    <cfRule type="containsText" dxfId="80" priority="6" operator="containsText" text="o">
      <formula>NOT(ISERROR(SEARCH("o",N3)))</formula>
    </cfRule>
  </conditionalFormatting>
  <conditionalFormatting sqref="S3">
    <cfRule type="containsText" dxfId="79" priority="5" operator="containsText" text="o">
      <formula>NOT(ISERROR(SEARCH("o",S3)))</formula>
    </cfRule>
  </conditionalFormatting>
  <conditionalFormatting sqref="U3">
    <cfRule type="containsText" dxfId="78" priority="4" operator="containsText" text="o">
      <formula>NOT(ISERROR(SEARCH("o",U3)))</formula>
    </cfRule>
  </conditionalFormatting>
  <conditionalFormatting sqref="T3">
    <cfRule type="containsText" dxfId="77" priority="3" operator="containsText" text="o">
      <formula>NOT(ISERROR(SEARCH("o",T3)))</formula>
    </cfRule>
  </conditionalFormatting>
  <conditionalFormatting sqref="R3">
    <cfRule type="containsText" dxfId="76" priority="2" operator="containsText" text="o">
      <formula>NOT(ISERROR(SEARCH("o",R3)))</formula>
    </cfRule>
  </conditionalFormatting>
  <conditionalFormatting sqref="O3">
    <cfRule type="containsText" dxfId="75" priority="1" operator="containsText" text="o">
      <formula>NOT(ISERROR(SEARCH("o",O3)))</formula>
    </cfRule>
  </conditionalFormatting>
  <conditionalFormatting sqref="A7:L7 N7:AE7">
    <cfRule type="expression" dxfId="74" priority="14">
      <formula>AND($U7&lt;#REF!,$U7&lt;&gt;"")</formula>
    </cfRule>
  </conditionalFormatting>
  <dataValidations count="1">
    <dataValidation type="list" allowBlank="1" showInputMessage="1" showErrorMessage="1" sqref="AD7 AF7 R7 N7 I7" xr:uid="{4F15CB86-2722-4862-8B27-A9C1DB44415A}">
      <formula1>#REF!</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3" id="{AD66F4C2-D332-4D61-B37A-10BDBEBAA901}">
            <xm:f>AND($U7&lt;'Macintosh HD:Users:rachakzouhair:Library:Containers:com.microsoft.Excel:Data:Documents:Macintosh HD:Users:fzarrouk:Desktop:[BD1_LACQ2 .xlsx]DATA'!#REF!,$U7&lt;&gt;"")</xm:f>
            <x14:dxf>
              <font>
                <b/>
                <i val="0"/>
                <color theme="1"/>
              </font>
              <fill>
                <patternFill>
                  <bgColor theme="7"/>
                </patternFill>
              </fill>
            </x14:dxf>
          </x14:cfRule>
          <xm:sqref>C7:D7</xm:sqref>
        </x14:conditionalFormatting>
        <x14:conditionalFormatting xmlns:xm="http://schemas.microsoft.com/office/excel/2006/main">
          <x14:cfRule type="expression" priority="12" id="{66A2C900-B434-4907-99BC-331037C03901}">
            <xm:f>AND($U7&lt;'Macintosh HD:Users:rachakzouhair:Library:Containers:com.microsoft.Excel:Data:Documents:Macintosh HD:Users:fzarrouk:Desktop:[BD1_LACQ2 .xlsx]DATA'!#REF!,$U7&lt;&gt;"")</xm:f>
            <x14:dxf>
              <font>
                <b/>
                <i val="0"/>
                <color theme="1"/>
              </font>
              <fill>
                <patternFill>
                  <bgColor theme="7"/>
                </patternFill>
              </fill>
            </x14:dxf>
          </x14:cfRule>
          <xm:sqref>C7:D7</xm:sqref>
        </x14:conditionalFormatting>
        <x14:conditionalFormatting xmlns:xm="http://schemas.microsoft.com/office/excel/2006/main">
          <x14:cfRule type="expression" priority="11" id="{35DE0968-8A56-40C6-BA22-574409672E04}">
            <xm:f>AND($U6&lt;'Macintosh HD:Users:rachakzouhair:Library:Containers:com.microsoft.Excel:Data:Documents:Macintosh HD:Users:fzarrouk:Desktop:[BD1_LACQ2 .xlsx]DATA'!#REF!,$U6&lt;&gt;"")</xm:f>
            <x14:dxf>
              <font>
                <b/>
                <i val="0"/>
                <color theme="1"/>
              </font>
              <fill>
                <patternFill>
                  <bgColor theme="7"/>
                </patternFill>
              </fill>
            </x14:dxf>
          </x14:cfRule>
          <xm:sqref>B7:C7 K7</xm:sqref>
        </x14:conditionalFormatting>
        <x14:conditionalFormatting xmlns:xm="http://schemas.microsoft.com/office/excel/2006/main">
          <x14:cfRule type="expression" priority="10" id="{40319F17-0C6B-4A6A-B814-D9A18E8DB608}">
            <xm:f>AND($U7&lt;'Macintosh HD:Users:rachakzouhair:Library:Containers:com.microsoft.Excel:Data:Documents:Macintosh HD:Users:fzarrouk:Desktop:[BD1_LACQ2 .xlsx]DATA'!#REF!,$U7&lt;&gt;"")</xm:f>
            <x14:dxf>
              <font>
                <b/>
                <i val="0"/>
                <color theme="1"/>
              </font>
              <fill>
                <patternFill>
                  <bgColor theme="7"/>
                </patternFill>
              </fill>
            </x14:dxf>
          </x14:cfRule>
          <xm:sqref>C7:D7</xm:sqref>
        </x14:conditionalFormatting>
        <x14:conditionalFormatting xmlns:xm="http://schemas.microsoft.com/office/excel/2006/main">
          <x14:cfRule type="expression" priority="9" id="{B76D1DD8-B23E-4419-8438-812E9581CBFB}">
            <xm:f>AND($U7&lt;'Macintosh HD:Users:rachakzouhair:Library:Containers:com.microsoft.Excel:Data:Documents:Macintosh HD:Users:asmaabenhida:Downloads:[BD1_LACQ2 (11).xlsx]DATA'!#REF!,$U7&lt;&gt;"")</xm:f>
            <x14:dxf>
              <font>
                <b/>
                <i val="0"/>
                <color theme="1"/>
              </font>
              <fill>
                <patternFill>
                  <bgColor theme="7"/>
                </patternFill>
              </fill>
            </x14:dxf>
          </x14:cfRule>
          <xm:sqref>AA7:AC7 V7 S7:T7 X7:Y7 A7 K7 C7:I7 N7:P7</xm:sqref>
        </x14:conditionalFormatting>
        <x14:conditionalFormatting xmlns:xm="http://schemas.microsoft.com/office/excel/2006/main">
          <x14:cfRule type="expression" priority="15" id="{923D0A1A-DD2F-47A7-9367-A9D1A0DD820C}">
            <xm:f>AND($U5&lt;'Macintosh HD:Users:rachakzouhair:Library:Containers:com.microsoft.Excel:Data:Documents:Macintosh HD:Users:fzarrouk:Desktop:[BD1_LACQ2 .xlsx]DATA'!#REF!,$U5&lt;&gt;"")</xm:f>
            <x14:dxf>
              <font>
                <b/>
                <i val="0"/>
                <color theme="1"/>
              </font>
              <fill>
                <patternFill>
                  <bgColor theme="7"/>
                </patternFill>
              </fill>
            </x14:dxf>
          </x14:cfRule>
          <xm:sqref>B7:C7</xm:sqref>
        </x14:conditionalFormatting>
        <x14:conditionalFormatting xmlns:xm="http://schemas.microsoft.com/office/excel/2006/main">
          <x14:cfRule type="expression" priority="8" id="{46D1A710-D224-4F5A-8501-DABFB3C92FCD}">
            <xm:f>AND($U7&lt;'Macintosh HD:Users:rachakzouhair:Library:Containers:com.microsoft.Excel:Data:Documents:Macintosh HD:Users:asmaabenhida:Downloads:[BD1_LACQ2 (11).xlsx]DATA'!#REF!,$U7&lt;&gt;"")</xm:f>
            <x14:dxf>
              <font>
                <b/>
                <i val="0"/>
                <color theme="1"/>
              </font>
              <fill>
                <patternFill>
                  <bgColor theme="7"/>
                </patternFill>
              </fill>
            </x14:dxf>
          </x14:cfRule>
          <xm:sqref>L7</xm:sqref>
        </x14:conditionalFormatting>
        <x14:conditionalFormatting xmlns:xm="http://schemas.microsoft.com/office/excel/2006/main">
          <x14:cfRule type="expression" priority="7" id="{5A1545AE-27CA-46C1-A244-2DF752098999}">
            <xm:f>AND($U7&lt;'Macintosh HD:Users:rachakzouhair:Library:Containers:com.microsoft.Excel:Data:Documents:Macintosh HD:Users:asmaabenhida:Downloads:[BD1_LACQ2 (11).xlsx]DATA'!#REF!,$U7&lt;&gt;"")</xm:f>
            <x14:dxf>
              <font>
                <b/>
                <i val="0"/>
                <color theme="1"/>
              </font>
              <fill>
                <patternFill>
                  <bgColor theme="7"/>
                </patternFill>
              </fill>
            </x14:dxf>
          </x14:cfRule>
          <xm:sqref>B7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'C:\Users\rachakzouhair\Desktop\DATA LACQ\Gestion du LACQ\[BD1_LACQ.xlsx]DATA'!#REF!</xm:f>
          </x14:formula1>
          <xm:sqref>AE1:AE2 AG1:AG2</xm:sqref>
        </x14:dataValidation>
        <x14:dataValidation type="list" allowBlank="1" showInputMessage="1" showErrorMessage="1" xr:uid="{00000000-0002-0000-0400-000001000000}">
          <x14:formula1>
            <xm:f>'C:\Users\rachakzouhair\Desktop\DATA LACQ\Gestion du LACQ\[BD1_LACQ.xlsx]DATA'!#REF!</xm:f>
          </x14:formula1>
          <xm:sqref>AH1:AH2</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0">
    <tabColor rgb="FF008000"/>
  </sheetPr>
  <dimension ref="A1:AW63"/>
  <sheetViews>
    <sheetView showGridLines="0" view="pageBreakPreview" zoomScale="94" zoomScaleSheetLayoutView="94" workbookViewId="0">
      <selection activeCell="B11" sqref="B11:D11"/>
    </sheetView>
  </sheetViews>
  <sheetFormatPr baseColWidth="10" defaultColWidth="10.8984375" defaultRowHeight="15.6"/>
  <cols>
    <col min="1" max="1" width="30.5" customWidth="1"/>
    <col min="2" max="2" width="6.8984375" style="305" customWidth="1"/>
    <col min="3" max="3" width="18.09765625" style="100" customWidth="1"/>
    <col min="4" max="4" width="9.3984375" style="100" customWidth="1"/>
    <col min="5" max="5" width="33.09765625" customWidth="1"/>
    <col min="6" max="6" width="7.59765625" style="302" customWidth="1"/>
    <col min="7" max="7" width="25.3984375" style="302" customWidth="1"/>
    <col min="8" max="8" width="9.3984375" style="100" hidden="1" customWidth="1"/>
    <col min="9" max="9" width="10.8984375" style="100" hidden="1" customWidth="1"/>
    <col min="10" max="10" width="10.8984375" hidden="1" customWidth="1"/>
    <col min="11" max="11" width="0" hidden="1" customWidth="1"/>
    <col min="22" max="55" width="10.8984375" customWidth="1"/>
  </cols>
  <sheetData>
    <row r="1" spans="1:49" ht="39" customHeight="1">
      <c r="A1" s="18"/>
      <c r="B1" s="78"/>
      <c r="C1" s="957"/>
      <c r="D1" s="1103" t="s">
        <v>532</v>
      </c>
      <c r="E1" s="1103"/>
      <c r="F1" s="1103"/>
      <c r="G1" s="957"/>
      <c r="I1" s="100" t="s">
        <v>533</v>
      </c>
      <c r="V1" s="887" t="s">
        <v>1212</v>
      </c>
      <c r="AW1" t="str">
        <f>F6&amp;"_"&amp;B5&amp;"_"&amp;B8</f>
        <v>202024_MOHAMED AZOULY_PUITS</v>
      </c>
    </row>
    <row r="2" spans="1:49" ht="18" customHeight="1">
      <c r="A2" s="18" t="s">
        <v>1273</v>
      </c>
      <c r="B2" s="78"/>
      <c r="C2" s="958"/>
      <c r="D2" s="1104" t="str">
        <f>"N°EAU"&amp;F6</f>
        <v>N°EAU202024</v>
      </c>
      <c r="E2" s="1104"/>
      <c r="F2" s="1104"/>
      <c r="G2" s="958"/>
      <c r="V2" s="887" t="s">
        <v>1211</v>
      </c>
    </row>
    <row r="3" spans="1:49" ht="15.9" customHeight="1">
      <c r="A3" s="79" t="s">
        <v>305</v>
      </c>
      <c r="B3" s="78"/>
      <c r="V3" s="188" t="str">
        <f>"C:\Users\Amine Bouslamti\Documents\mes docs\POTA"&amp;F6&amp;"_"&amp;B5&amp;"_"&amp;B8</f>
        <v>C:\Users\Amine Bouslamti\Documents\mes docs\POTA202024_MOHAMED AZOULY_PUITS</v>
      </c>
    </row>
    <row r="4" spans="1:49" ht="15.9" customHeight="1">
      <c r="A4" s="80" t="s">
        <v>534</v>
      </c>
      <c r="B4" s="78"/>
      <c r="C4" s="98"/>
      <c r="D4" s="98"/>
      <c r="G4" s="948" t="s">
        <v>329</v>
      </c>
    </row>
    <row r="5" spans="1:49" s="306" customFormat="1" ht="18.899999999999999" customHeight="1">
      <c r="A5" s="303" t="s">
        <v>299</v>
      </c>
      <c r="B5" s="1098" t="str">
        <f>VBA_POTA!B7</f>
        <v>MOHAMED AZOULY</v>
      </c>
      <c r="C5" s="1099"/>
      <c r="D5" s="1099"/>
      <c r="E5" s="303" t="s">
        <v>535</v>
      </c>
      <c r="F5" s="1100" t="str">
        <f>IF(VBA_POTA!P7="","Non spécifié",VBA_POTA!P7)</f>
        <v xml:space="preserve">OUSSAMA ZBITA </v>
      </c>
      <c r="G5" s="1100"/>
      <c r="H5" s="304"/>
      <c r="I5" s="305"/>
    </row>
    <row r="6" spans="1:49" s="306" customFormat="1" ht="18.899999999999999" customHeight="1">
      <c r="A6" s="303" t="s">
        <v>298</v>
      </c>
      <c r="B6" s="1101" t="str">
        <f>IF(VBA_POTA!D7="","",VBA_POTA!D7)</f>
        <v>VA 53919</v>
      </c>
      <c r="C6" s="1101"/>
      <c r="D6" s="1101"/>
      <c r="E6" s="303" t="s">
        <v>290</v>
      </c>
      <c r="F6" s="1102">
        <f>+VBA_POTA!A7</f>
        <v>202024</v>
      </c>
      <c r="G6" s="1102"/>
      <c r="H6" s="304"/>
      <c r="I6" s="305"/>
    </row>
    <row r="7" spans="1:49" s="306" customFormat="1" ht="18.899999999999999" customHeight="1">
      <c r="A7" s="303" t="s">
        <v>297</v>
      </c>
      <c r="B7" s="1101" t="str">
        <f>VBA_POTA!C7</f>
        <v>MEKNES</v>
      </c>
      <c r="C7" s="1101"/>
      <c r="D7" s="1101"/>
      <c r="E7" s="303" t="s">
        <v>292</v>
      </c>
      <c r="F7" s="1105">
        <f>+F8-1</f>
        <v>44165</v>
      </c>
      <c r="G7" s="1106"/>
      <c r="H7" s="304"/>
      <c r="I7" s="305"/>
    </row>
    <row r="8" spans="1:49" s="306" customFormat="1" ht="18.899999999999999" customHeight="1">
      <c r="A8" s="303" t="s">
        <v>295</v>
      </c>
      <c r="B8" s="1101" t="str">
        <f>VBA_POTA!K7</f>
        <v>PUITS</v>
      </c>
      <c r="C8" s="1101"/>
      <c r="D8" s="1101"/>
      <c r="E8" s="303" t="s">
        <v>291</v>
      </c>
      <c r="F8" s="1105">
        <f>VBA_POTA!E7</f>
        <v>44166</v>
      </c>
      <c r="G8" s="1106"/>
      <c r="H8" s="304"/>
      <c r="I8" s="305"/>
    </row>
    <row r="9" spans="1:49" s="306" customFormat="1" ht="18.899999999999999" customHeight="1">
      <c r="A9" s="303" t="s">
        <v>301</v>
      </c>
      <c r="B9" s="1101" t="str">
        <f>VBA_POTA!J7</f>
        <v>EAU DE PUITS</v>
      </c>
      <c r="C9" s="1101"/>
      <c r="D9" s="1101"/>
      <c r="E9" s="303" t="s">
        <v>293</v>
      </c>
      <c r="F9" s="1105">
        <f>F8</f>
        <v>44166</v>
      </c>
      <c r="G9" s="1106"/>
      <c r="H9" s="304"/>
      <c r="I9" s="305"/>
    </row>
    <row r="10" spans="1:49" s="306" customFormat="1" ht="18.899999999999999" customHeight="1">
      <c r="A10" s="303" t="s">
        <v>287</v>
      </c>
      <c r="B10" s="1100" t="str">
        <f>VBA_POTA!AC7&amp;"°C"</f>
        <v>4,9°C</v>
      </c>
      <c r="C10" s="1100"/>
      <c r="D10" s="1100"/>
      <c r="E10" s="303" t="s">
        <v>294</v>
      </c>
      <c r="F10" s="1100" t="str">
        <f ca="1">TEXT(NOW(),"jj/mm/aa hh:mm")</f>
        <v>24/03/23 13:38</v>
      </c>
      <c r="G10" s="1100"/>
      <c r="H10" s="304"/>
      <c r="I10" s="305"/>
    </row>
    <row r="11" spans="1:49" s="306" customFormat="1" ht="18.899999999999999" customHeight="1">
      <c r="A11" s="303" t="s">
        <v>536</v>
      </c>
      <c r="B11" s="1100" t="str">
        <f>VBA_POTA!X7&amp;" / "&amp;VBA_POTA!Y7</f>
        <v xml:space="preserve"> / </v>
      </c>
      <c r="C11" s="1100"/>
      <c r="D11" s="1100"/>
      <c r="E11" s="303" t="s">
        <v>311</v>
      </c>
      <c r="F11" s="1113" t="str">
        <f>IF(VBA_POTA!Z7="","",VBA_POTA!Z7)</f>
        <v/>
      </c>
      <c r="G11" s="1113"/>
      <c r="H11" s="304"/>
      <c r="I11" s="305"/>
    </row>
    <row r="14" spans="1:49" ht="35.1" customHeight="1">
      <c r="A14" s="307" t="s">
        <v>2</v>
      </c>
      <c r="B14" s="308" t="s">
        <v>3</v>
      </c>
      <c r="C14" s="308" t="s">
        <v>263</v>
      </c>
      <c r="D14" s="308" t="s">
        <v>537</v>
      </c>
      <c r="E14" s="308" t="s">
        <v>363</v>
      </c>
      <c r="F14" s="308" t="s">
        <v>538</v>
      </c>
      <c r="G14" s="309" t="s">
        <v>539</v>
      </c>
    </row>
    <row r="15" spans="1:49" ht="24.9" hidden="1" customHeight="1">
      <c r="A15" s="310" t="s">
        <v>540</v>
      </c>
      <c r="B15" s="115" t="s">
        <v>541</v>
      </c>
      <c r="C15" s="116" t="s">
        <v>542</v>
      </c>
      <c r="D15" s="115" t="s">
        <v>395</v>
      </c>
      <c r="E15" s="115" t="s">
        <v>543</v>
      </c>
      <c r="F15" s="311"/>
      <c r="G15" s="118"/>
      <c r="H15" s="100">
        <f>SUM(H18:H49)</f>
        <v>0</v>
      </c>
    </row>
    <row r="16" spans="1:49" ht="24.9" hidden="1" customHeight="1">
      <c r="A16" s="312" t="s">
        <v>544</v>
      </c>
      <c r="B16" s="118"/>
      <c r="C16" s="119" t="s">
        <v>545</v>
      </c>
      <c r="D16" s="118"/>
      <c r="E16" s="118" t="s">
        <v>543</v>
      </c>
      <c r="F16" s="311"/>
      <c r="G16" s="118"/>
    </row>
    <row r="17" spans="1:9" ht="24.9" hidden="1" customHeight="1">
      <c r="A17" s="312" t="s">
        <v>546</v>
      </c>
      <c r="B17" s="118" t="s">
        <v>547</v>
      </c>
      <c r="C17" s="119" t="s">
        <v>542</v>
      </c>
      <c r="D17" s="118" t="s">
        <v>395</v>
      </c>
      <c r="E17" s="128" t="s">
        <v>543</v>
      </c>
      <c r="F17" s="311"/>
      <c r="G17" s="118"/>
    </row>
    <row r="18" spans="1:9" ht="24.9" customHeight="1">
      <c r="A18" s="312" t="s">
        <v>1228</v>
      </c>
      <c r="B18" s="118" t="s">
        <v>252</v>
      </c>
      <c r="C18" s="949" t="s">
        <v>1236</v>
      </c>
      <c r="D18" s="118" t="s">
        <v>261</v>
      </c>
      <c r="E18" s="118">
        <f>I18</f>
        <v>7.53</v>
      </c>
      <c r="F18" s="311" t="str">
        <f>IF(AND(I18&gt;6.5,I18&lt;8.5),"","◉")</f>
        <v/>
      </c>
      <c r="G18" s="118" t="s">
        <v>548</v>
      </c>
      <c r="H18" s="100">
        <f>IF(OR(E18&lt;6.5,E18&gt;8.5),1,0)</f>
        <v>0</v>
      </c>
      <c r="I18" s="100">
        <f>VBA_POTA!E3</f>
        <v>7.53</v>
      </c>
    </row>
    <row r="19" spans="1:9" ht="24.9" customHeight="1">
      <c r="A19" s="312" t="s">
        <v>1229</v>
      </c>
      <c r="B19" s="118" t="s">
        <v>253</v>
      </c>
      <c r="C19" s="949" t="s">
        <v>1249</v>
      </c>
      <c r="D19" s="118" t="s">
        <v>549</v>
      </c>
      <c r="E19" s="118">
        <f t="shared" ref="E19:E34" si="0">I19</f>
        <v>1180</v>
      </c>
      <c r="F19" s="311" t="str">
        <f>IF(I19&gt;G19,"◉","")</f>
        <v/>
      </c>
      <c r="G19" s="118">
        <v>2700</v>
      </c>
      <c r="H19" s="100">
        <f>IF(I19&gt;G19,1,0)</f>
        <v>0</v>
      </c>
      <c r="I19" s="100">
        <f>VBA_POTA!F3*1000</f>
        <v>1180</v>
      </c>
    </row>
    <row r="20" spans="1:9" s="892" customFormat="1" ht="24.9" hidden="1" customHeight="1">
      <c r="A20" s="888" t="s">
        <v>550</v>
      </c>
      <c r="B20" s="889" t="s">
        <v>551</v>
      </c>
      <c r="C20" s="950" t="s">
        <v>552</v>
      </c>
      <c r="D20" s="889" t="s">
        <v>395</v>
      </c>
      <c r="E20" s="889">
        <f>E19*0.6/1000</f>
        <v>0.70799999999999996</v>
      </c>
      <c r="F20" s="890"/>
      <c r="G20" s="889" t="s">
        <v>21</v>
      </c>
      <c r="H20" s="891"/>
      <c r="I20" s="891"/>
    </row>
    <row r="21" spans="1:9" ht="24.9" hidden="1" customHeight="1">
      <c r="A21" s="312" t="s">
        <v>531</v>
      </c>
      <c r="B21" s="118" t="s">
        <v>518</v>
      </c>
      <c r="C21" s="949" t="s">
        <v>553</v>
      </c>
      <c r="D21" s="118" t="s">
        <v>554</v>
      </c>
      <c r="E21" s="118">
        <v>7.65</v>
      </c>
      <c r="F21" s="311"/>
      <c r="G21" s="118" t="s">
        <v>555</v>
      </c>
    </row>
    <row r="22" spans="1:9" ht="24.9" customHeight="1">
      <c r="A22" s="312" t="s">
        <v>246</v>
      </c>
      <c r="B22" s="118" t="s">
        <v>255</v>
      </c>
      <c r="C22" s="949" t="s">
        <v>1250</v>
      </c>
      <c r="D22" s="118" t="s">
        <v>395</v>
      </c>
      <c r="E22" s="128" t="str">
        <f>IF(I22&lt;=0.5,"Inf à 0,50",IF(I22&gt;=100,TEXT(I22,"0"),IF(I22&lt;10,TEXT(I22,"0,00"),I22)))</f>
        <v>8,98</v>
      </c>
      <c r="F22" s="311" t="str">
        <f t="shared" ref="F22:F28" si="1">IF(I22&gt;G22,"◉","")</f>
        <v/>
      </c>
      <c r="G22" s="118">
        <v>50</v>
      </c>
      <c r="H22" s="100">
        <f t="shared" ref="H22:H28" si="2">IF(I22&gt;G22,1,0)</f>
        <v>0</v>
      </c>
      <c r="I22" s="100">
        <f>VBA_POTA!G3</f>
        <v>8.98</v>
      </c>
    </row>
    <row r="23" spans="1:9" ht="24.9" customHeight="1">
      <c r="A23" s="312" t="s">
        <v>556</v>
      </c>
      <c r="B23" s="118" t="s">
        <v>256</v>
      </c>
      <c r="C23" s="949" t="s">
        <v>1250</v>
      </c>
      <c r="D23" s="118" t="s">
        <v>395</v>
      </c>
      <c r="E23" s="124" t="str">
        <f>IF(I23&lt;=0.1,"Inf à 0,10",I23)</f>
        <v>Inf à 0,10</v>
      </c>
      <c r="F23" s="311" t="str">
        <f t="shared" si="1"/>
        <v/>
      </c>
      <c r="G23" s="118">
        <v>0.5</v>
      </c>
      <c r="H23" s="100">
        <f t="shared" si="2"/>
        <v>0</v>
      </c>
      <c r="I23" s="100">
        <f>VBA_POTA!H3</f>
        <v>0</v>
      </c>
    </row>
    <row r="24" spans="1:9" ht="24.9" customHeight="1">
      <c r="A24" s="312" t="s">
        <v>247</v>
      </c>
      <c r="B24" s="118" t="s">
        <v>257</v>
      </c>
      <c r="C24" s="949" t="s">
        <v>1239</v>
      </c>
      <c r="D24" s="118" t="s">
        <v>395</v>
      </c>
      <c r="E24" s="124">
        <f>IF(I24&lt;=0.1,"Inf à 0,10",I24)</f>
        <v>0.22</v>
      </c>
      <c r="F24" s="311" t="str">
        <f t="shared" si="1"/>
        <v/>
      </c>
      <c r="G24" s="118">
        <v>0.5</v>
      </c>
      <c r="H24" s="100">
        <f t="shared" si="2"/>
        <v>0</v>
      </c>
      <c r="I24" s="100">
        <f>VBA_POTA!I3</f>
        <v>0.22</v>
      </c>
    </row>
    <row r="25" spans="1:9" ht="24.9" customHeight="1">
      <c r="A25" s="312" t="s">
        <v>557</v>
      </c>
      <c r="B25" s="118" t="s">
        <v>9</v>
      </c>
      <c r="C25" s="949" t="s">
        <v>1251</v>
      </c>
      <c r="D25" s="118" t="s">
        <v>395</v>
      </c>
      <c r="E25" s="120">
        <f t="shared" si="0"/>
        <v>67.25</v>
      </c>
      <c r="F25" s="311" t="str">
        <f t="shared" si="1"/>
        <v/>
      </c>
      <c r="G25" s="118">
        <v>750</v>
      </c>
      <c r="H25" s="100">
        <f t="shared" si="2"/>
        <v>0</v>
      </c>
      <c r="I25" s="100">
        <f>VBA_POTA!J3</f>
        <v>67.25</v>
      </c>
    </row>
    <row r="26" spans="1:9" ht="24.9" customHeight="1">
      <c r="A26" s="312" t="s">
        <v>248</v>
      </c>
      <c r="B26" s="118" t="s">
        <v>258</v>
      </c>
      <c r="C26" s="949" t="s">
        <v>1252</v>
      </c>
      <c r="D26" s="118" t="s">
        <v>395</v>
      </c>
      <c r="E26" s="118">
        <f t="shared" si="0"/>
        <v>157.91</v>
      </c>
      <c r="F26" s="311" t="str">
        <f t="shared" si="1"/>
        <v/>
      </c>
      <c r="G26" s="118">
        <v>400</v>
      </c>
      <c r="H26" s="100">
        <f t="shared" si="2"/>
        <v>0</v>
      </c>
      <c r="I26" s="100">
        <f>VBA_POTA!K3</f>
        <v>157.91</v>
      </c>
    </row>
    <row r="27" spans="1:9" ht="24.9" customHeight="1">
      <c r="A27" s="312" t="s">
        <v>1230</v>
      </c>
      <c r="B27" s="118" t="s">
        <v>7</v>
      </c>
      <c r="C27" s="949" t="s">
        <v>1240</v>
      </c>
      <c r="D27" s="118" t="s">
        <v>395</v>
      </c>
      <c r="E27" s="128">
        <f t="shared" si="0"/>
        <v>152.74</v>
      </c>
      <c r="F27" s="311" t="str">
        <f t="shared" si="1"/>
        <v/>
      </c>
      <c r="G27" s="118" t="s">
        <v>558</v>
      </c>
      <c r="H27" s="100">
        <f t="shared" si="2"/>
        <v>0</v>
      </c>
      <c r="I27" s="100">
        <f>VBA_POTA!N3</f>
        <v>152.74</v>
      </c>
    </row>
    <row r="28" spans="1:9" ht="24.9" customHeight="1">
      <c r="A28" s="312" t="s">
        <v>1231</v>
      </c>
      <c r="B28" s="118" t="s">
        <v>6</v>
      </c>
      <c r="C28" s="949" t="s">
        <v>1253</v>
      </c>
      <c r="D28" s="118" t="s">
        <v>395</v>
      </c>
      <c r="E28" s="128">
        <f t="shared" si="0"/>
        <v>51.2</v>
      </c>
      <c r="F28" s="311" t="str">
        <f t="shared" si="1"/>
        <v/>
      </c>
      <c r="G28" s="118" t="s">
        <v>558</v>
      </c>
      <c r="H28" s="100">
        <f t="shared" si="2"/>
        <v>0</v>
      </c>
      <c r="I28" s="100">
        <f>VBA_POTA!O3</f>
        <v>51.2</v>
      </c>
    </row>
    <row r="29" spans="1:9" ht="24.9" customHeight="1">
      <c r="A29" s="312" t="s">
        <v>559</v>
      </c>
      <c r="B29" s="118" t="s">
        <v>560</v>
      </c>
      <c r="C29" s="949" t="s">
        <v>561</v>
      </c>
      <c r="D29" s="118" t="s">
        <v>562</v>
      </c>
      <c r="E29" s="128">
        <f>(E27/20+E28/12)*5</f>
        <v>59.518333333333331</v>
      </c>
      <c r="F29" s="311"/>
      <c r="G29" s="118" t="s">
        <v>558</v>
      </c>
    </row>
    <row r="30" spans="1:9" ht="24.9" customHeight="1">
      <c r="A30" s="312" t="s">
        <v>250</v>
      </c>
      <c r="B30" s="118" t="s">
        <v>259</v>
      </c>
      <c r="C30" s="949" t="s">
        <v>1243</v>
      </c>
      <c r="D30" s="118" t="s">
        <v>395</v>
      </c>
      <c r="E30" s="120">
        <f>VBA_POTA!L3</f>
        <v>11.3</v>
      </c>
      <c r="F30" s="311" t="str">
        <f>IF(I30&gt;G30,"◉","")</f>
        <v/>
      </c>
      <c r="G30" s="118" t="s">
        <v>558</v>
      </c>
      <c r="H30" s="100">
        <f>IF(I30&gt;G30,1,0)</f>
        <v>0</v>
      </c>
      <c r="I30" s="100">
        <f>(E27/20+E28/12)*5</f>
        <v>59.518333333333331</v>
      </c>
    </row>
    <row r="31" spans="1:9" ht="24.9" customHeight="1">
      <c r="A31" s="312" t="s">
        <v>563</v>
      </c>
      <c r="B31" s="118" t="s">
        <v>564</v>
      </c>
      <c r="C31" s="949" t="s">
        <v>303</v>
      </c>
      <c r="D31" s="118" t="s">
        <v>562</v>
      </c>
      <c r="E31" s="128">
        <f t="shared" si="0"/>
        <v>0.92622950819672145</v>
      </c>
      <c r="F31" s="311" t="str">
        <f>IF(I31&gt;G31,"◉","")</f>
        <v/>
      </c>
      <c r="G31" s="118" t="s">
        <v>558</v>
      </c>
      <c r="H31" s="100">
        <f>IF(I31&gt;G31,1,0)</f>
        <v>0</v>
      </c>
      <c r="I31" s="100">
        <f>VBA_POTA!L3/12.2</f>
        <v>0.92622950819672145</v>
      </c>
    </row>
    <row r="32" spans="1:9" ht="24.9" customHeight="1">
      <c r="A32" s="312" t="s">
        <v>565</v>
      </c>
      <c r="B32" s="118"/>
      <c r="C32" s="949" t="s">
        <v>566</v>
      </c>
      <c r="D32" s="118" t="s">
        <v>567</v>
      </c>
      <c r="E32" s="124">
        <f ca="1">RANDBETWEEN(100,160)/100</f>
        <v>1.1399999999999999</v>
      </c>
      <c r="F32" s="311" t="str">
        <f>IF(I32&gt;G32,"◉","")</f>
        <v/>
      </c>
      <c r="G32" s="118">
        <v>5</v>
      </c>
      <c r="H32" s="100">
        <f>IF(I32&gt;G32,1,0)</f>
        <v>0</v>
      </c>
      <c r="I32" s="100">
        <f>VBA_POTA!P3</f>
        <v>0</v>
      </c>
    </row>
    <row r="33" spans="1:9" ht="24.9" hidden="1" customHeight="1">
      <c r="A33" s="312" t="s">
        <v>568</v>
      </c>
      <c r="B33" s="118"/>
      <c r="C33" s="949" t="s">
        <v>569</v>
      </c>
      <c r="D33" s="118" t="s">
        <v>570</v>
      </c>
      <c r="E33" s="124" t="s">
        <v>571</v>
      </c>
      <c r="F33" s="311"/>
      <c r="G33" s="118"/>
    </row>
    <row r="34" spans="1:9" ht="24.9" customHeight="1">
      <c r="A34" s="312" t="s">
        <v>520</v>
      </c>
      <c r="B34" s="118"/>
      <c r="C34" s="949" t="s">
        <v>572</v>
      </c>
      <c r="D34" s="118" t="s">
        <v>528</v>
      </c>
      <c r="E34" s="124">
        <f t="shared" si="0"/>
        <v>0.88400000000000001</v>
      </c>
      <c r="F34" s="311" t="str">
        <f>IF(I34&gt;G34,"◉","")</f>
        <v/>
      </c>
      <c r="G34" s="118">
        <v>5</v>
      </c>
      <c r="H34" s="100">
        <f>IF(I34&gt;G34,1,0)</f>
        <v>0</v>
      </c>
      <c r="I34" s="100">
        <f>VBA_POTA!Q3</f>
        <v>0.88400000000000001</v>
      </c>
    </row>
    <row r="35" spans="1:9" ht="24.9" customHeight="1">
      <c r="A35" s="312" t="s">
        <v>1232</v>
      </c>
      <c r="B35" s="118" t="s">
        <v>14</v>
      </c>
      <c r="C35" s="949" t="s">
        <v>1253</v>
      </c>
      <c r="D35" s="118" t="s">
        <v>395</v>
      </c>
      <c r="E35" s="142" t="str">
        <f>IF(I35&lt;0.01,"Inf à 0,010",I35)</f>
        <v>Inf à 0,010</v>
      </c>
      <c r="F35" s="311" t="str">
        <f>IF(I35&gt;G35,"◉","")</f>
        <v/>
      </c>
      <c r="G35" s="118">
        <v>2</v>
      </c>
      <c r="H35" s="100">
        <f>IF(I35&gt;G35,1,0)</f>
        <v>0</v>
      </c>
      <c r="I35" s="100">
        <f>VBA_POTA!S3</f>
        <v>1E-3</v>
      </c>
    </row>
    <row r="36" spans="1:9" ht="24.9" customHeight="1">
      <c r="A36" s="312" t="s">
        <v>1233</v>
      </c>
      <c r="B36" s="118" t="s">
        <v>12</v>
      </c>
      <c r="C36" s="949" t="s">
        <v>1253</v>
      </c>
      <c r="D36" s="118" t="s">
        <v>395</v>
      </c>
      <c r="E36" s="142">
        <f>IF(I36&lt;0.01,"Inf à 0,010",I36)</f>
        <v>0.02</v>
      </c>
      <c r="F36" s="311" t="str">
        <f>IF(I36&gt;G36,"◉","")</f>
        <v/>
      </c>
      <c r="G36" s="118">
        <v>3</v>
      </c>
      <c r="H36" s="100">
        <f>IF(I36&gt;G36,1,0)</f>
        <v>0</v>
      </c>
      <c r="I36" s="100">
        <f>VBA_POTA!R3</f>
        <v>0.02</v>
      </c>
    </row>
    <row r="37" spans="1:9" ht="24.9" customHeight="1">
      <c r="A37" s="312" t="s">
        <v>1234</v>
      </c>
      <c r="B37" s="118" t="s">
        <v>16</v>
      </c>
      <c r="C37" s="949" t="s">
        <v>1253</v>
      </c>
      <c r="D37" s="118" t="s">
        <v>395</v>
      </c>
      <c r="E37" s="142" t="str">
        <f>IF(I37&lt;0.01,"Inf à 0,010",I37)</f>
        <v>Inf à 0,010</v>
      </c>
      <c r="F37" s="311" t="str">
        <f>IF(I37&gt;G37,"◉","")</f>
        <v/>
      </c>
      <c r="G37" s="118">
        <v>0.5</v>
      </c>
      <c r="H37" s="100">
        <f>IF(I37&gt;G37,1,0)</f>
        <v>0</v>
      </c>
      <c r="I37" s="100">
        <f>VBA_POTA!T3</f>
        <v>1E-3</v>
      </c>
    </row>
    <row r="38" spans="1:9" ht="24.9" customHeight="1">
      <c r="A38" s="312" t="s">
        <v>1235</v>
      </c>
      <c r="B38" s="118" t="s">
        <v>18</v>
      </c>
      <c r="C38" s="949" t="s">
        <v>1240</v>
      </c>
      <c r="D38" s="118" t="s">
        <v>395</v>
      </c>
      <c r="E38" s="142" t="str">
        <f>IF(I38&lt;=0.005,"Inf à 0,005",I38)</f>
        <v>Inf à 0,005</v>
      </c>
      <c r="F38" s="311" t="str">
        <f>IF(I38&gt;G38,"◉","")</f>
        <v/>
      </c>
      <c r="G38" s="124">
        <v>0.3</v>
      </c>
      <c r="H38" s="100">
        <f>IF(I38&gt;G38,1,0)</f>
        <v>0</v>
      </c>
      <c r="I38" s="102">
        <f>VBA_POTA!U3</f>
        <v>1E-3</v>
      </c>
    </row>
    <row r="39" spans="1:9" ht="24.9" hidden="1" customHeight="1">
      <c r="A39" s="312" t="s">
        <v>573</v>
      </c>
      <c r="B39" s="118" t="s">
        <v>523</v>
      </c>
      <c r="C39" s="119" t="s">
        <v>574</v>
      </c>
      <c r="D39" s="118" t="s">
        <v>575</v>
      </c>
      <c r="E39" s="142" t="s">
        <v>576</v>
      </c>
      <c r="F39" s="311"/>
      <c r="G39" s="118"/>
    </row>
    <row r="40" spans="1:9" ht="24.9" hidden="1" customHeight="1">
      <c r="A40" s="312" t="s">
        <v>577</v>
      </c>
      <c r="B40" s="118" t="s">
        <v>578</v>
      </c>
      <c r="C40" s="119" t="s">
        <v>579</v>
      </c>
      <c r="D40" s="118" t="s">
        <v>395</v>
      </c>
      <c r="E40" s="142">
        <v>1.07</v>
      </c>
      <c r="F40" s="311"/>
      <c r="G40" s="118"/>
    </row>
    <row r="41" spans="1:9" ht="24.9" hidden="1" customHeight="1">
      <c r="A41" s="312" t="s">
        <v>413</v>
      </c>
      <c r="B41" s="118" t="s">
        <v>350</v>
      </c>
      <c r="C41" s="119" t="s">
        <v>302</v>
      </c>
      <c r="D41" s="118" t="s">
        <v>575</v>
      </c>
      <c r="E41" s="142" t="s">
        <v>576</v>
      </c>
      <c r="F41" s="311"/>
      <c r="G41" s="118"/>
    </row>
    <row r="42" spans="1:9" ht="24.9" hidden="1" customHeight="1">
      <c r="A42" s="312" t="s">
        <v>405</v>
      </c>
      <c r="B42" s="118" t="s">
        <v>342</v>
      </c>
      <c r="C42" s="119" t="s">
        <v>302</v>
      </c>
      <c r="D42" s="118" t="s">
        <v>575</v>
      </c>
      <c r="E42" s="142" t="str">
        <f>IF(I42&lt;=0.005,"Inf à 5",I42*1000)</f>
        <v>Inf à 5</v>
      </c>
      <c r="F42" s="311" t="str">
        <f>IF(I42*1000&gt;G42,"◉","")</f>
        <v/>
      </c>
      <c r="G42" s="118">
        <v>10</v>
      </c>
      <c r="H42" s="100">
        <f>IF(I42&gt;G42,1,0)</f>
        <v>0</v>
      </c>
      <c r="I42" s="100">
        <f>+VBA_POTA!X3</f>
        <v>0</v>
      </c>
    </row>
    <row r="43" spans="1:9" ht="24.9" hidden="1" customHeight="1">
      <c r="A43" s="312" t="s">
        <v>580</v>
      </c>
      <c r="B43" s="118" t="s">
        <v>521</v>
      </c>
      <c r="C43" s="119" t="s">
        <v>581</v>
      </c>
      <c r="D43" s="118" t="s">
        <v>575</v>
      </c>
      <c r="E43" s="142" t="s">
        <v>582</v>
      </c>
      <c r="F43" s="311"/>
      <c r="G43" s="118"/>
    </row>
    <row r="44" spans="1:9" ht="24.9" hidden="1" customHeight="1">
      <c r="A44" s="312" t="s">
        <v>412</v>
      </c>
      <c r="B44" s="118" t="s">
        <v>349</v>
      </c>
      <c r="C44" s="119" t="s">
        <v>302</v>
      </c>
      <c r="D44" s="118" t="s">
        <v>575</v>
      </c>
      <c r="E44" s="128">
        <v>7.3</v>
      </c>
      <c r="F44" s="311" t="str">
        <f>IF(I44*1000&gt;G44,"◉","")</f>
        <v/>
      </c>
      <c r="G44" s="118">
        <v>10</v>
      </c>
      <c r="H44" s="100">
        <f>IF(I44&gt;G44,1,0)</f>
        <v>0</v>
      </c>
      <c r="I44" s="100">
        <f>+VBA_POTA!Z3</f>
        <v>0</v>
      </c>
    </row>
    <row r="45" spans="1:9" ht="24.9" hidden="1" customHeight="1">
      <c r="A45" s="312" t="s">
        <v>411</v>
      </c>
      <c r="B45" s="118" t="s">
        <v>348</v>
      </c>
      <c r="C45" s="119" t="s">
        <v>302</v>
      </c>
      <c r="D45" s="118" t="s">
        <v>575</v>
      </c>
      <c r="E45" s="128">
        <v>4.5999999999999996</v>
      </c>
      <c r="F45" s="311" t="str">
        <f>IF(I45*1000&gt;G45,"◉","")</f>
        <v/>
      </c>
      <c r="G45" s="118">
        <v>20</v>
      </c>
      <c r="H45" s="100">
        <f>IF(I45&gt;G45,1,0)</f>
        <v>0</v>
      </c>
      <c r="I45" s="100">
        <f>+VBA_POTA!Y3</f>
        <v>0</v>
      </c>
    </row>
    <row r="46" spans="1:9" ht="24.9" hidden="1" customHeight="1">
      <c r="A46" s="312" t="s">
        <v>409</v>
      </c>
      <c r="B46" s="118" t="s">
        <v>346</v>
      </c>
      <c r="C46" s="119" t="s">
        <v>302</v>
      </c>
      <c r="D46" s="118" t="s">
        <v>575</v>
      </c>
      <c r="E46" s="142" t="str">
        <f>IF(I46&lt;=0.05,"Inf à 0,05",I46*1000)</f>
        <v>Inf à 0,05</v>
      </c>
      <c r="F46" s="311" t="str">
        <f>IF(I46*1000&gt;G46,"◉","")</f>
        <v/>
      </c>
      <c r="G46" s="118">
        <v>1</v>
      </c>
      <c r="H46" s="100">
        <f>IF(I46&gt;G46,1,0)</f>
        <v>0</v>
      </c>
      <c r="I46" s="100">
        <f>+VBA_POTA!AF3</f>
        <v>0</v>
      </c>
    </row>
    <row r="47" spans="1:9" ht="24.9" hidden="1" customHeight="1">
      <c r="A47" s="312" t="s">
        <v>583</v>
      </c>
      <c r="B47" s="118" t="s">
        <v>414</v>
      </c>
      <c r="C47" s="119" t="s">
        <v>302</v>
      </c>
      <c r="D47" s="118" t="s">
        <v>575</v>
      </c>
      <c r="E47" s="142" t="s">
        <v>584</v>
      </c>
      <c r="F47" s="311"/>
      <c r="G47" s="118"/>
    </row>
    <row r="48" spans="1:9" ht="24.9" hidden="1" customHeight="1">
      <c r="A48" s="312" t="s">
        <v>408</v>
      </c>
      <c r="B48" s="118" t="s">
        <v>345</v>
      </c>
      <c r="C48" s="119" t="s">
        <v>302</v>
      </c>
      <c r="D48" s="118" t="s">
        <v>575</v>
      </c>
      <c r="E48" s="142" t="s">
        <v>582</v>
      </c>
      <c r="F48" s="311"/>
      <c r="G48" s="118"/>
    </row>
    <row r="49" spans="1:9" ht="24.9" hidden="1" customHeight="1">
      <c r="A49" s="312" t="s">
        <v>406</v>
      </c>
      <c r="B49" s="118" t="s">
        <v>343</v>
      </c>
      <c r="C49" s="119" t="s">
        <v>302</v>
      </c>
      <c r="D49" s="118" t="s">
        <v>575</v>
      </c>
      <c r="E49" s="142" t="str">
        <f>IF(I49&lt;=0.5,"Inf à 0,50",I49*1000)</f>
        <v>Inf à 0,50</v>
      </c>
      <c r="F49" s="311" t="str">
        <f>IF(I49*1000&gt;G49,"◉","")</f>
        <v/>
      </c>
      <c r="G49" s="118">
        <v>3</v>
      </c>
      <c r="H49" s="100">
        <f>IF(I49&gt;G49,1,0)</f>
        <v>0</v>
      </c>
      <c r="I49" s="100">
        <f>+VBA_POTA!AA3</f>
        <v>0</v>
      </c>
    </row>
    <row r="50" spans="1:9" ht="24.9" hidden="1" customHeight="1">
      <c r="A50" s="312" t="s">
        <v>585</v>
      </c>
      <c r="B50" s="118" t="s">
        <v>586</v>
      </c>
      <c r="C50" s="119" t="s">
        <v>587</v>
      </c>
      <c r="D50" s="118" t="s">
        <v>395</v>
      </c>
      <c r="E50" s="142" t="s">
        <v>588</v>
      </c>
      <c r="F50" s="311"/>
      <c r="G50" s="118" t="s">
        <v>558</v>
      </c>
    </row>
    <row r="51" spans="1:9" ht="24.9" hidden="1" customHeight="1">
      <c r="A51" s="312" t="s">
        <v>393</v>
      </c>
      <c r="B51" s="118" t="s">
        <v>394</v>
      </c>
      <c r="C51" s="119" t="s">
        <v>589</v>
      </c>
      <c r="D51" s="118" t="s">
        <v>395</v>
      </c>
      <c r="E51" s="142" t="s">
        <v>584</v>
      </c>
      <c r="F51" s="311"/>
      <c r="G51" s="118" t="s">
        <v>558</v>
      </c>
    </row>
    <row r="52" spans="1:9" ht="15.9" customHeight="1">
      <c r="A52" s="1114" t="s">
        <v>590</v>
      </c>
      <c r="B52" s="1115"/>
      <c r="C52" s="1115"/>
      <c r="D52" s="1115"/>
      <c r="E52" s="1115"/>
      <c r="F52" s="1115"/>
      <c r="G52" s="1116"/>
    </row>
    <row r="53" spans="1:9" ht="36" customHeight="1">
      <c r="A53" s="1107" t="s">
        <v>591</v>
      </c>
      <c r="B53" s="1108"/>
      <c r="C53" s="1108"/>
      <c r="D53" s="1108"/>
      <c r="E53" s="1108"/>
      <c r="F53" s="1108"/>
      <c r="G53" s="1109"/>
    </row>
    <row r="54" spans="1:9" ht="16.2">
      <c r="A54" s="1107" t="s">
        <v>592</v>
      </c>
      <c r="B54" s="1108"/>
      <c r="C54" s="1108"/>
      <c r="D54" s="1108"/>
      <c r="E54" s="1108"/>
      <c r="F54" s="1108"/>
      <c r="G54" s="1109"/>
    </row>
    <row r="55" spans="1:9" ht="16.2">
      <c r="A55" s="1110" t="s">
        <v>593</v>
      </c>
      <c r="B55" s="1111"/>
      <c r="C55" s="1111"/>
      <c r="D55" s="1111"/>
      <c r="E55" s="1111"/>
      <c r="F55" s="1111"/>
      <c r="G55" s="1112"/>
    </row>
    <row r="56" spans="1:9" ht="17.399999999999999">
      <c r="A56" s="320" t="s">
        <v>594</v>
      </c>
      <c r="B56" s="313"/>
      <c r="C56" s="314"/>
      <c r="D56" s="314"/>
      <c r="E56" s="315"/>
      <c r="F56" s="316"/>
      <c r="G56" s="316"/>
    </row>
    <row r="57" spans="1:9" ht="24.9" customHeight="1">
      <c r="A57" s="321" t="str">
        <f>IF(H15=0,"Les paramètres analysés répondent aux critères physico-chimique indiqués","Les paramètres analysés ne répondent pas aux critères physico-chimique indiqués")</f>
        <v>Les paramètres analysés répondent aux critères physico-chimique indiqués</v>
      </c>
      <c r="B57" s="313"/>
      <c r="C57" s="314"/>
      <c r="D57" s="314"/>
      <c r="E57" s="315"/>
      <c r="F57" s="316"/>
      <c r="G57" s="316"/>
    </row>
    <row r="58" spans="1:9">
      <c r="A58" s="317"/>
      <c r="C58" s="305"/>
    </row>
    <row r="59" spans="1:9">
      <c r="A59" s="993" t="s">
        <v>330</v>
      </c>
      <c r="B59" s="994"/>
      <c r="C59" s="994"/>
      <c r="D59" s="994"/>
      <c r="E59" s="994"/>
      <c r="F59" s="994"/>
      <c r="G59" s="994"/>
      <c r="H59" s="994"/>
      <c r="I59" s="994"/>
    </row>
    <row r="62" spans="1:9" ht="18">
      <c r="B62" s="318"/>
    </row>
    <row r="63" spans="1:9">
      <c r="B63" s="319"/>
    </row>
  </sheetData>
  <mergeCells count="21">
    <mergeCell ref="A59:I59"/>
    <mergeCell ref="A54:G54"/>
    <mergeCell ref="A55:G55"/>
    <mergeCell ref="B10:D10"/>
    <mergeCell ref="F10:G10"/>
    <mergeCell ref="B11:D11"/>
    <mergeCell ref="F11:G11"/>
    <mergeCell ref="A52:G52"/>
    <mergeCell ref="A53:G53"/>
    <mergeCell ref="B7:D7"/>
    <mergeCell ref="F7:G7"/>
    <mergeCell ref="B8:D8"/>
    <mergeCell ref="F8:G8"/>
    <mergeCell ref="B9:D9"/>
    <mergeCell ref="F9:G9"/>
    <mergeCell ref="B5:D5"/>
    <mergeCell ref="F5:G5"/>
    <mergeCell ref="B6:D6"/>
    <mergeCell ref="F6:G6"/>
    <mergeCell ref="D1:F1"/>
    <mergeCell ref="D2:F2"/>
  </mergeCells>
  <phoneticPr fontId="36" type="noConversion"/>
  <pageMargins left="0.25" right="0.25" top="0.75000000000000011" bottom="0.98" header="0.30000000000000004" footer="0.30000000000000004"/>
  <pageSetup paperSize="9" scale="65" orientation="portrait" r:id="rId1"/>
  <headerFooter>
    <oddFooter>&amp;C
Laboratoire LACQ
AGROPOLIS-GI5 GI6, Commune de Mejjate, Meknès, Maroc
Tel:+212 538 00 49 20 - www.elephantvert.ch -contactmaroc@elephantvert.ch&amp;R&amp;"System Font,Normal"&amp;10 &amp;K0000001/1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LOT_POTA">
                <anchor moveWithCells="1" sizeWithCells="1">
                  <from>
                    <xdr:col>10</xdr:col>
                    <xdr:colOff>121920</xdr:colOff>
                    <xdr:row>0</xdr:row>
                    <xdr:rowOff>495300</xdr:rowOff>
                  </from>
                  <to>
                    <xdr:col>11</xdr:col>
                    <xdr:colOff>426720</xdr:colOff>
                    <xdr:row>2</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1">
    <tabColor rgb="FF008000"/>
  </sheetPr>
  <dimension ref="A1:AW62"/>
  <sheetViews>
    <sheetView showGridLines="0" view="pageBreakPreview" zoomScale="80" zoomScaleNormal="100" zoomScaleSheetLayoutView="80" workbookViewId="0"/>
  </sheetViews>
  <sheetFormatPr baseColWidth="10" defaultColWidth="10.8984375" defaultRowHeight="16.2"/>
  <cols>
    <col min="1" max="1" width="19.3984375" style="18" customWidth="1"/>
    <col min="2" max="2" width="10.8984375" style="18" customWidth="1"/>
    <col min="3" max="3" width="12.19921875" style="18" customWidth="1"/>
    <col min="4" max="4" width="11" style="18" customWidth="1"/>
    <col min="5" max="5" width="10.09765625" style="18" customWidth="1"/>
    <col min="6" max="6" width="14" style="18" customWidth="1"/>
    <col min="7" max="9" width="13.3984375" style="18" customWidth="1"/>
    <col min="10" max="33" width="10.8984375" style="18" hidden="1" customWidth="1"/>
    <col min="34" max="58" width="10.8984375" style="18" customWidth="1"/>
    <col min="59" max="16384" width="10.8984375" style="18"/>
  </cols>
  <sheetData>
    <row r="1" spans="1:49" ht="15.9" customHeight="1">
      <c r="A1" s="189"/>
      <c r="C1" s="955"/>
      <c r="D1" s="1020" t="str">
        <f>"RAPPORT D'ANALYSE DE SOL    N°EAP"&amp;G9</f>
        <v>RAPPORT D'ANALYSE DE SOL    N°EAP113032</v>
      </c>
      <c r="E1" s="1117"/>
      <c r="F1" s="1117"/>
      <c r="G1" s="1117"/>
      <c r="H1" s="1117"/>
      <c r="M1" s="887"/>
      <c r="N1" s="887"/>
      <c r="O1" s="887"/>
      <c r="P1" s="887"/>
      <c r="Q1" s="887"/>
      <c r="R1" s="887"/>
      <c r="S1" s="887"/>
      <c r="T1" s="887"/>
      <c r="U1" s="887"/>
      <c r="V1" s="887" t="str">
        <f>SOL!V1</f>
        <v>C:\Users\Amine Bouslamti\Documents\mes docs\GESTION LAB\BD1.xlsx</v>
      </c>
      <c r="W1" s="887"/>
      <c r="X1" s="887"/>
      <c r="Y1" s="887"/>
      <c r="Z1" s="887"/>
      <c r="AA1" s="887"/>
      <c r="AB1" s="887"/>
      <c r="AC1" s="887"/>
      <c r="AD1" s="887"/>
      <c r="AE1" s="887"/>
      <c r="AF1" s="887"/>
      <c r="AG1" s="887"/>
      <c r="AH1" s="887"/>
      <c r="AI1" s="887"/>
      <c r="AJ1" s="887"/>
      <c r="AK1" s="887"/>
      <c r="AL1" s="887"/>
      <c r="AM1" s="887"/>
      <c r="AN1" s="887"/>
      <c r="AO1" s="887"/>
      <c r="AP1" s="887"/>
      <c r="AQ1" s="887"/>
      <c r="AR1" s="887"/>
      <c r="AS1" s="887"/>
      <c r="AT1" s="887"/>
      <c r="AU1" s="887"/>
      <c r="AV1" s="887"/>
      <c r="AW1" s="887" t="str">
        <f>"EAP"&amp;G9&amp;"_"&amp;B8&amp;"_"&amp;B11</f>
        <v xml:space="preserve">EAP113032_KASMI MOUSSA_Vigne </v>
      </c>
    </row>
    <row r="2" spans="1:49" ht="11.1" customHeight="1">
      <c r="C2" s="955"/>
      <c r="D2" s="1117"/>
      <c r="E2" s="1117"/>
      <c r="F2" s="1117"/>
      <c r="G2" s="1117"/>
      <c r="H2" s="1117"/>
      <c r="V2" s="887" t="str">
        <f>SOL!V2</f>
        <v>C:\Users\Amine Bouslamti\Documents\mes docs\GESTION LAB\BD2.xlsx</v>
      </c>
    </row>
    <row r="3" spans="1:49" ht="11.1" customHeight="1">
      <c r="C3" s="956"/>
      <c r="D3" s="1117"/>
      <c r="E3" s="1117"/>
      <c r="F3" s="1117"/>
      <c r="G3" s="1117"/>
      <c r="H3" s="1117"/>
      <c r="V3" s="188" t="str">
        <f>"C:\Users\Amine Bouslamti\Documents\mes docs\"&amp;"EAP"&amp;G9&amp;"_"&amp;B8&amp;"_"&amp;B11</f>
        <v xml:space="preserve">C:\Users\Amine Bouslamti\Documents\mes docs\EAP113032_KASMI MOUSSA_Vigne </v>
      </c>
    </row>
    <row r="4" spans="1:49" ht="12.9" customHeight="1">
      <c r="C4" s="956"/>
      <c r="D4" s="1117"/>
      <c r="E4" s="1117"/>
      <c r="F4" s="1117"/>
      <c r="G4" s="1117"/>
      <c r="H4" s="1117"/>
    </row>
    <row r="5" spans="1:49" ht="12.9" customHeight="1">
      <c r="A5" s="511" t="s">
        <v>1273</v>
      </c>
      <c r="C5" s="956"/>
      <c r="D5" s="1020" t="str">
        <f>"Extrait Aqueux en Poids 1/5"</f>
        <v>Extrait Aqueux en Poids 1/5</v>
      </c>
      <c r="E5" s="1020"/>
      <c r="F5" s="1020"/>
      <c r="G5" s="1020"/>
      <c r="H5" s="1020"/>
    </row>
    <row r="6" spans="1:49" ht="12.9" customHeight="1">
      <c r="A6" s="79" t="s">
        <v>305</v>
      </c>
      <c r="C6" s="956"/>
      <c r="D6" s="1020"/>
      <c r="E6" s="1020"/>
      <c r="F6" s="1020"/>
      <c r="G6" s="1020"/>
      <c r="H6" s="1020"/>
    </row>
    <row r="7" spans="1:49" ht="12.9" customHeight="1">
      <c r="A7" s="110" t="s">
        <v>448</v>
      </c>
      <c r="C7" s="19"/>
      <c r="D7" s="1059"/>
      <c r="E7" s="1059"/>
      <c r="F7" s="1059"/>
      <c r="G7" s="1059"/>
      <c r="H7" s="1059"/>
    </row>
    <row r="8" spans="1:49" ht="17.100000000000001" customHeight="1">
      <c r="A8" s="82" t="s">
        <v>449</v>
      </c>
      <c r="B8" s="1018" t="str">
        <f>VBA_EAP!B6</f>
        <v>KASMI MOUSSA</v>
      </c>
      <c r="C8" s="1018"/>
      <c r="D8" s="1018"/>
      <c r="E8" s="1013" t="s">
        <v>450</v>
      </c>
      <c r="F8" s="1013"/>
      <c r="G8" s="1017" t="str">
        <f>IF(VBA_EAP!P6="","",VBA_EAP!P6)</f>
        <v xml:space="preserve">AMINE CHEBLI </v>
      </c>
      <c r="H8" s="1017"/>
      <c r="I8" s="1017"/>
    </row>
    <row r="9" spans="1:49" ht="17.100000000000001" customHeight="1">
      <c r="A9" s="82" t="s">
        <v>451</v>
      </c>
      <c r="B9" s="1012" t="str">
        <f>IF(VBA_EAP!D6="","",VBA_EAP!D6)</f>
        <v>B 769210</v>
      </c>
      <c r="C9" s="1012"/>
      <c r="D9" s="1012"/>
      <c r="E9" s="1013" t="s">
        <v>452</v>
      </c>
      <c r="F9" s="1013"/>
      <c r="G9" s="1012">
        <f>VBA_EAP!A6</f>
        <v>113032</v>
      </c>
      <c r="H9" s="1012"/>
      <c r="I9" s="1012"/>
    </row>
    <row r="10" spans="1:49" ht="17.100000000000001" customHeight="1">
      <c r="A10" s="82" t="s">
        <v>0</v>
      </c>
      <c r="B10" s="1012" t="str">
        <f>IF(VBA_EAP!C6="","",VBA_EAP!C6)</f>
        <v>AAOUNAT SIDI BENOUR</v>
      </c>
      <c r="C10" s="1012"/>
      <c r="D10" s="1012"/>
      <c r="E10" s="1013" t="s">
        <v>453</v>
      </c>
      <c r="F10" s="1013"/>
      <c r="G10" s="1017">
        <f>VBA_EAP!O6</f>
        <v>44321</v>
      </c>
      <c r="H10" s="1017"/>
      <c r="I10" s="1017"/>
    </row>
    <row r="11" spans="1:49" ht="17.100000000000001" customHeight="1">
      <c r="A11" s="82" t="s">
        <v>1</v>
      </c>
      <c r="B11" s="1012" t="str">
        <f>VBA_EAP!L6</f>
        <v xml:space="preserve">Vigne </v>
      </c>
      <c r="C11" s="1012"/>
      <c r="D11" s="1012"/>
      <c r="E11" s="1013" t="s">
        <v>454</v>
      </c>
      <c r="F11" s="1013"/>
      <c r="G11" s="1017">
        <f>VBA_EAP!E6</f>
        <v>44326</v>
      </c>
      <c r="H11" s="1017"/>
      <c r="I11" s="1017"/>
    </row>
    <row r="12" spans="1:49" ht="17.100000000000001" customHeight="1">
      <c r="A12" s="82" t="s">
        <v>455</v>
      </c>
      <c r="B12" s="1012" t="str">
        <f>IF(VBA_EAP!M6="","",VBA_EAP!M6)</f>
        <v>_</v>
      </c>
      <c r="C12" s="1012"/>
      <c r="D12" s="1012"/>
      <c r="E12" s="1013" t="s">
        <v>456</v>
      </c>
      <c r="F12" s="1013"/>
      <c r="G12" s="1017">
        <f>G11</f>
        <v>44326</v>
      </c>
      <c r="H12" s="1017"/>
      <c r="I12" s="1017"/>
    </row>
    <row r="13" spans="1:49" ht="17.100000000000001" customHeight="1">
      <c r="A13" s="82" t="s">
        <v>457</v>
      </c>
      <c r="B13" s="1012" t="str">
        <f>IF(VBA_EAP!K6="","",VBA_EAP!K6)</f>
        <v>MOUSSA</v>
      </c>
      <c r="C13" s="1012"/>
      <c r="D13" s="1012"/>
      <c r="E13" s="1013" t="s">
        <v>458</v>
      </c>
      <c r="F13" s="1013"/>
      <c r="G13" s="1118">
        <f ca="1">NOW()</f>
        <v>45009.568216435182</v>
      </c>
      <c r="H13" s="1118"/>
      <c r="I13" s="1118"/>
    </row>
    <row r="14" spans="1:49" ht="17.100000000000001" customHeight="1">
      <c r="A14" s="82" t="s">
        <v>459</v>
      </c>
      <c r="B14" s="1012" t="str">
        <f>VBA_EAP!X6&amp;" "&amp;VBA_EAP!Y6</f>
        <v>32° 43 02 8° 11 03</v>
      </c>
      <c r="C14" s="1012"/>
      <c r="D14" s="1012"/>
      <c r="E14" s="1013" t="s">
        <v>239</v>
      </c>
      <c r="F14" s="1013"/>
      <c r="G14" s="1065" t="str">
        <f>IF(VBA_EAP!Z6="","",VBA_EAP!Z6)</f>
        <v/>
      </c>
      <c r="H14" s="1065"/>
      <c r="I14" s="1065"/>
    </row>
    <row r="15" spans="1:49" ht="2.1" customHeight="1"/>
    <row r="16" spans="1:49" ht="11.1" customHeight="1"/>
    <row r="17" spans="1:16" ht="12" customHeight="1">
      <c r="A17" s="1068" t="s">
        <v>2</v>
      </c>
      <c r="B17" s="1070" t="s">
        <v>3</v>
      </c>
      <c r="C17" s="1037" t="s">
        <v>362</v>
      </c>
      <c r="D17" s="1037" t="s">
        <v>489</v>
      </c>
      <c r="E17" s="1037"/>
      <c r="F17" s="1072" t="s">
        <v>490</v>
      </c>
      <c r="G17" s="1040" t="s">
        <v>4</v>
      </c>
      <c r="H17" s="1040"/>
      <c r="I17" s="1040"/>
    </row>
    <row r="18" spans="1:16" ht="20.100000000000001" customHeight="1">
      <c r="A18" s="1069"/>
      <c r="B18" s="1071"/>
      <c r="C18" s="1037"/>
      <c r="D18" s="1037"/>
      <c r="E18" s="1037"/>
      <c r="F18" s="1073"/>
      <c r="G18" s="1040"/>
      <c r="H18" s="1040"/>
      <c r="I18" s="1040"/>
      <c r="K18" s="322" t="s">
        <v>363</v>
      </c>
      <c r="L18" s="322" t="s">
        <v>268</v>
      </c>
      <c r="M18" s="322" t="s">
        <v>269</v>
      </c>
    </row>
    <row r="19" spans="1:16" ht="15" customHeight="1">
      <c r="A19" s="236"/>
      <c r="B19" s="236"/>
      <c r="C19" s="236"/>
      <c r="D19" s="236"/>
      <c r="E19" s="236"/>
      <c r="F19" s="236"/>
      <c r="G19" s="323" t="s">
        <v>282</v>
      </c>
      <c r="H19" s="323" t="s">
        <v>595</v>
      </c>
      <c r="I19" s="323" t="s">
        <v>596</v>
      </c>
    </row>
    <row r="20" spans="1:16" ht="17.100000000000001" customHeight="1">
      <c r="A20" s="208" t="s">
        <v>597</v>
      </c>
      <c r="B20" s="209"/>
      <c r="C20" s="119" t="s">
        <v>598</v>
      </c>
      <c r="D20" s="1119">
        <f>K20</f>
        <v>8.35</v>
      </c>
      <c r="E20" s="1079"/>
      <c r="F20" s="210" t="str">
        <f>TEXT(L20,"0,0")&amp;" à "&amp;TEXT(M20,"0,0")</f>
        <v>6,0 à 6,5</v>
      </c>
      <c r="G20" s="32" t="str">
        <f>IF(K20=0,"",IF($E$12="D","",IF(K20&lt;=$L20-($M20-$L20),"I"&amp;"IIII",IF(K20&gt;=$M20+($M20-$L20),REPT("I",60)&amp;"I",REPT("I",27+(K20-$L20)/($M20-$L20)*13)&amp;"I"))))</f>
        <v>IIIIIIIIIIIIIIIIIIIIIIIIIIIIIIIIIIIIIIIIIIIIIIIIIIIIIIIIIIIII</v>
      </c>
      <c r="H20" s="324"/>
      <c r="I20" s="214"/>
      <c r="K20" s="322">
        <f>+VBA_EAP!B3</f>
        <v>8.35</v>
      </c>
      <c r="L20" s="322">
        <v>6</v>
      </c>
      <c r="M20" s="322">
        <v>6.5</v>
      </c>
    </row>
    <row r="21" spans="1:16" ht="17.100000000000001" hidden="1" customHeight="1">
      <c r="A21" s="208" t="s">
        <v>599</v>
      </c>
      <c r="B21" s="209"/>
      <c r="C21" s="119" t="s">
        <v>598</v>
      </c>
      <c r="D21" s="325"/>
      <c r="E21" s="326"/>
      <c r="F21" s="210"/>
      <c r="G21" s="211"/>
      <c r="H21" s="327"/>
      <c r="I21" s="214"/>
      <c r="K21" s="322"/>
      <c r="L21" s="322">
        <v>0.4</v>
      </c>
      <c r="M21" s="322"/>
    </row>
    <row r="22" spans="1:16" ht="17.100000000000001" customHeight="1">
      <c r="A22" s="208" t="s">
        <v>600</v>
      </c>
      <c r="B22" s="209"/>
      <c r="C22" s="119" t="s">
        <v>375</v>
      </c>
      <c r="D22" s="1081">
        <f>K22</f>
        <v>0.111</v>
      </c>
      <c r="E22" s="1082"/>
      <c r="F22" s="210" t="s">
        <v>601</v>
      </c>
      <c r="G22" s="37" t="str">
        <f>IF(K22=0,"",IF($E$12="D","",IF(K22&lt;=$L22-($M22-$L22),"I"&amp;"IIII",IF(K22&gt;=$M22+($M22-$L22),REPT("I",60)&amp;"I",REPT("I",27+(K22-$L22)/($M22-$L22)*13)&amp;"I"))))</f>
        <v>IIIIIIIIIIIIIIIIIIIIIIIIIIIIIII</v>
      </c>
      <c r="H22" s="327"/>
      <c r="I22" s="214"/>
      <c r="K22" s="322">
        <f>+VBA_EAP!D3</f>
        <v>0.111</v>
      </c>
      <c r="L22" s="322"/>
      <c r="M22" s="322">
        <v>0.4</v>
      </c>
    </row>
    <row r="23" spans="1:16" ht="17.100000000000001" customHeight="1">
      <c r="A23" s="208" t="s">
        <v>602</v>
      </c>
      <c r="B23" s="209"/>
      <c r="C23" s="119" t="s">
        <v>353</v>
      </c>
      <c r="D23" s="1083" t="str">
        <f>+FIXED(D22*3000,0)&amp;" à "&amp;FIXED(D22*4000,0)</f>
        <v>333 à 444</v>
      </c>
      <c r="E23" s="1084"/>
      <c r="F23" s="210" t="s">
        <v>1215</v>
      </c>
      <c r="G23" s="37" t="str">
        <f>IF(K23=0,"",IF($E$12="D","",IF(K23&lt;=$L23-($M23-$L23),"I"&amp;"IIII",IF(K23&gt;=$M23+($M23-$L23),REPT("I",60)&amp;"I",REPT("I",27+(K23-$L23)/($M23-$L23)*13)&amp;"I"))))</f>
        <v>IIIII</v>
      </c>
      <c r="H23" s="328"/>
      <c r="I23" s="214"/>
      <c r="K23" s="322">
        <v>500</v>
      </c>
      <c r="L23" s="322">
        <v>1600</v>
      </c>
      <c r="M23" s="322">
        <v>1600</v>
      </c>
    </row>
    <row r="24" spans="1:16" ht="8.1" customHeight="1">
      <c r="A24" s="1075"/>
      <c r="B24" s="1075"/>
      <c r="C24" s="1075"/>
      <c r="D24" s="1075"/>
      <c r="E24" s="1075"/>
      <c r="F24" s="1075"/>
      <c r="G24" s="1075"/>
      <c r="H24" s="1075"/>
      <c r="I24" s="1075"/>
      <c r="K24" s="329"/>
      <c r="L24" s="329"/>
      <c r="M24" s="329"/>
    </row>
    <row r="25" spans="1:16" ht="17.100000000000001" hidden="1" customHeight="1">
      <c r="A25" s="208" t="s">
        <v>603</v>
      </c>
      <c r="B25" s="209" t="s">
        <v>604</v>
      </c>
      <c r="C25" s="119" t="s">
        <v>354</v>
      </c>
      <c r="D25" s="1120">
        <f>+K25</f>
        <v>66</v>
      </c>
      <c r="E25" s="1121"/>
      <c r="F25" s="210" t="s">
        <v>605</v>
      </c>
      <c r="G25" s="330" t="str">
        <f t="shared" ref="G25:G30" si="0">IF(K25=0,"",IF($E$12="D","",IF(K25&lt;=$L25-($M25-$L25),"I"&amp;"IIII",IF(K25&gt;=$M25+($M25-$L25),REPT("I",60)&amp;"I",REPT("I",27+(K25-$L25)/($M25-$L25)*13)&amp;"I"))))</f>
        <v>IIIII</v>
      </c>
      <c r="H25" s="324"/>
      <c r="I25" s="214"/>
      <c r="K25" s="322">
        <v>66</v>
      </c>
      <c r="L25" s="322">
        <v>100</v>
      </c>
      <c r="M25" s="322"/>
    </row>
    <row r="26" spans="1:16" ht="17.100000000000001" hidden="1" customHeight="1">
      <c r="A26" s="208" t="s">
        <v>606</v>
      </c>
      <c r="B26" s="209" t="s">
        <v>607</v>
      </c>
      <c r="C26" s="119" t="s">
        <v>354</v>
      </c>
      <c r="D26" s="1120">
        <f t="shared" ref="D26:D30" si="1">+K26</f>
        <v>22</v>
      </c>
      <c r="E26" s="1121"/>
      <c r="F26" s="210" t="s">
        <v>608</v>
      </c>
      <c r="G26" s="330" t="str">
        <f t="shared" si="0"/>
        <v>IIIII</v>
      </c>
      <c r="H26" s="327"/>
      <c r="I26" s="214"/>
      <c r="K26" s="322">
        <v>22</v>
      </c>
      <c r="L26" s="322">
        <v>30</v>
      </c>
      <c r="M26" s="322"/>
    </row>
    <row r="27" spans="1:16" ht="17.100000000000001" hidden="1" customHeight="1">
      <c r="A27" s="208" t="s">
        <v>609</v>
      </c>
      <c r="B27" s="209" t="s">
        <v>610</v>
      </c>
      <c r="C27" s="119" t="s">
        <v>354</v>
      </c>
      <c r="D27" s="1120">
        <f t="shared" si="1"/>
        <v>3.1</v>
      </c>
      <c r="E27" s="1121"/>
      <c r="F27" s="210" t="s">
        <v>21</v>
      </c>
      <c r="G27" s="330" t="str">
        <f t="shared" si="0"/>
        <v>IIIIIIIIIIIIIIIIIIIIIIIIIIIIIIIIIIIIIIIIIIIIIIIIIIIIIIIIIIIII</v>
      </c>
      <c r="H27" s="327"/>
      <c r="I27" s="214"/>
      <c r="K27" s="322">
        <f>+K28/1.72</f>
        <v>3.1</v>
      </c>
      <c r="L27" s="322"/>
      <c r="M27" s="322"/>
    </row>
    <row r="28" spans="1:16" ht="17.100000000000001" customHeight="1">
      <c r="A28" s="208" t="s">
        <v>611</v>
      </c>
      <c r="B28" s="209" t="s">
        <v>339</v>
      </c>
      <c r="C28" s="119" t="s">
        <v>354</v>
      </c>
      <c r="D28" s="1120">
        <f t="shared" si="1"/>
        <v>5.3319999999999999</v>
      </c>
      <c r="E28" s="1121"/>
      <c r="F28" s="210" t="str">
        <f>TEXT(L28,"0,0")&amp;" à "&amp;TEXT(M28,"0,0")</f>
        <v>20,0 à 30,0</v>
      </c>
      <c r="G28" s="330" t="str">
        <f t="shared" si="0"/>
        <v>IIIII</v>
      </c>
      <c r="H28" s="327"/>
      <c r="I28" s="214"/>
      <c r="K28" s="322">
        <f>+VBA_EAP!T3*1.72</f>
        <v>5.3319999999999999</v>
      </c>
      <c r="L28" s="322">
        <v>20</v>
      </c>
      <c r="M28" s="322">
        <v>30</v>
      </c>
      <c r="O28" s="331">
        <f>+L28/1.2</f>
        <v>16.666666666666668</v>
      </c>
      <c r="P28" s="18">
        <f>+M28/1.2</f>
        <v>25</v>
      </c>
    </row>
    <row r="29" spans="1:16" ht="17.100000000000001" customHeight="1">
      <c r="A29" s="208" t="s">
        <v>501</v>
      </c>
      <c r="B29" s="209" t="s">
        <v>333</v>
      </c>
      <c r="C29" s="119" t="s">
        <v>354</v>
      </c>
      <c r="D29" s="1081">
        <f t="shared" si="1"/>
        <v>0.42866783201164982</v>
      </c>
      <c r="E29" s="1082"/>
      <c r="F29" s="210" t="str">
        <f>TEXT(L29,"0,0")&amp;" à "&amp;TEXT(M29,"0,0")</f>
        <v>2,0 à 3,0</v>
      </c>
      <c r="G29" s="330" t="str">
        <f t="shared" si="0"/>
        <v>IIIII</v>
      </c>
      <c r="H29" s="327"/>
      <c r="I29" s="214"/>
      <c r="K29" s="322">
        <f>+VBA_EAP!S3</f>
        <v>0.42866783201164982</v>
      </c>
      <c r="L29" s="322">
        <v>2</v>
      </c>
      <c r="M29" s="322">
        <v>3</v>
      </c>
    </row>
    <row r="30" spans="1:16" ht="17.100000000000001" customHeight="1">
      <c r="A30" s="215" t="s">
        <v>612</v>
      </c>
      <c r="B30" s="216" t="s">
        <v>613</v>
      </c>
      <c r="C30" s="177" t="s">
        <v>21</v>
      </c>
      <c r="D30" s="1120">
        <f t="shared" si="1"/>
        <v>7.2317066234066099</v>
      </c>
      <c r="E30" s="1121"/>
      <c r="F30" s="210" t="str">
        <f>TEXT(L30,"0,0")&amp;" à "&amp;TEXT(M30,"0,0")</f>
        <v>8,0 à 12,0</v>
      </c>
      <c r="G30" s="330" t="str">
        <f t="shared" si="0"/>
        <v>IIIIIIIIIIIIIIIIIIIIIIIII</v>
      </c>
      <c r="H30" s="328"/>
      <c r="I30" s="221"/>
      <c r="K30" s="322">
        <f>+K27/K29</f>
        <v>7.2317066234066099</v>
      </c>
      <c r="L30" s="322">
        <v>8</v>
      </c>
      <c r="M30" s="322">
        <v>12</v>
      </c>
    </row>
    <row r="31" spans="1:16">
      <c r="A31" s="1076" t="s">
        <v>614</v>
      </c>
      <c r="B31" s="1085"/>
      <c r="C31" s="1085"/>
      <c r="D31" s="1085"/>
      <c r="E31" s="1085"/>
      <c r="F31" s="1085"/>
      <c r="G31" s="1085"/>
      <c r="H31" s="1085"/>
      <c r="I31" s="1074"/>
    </row>
    <row r="32" spans="1:16" ht="17.100000000000001" customHeight="1">
      <c r="A32" s="197" t="s">
        <v>382</v>
      </c>
      <c r="B32" s="198" t="s">
        <v>615</v>
      </c>
      <c r="C32" s="116" t="s">
        <v>353</v>
      </c>
      <c r="D32" s="1119">
        <f>+K32</f>
        <v>1.5</v>
      </c>
      <c r="E32" s="1079"/>
      <c r="F32" s="199" t="str">
        <f t="shared" ref="F32:F34" si="2">TEXT(L32,"0,0")&amp;" à "&amp;TEXT(M32,"0,0")</f>
        <v>30,0 à 60,0</v>
      </c>
      <c r="G32" s="225" t="str">
        <f>IF(K32=0,"",IF($E$12="D","",IF(K32&lt;=$L32-($M32-$L32),"I"&amp;"IIII",IF(K32&gt;=$M32+($M32-$L32),REPT("I",60)&amp;"I",REPT("I",27+(K32-$L32)/($M32-$L32)*13)&amp;"I"))))</f>
        <v>IIIIIIIIIIIIIII</v>
      </c>
      <c r="H32" s="332"/>
      <c r="I32" s="203"/>
      <c r="K32" s="358">
        <f>+VBA_EAP!E3*5</f>
        <v>1.5</v>
      </c>
      <c r="L32" s="322">
        <v>30</v>
      </c>
      <c r="M32" s="322">
        <v>60</v>
      </c>
    </row>
    <row r="33" spans="1:13" ht="17.100000000000001" hidden="1" customHeight="1">
      <c r="A33" s="208" t="s">
        <v>616</v>
      </c>
      <c r="B33" s="209" t="s">
        <v>617</v>
      </c>
      <c r="C33" s="119" t="s">
        <v>353</v>
      </c>
      <c r="D33" s="1081" t="str">
        <f t="shared" ref="D33:D44" si="3">+K33</f>
        <v>3,8</v>
      </c>
      <c r="E33" s="1082"/>
      <c r="F33" s="210" t="str">
        <f t="shared" si="2"/>
        <v>0,0 à 0,0</v>
      </c>
      <c r="G33" s="330"/>
      <c r="H33" s="333"/>
      <c r="I33" s="214"/>
      <c r="K33" s="358" t="s">
        <v>618</v>
      </c>
      <c r="L33" s="322"/>
      <c r="M33" s="322"/>
    </row>
    <row r="34" spans="1:13" ht="17.100000000000001" customHeight="1">
      <c r="A34" s="215" t="s">
        <v>381</v>
      </c>
      <c r="B34" s="216" t="s">
        <v>619</v>
      </c>
      <c r="C34" s="177" t="s">
        <v>353</v>
      </c>
      <c r="D34" s="1083">
        <f t="shared" si="3"/>
        <v>0.5</v>
      </c>
      <c r="E34" s="1084"/>
      <c r="F34" s="217" t="str">
        <f t="shared" si="2"/>
        <v>10,0 à 20,0</v>
      </c>
      <c r="G34" s="226" t="str">
        <f>IF(K34=0,"",IF($E$12="D","",IF(K34&lt;=$L34-($M34-$L34),"I"&amp;"IIII",IF(K34&gt;=$M34+($M34-$L34),REPT("I",60)&amp;"I",REPT("I",27+(K34-$L34)/($M34-$L34)*13)&amp;"I"))))</f>
        <v>IIIIIIIIIIIIIII</v>
      </c>
      <c r="H34" s="334"/>
      <c r="I34" s="221"/>
      <c r="K34" s="358">
        <f>+VBA_EAP!G3*5</f>
        <v>0.5</v>
      </c>
      <c r="L34" s="322">
        <v>10</v>
      </c>
      <c r="M34" s="322">
        <v>20</v>
      </c>
    </row>
    <row r="35" spans="1:13" ht="8.1" customHeight="1">
      <c r="A35" s="335"/>
      <c r="B35" s="336"/>
      <c r="C35" s="337"/>
      <c r="D35" s="338"/>
      <c r="E35" s="338"/>
      <c r="F35" s="339"/>
      <c r="G35" s="340"/>
      <c r="H35" s="341"/>
      <c r="I35" s="342"/>
      <c r="K35" s="329"/>
      <c r="L35" s="329"/>
      <c r="M35" s="329"/>
    </row>
    <row r="36" spans="1:13" ht="17.100000000000001" customHeight="1">
      <c r="A36" s="197" t="s">
        <v>249</v>
      </c>
      <c r="B36" s="198" t="s">
        <v>620</v>
      </c>
      <c r="C36" s="116" t="s">
        <v>353</v>
      </c>
      <c r="D36" s="1122">
        <f t="shared" si="3"/>
        <v>2.2442708333333332</v>
      </c>
      <c r="E36" s="1123"/>
      <c r="F36" s="199" t="str">
        <f>TEXT(L36,"0,0")&amp;" à "&amp;TEXT(M36,"0,0")</f>
        <v>3,0 à 6,0</v>
      </c>
      <c r="G36" s="225" t="str">
        <f t="shared" ref="G36:G48" si="4">IF(K36=0,"",IF($E$12="D","",IF(K36&lt;=$L36-($M36-$L36),"I"&amp;"IIII",IF(K36&gt;=$M36+($M36-$L36),REPT("I",60)&amp;"I",REPT("I",27+(K36-$L36)/($M36-$L36)*13)&amp;"I"))))</f>
        <v>IIIIIIIIIIIIIIIIIIIIIIII</v>
      </c>
      <c r="H36" s="343"/>
      <c r="I36" s="203"/>
      <c r="K36" s="322">
        <f>+VBA_EAP!J3*5*31/96</f>
        <v>2.2442708333333332</v>
      </c>
      <c r="L36" s="322">
        <v>3</v>
      </c>
      <c r="M36" s="322">
        <v>6</v>
      </c>
    </row>
    <row r="37" spans="1:13" ht="17.100000000000001" customHeight="1">
      <c r="A37" s="208" t="s">
        <v>248</v>
      </c>
      <c r="B37" s="209" t="s">
        <v>258</v>
      </c>
      <c r="C37" s="119" t="s">
        <v>353</v>
      </c>
      <c r="D37" s="1124">
        <f t="shared" si="3"/>
        <v>45.599999999999994</v>
      </c>
      <c r="E37" s="1125"/>
      <c r="F37" s="210" t="str">
        <f>TEXT(L37,"0")&amp;" à "&amp;TEXT(M37,"0")</f>
        <v>35 à 120</v>
      </c>
      <c r="G37" s="330" t="str">
        <f t="shared" si="4"/>
        <v>IIIIIIIIIIIIIIIIIIIIIIIIIIIII</v>
      </c>
      <c r="H37" s="333"/>
      <c r="I37" s="214"/>
      <c r="K37" s="322">
        <f>+VBA_EAP!I3*5</f>
        <v>45.599999999999994</v>
      </c>
      <c r="L37" s="322">
        <v>35</v>
      </c>
      <c r="M37" s="322">
        <v>120</v>
      </c>
    </row>
    <row r="38" spans="1:13" ht="17.100000000000001" customHeight="1">
      <c r="A38" s="208" t="s">
        <v>242</v>
      </c>
      <c r="B38" s="209" t="s">
        <v>9</v>
      </c>
      <c r="C38" s="119" t="s">
        <v>353</v>
      </c>
      <c r="D38" s="1120">
        <f t="shared" si="3"/>
        <v>117.25</v>
      </c>
      <c r="E38" s="1121"/>
      <c r="F38" s="210" t="s">
        <v>605</v>
      </c>
      <c r="G38" s="330" t="str">
        <f t="shared" si="4"/>
        <v>IIIIIIIIIIIIIIIIIIIIIIIIIIIIIIIIIIIIIIIIIII</v>
      </c>
      <c r="H38" s="193"/>
      <c r="I38" s="214"/>
      <c r="K38" s="322">
        <f>+VBA_EAP!H3*5</f>
        <v>117.25</v>
      </c>
      <c r="L38" s="322"/>
      <c r="M38" s="322">
        <v>100</v>
      </c>
    </row>
    <row r="39" spans="1:13" ht="17.100000000000001" customHeight="1">
      <c r="A39" s="215" t="s">
        <v>250</v>
      </c>
      <c r="B39" s="216" t="s">
        <v>259</v>
      </c>
      <c r="C39" s="177" t="s">
        <v>353</v>
      </c>
      <c r="D39" s="1126">
        <f t="shared" si="3"/>
        <v>120</v>
      </c>
      <c r="E39" s="1127"/>
      <c r="F39" s="217" t="str">
        <f>TEXT(L39,"0")&amp;" à "&amp;TEXT(M39,"0")</f>
        <v>120 à 360</v>
      </c>
      <c r="G39" s="226" t="str">
        <f t="shared" si="4"/>
        <v>IIIIIIIIIIIIIIIIIIIIIIIIIIII</v>
      </c>
      <c r="H39" s="344"/>
      <c r="I39" s="221"/>
      <c r="K39" s="322">
        <f>+VBA_EAP!U3*5</f>
        <v>120</v>
      </c>
      <c r="L39" s="322">
        <v>120</v>
      </c>
      <c r="M39" s="322">
        <v>360</v>
      </c>
    </row>
    <row r="40" spans="1:13" ht="6.9" customHeight="1">
      <c r="A40" s="345"/>
      <c r="B40" s="346"/>
      <c r="C40" s="347"/>
      <c r="D40" s="348"/>
      <c r="E40" s="348"/>
      <c r="F40" s="349"/>
      <c r="G40" s="350"/>
      <c r="K40" s="329"/>
      <c r="L40" s="329"/>
      <c r="M40" s="329"/>
    </row>
    <row r="41" spans="1:13" ht="17.100000000000001" customHeight="1">
      <c r="A41" s="197" t="s">
        <v>403</v>
      </c>
      <c r="B41" s="198" t="s">
        <v>8</v>
      </c>
      <c r="C41" s="116" t="s">
        <v>353</v>
      </c>
      <c r="D41" s="1122">
        <f t="shared" si="3"/>
        <v>31.8</v>
      </c>
      <c r="E41" s="1123"/>
      <c r="F41" s="199" t="s">
        <v>605</v>
      </c>
      <c r="G41" s="225" t="str">
        <f t="shared" si="4"/>
        <v>IIIIIIIIIIIIIIIIIIIIIIIIIIIIIIII</v>
      </c>
      <c r="H41" s="332"/>
      <c r="I41" s="203"/>
      <c r="K41" s="322">
        <f>+VBA_EAP!L3*5</f>
        <v>31.8</v>
      </c>
      <c r="L41" s="322"/>
      <c r="M41" s="322">
        <v>100</v>
      </c>
    </row>
    <row r="42" spans="1:13" ht="17.100000000000001" customHeight="1">
      <c r="A42" s="208" t="s">
        <v>400</v>
      </c>
      <c r="B42" s="209" t="s">
        <v>5</v>
      </c>
      <c r="C42" s="119" t="s">
        <v>353</v>
      </c>
      <c r="D42" s="1120">
        <f t="shared" si="3"/>
        <v>18.899999999999999</v>
      </c>
      <c r="E42" s="1121"/>
      <c r="F42" s="210" t="str">
        <f t="shared" ref="F42:F44" si="5">TEXT(L42,"0")&amp;" à "&amp;TEXT(M42,"0")</f>
        <v>50 à 150</v>
      </c>
      <c r="G42" s="330" t="str">
        <f t="shared" si="4"/>
        <v>IIIIIIIIIIIIIIIIIIIIIII</v>
      </c>
      <c r="H42" s="193"/>
      <c r="I42" s="214"/>
      <c r="K42" s="322">
        <f>+VBA_EAP!K3*5</f>
        <v>18.899999999999999</v>
      </c>
      <c r="L42" s="322">
        <v>50</v>
      </c>
      <c r="M42" s="322">
        <v>150</v>
      </c>
    </row>
    <row r="43" spans="1:13" ht="17.100000000000001" customHeight="1">
      <c r="A43" s="208" t="s">
        <v>402</v>
      </c>
      <c r="B43" s="209" t="s">
        <v>7</v>
      </c>
      <c r="C43" s="119" t="s">
        <v>353</v>
      </c>
      <c r="D43" s="1120">
        <f t="shared" si="3"/>
        <v>33.199999999999996</v>
      </c>
      <c r="E43" s="1121"/>
      <c r="F43" s="210" t="str">
        <f t="shared" si="5"/>
        <v>70 à 120</v>
      </c>
      <c r="G43" s="330" t="str">
        <f t="shared" si="4"/>
        <v>IIIIIIIIIIIIIIIIII</v>
      </c>
      <c r="H43" s="193"/>
      <c r="I43" s="214"/>
      <c r="K43" s="322">
        <f>+VBA_EAP!M3*5</f>
        <v>33.199999999999996</v>
      </c>
      <c r="L43" s="322">
        <v>70</v>
      </c>
      <c r="M43" s="322">
        <v>120</v>
      </c>
    </row>
    <row r="44" spans="1:13" ht="17.100000000000001" customHeight="1">
      <c r="A44" s="215" t="s">
        <v>401</v>
      </c>
      <c r="B44" s="216" t="s">
        <v>6</v>
      </c>
      <c r="C44" s="177" t="s">
        <v>353</v>
      </c>
      <c r="D44" s="1128">
        <f t="shared" si="3"/>
        <v>11.05</v>
      </c>
      <c r="E44" s="1129"/>
      <c r="F44" s="217" t="str">
        <f t="shared" si="5"/>
        <v>20 à 50</v>
      </c>
      <c r="G44" s="226" t="str">
        <f t="shared" si="4"/>
        <v>IIIIIIIIIIIIIIIIIIIIIIII</v>
      </c>
      <c r="H44" s="344"/>
      <c r="I44" s="221"/>
      <c r="K44" s="322">
        <f>+VBA_EAP!N3*5</f>
        <v>11.05</v>
      </c>
      <c r="L44" s="322">
        <v>20</v>
      </c>
      <c r="M44" s="322">
        <v>50</v>
      </c>
    </row>
    <row r="45" spans="1:13">
      <c r="A45" s="1076" t="s">
        <v>10</v>
      </c>
      <c r="B45" s="1085"/>
      <c r="C45" s="1085"/>
      <c r="D45" s="1085"/>
      <c r="E45" s="1085"/>
      <c r="F45" s="1085"/>
      <c r="G45" s="1085"/>
      <c r="H45" s="1085"/>
      <c r="I45" s="1074"/>
    </row>
    <row r="46" spans="1:13">
      <c r="A46" s="228" t="s">
        <v>11</v>
      </c>
      <c r="B46" s="229" t="s">
        <v>12</v>
      </c>
      <c r="C46" s="116" t="s">
        <v>353</v>
      </c>
      <c r="D46" s="1081">
        <f>IF(K46=0,"-",K46)</f>
        <v>0.23</v>
      </c>
      <c r="E46" s="1082"/>
      <c r="F46" s="210" t="str">
        <f>TEXT(L46,"0,0")&amp;" à "&amp;TEXT(M46,"0,0")</f>
        <v>2,0 à 5,0</v>
      </c>
      <c r="G46" s="330" t="str">
        <f t="shared" si="4"/>
        <v>IIIIIIIIIIIIIIIIIIII</v>
      </c>
      <c r="H46" s="324"/>
      <c r="I46" s="203"/>
      <c r="K46" s="351">
        <f>+VBA_EAP!O3</f>
        <v>0.23</v>
      </c>
      <c r="L46" s="351">
        <v>2</v>
      </c>
      <c r="M46" s="351">
        <v>5</v>
      </c>
    </row>
    <row r="47" spans="1:13">
      <c r="A47" s="231" t="s">
        <v>13</v>
      </c>
      <c r="B47" s="232" t="s">
        <v>14</v>
      </c>
      <c r="C47" s="119" t="s">
        <v>353</v>
      </c>
      <c r="D47" s="1081">
        <f t="shared" ref="D47:D50" si="6">IF(K47=0,"-",K47)</f>
        <v>0.85</v>
      </c>
      <c r="E47" s="1082"/>
      <c r="F47" s="210" t="str">
        <f>TEXT(L47,"0,0")&amp;" à "&amp;TEXT(M47,"0,0")</f>
        <v>2,0 à 5,0</v>
      </c>
      <c r="G47" s="330" t="str">
        <f t="shared" si="4"/>
        <v>IIIIIIIIIIIIIIIIIIIIIII</v>
      </c>
      <c r="H47" s="327"/>
      <c r="I47" s="214"/>
      <c r="K47" s="351">
        <f>+VBA_EAP!P3</f>
        <v>0.85</v>
      </c>
      <c r="L47" s="351">
        <v>2</v>
      </c>
      <c r="M47" s="351">
        <v>5</v>
      </c>
    </row>
    <row r="48" spans="1:13">
      <c r="A48" s="231" t="s">
        <v>15</v>
      </c>
      <c r="B48" s="232" t="s">
        <v>16</v>
      </c>
      <c r="C48" s="119" t="s">
        <v>353</v>
      </c>
      <c r="D48" s="1081">
        <f t="shared" si="6"/>
        <v>1.87</v>
      </c>
      <c r="E48" s="1082"/>
      <c r="F48" s="210" t="str">
        <f>TEXT(L48,"0,0")&amp;" à "&amp;TEXT(M48,"0,0")</f>
        <v>5,0 à 20,0</v>
      </c>
      <c r="G48" s="330" t="str">
        <f t="shared" si="4"/>
        <v>IIIIIIIIIIIIIIIIIIIIIIIII</v>
      </c>
      <c r="H48" s="327"/>
      <c r="I48" s="214"/>
      <c r="K48" s="351">
        <f>+VBA_EAP!Q3</f>
        <v>1.87</v>
      </c>
      <c r="L48" s="351">
        <v>5</v>
      </c>
      <c r="M48" s="351">
        <v>20</v>
      </c>
    </row>
    <row r="49" spans="1:21">
      <c r="A49" s="208" t="s">
        <v>17</v>
      </c>
      <c r="B49" s="209" t="s">
        <v>18</v>
      </c>
      <c r="C49" s="119" t="s">
        <v>353</v>
      </c>
      <c r="D49" s="1081">
        <f t="shared" si="6"/>
        <v>1.85</v>
      </c>
      <c r="E49" s="1082"/>
      <c r="F49" s="210" t="str">
        <f t="shared" ref="F49" si="7">TEXT(L49,"0")&amp;" à "&amp;TEXT(M49,"0")</f>
        <v>10 à 15</v>
      </c>
      <c r="G49" s="330" t="str">
        <f>IF(K49=0,"",IF($E$12="D","",IF(K49&lt;=$L49-($M49-$L49),"I"&amp;"IIII",IF(K49&gt;=$M49+($M49-$L49),REPT("I",60)&amp;"I",REPT("I",27+(K49-$L49)/($M49-$L49)*13)&amp;"I"))))</f>
        <v>IIIII</v>
      </c>
      <c r="H49" s="327"/>
      <c r="I49" s="214"/>
      <c r="K49" s="351">
        <f>+VBA_EAP!R3</f>
        <v>1.85</v>
      </c>
      <c r="L49" s="351">
        <v>10</v>
      </c>
      <c r="M49" s="351">
        <v>15</v>
      </c>
    </row>
    <row r="50" spans="1:21" ht="17.100000000000001" customHeight="1">
      <c r="A50" s="215" t="s">
        <v>19</v>
      </c>
      <c r="B50" s="216" t="s">
        <v>20</v>
      </c>
      <c r="C50" s="177" t="s">
        <v>353</v>
      </c>
      <c r="D50" s="1081" t="str">
        <f t="shared" si="6"/>
        <v>-</v>
      </c>
      <c r="E50" s="1082"/>
      <c r="F50" s="210" t="str">
        <f>TEXT(L50,"0,0")&amp;" à "&amp;TEXT(M50,"0,0")</f>
        <v>0,3 à 0,5</v>
      </c>
      <c r="G50" s="330" t="str">
        <f>IF(K50=0,"",IF($E$12="D","",IF(K50&lt;=$L50-($M50-$L50),"I"&amp;"IIII",IF(K50&gt;=$M50+($M50-$L50),REPT("I",60)&amp;"I",REPT("I",27+(K50-$L50)/($M50-$L50)*13)&amp;"I"))))</f>
        <v/>
      </c>
      <c r="H50" s="328"/>
      <c r="I50" s="221"/>
      <c r="K50" s="351">
        <f>IF(VBA_EAP!V3="",0,VBA_EAP!V3)</f>
        <v>0</v>
      </c>
      <c r="L50" s="351">
        <v>0.3</v>
      </c>
      <c r="M50" s="351">
        <v>0.5</v>
      </c>
    </row>
    <row r="51" spans="1:21" ht="21" customHeight="1" thickBot="1">
      <c r="A51" s="236" t="s">
        <v>507</v>
      </c>
      <c r="B51" s="236"/>
      <c r="C51" s="236"/>
      <c r="D51" s="236"/>
      <c r="E51" s="236"/>
      <c r="F51" s="236"/>
      <c r="G51" s="236"/>
      <c r="H51" s="236"/>
      <c r="I51" s="236"/>
      <c r="J51" s="352"/>
    </row>
    <row r="52" spans="1:21" ht="21" customHeight="1" thickBot="1">
      <c r="A52" s="353" t="s">
        <v>621</v>
      </c>
      <c r="B52" s="354"/>
      <c r="C52" s="354"/>
      <c r="D52" s="1130" t="s">
        <v>622</v>
      </c>
      <c r="E52" s="1130"/>
      <c r="F52" s="1130" t="s">
        <v>623</v>
      </c>
      <c r="G52" s="1130"/>
      <c r="H52" s="1130" t="s">
        <v>624</v>
      </c>
      <c r="I52" s="1130"/>
      <c r="J52" s="352"/>
      <c r="Q52" s="1131" t="s">
        <v>625</v>
      </c>
      <c r="R52" s="1132"/>
      <c r="S52" s="1133" t="s">
        <v>626</v>
      </c>
      <c r="T52" s="1132"/>
      <c r="U52" s="355" t="s">
        <v>624</v>
      </c>
    </row>
    <row r="53" spans="1:21" ht="16.8" thickBot="1">
      <c r="A53" s="228" t="s">
        <v>627</v>
      </c>
      <c r="B53" s="356"/>
      <c r="C53" s="242" t="s">
        <v>21</v>
      </c>
      <c r="D53" s="1134" t="str">
        <f>IF(Q53=FALSE,"-","Défavorable")</f>
        <v>-</v>
      </c>
      <c r="E53" s="1135"/>
      <c r="F53" s="1135" t="str">
        <f>IF(S53=FALSE,"-","Défavorable")</f>
        <v>-</v>
      </c>
      <c r="G53" s="1135"/>
      <c r="H53" s="1135" t="str">
        <f>IF(U53=FALSE,"-","Défavorable")</f>
        <v>-</v>
      </c>
      <c r="I53" s="1135"/>
      <c r="J53" s="352"/>
      <c r="K53" s="357" t="s">
        <v>627</v>
      </c>
      <c r="L53" s="358">
        <f>+(K32*62/15)/(K34*18/14)</f>
        <v>9.6444444444444439</v>
      </c>
      <c r="Q53" s="1136" t="b">
        <f>(L53&lt;2.5)</f>
        <v>0</v>
      </c>
      <c r="R53" s="1137"/>
      <c r="S53" s="1136" t="b">
        <f>L53&lt; 3</f>
        <v>0</v>
      </c>
      <c r="T53" s="1132"/>
      <c r="U53" s="359" t="b">
        <f>L53&lt; 3</f>
        <v>0</v>
      </c>
    </row>
    <row r="54" spans="1:21" ht="16.8" thickBot="1">
      <c r="A54" s="231" t="s">
        <v>628</v>
      </c>
      <c r="B54" s="360"/>
      <c r="C54" s="246" t="s">
        <v>21</v>
      </c>
      <c r="D54" s="1089" t="str">
        <f t="shared" ref="D54:D59" si="8">IF(Q54=FALSE,"-","Défavorable")</f>
        <v>Défavorable</v>
      </c>
      <c r="E54" s="1089"/>
      <c r="F54" s="1089" t="str">
        <f t="shared" ref="F54:F59" si="9">IF(S54=FALSE,"-","Défavorable")</f>
        <v>-</v>
      </c>
      <c r="G54" s="1089"/>
      <c r="H54" s="1089" t="str">
        <f t="shared" ref="H54:H59" si="10">IF(U54=FALSE,"-","Défavorable")</f>
        <v>Défavorable</v>
      </c>
      <c r="I54" s="1089"/>
      <c r="J54" s="352"/>
      <c r="K54" s="357" t="s">
        <v>628</v>
      </c>
      <c r="L54" s="358">
        <f>(K32+K34)/(K42*1.2)</f>
        <v>8.8183421516754859E-2</v>
      </c>
      <c r="Q54" s="1136" t="b">
        <f>L54&lt; 0.5</f>
        <v>1</v>
      </c>
      <c r="R54" s="1137"/>
      <c r="S54" s="1136" t="b">
        <f>L54&gt;0.8</f>
        <v>0</v>
      </c>
      <c r="T54" s="1132"/>
      <c r="U54" s="359" t="b">
        <f>OR(L54&lt;0.22, L54&gt;1.33)</f>
        <v>1</v>
      </c>
    </row>
    <row r="55" spans="1:21" ht="16.8" thickBot="1">
      <c r="A55" s="231" t="s">
        <v>629</v>
      </c>
      <c r="B55" s="360"/>
      <c r="C55" s="246" t="s">
        <v>21</v>
      </c>
      <c r="D55" s="1089" t="str">
        <f t="shared" si="8"/>
        <v>-</v>
      </c>
      <c r="E55" s="1089"/>
      <c r="F55" s="1089" t="str">
        <f t="shared" si="9"/>
        <v>-</v>
      </c>
      <c r="G55" s="1089"/>
      <c r="H55" s="1089" t="str">
        <f t="shared" si="10"/>
        <v>-</v>
      </c>
      <c r="I55" s="1089"/>
      <c r="J55" s="352"/>
      <c r="K55" s="357" t="s">
        <v>629</v>
      </c>
      <c r="L55" s="358">
        <f>(K32+K34)/(K36*2.29)</f>
        <v>0.38915198310431809</v>
      </c>
      <c r="Q55" s="1136" t="b">
        <f>L55&gt; 5</f>
        <v>0</v>
      </c>
      <c r="R55" s="1137"/>
      <c r="S55" s="1136" t="b">
        <f>L55 &gt;10</f>
        <v>0</v>
      </c>
      <c r="T55" s="1132"/>
      <c r="U55" s="359" t="b">
        <f>L55&gt;10</f>
        <v>0</v>
      </c>
    </row>
    <row r="56" spans="1:21" ht="16.8" thickBot="1">
      <c r="A56" s="231" t="s">
        <v>630</v>
      </c>
      <c r="B56" s="361"/>
      <c r="C56" s="246" t="s">
        <v>21</v>
      </c>
      <c r="D56" s="1089" t="str">
        <f t="shared" si="8"/>
        <v>Défavorable</v>
      </c>
      <c r="E56" s="1089"/>
      <c r="F56" s="1089" t="str">
        <f t="shared" si="9"/>
        <v>-</v>
      </c>
      <c r="G56" s="1089"/>
      <c r="H56" s="1089" t="str">
        <f t="shared" si="10"/>
        <v>-</v>
      </c>
      <c r="I56" s="1089"/>
      <c r="J56" s="352"/>
      <c r="K56" s="357" t="s">
        <v>630</v>
      </c>
      <c r="L56" s="358">
        <f>(K32+K34)/(K43*1.4)</f>
        <v>4.3029259896729788E-2</v>
      </c>
      <c r="Q56" s="1136" t="b">
        <f>OR(L56&gt;0.4,L56&lt;0.15)</f>
        <v>1</v>
      </c>
      <c r="R56" s="1137"/>
      <c r="S56" s="1136" t="b">
        <f>L56 &gt;0.65</f>
        <v>0</v>
      </c>
      <c r="T56" s="1132"/>
      <c r="U56" s="359" t="b">
        <f>L56 &gt;0.65</f>
        <v>0</v>
      </c>
    </row>
    <row r="57" spans="1:21" ht="17.100000000000001" customHeight="1" thickBot="1">
      <c r="A57" s="231" t="s">
        <v>631</v>
      </c>
      <c r="B57" s="361"/>
      <c r="C57" s="246" t="s">
        <v>21</v>
      </c>
      <c r="D57" s="1089" t="str">
        <f t="shared" si="8"/>
        <v>-</v>
      </c>
      <c r="E57" s="1089"/>
      <c r="F57" s="1089" t="str">
        <f t="shared" si="9"/>
        <v>Défavorable</v>
      </c>
      <c r="G57" s="1089"/>
      <c r="H57" s="1089" t="str">
        <f t="shared" si="10"/>
        <v>-</v>
      </c>
      <c r="I57" s="1089"/>
      <c r="J57" s="352"/>
      <c r="K57" s="357" t="s">
        <v>631</v>
      </c>
      <c r="L57" s="358">
        <f>+(K42*1.2)/(K43*1.4)</f>
        <v>0.48795180722891568</v>
      </c>
      <c r="Q57" s="1136" t="b">
        <f>L57&gt;0.9</f>
        <v>0</v>
      </c>
      <c r="R57" s="1137"/>
      <c r="S57" s="1136" t="b">
        <f>L57&lt;0.6</f>
        <v>1</v>
      </c>
      <c r="T57" s="1132"/>
      <c r="U57" s="359" t="b">
        <f>OR(L57&lt;0.3, L57&gt;1.6)</f>
        <v>0</v>
      </c>
    </row>
    <row r="58" spans="1:21" ht="16.8" thickBot="1">
      <c r="A58" s="231" t="s">
        <v>632</v>
      </c>
      <c r="B58" s="361"/>
      <c r="C58" s="246" t="s">
        <v>21</v>
      </c>
      <c r="D58" s="1089" t="str">
        <f t="shared" si="8"/>
        <v>-</v>
      </c>
      <c r="E58" s="1089"/>
      <c r="F58" s="1089" t="str">
        <f t="shared" si="9"/>
        <v>Défavorable</v>
      </c>
      <c r="G58" s="1089"/>
      <c r="H58" s="1089" t="str">
        <f t="shared" si="10"/>
        <v>-</v>
      </c>
      <c r="I58" s="1089"/>
      <c r="J58" s="352"/>
      <c r="K58" s="357" t="s">
        <v>632</v>
      </c>
      <c r="L58" s="358">
        <f>(K42*1.2)/(K44*1.66)</f>
        <v>1.2364389685438586</v>
      </c>
      <c r="Q58" s="1136" t="b">
        <f>L58&gt;2.5</f>
        <v>0</v>
      </c>
      <c r="R58" s="1137"/>
      <c r="S58" s="1136" t="b">
        <f>L58&lt;2</f>
        <v>1</v>
      </c>
      <c r="T58" s="1132"/>
      <c r="U58" s="359" t="b">
        <f>OR(L58&lt;0.72,L58 &gt;5.45)</f>
        <v>0</v>
      </c>
    </row>
    <row r="59" spans="1:21" ht="17.100000000000001" customHeight="1" thickBot="1">
      <c r="A59" s="249" t="s">
        <v>633</v>
      </c>
      <c r="B59" s="362"/>
      <c r="C59" s="251" t="s">
        <v>21</v>
      </c>
      <c r="D59" s="1090" t="str">
        <f t="shared" si="8"/>
        <v>-</v>
      </c>
      <c r="E59" s="1090"/>
      <c r="F59" s="1090" t="str">
        <f t="shared" si="9"/>
        <v>-</v>
      </c>
      <c r="G59" s="1090"/>
      <c r="H59" s="1090" t="str">
        <f t="shared" si="10"/>
        <v>-</v>
      </c>
      <c r="I59" s="1090"/>
      <c r="J59" s="352"/>
      <c r="K59" s="357" t="s">
        <v>633</v>
      </c>
      <c r="L59" s="358">
        <f>+(K43*1.4)/(K44/1.66)</f>
        <v>6.9825158371040699</v>
      </c>
      <c r="Q59" s="1136" t="b">
        <f>L59&lt;1.5</f>
        <v>0</v>
      </c>
      <c r="R59" s="1137"/>
      <c r="S59" s="1136" t="b">
        <f>L59&lt;1.18</f>
        <v>0</v>
      </c>
      <c r="T59" s="1132"/>
      <c r="U59" s="359" t="b">
        <f>L59&lt;1.18</f>
        <v>0</v>
      </c>
    </row>
    <row r="60" spans="1:21" ht="11.1" customHeight="1">
      <c r="A60" s="1087"/>
      <c r="B60" s="1088"/>
      <c r="C60" s="1088"/>
      <c r="D60" s="1032"/>
      <c r="E60" s="1032"/>
      <c r="F60" s="1032"/>
      <c r="G60" s="1032"/>
      <c r="H60" s="1032"/>
      <c r="I60" s="1032"/>
    </row>
    <row r="61" spans="1:21" ht="36" customHeight="1">
      <c r="A61" s="992"/>
      <c r="B61" s="992"/>
      <c r="C61" s="992"/>
      <c r="D61" s="77"/>
      <c r="E61" s="78"/>
      <c r="F61" s="992"/>
      <c r="G61" s="992"/>
      <c r="H61" s="992"/>
    </row>
    <row r="62" spans="1:21" ht="111" customHeight="1"/>
  </sheetData>
  <mergeCells count="100">
    <mergeCell ref="Q58:R58"/>
    <mergeCell ref="S58:T58"/>
    <mergeCell ref="D59:E59"/>
    <mergeCell ref="F59:G59"/>
    <mergeCell ref="H59:I59"/>
    <mergeCell ref="Q59:R59"/>
    <mergeCell ref="S59:T59"/>
    <mergeCell ref="A60:I60"/>
    <mergeCell ref="A61:C61"/>
    <mergeCell ref="F61:H61"/>
    <mergeCell ref="D58:E58"/>
    <mergeCell ref="F58:G58"/>
    <mergeCell ref="H58:I58"/>
    <mergeCell ref="D57:E57"/>
    <mergeCell ref="F57:G57"/>
    <mergeCell ref="H57:I57"/>
    <mergeCell ref="Q57:R57"/>
    <mergeCell ref="S57:T57"/>
    <mergeCell ref="D56:E56"/>
    <mergeCell ref="F56:G56"/>
    <mergeCell ref="H56:I56"/>
    <mergeCell ref="Q56:R56"/>
    <mergeCell ref="S56:T56"/>
    <mergeCell ref="D55:E55"/>
    <mergeCell ref="F55:G55"/>
    <mergeCell ref="H55:I55"/>
    <mergeCell ref="Q55:R55"/>
    <mergeCell ref="S55:T55"/>
    <mergeCell ref="D54:E54"/>
    <mergeCell ref="F54:G54"/>
    <mergeCell ref="H54:I54"/>
    <mergeCell ref="Q54:R54"/>
    <mergeCell ref="S54:T54"/>
    <mergeCell ref="D47:E47"/>
    <mergeCell ref="D48:E48"/>
    <mergeCell ref="D49:E49"/>
    <mergeCell ref="D50:E50"/>
    <mergeCell ref="D52:E52"/>
    <mergeCell ref="H52:I52"/>
    <mergeCell ref="Q52:R52"/>
    <mergeCell ref="S52:T52"/>
    <mergeCell ref="D53:E53"/>
    <mergeCell ref="F53:G53"/>
    <mergeCell ref="H53:I53"/>
    <mergeCell ref="Q53:R53"/>
    <mergeCell ref="S53:T53"/>
    <mergeCell ref="F52:G52"/>
    <mergeCell ref="D46:E46"/>
    <mergeCell ref="D33:E33"/>
    <mergeCell ref="D34:E34"/>
    <mergeCell ref="D36:E36"/>
    <mergeCell ref="D37:E37"/>
    <mergeCell ref="D38:E38"/>
    <mergeCell ref="D39:E39"/>
    <mergeCell ref="D41:E41"/>
    <mergeCell ref="D42:E42"/>
    <mergeCell ref="D43:E43"/>
    <mergeCell ref="D44:E44"/>
    <mergeCell ref="A45:I45"/>
    <mergeCell ref="D32:E32"/>
    <mergeCell ref="D20:E20"/>
    <mergeCell ref="D22:E22"/>
    <mergeCell ref="D23:E23"/>
    <mergeCell ref="A24:I24"/>
    <mergeCell ref="D25:E25"/>
    <mergeCell ref="D26:E26"/>
    <mergeCell ref="D27:E27"/>
    <mergeCell ref="D28:E28"/>
    <mergeCell ref="D29:E29"/>
    <mergeCell ref="D30:E30"/>
    <mergeCell ref="A31:I31"/>
    <mergeCell ref="G17:I18"/>
    <mergeCell ref="B13:D13"/>
    <mergeCell ref="E13:F13"/>
    <mergeCell ref="G13:I13"/>
    <mergeCell ref="B14:D14"/>
    <mergeCell ref="E14:F14"/>
    <mergeCell ref="G14:I14"/>
    <mergeCell ref="E11:F11"/>
    <mergeCell ref="A17:A18"/>
    <mergeCell ref="B17:B18"/>
    <mergeCell ref="C17:C18"/>
    <mergeCell ref="D17:E18"/>
    <mergeCell ref="F17:F18"/>
    <mergeCell ref="G11:I11"/>
    <mergeCell ref="D1:H4"/>
    <mergeCell ref="D5:H7"/>
    <mergeCell ref="B12:D12"/>
    <mergeCell ref="E12:F12"/>
    <mergeCell ref="G12:I12"/>
    <mergeCell ref="B9:D9"/>
    <mergeCell ref="E9:F9"/>
    <mergeCell ref="G9:I9"/>
    <mergeCell ref="B10:D10"/>
    <mergeCell ref="E10:F10"/>
    <mergeCell ref="G10:I10"/>
    <mergeCell ref="B8:D8"/>
    <mergeCell ref="E8:F8"/>
    <mergeCell ref="G8:I8"/>
    <mergeCell ref="B11:D11"/>
  </mergeCells>
  <phoneticPr fontId="36" type="noConversion"/>
  <conditionalFormatting sqref="D53:I59">
    <cfRule type="containsText" dxfId="65" priority="1" operator="containsText" text="Défavorable">
      <formula>NOT(ISERROR(SEARCH("Défavorable",D53)))</formula>
    </cfRule>
  </conditionalFormatting>
  <printOptions horizontalCentered="1"/>
  <pageMargins left="0.36000000000000004" right="0.36000000000000004" top="0.59" bottom="0" header="0.10999999999999999" footer="0.1"/>
  <pageSetup paperSize="9" scale="73" orientation="portrait" r:id="rId1"/>
  <headerFooter>
    <oddFooter>&amp;C&amp;"Calibri,Gras"&amp;K000000FIN DE PAGE_x000D_------------------------------_x000D_&amp;"Calibri,Normal"AGROPOLIS-GI5 GI6, Commune de Mejjate, Meknes, Maroc_x000D_Tél:+212 538 00 49 20/ www.elephantvert.ch / contactmaroc@elephantvert.ch</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LOT_EAP">
                <anchor moveWithCells="1" sizeWithCells="1">
                  <from>
                    <xdr:col>8</xdr:col>
                    <xdr:colOff>289560</xdr:colOff>
                    <xdr:row>1</xdr:row>
                    <xdr:rowOff>60960</xdr:rowOff>
                  </from>
                  <to>
                    <xdr:col>8</xdr:col>
                    <xdr:colOff>876300</xdr:colOff>
                    <xdr:row>4</xdr:row>
                    <xdr:rowOff>45720</xdr:rowOff>
                  </to>
                </anchor>
              </controlPr>
            </control>
          </mc:Choice>
        </mc:AlternateContent>
      </controls>
    </mc:Choice>
  </mc:AlternateContent>
  <extLst>
    <ext xmlns:mx="http://schemas.microsoft.com/office/mac/excel/2008/main" uri="{64002731-A6B0-56B0-2670-7721B7C09600}">
      <mx:PLV Mode="0" OnePage="0" WScale="8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3">
    <tabColor rgb="FF008000"/>
  </sheetPr>
  <dimension ref="A1:AY80"/>
  <sheetViews>
    <sheetView showGridLines="0" showZeros="0" view="pageBreakPreview" topLeftCell="A2" zoomScale="70" zoomScaleNormal="100" zoomScaleSheetLayoutView="70" workbookViewId="0">
      <selection activeCell="L18" sqref="L18"/>
    </sheetView>
  </sheetViews>
  <sheetFormatPr baseColWidth="10" defaultColWidth="10.8984375" defaultRowHeight="13.8"/>
  <cols>
    <col min="1" max="1" width="32" style="365" customWidth="1"/>
    <col min="2" max="2" width="10.59765625" style="365" customWidth="1"/>
    <col min="3" max="3" width="10" style="365" customWidth="1"/>
    <col min="4" max="5" width="5" style="365" customWidth="1"/>
    <col min="6" max="6" width="10" style="365" customWidth="1"/>
    <col min="7" max="7" width="3.59765625" style="365" customWidth="1"/>
    <col min="8" max="8" width="33.8984375" style="365" customWidth="1"/>
    <col min="9" max="9" width="10.59765625" style="365" customWidth="1"/>
    <col min="10" max="11" width="10" style="365" customWidth="1"/>
    <col min="12" max="12" width="10.5" style="365" customWidth="1"/>
    <col min="13" max="13" width="2" style="365" customWidth="1"/>
    <col min="14" max="16" width="0" style="365" hidden="1" customWidth="1"/>
    <col min="17" max="17" width="10.8984375" style="366" hidden="1" customWidth="1"/>
    <col min="18" max="18" width="52.09765625" style="366" hidden="1" customWidth="1"/>
    <col min="19" max="21" width="10.8984375" style="366" hidden="1" customWidth="1"/>
    <col min="22" max="22" width="13.5" style="366" hidden="1" customWidth="1"/>
    <col min="23" max="39" width="10.8984375" style="366" hidden="1" customWidth="1"/>
    <col min="40" max="45" width="10.8984375" style="366" customWidth="1"/>
    <col min="46" max="51" width="10.8984375" style="366" hidden="1" customWidth="1"/>
    <col min="52" max="97" width="10.8984375" style="366" customWidth="1"/>
    <col min="98" max="16384" width="10.8984375" style="366"/>
  </cols>
  <sheetData>
    <row r="1" spans="1:49" ht="15" customHeight="1">
      <c r="B1" s="954"/>
      <c r="C1" s="1138" t="str">
        <f>"RAPPORT D'ANALYSE SOL    N°"&amp;I8</f>
        <v>RAPPORT D'ANALYSE SOL    N°SOL103233</v>
      </c>
      <c r="D1" s="1138"/>
      <c r="E1" s="1138"/>
      <c r="F1" s="1138"/>
      <c r="G1" s="1138"/>
      <c r="H1" s="1138"/>
      <c r="I1" s="1138"/>
      <c r="J1" s="1138"/>
      <c r="K1" s="954"/>
      <c r="L1" s="954"/>
      <c r="V1" s="887" t="str">
        <f>"C:\Users\Amine Bouslamti\Documents\mes docs\GESTION LAB\BD1.xlsx"</f>
        <v>C:\Users\Amine Bouslamti\Documents\mes docs\GESTION LAB\BD1.xlsx</v>
      </c>
      <c r="AW1" s="366" t="str">
        <f>"SOL"&amp;VBA_SOL!A2&amp;"_"&amp;VBA_SOL!B2&amp;"_"&amp;VBA_SOL!K2&amp;"_"&amp;B12</f>
        <v>SOL103233_ABDELLAOUI ANDALOUSSI MAANE MOHAMED_S1_0 à 30  cm</v>
      </c>
    </row>
    <row r="2" spans="1:49" ht="15" customHeight="1">
      <c r="B2" s="954"/>
      <c r="C2" s="1138"/>
      <c r="D2" s="1138"/>
      <c r="E2" s="1138"/>
      <c r="F2" s="1138"/>
      <c r="G2" s="1138"/>
      <c r="H2" s="1138"/>
      <c r="I2" s="1138"/>
      <c r="J2" s="1138"/>
      <c r="K2" s="954"/>
      <c r="L2" s="954"/>
      <c r="V2" s="887" t="s">
        <v>1211</v>
      </c>
      <c r="AW2" s="366" t="str">
        <f>AW1&amp;".pdf"</f>
        <v>SOL103233_ABDELLAOUI ANDALOUSSI MAANE MOHAMED_S1_0 à 30  cm.pdf</v>
      </c>
    </row>
    <row r="3" spans="1:49" ht="15" customHeight="1">
      <c r="B3" s="954"/>
      <c r="C3" s="1138"/>
      <c r="D3" s="1138"/>
      <c r="E3" s="1138"/>
      <c r="F3" s="1138"/>
      <c r="G3" s="1138"/>
      <c r="H3" s="1138"/>
      <c r="I3" s="1138"/>
      <c r="J3" s="1138"/>
      <c r="K3" s="954"/>
      <c r="L3" s="954"/>
      <c r="V3" s="919" t="str">
        <f>"C:\Users\Amine Bouslamti\Documents\mes docs\SOL"&amp;VBA_SOL!A2&amp;"_"&amp;VBA_SOL!B2&amp;"_"&amp;VBA_SOL!K2&amp;"_"&amp;B12</f>
        <v>C:\Users\Amine Bouslamti\Documents\mes docs\SOL103233_ABDELLAOUI ANDALOUSSI MAANE MOHAMED_S1_0 à 30  cm</v>
      </c>
    </row>
    <row r="4" spans="1:49" ht="15" customHeight="1">
      <c r="A4" s="511" t="s">
        <v>1273</v>
      </c>
      <c r="B4" s="954"/>
      <c r="C4" s="1138"/>
      <c r="D4" s="1138"/>
      <c r="E4" s="1138"/>
      <c r="F4" s="1138"/>
      <c r="G4" s="1138"/>
      <c r="H4" s="1138"/>
      <c r="I4" s="1138"/>
      <c r="J4" s="1138"/>
      <c r="K4" s="954"/>
      <c r="L4" s="954"/>
    </row>
    <row r="5" spans="1:49" ht="20.100000000000001" customHeight="1">
      <c r="A5" s="367" t="s">
        <v>305</v>
      </c>
      <c r="B5" s="368"/>
      <c r="C5" s="1138"/>
      <c r="D5" s="1138"/>
      <c r="E5" s="1138"/>
      <c r="F5" s="1138"/>
      <c r="G5" s="1138"/>
      <c r="H5" s="1138"/>
      <c r="I5" s="1138"/>
      <c r="J5" s="1138"/>
      <c r="K5" s="1149" t="s">
        <v>329</v>
      </c>
      <c r="L5" s="1149"/>
      <c r="M5" s="1149"/>
    </row>
    <row r="6" spans="1:49" ht="20.100000000000001" customHeight="1">
      <c r="A6" s="370" t="s">
        <v>1207</v>
      </c>
      <c r="B6" s="368"/>
      <c r="C6" s="368" t="s">
        <v>59</v>
      </c>
      <c r="D6" s="368"/>
      <c r="E6" s="368"/>
      <c r="F6" s="368"/>
      <c r="G6" s="368"/>
      <c r="H6" s="369"/>
      <c r="I6" s="369"/>
      <c r="J6" s="369"/>
      <c r="K6" s="1150"/>
      <c r="L6" s="1150"/>
      <c r="M6" s="1150"/>
    </row>
    <row r="7" spans="1:49" s="378" customFormat="1" ht="18" customHeight="1">
      <c r="A7" s="371" t="s">
        <v>643</v>
      </c>
      <c r="B7" s="1151" t="str">
        <f>VBA_SOL!B2</f>
        <v>ABDELLAOUI ANDALOUSSI MAANE MOHAMED</v>
      </c>
      <c r="C7" s="1152"/>
      <c r="D7" s="1152"/>
      <c r="E7" s="1152"/>
      <c r="F7" s="1152"/>
      <c r="G7" s="1153"/>
      <c r="H7" s="371" t="s">
        <v>289</v>
      </c>
      <c r="I7" s="372" t="s">
        <v>1224</v>
      </c>
      <c r="J7" s="373"/>
      <c r="K7" s="374"/>
      <c r="L7" s="374"/>
      <c r="M7" s="375"/>
      <c r="N7" s="376"/>
      <c r="O7" s="377"/>
      <c r="P7" s="377"/>
    </row>
    <row r="8" spans="1:49" s="378" customFormat="1" ht="18" customHeight="1">
      <c r="A8" s="371" t="s">
        <v>298</v>
      </c>
      <c r="B8" s="1143" t="str">
        <f>IF(VBA_SOL!D2="","",VBA_SOL!D2)</f>
        <v>A 206731</v>
      </c>
      <c r="C8" s="1144"/>
      <c r="D8" s="1144"/>
      <c r="E8" s="1144"/>
      <c r="F8" s="1144"/>
      <c r="G8" s="1145"/>
      <c r="H8" s="371" t="s">
        <v>290</v>
      </c>
      <c r="I8" s="372" t="str">
        <f>"SOL"&amp;VBA_SOL!A2</f>
        <v>SOL103233</v>
      </c>
      <c r="J8" s="373"/>
      <c r="K8" s="374"/>
      <c r="L8" s="374"/>
      <c r="M8" s="375"/>
      <c r="N8" s="376"/>
      <c r="O8" s="377"/>
      <c r="P8" s="377"/>
    </row>
    <row r="9" spans="1:49" s="378" customFormat="1" ht="18" customHeight="1">
      <c r="A9" s="379" t="s">
        <v>297</v>
      </c>
      <c r="B9" s="1154" t="str">
        <f>IF(VBA_SOL!C2="","",VBA_SOL!C2)</f>
        <v>SECT 11 BLOC F N°9 HAY RIAD RABAT</v>
      </c>
      <c r="C9" s="1155"/>
      <c r="D9" s="1155"/>
      <c r="E9" s="1155"/>
      <c r="F9" s="1155"/>
      <c r="G9" s="1156"/>
      <c r="H9" s="379" t="s">
        <v>292</v>
      </c>
      <c r="I9" s="372" t="str">
        <f>TEXT(VBA_SOL!O2,"JJ/MM/AA")</f>
        <v>11/05/21</v>
      </c>
      <c r="J9" s="373"/>
      <c r="K9" s="374"/>
      <c r="L9" s="374"/>
      <c r="M9" s="375"/>
      <c r="N9" s="376"/>
      <c r="O9" s="377"/>
      <c r="P9" s="377"/>
    </row>
    <row r="10" spans="1:49" s="378" customFormat="1" ht="18" customHeight="1">
      <c r="A10" s="379" t="s">
        <v>359</v>
      </c>
      <c r="B10" s="1139" t="str">
        <f>IF(VBA_SOL!L2="","",UPPER(VBA_SOL!L2))</f>
        <v>AVOCATIER</v>
      </c>
      <c r="C10" s="1140"/>
      <c r="D10" s="1140"/>
      <c r="E10" s="1140"/>
      <c r="F10" s="373"/>
      <c r="G10" s="380"/>
      <c r="H10" s="379" t="s">
        <v>291</v>
      </c>
      <c r="I10" s="372" t="str">
        <f>TEXT(VBA_SOL!E2,"JJ/MM/AA")</f>
        <v>11/05/21</v>
      </c>
      <c r="J10" s="373"/>
      <c r="K10" s="374"/>
      <c r="L10" s="374"/>
      <c r="M10" s="375"/>
      <c r="N10" s="376"/>
      <c r="O10" s="377"/>
      <c r="P10" s="377"/>
    </row>
    <row r="11" spans="1:49" s="378" customFormat="1" ht="18" customHeight="1">
      <c r="A11" s="379" t="s">
        <v>296</v>
      </c>
      <c r="B11" s="1139" t="str">
        <f>IF(VBA_SOL!M2="","",VBA_SOL!M2)</f>
        <v>HASS</v>
      </c>
      <c r="C11" s="1140"/>
      <c r="D11" s="1140"/>
      <c r="E11" s="1140"/>
      <c r="F11" s="373"/>
      <c r="G11" s="380"/>
      <c r="H11" s="379" t="s">
        <v>293</v>
      </c>
      <c r="I11" s="372" t="str">
        <f>I10</f>
        <v>11/05/21</v>
      </c>
      <c r="J11" s="373"/>
      <c r="K11" s="374"/>
      <c r="L11" s="374"/>
      <c r="M11" s="375"/>
      <c r="N11" s="376"/>
      <c r="O11" s="377"/>
      <c r="P11" s="377"/>
    </row>
    <row r="12" spans="1:49" s="378" customFormat="1" ht="18" customHeight="1">
      <c r="A12" s="379" t="s">
        <v>644</v>
      </c>
      <c r="B12" s="381" t="str">
        <f>IF(VBA_SOL!V2="","",VBA_SOL!V2&amp;" à "&amp;VBA_SOL!W2&amp;"  cm")</f>
        <v>0 à 30  cm</v>
      </c>
      <c r="C12" s="382"/>
      <c r="D12" s="382"/>
      <c r="E12" s="382"/>
      <c r="F12" s="382"/>
      <c r="G12" s="383"/>
      <c r="H12" s="379" t="s">
        <v>360</v>
      </c>
      <c r="I12" s="1141">
        <f ca="1">TODAY()</f>
        <v>45009</v>
      </c>
      <c r="J12" s="1142"/>
      <c r="K12" s="1142"/>
      <c r="L12" s="374"/>
      <c r="M12" s="375"/>
      <c r="N12" s="377"/>
      <c r="O12" s="377"/>
      <c r="P12" s="377"/>
    </row>
    <row r="13" spans="1:49" s="378" customFormat="1" ht="18" customHeight="1">
      <c r="A13" s="379" t="s">
        <v>310</v>
      </c>
      <c r="B13" s="1143" t="str">
        <f>VBA_SOL!X2&amp;"  "&amp;VBA_SOL!Y2</f>
        <v>33° 48 497  6° 53 08 7</v>
      </c>
      <c r="C13" s="1144"/>
      <c r="D13" s="1144"/>
      <c r="E13" s="1144"/>
      <c r="F13" s="1144"/>
      <c r="G13" s="1145"/>
      <c r="H13" s="384" t="str">
        <f>IF(VBA_SOL!Z2="","","Organisme :")</f>
        <v/>
      </c>
      <c r="I13" s="385" t="str">
        <f>IF(VBA_SOL!Z2="","",VBA_SOL!Z2)</f>
        <v/>
      </c>
      <c r="J13" s="386"/>
      <c r="K13" s="386"/>
      <c r="L13" s="374"/>
      <c r="M13" s="375"/>
      <c r="N13" s="376"/>
      <c r="O13" s="377"/>
      <c r="P13" s="377"/>
    </row>
    <row r="14" spans="1:49" s="378" customFormat="1" ht="18" customHeight="1">
      <c r="A14" s="379" t="str">
        <f>"Référence client : "</f>
        <v xml:space="preserve">Référence client : </v>
      </c>
      <c r="B14" s="1143" t="str">
        <f>IF(VBA_SOL!K2="","",VBA_SOL!K2)</f>
        <v>S1</v>
      </c>
      <c r="C14" s="1144"/>
      <c r="D14" s="1144"/>
      <c r="E14" s="1144"/>
      <c r="F14" s="1144"/>
      <c r="G14" s="1144"/>
      <c r="H14" s="1144"/>
      <c r="I14" s="1144"/>
      <c r="J14" s="1144"/>
      <c r="K14" s="1144"/>
      <c r="L14" s="1144"/>
      <c r="M14" s="1145"/>
      <c r="N14" s="376"/>
      <c r="O14" s="377"/>
      <c r="P14" s="377"/>
    </row>
    <row r="15" spans="1:49" ht="18" customHeight="1">
      <c r="A15" s="910"/>
      <c r="B15" s="910"/>
      <c r="C15" s="910"/>
      <c r="D15" s="910"/>
      <c r="E15" s="910"/>
      <c r="F15" s="911"/>
      <c r="G15" s="911"/>
      <c r="H15" s="912"/>
      <c r="I15" s="909"/>
      <c r="J15" s="909"/>
      <c r="K15" s="909"/>
      <c r="L15" s="387"/>
      <c r="M15" s="368"/>
      <c r="N15" s="368"/>
    </row>
    <row r="16" spans="1:49" ht="20.100000000000001" customHeight="1">
      <c r="A16" s="1146" t="s">
        <v>645</v>
      </c>
      <c r="B16" s="1147"/>
      <c r="C16" s="1147"/>
      <c r="D16" s="1147"/>
      <c r="E16" s="1148"/>
      <c r="F16" s="388"/>
      <c r="G16" s="388"/>
      <c r="H16" s="388"/>
      <c r="I16" s="388"/>
      <c r="J16" s="388"/>
    </row>
    <row r="17" spans="1:22" ht="17.100000000000001" customHeight="1">
      <c r="A17" s="389"/>
      <c r="B17" s="390"/>
      <c r="C17" s="390"/>
      <c r="D17" s="390"/>
      <c r="E17" s="390"/>
      <c r="F17" s="391" t="str">
        <f>medtest!C14</f>
        <v>Texture très fine argileuse</v>
      </c>
      <c r="G17" s="390"/>
      <c r="H17" s="390"/>
      <c r="I17" s="390"/>
      <c r="J17" s="390"/>
      <c r="K17" s="392"/>
      <c r="L17" s="392"/>
      <c r="M17" s="393"/>
    </row>
    <row r="18" spans="1:22" s="404" customFormat="1" ht="21" customHeight="1">
      <c r="A18" s="394" t="s">
        <v>646</v>
      </c>
      <c r="B18" s="395">
        <f>VBA_SOL!AD7</f>
        <v>412</v>
      </c>
      <c r="C18" s="396"/>
      <c r="D18" s="396"/>
      <c r="E18" s="397"/>
      <c r="F18" s="397"/>
      <c r="G18" s="398"/>
      <c r="H18" s="399"/>
      <c r="I18" s="400" t="s">
        <v>647</v>
      </c>
      <c r="J18" s="401"/>
      <c r="K18" s="401"/>
      <c r="L18" s="402">
        <f>medtest!I8</f>
        <v>1.2995849512784816</v>
      </c>
      <c r="M18" s="403"/>
      <c r="N18" s="399"/>
      <c r="O18" s="399"/>
      <c r="P18" s="399"/>
    </row>
    <row r="19" spans="1:22" ht="3.9" customHeight="1">
      <c r="A19" s="405"/>
      <c r="B19" s="406"/>
      <c r="C19" s="407"/>
      <c r="D19" s="407"/>
      <c r="E19" s="407"/>
      <c r="F19" s="407"/>
      <c r="G19" s="407"/>
      <c r="H19" s="388"/>
      <c r="I19" s="400"/>
      <c r="J19" s="401"/>
      <c r="K19" s="401"/>
      <c r="L19" s="408"/>
      <c r="M19" s="403"/>
    </row>
    <row r="20" spans="1:22" s="404" customFormat="1" ht="21" customHeight="1">
      <c r="A20" s="394" t="s">
        <v>648</v>
      </c>
      <c r="B20" s="395">
        <f>VBA_SOL!AE7</f>
        <v>262</v>
      </c>
      <c r="C20" s="396"/>
      <c r="D20" s="396"/>
      <c r="E20" s="396"/>
      <c r="F20" s="396"/>
      <c r="G20" s="398"/>
      <c r="H20" s="409"/>
      <c r="I20" s="400" t="s">
        <v>649</v>
      </c>
      <c r="J20" s="410"/>
      <c r="K20" s="411"/>
      <c r="L20" s="402">
        <f>IF(B18&lt;&gt;0,B22/B18,"")</f>
        <v>0.79126213592233008</v>
      </c>
      <c r="M20" s="403"/>
      <c r="N20" s="399"/>
      <c r="O20" s="399"/>
      <c r="P20" s="399"/>
    </row>
    <row r="21" spans="1:22" ht="3.9" customHeight="1">
      <c r="A21" s="405"/>
      <c r="B21" s="406"/>
      <c r="C21" s="407"/>
      <c r="D21" s="407"/>
      <c r="E21" s="407"/>
      <c r="F21" s="412"/>
      <c r="G21" s="412"/>
      <c r="I21" s="400"/>
      <c r="J21" s="410"/>
      <c r="K21" s="411"/>
      <c r="L21" s="411"/>
      <c r="M21" s="403"/>
    </row>
    <row r="22" spans="1:22" s="404" customFormat="1" ht="21" customHeight="1">
      <c r="A22" s="394" t="s">
        <v>650</v>
      </c>
      <c r="B22" s="395">
        <f>VBA_SOL!AF7</f>
        <v>326</v>
      </c>
      <c r="C22" s="396"/>
      <c r="D22" s="396"/>
      <c r="E22" s="396"/>
      <c r="F22" s="396"/>
      <c r="G22" s="398"/>
      <c r="H22" s="409"/>
      <c r="I22" s="400" t="str">
        <f>"Réserve Utile estimée : "&amp;IF(B18&lt;&gt;0,medtest!I33,"")</f>
        <v>Réserve Utile estimée : 1,7 mm d'eau /cm de sol</v>
      </c>
      <c r="J22" s="410"/>
      <c r="K22" s="411"/>
      <c r="L22" s="413"/>
      <c r="M22" s="403"/>
      <c r="N22" s="399"/>
      <c r="O22" s="399"/>
      <c r="P22" s="399"/>
    </row>
    <row r="23" spans="1:22" ht="3.9" customHeight="1">
      <c r="A23" s="405"/>
      <c r="B23" s="414"/>
      <c r="C23" s="388"/>
      <c r="D23" s="388"/>
      <c r="E23" s="388"/>
      <c r="I23" s="415"/>
      <c r="J23" s="388"/>
      <c r="L23" s="416"/>
      <c r="M23" s="403"/>
    </row>
    <row r="24" spans="1:22" s="404" customFormat="1" ht="8.1" hidden="1" customHeight="1">
      <c r="A24" s="399"/>
      <c r="B24" s="416"/>
      <c r="C24" s="416"/>
      <c r="D24" s="416"/>
      <c r="E24" s="416"/>
      <c r="F24" s="416"/>
      <c r="G24" s="417"/>
      <c r="H24" s="409"/>
      <c r="I24" s="415"/>
      <c r="J24" s="416"/>
      <c r="K24" s="399"/>
      <c r="L24" s="416"/>
      <c r="M24" s="403"/>
      <c r="N24" s="399"/>
      <c r="O24" s="399"/>
      <c r="P24" s="399"/>
    </row>
    <row r="25" spans="1:22" ht="3.9" customHeight="1">
      <c r="A25" s="405"/>
      <c r="B25" s="414"/>
      <c r="C25" s="388"/>
      <c r="D25" s="388"/>
      <c r="E25" s="388"/>
      <c r="F25" s="388"/>
      <c r="G25" s="388"/>
      <c r="H25" s="388"/>
      <c r="I25" s="388"/>
      <c r="J25" s="388"/>
      <c r="L25" s="416"/>
      <c r="M25" s="403"/>
    </row>
    <row r="26" spans="1:22" s="404" customFormat="1" ht="2.1" customHeight="1">
      <c r="A26" s="394"/>
      <c r="B26" s="416"/>
      <c r="C26" s="416"/>
      <c r="D26" s="416"/>
      <c r="E26" s="416"/>
      <c r="F26" s="416"/>
      <c r="G26" s="417"/>
      <c r="H26" s="409"/>
      <c r="I26" s="416"/>
      <c r="J26" s="416"/>
      <c r="K26" s="399"/>
      <c r="L26" s="416"/>
      <c r="M26" s="418"/>
      <c r="N26" s="399"/>
      <c r="O26" s="399"/>
      <c r="P26" s="399"/>
    </row>
    <row r="27" spans="1:22" ht="9" customHeight="1">
      <c r="A27" s="419"/>
      <c r="B27" s="420"/>
      <c r="C27" s="420"/>
      <c r="D27" s="420"/>
      <c r="E27" s="420"/>
      <c r="F27" s="420"/>
      <c r="G27" s="420"/>
      <c r="H27" s="420"/>
      <c r="I27" s="420"/>
      <c r="J27" s="420"/>
      <c r="K27" s="421"/>
      <c r="L27" s="421"/>
      <c r="M27" s="422"/>
      <c r="U27" s="366">
        <f>(97.52*LN(B18)-84.143)/1000</f>
        <v>0.5030271970285658</v>
      </c>
      <c r="V27" s="366">
        <f>(185.36*LN(B18)-159.11)/1000</f>
        <v>0.95694688803542827</v>
      </c>
    </row>
    <row r="28" spans="1:22">
      <c r="A28" s="388"/>
      <c r="B28" s="388"/>
      <c r="C28" s="388"/>
      <c r="D28" s="388"/>
      <c r="E28" s="388"/>
      <c r="F28" s="388"/>
      <c r="G28" s="388"/>
      <c r="H28" s="388"/>
      <c r="I28" s="388"/>
      <c r="J28" s="388"/>
      <c r="T28" s="423">
        <f>(2.5*B53+75)*(94/78)*0.001</f>
        <v>0.15787179487179487</v>
      </c>
      <c r="U28" s="366">
        <f>3/(2.127/B53*100)</f>
        <v>0.31593794076163612</v>
      </c>
      <c r="V28" s="366">
        <f>5/(2.127/B53*100)</f>
        <v>0.52656323460272692</v>
      </c>
    </row>
    <row r="29" spans="1:22" ht="20.100000000000001" customHeight="1">
      <c r="A29" s="1167" t="s">
        <v>651</v>
      </c>
      <c r="B29" s="1168"/>
      <c r="C29" s="1168"/>
      <c r="D29" s="1168"/>
      <c r="E29" s="1168"/>
      <c r="F29" s="1168"/>
      <c r="G29" s="424"/>
      <c r="H29" s="1169" t="s">
        <v>652</v>
      </c>
      <c r="I29" s="1169"/>
      <c r="J29" s="1169"/>
      <c r="K29" s="1169"/>
      <c r="L29" s="1169"/>
      <c r="M29" s="1169"/>
      <c r="U29" s="366">
        <f>(U27*0.5+U28*0.5)</f>
        <v>0.40948256889510093</v>
      </c>
      <c r="V29" s="425">
        <f>(V27*0.7+V28*0.3)</f>
        <v>0.82783179200561774</v>
      </c>
    </row>
    <row r="30" spans="1:22" s="435" customFormat="1" ht="15" customHeight="1">
      <c r="A30" s="426"/>
      <c r="B30" s="427" t="s">
        <v>363</v>
      </c>
      <c r="C30" s="428" t="s">
        <v>282</v>
      </c>
      <c r="D30" s="429"/>
      <c r="E30" s="430" t="s">
        <v>596</v>
      </c>
      <c r="F30" s="431" t="s">
        <v>653</v>
      </c>
      <c r="G30" s="424"/>
      <c r="H30" s="432"/>
      <c r="I30" s="433" t="s">
        <v>363</v>
      </c>
      <c r="J30" s="428" t="s">
        <v>282</v>
      </c>
      <c r="K30" s="430" t="s">
        <v>596</v>
      </c>
      <c r="L30" s="1170" t="s">
        <v>653</v>
      </c>
      <c r="M30" s="1170"/>
      <c r="N30" s="434"/>
      <c r="O30" s="434"/>
      <c r="P30" s="434"/>
    </row>
    <row r="31" spans="1:22" s="435" customFormat="1" ht="20.100000000000001" customHeight="1">
      <c r="A31" s="436" t="s">
        <v>654</v>
      </c>
      <c r="B31" s="1171">
        <f>B33/1.72</f>
        <v>14.4</v>
      </c>
      <c r="C31" s="1173" t="str">
        <f>+C33</f>
        <v>IIIIIIIIIIIIIIIIIIIIII</v>
      </c>
      <c r="D31" s="1173"/>
      <c r="E31" s="1173"/>
      <c r="F31" s="1174" t="str">
        <f>TEXT(Q31,"0")&amp;" à "&amp;TEXT(R31,"0")</f>
        <v>12 à 17</v>
      </c>
      <c r="G31" s="437"/>
      <c r="H31" s="438" t="s">
        <v>655</v>
      </c>
      <c r="I31" s="1176">
        <f>I37/100</f>
        <v>0.2</v>
      </c>
      <c r="J31" s="1164" t="str">
        <f>J37</f>
        <v>IIIIIIIIIIIIII</v>
      </c>
      <c r="K31" s="1165"/>
      <c r="L31" s="1166" t="s">
        <v>601</v>
      </c>
      <c r="M31" s="1166"/>
      <c r="N31" s="434"/>
      <c r="O31" s="434"/>
      <c r="P31" s="434"/>
      <c r="Q31" s="439">
        <f>+Q33/1.72</f>
        <v>11.627906976744185</v>
      </c>
      <c r="R31" s="439">
        <f>+R33/1.72</f>
        <v>17.441860465116278</v>
      </c>
    </row>
    <row r="32" spans="1:22" s="435" customFormat="1" ht="11.1" customHeight="1">
      <c r="A32" s="440" t="s">
        <v>1255</v>
      </c>
      <c r="B32" s="1172"/>
      <c r="C32" s="1164"/>
      <c r="D32" s="1164"/>
      <c r="E32" s="1164"/>
      <c r="F32" s="1175"/>
      <c r="G32" s="437"/>
      <c r="H32" s="440" t="s">
        <v>1254</v>
      </c>
      <c r="I32" s="1176"/>
      <c r="J32" s="1165"/>
      <c r="K32" s="1165"/>
      <c r="L32" s="1166"/>
      <c r="M32" s="1166"/>
      <c r="N32" s="434"/>
      <c r="O32" s="434"/>
      <c r="P32" s="434"/>
    </row>
    <row r="33" spans="1:32" s="435" customFormat="1" ht="20.100000000000001" customHeight="1">
      <c r="A33" s="441" t="s">
        <v>1206</v>
      </c>
      <c r="B33" s="1157">
        <f>VBA_SOL!S7*1.72</f>
        <v>24.768000000000001</v>
      </c>
      <c r="C33" s="1159" t="str">
        <f>IF(B33=0,"",IF($F$12="D","",IF(B33&lt;=$Q33-($R33-$Q33),"I"&amp;"I",IF(B33&gt;=$R33+($R33-$Q33),REPT("I",27)&amp;"I",REPT("I",17+(B33-$Q33)/($R33-$Q33)*9)&amp;"I"))))</f>
        <v>IIIIIIIIIIIIIIIIIIIIII</v>
      </c>
      <c r="D33" s="1159"/>
      <c r="E33" s="1159"/>
      <c r="F33" s="1161" t="str">
        <f>Q33&amp;" à "&amp;R33</f>
        <v>20 à 30</v>
      </c>
      <c r="G33" s="437"/>
      <c r="H33" s="442" t="s">
        <v>656</v>
      </c>
      <c r="I33" s="1163">
        <f>VBA_SOL!J7</f>
        <v>7.0000000000000007E-2</v>
      </c>
      <c r="J33" s="1164" t="str">
        <f>IF(I33=0,"",IF($F$12="D","",IF(I33&lt;=$T33-($U33-$T33),"I"&amp;"I",IF(I33&gt;=$U33+($U33-$T33),REPT("I",27)&amp;"I",REPT("I",9+(I33-$T33)/($U33-$T33)*9)&amp;"I"))))</f>
        <v>IIIIIIIIIII</v>
      </c>
      <c r="K33" s="1165"/>
      <c r="L33" s="1166" t="s">
        <v>657</v>
      </c>
      <c r="M33" s="1166"/>
      <c r="N33" s="434"/>
      <c r="O33" s="434"/>
      <c r="P33" s="434"/>
      <c r="Q33" s="435">
        <v>20</v>
      </c>
      <c r="R33" s="435">
        <v>30</v>
      </c>
      <c r="T33" s="435">
        <v>0</v>
      </c>
      <c r="U33" s="435">
        <v>0.34</v>
      </c>
    </row>
    <row r="34" spans="1:32" s="435" customFormat="1" ht="11.1" customHeight="1">
      <c r="A34" s="443" t="s">
        <v>1256</v>
      </c>
      <c r="B34" s="1158"/>
      <c r="C34" s="1160"/>
      <c r="D34" s="1160"/>
      <c r="E34" s="1160"/>
      <c r="F34" s="1162"/>
      <c r="G34" s="437"/>
      <c r="H34" s="440" t="s">
        <v>1258</v>
      </c>
      <c r="I34" s="1163"/>
      <c r="J34" s="1165"/>
      <c r="K34" s="1165"/>
      <c r="L34" s="1166"/>
      <c r="M34" s="1166"/>
      <c r="N34" s="434"/>
      <c r="O34" s="434"/>
      <c r="P34" s="434"/>
    </row>
    <row r="35" spans="1:32" s="435" customFormat="1" ht="20.100000000000001" customHeight="1">
      <c r="A35" s="444" t="s">
        <v>659</v>
      </c>
      <c r="B35" s="1190">
        <f>VBA_SOL!R7</f>
        <v>1.73</v>
      </c>
      <c r="C35" s="1164" t="str">
        <f>IF(B35=0,"",IF($F$12="D","",IF(B35&lt;=$Q35-($R35-$Q35),"I"&amp;"I",IF(B35&gt;=$R35+($R35-$Q35),REPT("I",27)&amp;"I",REPT("I",9+(B35-$Q35)/($R35-$Q35)*9)&amp;"I"))))</f>
        <v>IIIIIIIIIIIII</v>
      </c>
      <c r="D35" s="1165"/>
      <c r="E35" s="1165"/>
      <c r="F35" s="1166" t="str">
        <f>TEXT(Q35,"0,0")&amp;" à "&amp;TEXT(R35,"0,0")</f>
        <v>1,0 à 3,0</v>
      </c>
      <c r="G35" s="424"/>
      <c r="H35" s="442" t="s">
        <v>660</v>
      </c>
      <c r="I35" s="1191" t="str">
        <f>IF(VBA_SOL!F7&gt;100,TEXT(VBA_SOL!F7,"0"),VBA_SOL!F7)</f>
        <v>191</v>
      </c>
      <c r="J35" s="1192" t="str">
        <f>IF(I35=0,"",IF($F$12="D","",IF(I35&lt;=$T35-($U35-$T35),"I"&amp;"I",IF(I35&gt;=$U35+($U35-$T35),REPT("I",27)&amp;"I",REPT("I",9+(I35-$T35)/($U35-$T35)*9)&amp;"I"))))</f>
        <v>IIIIIIIIIIIIIIIIIIIIIIIIIIII</v>
      </c>
      <c r="K35" s="1165"/>
      <c r="L35" s="1166" t="s">
        <v>605</v>
      </c>
      <c r="M35" s="1166"/>
      <c r="N35" s="434"/>
      <c r="O35" s="434"/>
      <c r="P35" s="434"/>
      <c r="Q35" s="435">
        <v>1</v>
      </c>
      <c r="R35" s="435">
        <v>3</v>
      </c>
      <c r="T35" s="435">
        <v>0</v>
      </c>
      <c r="U35" s="435">
        <v>100</v>
      </c>
    </row>
    <row r="36" spans="1:32" s="435" customFormat="1" ht="11.1" customHeight="1">
      <c r="A36" s="440" t="s">
        <v>1257</v>
      </c>
      <c r="B36" s="1190"/>
      <c r="C36" s="1165"/>
      <c r="D36" s="1165"/>
      <c r="E36" s="1165"/>
      <c r="F36" s="1166"/>
      <c r="G36" s="437"/>
      <c r="H36" s="440" t="s">
        <v>661</v>
      </c>
      <c r="I36" s="1191"/>
      <c r="J36" s="1165"/>
      <c r="K36" s="1165"/>
      <c r="L36" s="1166"/>
      <c r="M36" s="1166"/>
      <c r="N36" s="434"/>
      <c r="O36" s="434"/>
      <c r="P36" s="434"/>
    </row>
    <row r="37" spans="1:32" s="435" customFormat="1" ht="20.100000000000001" customHeight="1">
      <c r="A37" s="444" t="s">
        <v>612</v>
      </c>
      <c r="B37" s="1177">
        <f>IF(B35=0,"",(B33/1.72)/B35)</f>
        <v>8.3236994219653191</v>
      </c>
      <c r="C37" s="1179" t="str">
        <f>IF(B37="","",IF($F$12="D","",IF(B37&lt;=$Q37-($R37-$Q37),"I"&amp;"I",IF(B37&gt;=$R37+($R37-$Q37),REPT("I",27)&amp;"I",REPT("I",9+(B37-$Q37)/($R37-$Q37)*9)&amp;"I"))))</f>
        <v>IIIIIIIIII</v>
      </c>
      <c r="D37" s="1179"/>
      <c r="E37" s="1179"/>
      <c r="F37" s="1181" t="str">
        <f>Q37&amp;" à "&amp;R37</f>
        <v>8 à 12</v>
      </c>
      <c r="G37" s="424"/>
      <c r="H37" s="445" t="s">
        <v>662</v>
      </c>
      <c r="I37" s="1183">
        <f>VBA_SOL!E7*100</f>
        <v>20</v>
      </c>
      <c r="J37" s="1185" t="str">
        <f>IF(I37=0,"",IF($F$12="D","",IF(I37&lt;=$T37-($U37-$T37),"I"&amp;"I",IF(I37&gt;=$U37+($U37-$T37),REPT("I",27)&amp;"I",REPT("I",9+(I37-$T37)/($U37-$T37)*9)&amp;"I"))))</f>
        <v>IIIIIIIIIIIIII</v>
      </c>
      <c r="K37" s="1186"/>
      <c r="L37" s="1188" t="s">
        <v>663</v>
      </c>
      <c r="M37" s="1188"/>
      <c r="N37" s="434"/>
      <c r="O37" s="434"/>
      <c r="P37" s="434"/>
      <c r="Q37" s="435">
        <v>8</v>
      </c>
      <c r="R37" s="435">
        <v>12</v>
      </c>
      <c r="T37" s="435">
        <v>0</v>
      </c>
      <c r="U37" s="435">
        <v>40</v>
      </c>
    </row>
    <row r="38" spans="1:32" s="435" customFormat="1" ht="11.1" customHeight="1">
      <c r="A38" s="446" t="s">
        <v>273</v>
      </c>
      <c r="B38" s="1178"/>
      <c r="C38" s="1180"/>
      <c r="D38" s="1180"/>
      <c r="E38" s="1180"/>
      <c r="F38" s="1182"/>
      <c r="G38" s="437"/>
      <c r="H38" s="447" t="s">
        <v>1259</v>
      </c>
      <c r="I38" s="1184"/>
      <c r="J38" s="1187"/>
      <c r="K38" s="1187"/>
      <c r="L38" s="1189"/>
      <c r="M38" s="1189"/>
      <c r="N38" s="434"/>
      <c r="O38" s="434"/>
      <c r="P38" s="434"/>
    </row>
    <row r="39" spans="1:32" s="435" customFormat="1" ht="9" customHeight="1">
      <c r="A39" s="448"/>
      <c r="B39" s="449"/>
      <c r="C39" s="450"/>
      <c r="D39" s="450"/>
      <c r="E39" s="450"/>
      <c r="F39" s="450"/>
      <c r="G39" s="424"/>
      <c r="H39" s="451"/>
      <c r="I39" s="452"/>
      <c r="J39" s="453"/>
      <c r="K39" s="453"/>
      <c r="L39" s="454"/>
      <c r="M39" s="454"/>
      <c r="N39" s="434"/>
      <c r="O39" s="434"/>
      <c r="P39" s="434"/>
    </row>
    <row r="40" spans="1:32" s="435" customFormat="1" ht="21" customHeight="1">
      <c r="A40" s="1169" t="s">
        <v>664</v>
      </c>
      <c r="B40" s="1193"/>
      <c r="C40" s="1193"/>
      <c r="D40" s="1193"/>
      <c r="E40" s="1193"/>
      <c r="F40" s="1193"/>
      <c r="G40" s="424"/>
      <c r="H40" s="1169" t="s">
        <v>665</v>
      </c>
      <c r="I40" s="1169"/>
      <c r="J40" s="1169"/>
      <c r="K40" s="1169"/>
      <c r="L40" s="1169"/>
      <c r="M40" s="1169"/>
      <c r="N40" s="434"/>
      <c r="O40" s="434"/>
      <c r="P40" s="434"/>
      <c r="W40" s="435" t="s">
        <v>666</v>
      </c>
      <c r="X40" s="435" t="s">
        <v>667</v>
      </c>
    </row>
    <row r="41" spans="1:32" s="435" customFormat="1" ht="15" customHeight="1">
      <c r="A41" s="455"/>
      <c r="B41" s="427" t="s">
        <v>363</v>
      </c>
      <c r="C41" s="456" t="s">
        <v>282</v>
      </c>
      <c r="D41" s="457"/>
      <c r="E41" s="430" t="s">
        <v>596</v>
      </c>
      <c r="F41" s="427" t="s">
        <v>653</v>
      </c>
      <c r="G41" s="424"/>
      <c r="H41" s="455"/>
      <c r="I41" s="458" t="s">
        <v>363</v>
      </c>
      <c r="J41" s="459" t="s">
        <v>282</v>
      </c>
      <c r="K41" s="460" t="s">
        <v>596</v>
      </c>
      <c r="L41" s="1194" t="s">
        <v>653</v>
      </c>
      <c r="M41" s="1194"/>
      <c r="N41" s="434"/>
      <c r="O41" s="434"/>
      <c r="P41" s="434"/>
      <c r="W41" s="461">
        <f>B33</f>
        <v>24.768000000000001</v>
      </c>
      <c r="X41" s="462">
        <f>B18</f>
        <v>412</v>
      </c>
    </row>
    <row r="42" spans="1:32" s="435" customFormat="1" ht="21" customHeight="1">
      <c r="A42" s="436" t="s">
        <v>668</v>
      </c>
      <c r="B42" s="1195" t="str">
        <f>IF(VBA_SOL!B7&lt;0.1,"Inf à 0,1",IF(VBA_SOL!B7="","-",IF(VBA_SOL!B7&gt;=100,TEXT(VBA_SOL!B7*10,"0"),IF(AND(VBA_SOL!B7&lt;100,VBA_SOL!B7&gt;10),TEXT(VBA_SOL!B7*10,"0"),TEXT(VBA_SOL!B7*10,"0,0")))))</f>
        <v>5,0</v>
      </c>
      <c r="C42" s="1196" t="str">
        <f>IF(P42="-","",IF($F$12="D","",IF(P42&lt;=$Q42-($R42-$Q42),"I"&amp;"I",IF(P42&gt;=$R42+($R42-$Q42),REPT("I",27)&amp;"I",REPT("I",9+(P42-$Q42)/($R42-$Q42)*9)&amp;"I"))))</f>
        <v>IIIIIIIIII</v>
      </c>
      <c r="D42" s="1197"/>
      <c r="E42" s="1197"/>
      <c r="F42" s="1199" t="s">
        <v>605</v>
      </c>
      <c r="G42" s="424"/>
      <c r="H42" s="436" t="s">
        <v>669</v>
      </c>
      <c r="I42" s="1200" t="str">
        <f>IF(VBA_SOL!H7&lt;10,N42,IF(VBA_SOL!H7&gt;=100,TEXT(VBA_SOL!H7,"0"),IF(AND(VBA_SOL!H7&lt;100,VBA_SOL!H7&gt;10),TEXT(VBA_SOL!H7,"0,0"),TEXT(VBA_SOL!H7,"0,00"))))</f>
        <v>560</v>
      </c>
      <c r="J42" s="1201" t="str">
        <f>IF(S42&lt;10,"ll",IF($F$12="D","",IF(S42&lt;=$T42-($U42-$T42),"I"&amp;"I",IF(S42&gt;=$U42+($U42-$T42),REPT("I",47)&amp;"I",REPT("I",16+(S42-$T42)/($U42-$T42)*9)&amp;"I"))))</f>
        <v>IIIIIIIIIIIIIIIIIIIIIIIIIIIIIIIIIIIIIIIIIIIIIIII</v>
      </c>
      <c r="K42" s="1201"/>
      <c r="L42" s="1202" t="str">
        <f>TEXT(T42,0)&amp;" à "&amp;U42</f>
        <v>37 à 60</v>
      </c>
      <c r="M42" s="1202"/>
      <c r="N42" s="908">
        <f>IF(VBA_SOL!H7&lt;10,"inf à 10",VBA_SOL!H7)</f>
        <v>560</v>
      </c>
      <c r="O42" s="434"/>
      <c r="P42" s="434">
        <f>VBA_SOL!B7*10</f>
        <v>5</v>
      </c>
      <c r="Q42" s="463">
        <v>0</v>
      </c>
      <c r="R42" s="435">
        <v>100</v>
      </c>
      <c r="S42" s="435">
        <f>IF(VBA_SOL!H7="","-",VBA_SOL!H7)</f>
        <v>560</v>
      </c>
      <c r="T42" s="464">
        <f>2.7817*LN(X41+5*W41) + 20</f>
        <v>37.479745513682964</v>
      </c>
      <c r="U42" s="465">
        <f>IF(B10="maraichage",120,60)</f>
        <v>60</v>
      </c>
      <c r="AF42" s="466"/>
    </row>
    <row r="43" spans="1:32" s="435" customFormat="1" ht="12" customHeight="1">
      <c r="A43" s="440" t="s">
        <v>1261</v>
      </c>
      <c r="B43" s="1190"/>
      <c r="C43" s="1198"/>
      <c r="D43" s="1198"/>
      <c r="E43" s="1198"/>
      <c r="F43" s="1181"/>
      <c r="G43" s="424"/>
      <c r="H43" s="440" t="s">
        <v>1260</v>
      </c>
      <c r="I43" s="1191"/>
      <c r="J43" s="1179"/>
      <c r="K43" s="1179"/>
      <c r="L43" s="1203"/>
      <c r="M43" s="1203"/>
      <c r="N43" s="434"/>
      <c r="O43" s="434"/>
      <c r="P43" s="434"/>
      <c r="T43" s="465"/>
      <c r="U43" s="465"/>
    </row>
    <row r="44" spans="1:32" s="435" customFormat="1" ht="21" customHeight="1">
      <c r="A44" s="467" t="s">
        <v>672</v>
      </c>
      <c r="B44" s="1207" t="str">
        <f>IF(VBA_SOL!C7=0,"-",VBA_SOL!C7*10)</f>
        <v>-</v>
      </c>
      <c r="C44" s="1204" t="str">
        <f>IF(B44="-","",IF($F$12="D","",IF(B44&lt;=$Q44-($R44-$Q44),"I"&amp;"I",IF(B44&gt;=$R44+($R44-$Q44),REPT("I",27)&amp;"I",REPT("I",9+(B44-$Q44)/($R44-$Q44)*9)&amp;"I"))))</f>
        <v/>
      </c>
      <c r="D44" s="1198"/>
      <c r="E44" s="1198"/>
      <c r="F44" s="1181" t="s">
        <v>608</v>
      </c>
      <c r="G44" s="424"/>
      <c r="H44" s="468" t="s">
        <v>673</v>
      </c>
      <c r="I44" s="1181">
        <f>VBA_SOL!I7/1000</f>
        <v>0.52</v>
      </c>
      <c r="J44" s="1179" t="str">
        <f>IF(I44=0,"",IF($F$12="D","",IF(I44&lt;=$T44-($U44-$T44),"I"&amp;"I",IF(I44&gt;=$U44+($U44-$T44),REPT("I",47)&amp;"I",REPT("I",16+(I44-$T44)/($U44-$T44)*9)&amp;"I"))))</f>
        <v>IIIIIIIIIIIIIIIIIII</v>
      </c>
      <c r="K44" s="1165"/>
      <c r="L44" s="1203" t="str">
        <f>TEXT(T44,"0,00")&amp;" à "&amp;TEXT(U44,"0,00")</f>
        <v>0,41 à 0,83</v>
      </c>
      <c r="M44" s="1203"/>
      <c r="N44" s="434"/>
      <c r="O44" s="434"/>
      <c r="P44" s="434"/>
      <c r="Q44" s="435">
        <v>0</v>
      </c>
      <c r="R44" s="435">
        <v>30</v>
      </c>
      <c r="T44" s="469">
        <f>IF(B18&lt;&gt;0,IF(B53&lt;5,T28,MAX(U29,T28)),IF(B53&lt;5,X75,MAX(3/(2.127/B53*100),T28)))</f>
        <v>0.40948256889510093</v>
      </c>
      <c r="U44" s="464">
        <f>IF(B18&lt;&gt;0,IF(B53&lt;5,0.175,MAX(V29,0.175)),IF(B53&lt;5,0.175,MAX(5/(2.127/B53*100),0.175)))</f>
        <v>0.82783179200561774</v>
      </c>
    </row>
    <row r="45" spans="1:32" s="435" customFormat="1" ht="12" customHeight="1">
      <c r="A45" s="440" t="s">
        <v>1262</v>
      </c>
      <c r="B45" s="1207"/>
      <c r="C45" s="1198"/>
      <c r="D45" s="1198"/>
      <c r="E45" s="1198"/>
      <c r="F45" s="1181"/>
      <c r="G45" s="424"/>
      <c r="H45" s="440" t="s">
        <v>1258</v>
      </c>
      <c r="I45" s="1181"/>
      <c r="J45" s="1165"/>
      <c r="K45" s="1165"/>
      <c r="L45" s="1203"/>
      <c r="M45" s="1203"/>
      <c r="N45" s="434"/>
      <c r="O45" s="434"/>
      <c r="P45" s="434"/>
    </row>
    <row r="46" spans="1:32" s="435" customFormat="1" ht="21" customHeight="1">
      <c r="A46" s="467" t="s">
        <v>675</v>
      </c>
      <c r="B46" s="1190">
        <f>CEILING(VBA_SOL!D7,0.1)</f>
        <v>7.8000000000000007</v>
      </c>
      <c r="C46" s="1204" t="str">
        <f>IF(B46=0,"",IF($F$12="D","",IF(B46&lt;=$Q46-($R46-$Q46),"I"&amp;"I",IF(B46&gt;=$R46+($R46-$Q46),REPT("I",27)&amp;"I",REPT("I",9+(B46-$Q46)/($R46-$Q46)*9)&amp;"I"))))</f>
        <v>IIIIIIIIIIIIIIIIIIIIIII</v>
      </c>
      <c r="D46" s="1198"/>
      <c r="E46" s="1198"/>
      <c r="F46" s="1181" t="str">
        <f>Q46&amp;" à "&amp;R46</f>
        <v>6,5 à 7,4</v>
      </c>
      <c r="G46" s="424"/>
      <c r="H46" s="468" t="s">
        <v>676</v>
      </c>
      <c r="I46" s="1181">
        <f>VBA_SOL!L7/1000</f>
        <v>0.66</v>
      </c>
      <c r="J46" s="1179" t="str">
        <f>IF(I46=0,"",IF($F$12="D","",IF(I46&lt;=$T46-($U46-$T46),"I"&amp;"I",IF(I46&gt;=$U46+($U46-$T46),REPT("I",47)&amp;"I",REPT("I",16+(I46-$T46)/($U46-$T46)*9)&amp;"I"))))</f>
        <v>IIIIIIIIIIIIIIIIIIIIIIII</v>
      </c>
      <c r="K46" s="1165"/>
      <c r="L46" s="1203" t="str">
        <f>TEXT(T46,"0,00")&amp;" à "&amp;TEXT(U46,"0,00")</f>
        <v>0,36 à 0,72</v>
      </c>
      <c r="M46" s="1203"/>
      <c r="N46" s="434"/>
      <c r="O46" s="434"/>
      <c r="P46" s="434"/>
      <c r="Q46" s="435">
        <v>6.5</v>
      </c>
      <c r="R46" s="435">
        <v>7.4</v>
      </c>
      <c r="T46" s="470">
        <f>IF(B53&lt;6, (T44)*0.9,8/(1000/(B53*2)))</f>
        <v>0.3584</v>
      </c>
      <c r="U46" s="470">
        <f>IF(B53&lt;6,(U44)*0.9,16/(1000/(B53*2)))</f>
        <v>0.71679999999999999</v>
      </c>
    </row>
    <row r="47" spans="1:32" s="435" customFormat="1" ht="12" customHeight="1">
      <c r="A47" s="440" t="s">
        <v>1263</v>
      </c>
      <c r="B47" s="1190"/>
      <c r="C47" s="1198"/>
      <c r="D47" s="1198"/>
      <c r="E47" s="1198"/>
      <c r="F47" s="1181"/>
      <c r="G47" s="424"/>
      <c r="H47" s="446" t="s">
        <v>1258</v>
      </c>
      <c r="I47" s="1182"/>
      <c r="J47" s="1205"/>
      <c r="K47" s="1205"/>
      <c r="L47" s="1206"/>
      <c r="M47" s="1206"/>
      <c r="N47" s="434"/>
      <c r="O47" s="434"/>
      <c r="P47" s="434"/>
    </row>
    <row r="48" spans="1:32" s="435" customFormat="1" ht="15.9" customHeight="1">
      <c r="A48" s="467" t="s">
        <v>678</v>
      </c>
      <c r="B48" s="1190" t="str">
        <f>IF(VBA_SOL!Z7="","-",CEILING(VBA_SOL!Z7,0.1))</f>
        <v>-</v>
      </c>
      <c r="C48" s="1198" t="str">
        <f>IF(B48="-","",IF($F$12="D","",IF(B48&lt;=$Q48-($R48-$Q48),"I"&amp;"I",IF(B48&gt;=$R48+($R48-$Q48),REPT("I",27)&amp;"I",REPT("I",9+(B48-$Q48)/($R48-$Q48)*9)&amp;"I"))))</f>
        <v/>
      </c>
      <c r="D48" s="1198"/>
      <c r="E48" s="1198"/>
      <c r="F48" s="1181" t="str">
        <f>Q48&amp;" à "&amp;R48</f>
        <v>5,5 à 6,4</v>
      </c>
      <c r="G48" s="424"/>
      <c r="H48" s="434"/>
      <c r="I48" s="434"/>
      <c r="J48" s="434"/>
      <c r="K48" s="434"/>
      <c r="L48" s="434"/>
      <c r="M48" s="434"/>
      <c r="N48" s="434"/>
      <c r="O48" s="434"/>
      <c r="P48" s="434"/>
      <c r="Q48" s="435">
        <v>5.5</v>
      </c>
      <c r="R48" s="435">
        <v>6.4</v>
      </c>
    </row>
    <row r="49" spans="1:23" s="435" customFormat="1" ht="9" customHeight="1">
      <c r="A49" s="1208" t="s">
        <v>1263</v>
      </c>
      <c r="B49" s="1190"/>
      <c r="C49" s="1198"/>
      <c r="D49" s="1198"/>
      <c r="E49" s="1198"/>
      <c r="F49" s="1181"/>
      <c r="G49" s="424"/>
      <c r="H49" s="1169" t="s">
        <v>679</v>
      </c>
      <c r="I49" s="1169"/>
      <c r="J49" s="1169"/>
      <c r="K49" s="1169"/>
      <c r="L49" s="1169"/>
      <c r="M49" s="1169"/>
      <c r="N49" s="434"/>
      <c r="O49" s="434"/>
      <c r="P49" s="434"/>
    </row>
    <row r="50" spans="1:23" s="435" customFormat="1" ht="9" customHeight="1">
      <c r="A50" s="1208"/>
      <c r="B50" s="1190"/>
      <c r="C50" s="1198"/>
      <c r="D50" s="1198"/>
      <c r="E50" s="1198"/>
      <c r="F50" s="1181"/>
      <c r="G50" s="424"/>
      <c r="H50" s="1169"/>
      <c r="I50" s="1169"/>
      <c r="J50" s="1169"/>
      <c r="K50" s="1169"/>
      <c r="L50" s="1169"/>
      <c r="M50" s="1169"/>
      <c r="N50" s="434"/>
      <c r="O50" s="434"/>
      <c r="P50" s="434"/>
    </row>
    <row r="51" spans="1:23" s="435" customFormat="1" ht="21" customHeight="1">
      <c r="A51" s="467" t="s">
        <v>680</v>
      </c>
      <c r="B51" s="1177">
        <f>VBA_SOL!K7</f>
        <v>3.03</v>
      </c>
      <c r="C51" s="1198" t="str">
        <f>IF(B51=0,"",IF($F$12="D","",IF(B51&lt;=$Q51-($R51-$Q51),"I"&amp;"I",IF(B51&gt;=$R51+($R51-$Q51),REPT("I",27)&amp;"I",REPT("I",9+(B51-$Q51)/($R51-$Q51)*9)&amp;"I"))))</f>
        <v>IIIIIIIIIII</v>
      </c>
      <c r="D51" s="1198"/>
      <c r="E51" s="1198"/>
      <c r="F51" s="1181" t="str">
        <f>Q51&amp;" à "&amp;R51</f>
        <v>2,5 à 5</v>
      </c>
      <c r="G51" s="424"/>
      <c r="H51" s="471" t="s">
        <v>681</v>
      </c>
      <c r="I51" s="1200">
        <f>IF(VBA_SOL!AA7="","",VBA_SOL!AA7*((1000*200+40*VBA_SOL!AC7*10)/(40*(1000-VBA_SOL!AC7*10))))</f>
        <v>27.359322799097065</v>
      </c>
      <c r="J51" s="472"/>
      <c r="K51" s="473"/>
      <c r="L51" s="474"/>
      <c r="M51" s="475"/>
      <c r="N51" s="434"/>
      <c r="O51" s="434"/>
      <c r="P51" s="434"/>
      <c r="Q51" s="435">
        <v>2.5</v>
      </c>
      <c r="R51" s="435">
        <v>5</v>
      </c>
    </row>
    <row r="52" spans="1:23" s="435" customFormat="1" ht="12" customHeight="1">
      <c r="A52" s="440" t="s">
        <v>1258</v>
      </c>
      <c r="B52" s="1177"/>
      <c r="C52" s="1198"/>
      <c r="D52" s="1198"/>
      <c r="E52" s="1198"/>
      <c r="F52" s="1181"/>
      <c r="G52" s="424"/>
      <c r="H52" s="476" t="s">
        <v>661</v>
      </c>
      <c r="I52" s="1191"/>
      <c r="J52" s="477"/>
      <c r="K52" s="478"/>
      <c r="L52" s="479"/>
      <c r="M52" s="480"/>
      <c r="N52" s="434"/>
      <c r="O52" s="434"/>
      <c r="P52" s="434"/>
    </row>
    <row r="53" spans="1:23" s="435" customFormat="1" ht="21" customHeight="1">
      <c r="A53" s="481" t="s">
        <v>682</v>
      </c>
      <c r="B53" s="1177">
        <f>VBA_SOL!Y7</f>
        <v>22.4</v>
      </c>
      <c r="C53" s="1216" t="str">
        <f>IF(B53=0,"",IF($F$12="D","",IF(B53&lt;=$Q53-($R53-$Q53),"I"&amp;"I",IF(B53&gt;=$R53+($R53-$Q53),REPT("I",27)&amp;"I",REPT("I",9+(B53-$Q53)/($R53-$Q53)*9)&amp;"I"))))</f>
        <v>IIIIIIIIIIIIIIIIIIIIIIIIIIII</v>
      </c>
      <c r="D53" s="1198"/>
      <c r="E53" s="1198"/>
      <c r="F53" s="1181" t="str">
        <f>Q53&amp;" à "&amp;R53</f>
        <v>8 à 15</v>
      </c>
      <c r="G53" s="424"/>
      <c r="H53" s="482" t="s">
        <v>683</v>
      </c>
      <c r="I53" s="1218">
        <f>IF(VBA_SOL!AB7="","",VBA_SOL!AB7*((1000*200+40*VBA_SOL!AC7*10)/(40*(1000-VBA_SOL!AC7*10))))</f>
        <v>3.8037539503386002</v>
      </c>
      <c r="J53" s="477"/>
      <c r="K53" s="478"/>
      <c r="L53" s="479"/>
      <c r="M53" s="480"/>
      <c r="N53" s="434"/>
      <c r="O53" s="434"/>
      <c r="P53" s="434"/>
      <c r="Q53" s="435">
        <v>8</v>
      </c>
      <c r="R53" s="435">
        <v>15</v>
      </c>
    </row>
    <row r="54" spans="1:23" s="435" customFormat="1" ht="12" customHeight="1">
      <c r="A54" s="446" t="s">
        <v>1264</v>
      </c>
      <c r="B54" s="1178"/>
      <c r="C54" s="1217"/>
      <c r="D54" s="1217"/>
      <c r="E54" s="1217"/>
      <c r="F54" s="1182"/>
      <c r="G54" s="424"/>
      <c r="H54" s="483" t="s">
        <v>661</v>
      </c>
      <c r="I54" s="1219"/>
      <c r="J54" s="484"/>
      <c r="K54" s="485"/>
      <c r="L54" s="486"/>
      <c r="M54" s="487"/>
      <c r="N54" s="434"/>
      <c r="O54" s="434"/>
      <c r="P54" s="434"/>
    </row>
    <row r="55" spans="1:23" s="435" customFormat="1" ht="11.1" customHeight="1">
      <c r="A55" s="448"/>
      <c r="B55" s="449"/>
      <c r="C55" s="450"/>
      <c r="D55" s="450"/>
      <c r="E55" s="450"/>
      <c r="F55" s="450"/>
      <c r="G55" s="424"/>
      <c r="H55" s="434"/>
      <c r="I55" s="434"/>
      <c r="J55" s="434"/>
      <c r="K55" s="434"/>
      <c r="L55" s="434"/>
      <c r="M55" s="434"/>
      <c r="N55" s="434"/>
      <c r="O55" s="434"/>
      <c r="P55" s="434"/>
    </row>
    <row r="56" spans="1:23" s="435" customFormat="1" ht="26.1" customHeight="1">
      <c r="A56" s="1169" t="s">
        <v>10</v>
      </c>
      <c r="B56" s="1193"/>
      <c r="C56" s="1193"/>
      <c r="D56" s="1193"/>
      <c r="E56" s="1193"/>
      <c r="F56" s="1193"/>
      <c r="G56" s="424"/>
      <c r="H56" s="1169" t="str">
        <f>UPPER("Taux de saturation en calcium")</f>
        <v>TAUX DE SATURATION EN CALCIUM</v>
      </c>
      <c r="I56" s="1169"/>
      <c r="J56" s="1169"/>
      <c r="K56" s="1169"/>
      <c r="L56" s="1169"/>
      <c r="M56" s="1169"/>
      <c r="N56" s="434"/>
      <c r="O56" s="434"/>
      <c r="P56" s="434"/>
      <c r="V56" s="435">
        <v>0.6</v>
      </c>
      <c r="W56" s="488">
        <f>+V56*3.54/2</f>
        <v>1.0620000000000001</v>
      </c>
    </row>
    <row r="57" spans="1:23" s="435" customFormat="1" ht="11.1" customHeight="1">
      <c r="A57" s="489"/>
      <c r="B57" s="490" t="s">
        <v>363</v>
      </c>
      <c r="C57" s="491" t="s">
        <v>282</v>
      </c>
      <c r="D57" s="492"/>
      <c r="E57" s="493" t="s">
        <v>596</v>
      </c>
      <c r="F57" s="490" t="s">
        <v>653</v>
      </c>
      <c r="G57" s="424"/>
      <c r="H57" s="489"/>
      <c r="I57" s="490" t="s">
        <v>363</v>
      </c>
      <c r="J57" s="491" t="s">
        <v>282</v>
      </c>
      <c r="K57" s="493" t="s">
        <v>596</v>
      </c>
      <c r="L57" s="1170" t="s">
        <v>653</v>
      </c>
      <c r="M57" s="1170"/>
      <c r="N57" s="434"/>
      <c r="O57" s="434"/>
      <c r="P57" s="434"/>
    </row>
    <row r="58" spans="1:23" s="435" customFormat="1" ht="23.1" customHeight="1">
      <c r="A58" s="494" t="s">
        <v>1267</v>
      </c>
      <c r="B58" s="1209" t="str">
        <f>IF(VBA_SOL!N7="","-",IF(VBA_SOL!N7&gt;=100,TEXT(VBA_SOL!N7,"0"),IF(AND(VBA_SOL!N7&lt;100,VBA_SOL!N7&gt;10),TEXT(VBA_SOL!N7,"0,0"),TEXT(VBA_SOL!N7,"0,00"))))</f>
        <v>1,31</v>
      </c>
      <c r="C58" s="1201" t="str">
        <f>IF(P58="-","",IF($F$12="D","",IF(P58&lt;=$Q58-($R58-$Q58),"I"&amp;"I",IF(P58&gt;=$R58+($R58-$Q58),REPT("I",27)&amp;"I",REPT("I",15+(P58-$Q58)/($R58-$Q58)*9)&amp;"I"))))</f>
        <v>IIIIIIIIIIIIII</v>
      </c>
      <c r="D58" s="1211"/>
      <c r="E58" s="1211"/>
      <c r="F58" s="1212" t="str">
        <f>Q58&amp;" à "&amp;R58</f>
        <v>1,8 à 4,5</v>
      </c>
      <c r="G58" s="424"/>
      <c r="H58" s="495" t="s">
        <v>684</v>
      </c>
      <c r="I58" s="496" t="str">
        <f>IF(V58&gt;85,"Saturé",TEXT(V58,"0"))</f>
        <v>48</v>
      </c>
      <c r="J58" s="1214" t="str">
        <f>IF(I58=0,"",IF($F$12="D","",IF(I58&lt;=$T58-($U58-$T58),"I"&amp;"I",IF(I58&gt;=$U58+($U58-$T58),REPT("I",27)&amp;"I",REPT("I",9+(I58-$T58)/($U58-$T58)*9)&amp;"I"))))</f>
        <v>IIIIIIIIIIIIIIIIIIIIIIIIIIII</v>
      </c>
      <c r="K58" s="1214"/>
      <c r="L58" s="1215" t="str">
        <f>T58&amp;" à "&amp;U58</f>
        <v>85 à 95</v>
      </c>
      <c r="M58" s="1215"/>
      <c r="N58" s="434"/>
      <c r="O58" s="434"/>
      <c r="P58" s="434">
        <f>IF(VBA_SOL!N7="","-",VBA_SOL!N7)</f>
        <v>1.31</v>
      </c>
      <c r="Q58" s="435">
        <v>1.8</v>
      </c>
      <c r="R58" s="435">
        <v>4.5</v>
      </c>
      <c r="T58" s="435">
        <v>85</v>
      </c>
      <c r="U58" s="435">
        <v>95</v>
      </c>
      <c r="V58" s="435">
        <f>MIN(1,B51*3.571/B53)*100</f>
        <v>48.304151785714296</v>
      </c>
    </row>
    <row r="59" spans="1:23" s="435" customFormat="1" ht="8.1" customHeight="1">
      <c r="A59" s="440" t="s">
        <v>1265</v>
      </c>
      <c r="B59" s="1210"/>
      <c r="C59" s="1165"/>
      <c r="D59" s="1165"/>
      <c r="E59" s="1165"/>
      <c r="F59" s="1213"/>
      <c r="G59" s="424"/>
      <c r="H59" s="399"/>
      <c r="I59" s="434"/>
      <c r="J59" s="434"/>
      <c r="K59" s="434"/>
      <c r="L59" s="434"/>
      <c r="M59" s="434"/>
      <c r="N59" s="434"/>
      <c r="O59" s="434"/>
      <c r="P59" s="434"/>
    </row>
    <row r="60" spans="1:23" s="435" customFormat="1" ht="21" customHeight="1">
      <c r="A60" s="467" t="s">
        <v>1268</v>
      </c>
      <c r="B60" s="1210" t="str">
        <f>IF(VBA_SOL!M7="","-",IF(VBA_SOL!M7&gt;=100,TEXT(VBA_SOL!M7,"0"),IF(AND(VBA_SOL!M7&lt;100,VBA_SOL!M7&gt;10),TEXT(VBA_SOL!M7,"0,0"),TEXT(VBA_SOL!M7,"0,00"))))</f>
        <v>6,63</v>
      </c>
      <c r="C60" s="1179" t="str">
        <f>IF(P60="-","",IF($F$12="D","",IF(P60&lt;=$Q60-($R60-$Q60),"I"&amp;"I",IF(P60&gt;=$R60+($R60-$Q60),REPT("I",27)&amp;"I",REPT("I",15+(P60-$Q60)/($R60-$Q60)*9)&amp;"I"))))</f>
        <v>IIIIIIIIIIIIIIIIIIIII</v>
      </c>
      <c r="D60" s="1165"/>
      <c r="E60" s="1165"/>
      <c r="F60" s="1213" t="str">
        <f>Q60&amp;" à "&amp;R60</f>
        <v>1,8 à 10</v>
      </c>
      <c r="G60" s="424"/>
      <c r="H60" s="1169" t="s">
        <v>685</v>
      </c>
      <c r="I60" s="1169"/>
      <c r="J60" s="1169"/>
      <c r="K60" s="1169"/>
      <c r="L60" s="1169"/>
      <c r="M60" s="1169"/>
      <c r="N60" s="434"/>
      <c r="O60" s="434"/>
      <c r="P60" s="434">
        <f>IF(VBA_SOL!M7="","-",VBA_SOL!M7)</f>
        <v>6.63</v>
      </c>
      <c r="Q60" s="435">
        <v>1.8</v>
      </c>
      <c r="R60" s="435">
        <v>10</v>
      </c>
    </row>
    <row r="61" spans="1:23" s="435" customFormat="1" ht="12" customHeight="1">
      <c r="A61" s="440" t="s">
        <v>1265</v>
      </c>
      <c r="B61" s="1210"/>
      <c r="C61" s="1165"/>
      <c r="D61" s="1165"/>
      <c r="E61" s="1165"/>
      <c r="F61" s="1213"/>
      <c r="G61" s="424"/>
      <c r="H61" s="455"/>
      <c r="I61" s="458" t="s">
        <v>363</v>
      </c>
      <c r="J61" s="459" t="s">
        <v>282</v>
      </c>
      <c r="K61" s="460" t="s">
        <v>596</v>
      </c>
      <c r="L61" s="1194" t="s">
        <v>653</v>
      </c>
      <c r="M61" s="1194"/>
      <c r="N61" s="434"/>
      <c r="O61" s="434"/>
      <c r="P61" s="434"/>
    </row>
    <row r="62" spans="1:23" s="435" customFormat="1" ht="21" customHeight="1">
      <c r="A62" s="467" t="s">
        <v>1269</v>
      </c>
      <c r="B62" s="1210" t="str">
        <f>IF(VBA_SOL!O7="","-",IF(VBA_SOL!O7&gt;=100,TEXT(VBA_SOL!O7,"0"),IF(AND(VBA_SOL!O7&lt;100,VBA_SOL!O7&gt;10),TEXT(VBA_SOL!O7,"0,0"),TEXT(VBA_SOL!O7,"0,00"))))</f>
        <v>4,85</v>
      </c>
      <c r="C62" s="1179" t="str">
        <f t="shared" ref="C62" si="0">IF(P62="-","",IF($F$12="D","",IF(P62&lt;=$Q62-($R62-$Q62),"I"&amp;"I",IF(P62&gt;=$R62+($R62-$Q62),REPT("I",27)&amp;"I",REPT("I",15+(P62-$Q62)/($R62-$Q62)*9)&amp;"I"))))</f>
        <v>IIIIIIIIIIIIIIII</v>
      </c>
      <c r="D62" s="1165"/>
      <c r="E62" s="1165"/>
      <c r="F62" s="1213" t="str">
        <f>Q62&amp;" à "&amp;R62</f>
        <v>3,06 à 20</v>
      </c>
      <c r="G62" s="424"/>
      <c r="H62" s="1220" t="s">
        <v>686</v>
      </c>
      <c r="I62" s="1222">
        <f>(I44)*2.127/B53*100</f>
        <v>4.9376785714285711</v>
      </c>
      <c r="J62" s="1224" t="str">
        <f>IF(I62=0,"",IF($F$12="D","",IF(I62&lt;=$T62-($U62-$T62),"I"&amp;"I",IF(I62&gt;=$U62+($U62-$T62),REPT("I",27)&amp;"I",REPT("I",9+(I62-$T62)/($U62-$T62)*9)&amp;"I"))))</f>
        <v>IIIIIIIIIIIIIIIIII</v>
      </c>
      <c r="K62" s="1224"/>
      <c r="L62" s="1226" t="str">
        <f>T62&amp;" à "&amp;U62</f>
        <v>3 à 5</v>
      </c>
      <c r="M62" s="1226"/>
      <c r="N62" s="434"/>
      <c r="O62" s="434"/>
      <c r="P62" s="434">
        <f>IF(VBA_SOL!O7="","-",VBA_SOL!O7)</f>
        <v>4.8499999999999996</v>
      </c>
      <c r="Q62" s="435">
        <f>IF(B46="",IF(B46&lt;6,7,IF(B46&lt;7.8,1+B46,MIN(10,1+B46+(B46-7.8)*10))),1.5+B46/5)</f>
        <v>3.06</v>
      </c>
      <c r="R62" s="435">
        <v>20</v>
      </c>
      <c r="T62" s="435">
        <v>3</v>
      </c>
      <c r="U62" s="435">
        <v>5</v>
      </c>
    </row>
    <row r="63" spans="1:23" s="435" customFormat="1" ht="12" customHeight="1">
      <c r="A63" s="440" t="s">
        <v>1265</v>
      </c>
      <c r="B63" s="1210"/>
      <c r="C63" s="1165"/>
      <c r="D63" s="1165"/>
      <c r="E63" s="1165"/>
      <c r="F63" s="1213"/>
      <c r="G63" s="424"/>
      <c r="H63" s="1221"/>
      <c r="I63" s="1223"/>
      <c r="J63" s="1225"/>
      <c r="K63" s="1225"/>
      <c r="L63" s="1227"/>
      <c r="M63" s="1227"/>
      <c r="N63" s="434"/>
      <c r="O63" s="434"/>
      <c r="P63" s="434"/>
    </row>
    <row r="64" spans="1:23" s="435" customFormat="1" ht="21" customHeight="1">
      <c r="A64" s="467" t="s">
        <v>1270</v>
      </c>
      <c r="B64" s="1236" t="str">
        <f>IF(VBA_SOL!P7="","-",IF(VBA_SOL!P7&gt;=100,TEXT(VBA_SOL!P7,"0"),IF(AND(VBA_SOL!P7&lt;100,VBA_SOL!P7&gt;10),TEXT(VBA_SOL!P7,"0,0"),TEXT(VBA_SOL!P7,"0,00"))))</f>
        <v>31,3</v>
      </c>
      <c r="C64" s="1179" t="str">
        <f t="shared" ref="C64" si="1">IF(P64="-","",IF($F$12="D","",IF(P64&lt;=$Q64-($R64-$Q64),"I"&amp;"I",IF(P64&gt;=$R64+($R64-$Q64),REPT("I",27)&amp;"I",REPT("I",15+(P64-$Q64)/($R64-$Q64)*9)&amp;"I"))))</f>
        <v>IIIIIIIIIIIIII</v>
      </c>
      <c r="D64" s="1165"/>
      <c r="E64" s="1165"/>
      <c r="F64" s="1213" t="str">
        <f>Q64&amp;" à "&amp;R64</f>
        <v>40 à 100</v>
      </c>
      <c r="G64" s="424"/>
      <c r="H64" s="1221" t="s">
        <v>687</v>
      </c>
      <c r="I64" s="1223">
        <f>(I46)*4.96/B53*10</f>
        <v>1.4614285714285715</v>
      </c>
      <c r="J64" s="1225" t="str">
        <f>IF(I64=0,"",IF($F$12="D","",IF(I64&lt;=$T64-($U64-$T64),"I"&amp;"I",IF(I64&gt;=$U64+($U64-$T64),REPT("I",27)&amp;"I",REPT("I",9+(I64-$T64)/($U64-$T64)*9)&amp;"I"))))</f>
        <v>II</v>
      </c>
      <c r="K64" s="1225"/>
      <c r="L64" s="1227" t="str">
        <f>T64&amp;" à "&amp;U64</f>
        <v>8 à 16</v>
      </c>
      <c r="M64" s="1227"/>
      <c r="N64" s="434"/>
      <c r="O64" s="434"/>
      <c r="P64" s="434">
        <f>IF(VBA_SOL!P7="","-",VBA_SOL!P7)</f>
        <v>31.29</v>
      </c>
      <c r="Q64" s="435">
        <v>40</v>
      </c>
      <c r="R64" s="435">
        <v>100</v>
      </c>
      <c r="T64" s="435">
        <v>8</v>
      </c>
      <c r="U64" s="435">
        <v>16</v>
      </c>
    </row>
    <row r="65" spans="1:35" s="435" customFormat="1" ht="12" customHeight="1">
      <c r="A65" s="440" t="s">
        <v>1265</v>
      </c>
      <c r="B65" s="1236"/>
      <c r="C65" s="1165"/>
      <c r="D65" s="1165"/>
      <c r="E65" s="1165"/>
      <c r="F65" s="1213"/>
      <c r="G65" s="424"/>
      <c r="H65" s="1221"/>
      <c r="I65" s="1223"/>
      <c r="J65" s="1225"/>
      <c r="K65" s="1225"/>
      <c r="L65" s="1227"/>
      <c r="M65" s="1227"/>
      <c r="N65" s="434"/>
      <c r="O65" s="434"/>
      <c r="P65" s="434"/>
    </row>
    <row r="66" spans="1:35" s="435" customFormat="1" ht="21" customHeight="1">
      <c r="A66" s="467" t="s">
        <v>688</v>
      </c>
      <c r="B66" s="1229" t="str">
        <f>IF(VBA_SOL!Q7="","-",VBA_SOL!Q7)</f>
        <v>-</v>
      </c>
      <c r="C66" s="1164" t="str">
        <f>IF(B66="-","",IF($F$12="D","",IF(B66&lt;=$Q66-($R66-$Q66),"I"&amp;"I",IF(B66&gt;=$R66+($R66-$Q66),REPT("I",27)&amp;"I",REPT("I",15+(B66-$Q66)/($R66-$Q66)*9)&amp;"I"))))</f>
        <v/>
      </c>
      <c r="D66" s="1164"/>
      <c r="E66" s="1164"/>
      <c r="F66" s="497" t="str">
        <f>Q66&amp;" à "&amp;R66</f>
        <v>0,4 à 0,8</v>
      </c>
      <c r="G66" s="424"/>
      <c r="H66" s="1221" t="s">
        <v>512</v>
      </c>
      <c r="I66" s="1223">
        <f>(I44*20/(I46*47))</f>
        <v>0.33526756931012247</v>
      </c>
      <c r="J66" s="1225" t="str">
        <f>IF(I66=0,"",IF($F$12="D","",IF(I66&lt;=$T66-($U66-$T66),"I"&amp;"I",IF(I66&gt;=$U66+($U66-$T66),REPT("I",27)&amp;"I",REPT("I",9+(I66-$T66)/($U66-$T66)*9)&amp;"I"))))</f>
        <v>IIIIIIIIIII</v>
      </c>
      <c r="K66" s="1225"/>
      <c r="L66" s="1227" t="str">
        <f>T66&amp;" à "&amp;U66</f>
        <v>0,3 à 0,6</v>
      </c>
      <c r="M66" s="1227"/>
      <c r="N66" s="434"/>
      <c r="O66" s="434"/>
      <c r="P66" s="434"/>
      <c r="Q66" s="435">
        <v>0.4</v>
      </c>
      <c r="R66" s="435">
        <v>0.8</v>
      </c>
      <c r="T66" s="435">
        <v>0.3</v>
      </c>
      <c r="U66" s="435">
        <v>0.6</v>
      </c>
    </row>
    <row r="67" spans="1:35" ht="9.9" customHeight="1">
      <c r="A67" s="498" t="s">
        <v>392</v>
      </c>
      <c r="B67" s="1230"/>
      <c r="C67" s="1231"/>
      <c r="D67" s="1231"/>
      <c r="E67" s="1231"/>
      <c r="F67" s="499"/>
      <c r="H67" s="1232"/>
      <c r="I67" s="1233"/>
      <c r="J67" s="1234"/>
      <c r="K67" s="1234"/>
      <c r="L67" s="1235"/>
      <c r="M67" s="1235"/>
    </row>
    <row r="68" spans="1:35" ht="15.6">
      <c r="A68" s="500" t="s">
        <v>689</v>
      </c>
      <c r="B68" s="501"/>
      <c r="C68" s="502"/>
      <c r="D68" s="502"/>
      <c r="E68" s="502"/>
      <c r="F68" s="503"/>
      <c r="G68" s="503"/>
      <c r="H68" s="504"/>
      <c r="I68" s="505"/>
      <c r="J68" s="506"/>
      <c r="K68" s="506"/>
      <c r="L68" s="507"/>
      <c r="M68" s="507"/>
      <c r="N68" s="508"/>
      <c r="O68" s="508"/>
      <c r="P68" s="508"/>
      <c r="Q68" s="509"/>
      <c r="R68" s="509"/>
      <c r="S68" s="509"/>
      <c r="T68" s="509"/>
      <c r="U68" s="509"/>
      <c r="V68" s="509"/>
      <c r="W68" s="509"/>
      <c r="X68" s="509"/>
      <c r="Y68" s="509"/>
      <c r="Z68" s="509"/>
      <c r="AA68" s="509"/>
      <c r="AB68" s="509"/>
      <c r="AC68" s="509"/>
      <c r="AD68" s="509"/>
      <c r="AE68" s="509"/>
      <c r="AF68" s="509"/>
      <c r="AG68" s="509"/>
      <c r="AH68" s="509"/>
      <c r="AI68" s="509"/>
    </row>
    <row r="69" spans="1:35" ht="45.9" customHeight="1">
      <c r="A69" s="1237" t="s">
        <v>690</v>
      </c>
      <c r="B69" s="1237"/>
      <c r="C69" s="1237"/>
      <c r="D69" s="1237"/>
      <c r="E69" s="1237"/>
      <c r="F69" s="1237"/>
      <c r="G69" s="1237"/>
      <c r="H69" s="1237"/>
      <c r="I69" s="1237"/>
      <c r="J69" s="1237"/>
      <c r="K69" s="1237"/>
      <c r="L69" s="1237"/>
      <c r="M69" s="1237"/>
      <c r="N69" s="508"/>
      <c r="O69" s="508"/>
      <c r="P69" s="508"/>
      <c r="Q69" s="509"/>
      <c r="R69" s="509"/>
      <c r="S69" s="509"/>
      <c r="T69" s="509"/>
      <c r="U69" s="509"/>
      <c r="V69" s="509"/>
      <c r="W69" s="509"/>
      <c r="X69" s="509"/>
      <c r="Y69" s="509"/>
      <c r="Z69" s="509"/>
      <c r="AA69" s="509"/>
      <c r="AB69" s="509"/>
      <c r="AC69" s="509"/>
      <c r="AD69" s="509"/>
      <c r="AE69" s="509"/>
      <c r="AF69" s="509"/>
      <c r="AG69" s="509"/>
      <c r="AH69" s="509"/>
      <c r="AI69" s="509"/>
    </row>
    <row r="70" spans="1:35" ht="15.6">
      <c r="A70" s="1237" t="s">
        <v>1208</v>
      </c>
      <c r="B70" s="1237"/>
      <c r="C70" s="1237"/>
      <c r="D70" s="1237"/>
      <c r="E70" s="1237"/>
      <c r="F70" s="1237"/>
      <c r="G70" s="1237"/>
      <c r="H70" s="1237"/>
      <c r="I70" s="1237"/>
      <c r="J70" s="1237"/>
      <c r="K70" s="1237"/>
      <c r="L70" s="1237"/>
      <c r="M70" s="913"/>
      <c r="N70" s="508"/>
      <c r="O70" s="508"/>
      <c r="P70" s="508"/>
      <c r="Q70" s="509"/>
      <c r="R70" s="509"/>
      <c r="S70" s="509"/>
      <c r="T70" s="509"/>
      <c r="U70" s="509"/>
      <c r="V70" s="509"/>
      <c r="W70" s="509"/>
      <c r="X70" s="509"/>
      <c r="Y70" s="509"/>
      <c r="Z70" s="509"/>
      <c r="AA70" s="509"/>
      <c r="AB70" s="509"/>
      <c r="AC70" s="509"/>
      <c r="AD70" s="509"/>
      <c r="AE70" s="509"/>
      <c r="AF70" s="509"/>
      <c r="AG70" s="509"/>
      <c r="AH70" s="509"/>
      <c r="AI70" s="509"/>
    </row>
    <row r="71" spans="1:35" ht="33" customHeight="1">
      <c r="A71" s="1228" t="s">
        <v>307</v>
      </c>
      <c r="B71" s="1228"/>
      <c r="C71" s="1228"/>
      <c r="D71" s="1228"/>
      <c r="E71" s="1228"/>
      <c r="F71" s="1228"/>
      <c r="G71" s="1228"/>
      <c r="H71" s="1228"/>
      <c r="I71" s="1228"/>
      <c r="J71" s="1228"/>
      <c r="K71" s="1228"/>
      <c r="L71" s="1228"/>
      <c r="M71" s="1228"/>
      <c r="N71" s="508"/>
      <c r="O71" s="508"/>
      <c r="P71" s="508"/>
      <c r="Q71" s="509"/>
      <c r="R71" s="509"/>
      <c r="S71" s="509"/>
      <c r="T71" s="509"/>
      <c r="U71" s="509"/>
      <c r="V71" s="509"/>
      <c r="W71" s="509"/>
      <c r="X71" s="509"/>
      <c r="Y71" s="509"/>
      <c r="Z71" s="509"/>
      <c r="AA71" s="509"/>
      <c r="AB71" s="509"/>
      <c r="AC71" s="509"/>
      <c r="AD71" s="509"/>
      <c r="AE71" s="509"/>
      <c r="AF71" s="509"/>
      <c r="AG71" s="509"/>
      <c r="AH71" s="509"/>
      <c r="AI71" s="509"/>
    </row>
    <row r="72" spans="1:35" s="916" customFormat="1" ht="15.9" customHeight="1">
      <c r="A72" s="1237" t="s">
        <v>326</v>
      </c>
      <c r="B72" s="1237"/>
      <c r="C72" s="1237"/>
      <c r="D72" s="1237"/>
      <c r="E72" s="1237"/>
      <c r="F72" s="1237"/>
      <c r="G72" s="1237"/>
      <c r="H72" s="1237"/>
      <c r="I72" s="1237"/>
      <c r="J72" s="1237"/>
      <c r="K72" s="1237"/>
      <c r="L72" s="1237"/>
      <c r="M72" s="1237"/>
      <c r="N72" s="914"/>
      <c r="O72" s="914"/>
      <c r="P72" s="914"/>
      <c r="Q72" s="915"/>
      <c r="R72" s="915"/>
      <c r="S72" s="915"/>
      <c r="T72" s="915"/>
      <c r="U72" s="915"/>
      <c r="V72" s="915"/>
      <c r="W72" s="915"/>
      <c r="X72" s="915"/>
      <c r="Y72" s="915"/>
      <c r="Z72" s="915"/>
      <c r="AA72" s="915"/>
      <c r="AB72" s="915"/>
      <c r="AC72" s="915"/>
      <c r="AD72" s="915"/>
      <c r="AE72" s="915"/>
      <c r="AF72" s="915"/>
      <c r="AG72" s="915"/>
      <c r="AH72" s="915"/>
      <c r="AI72" s="915"/>
    </row>
    <row r="73" spans="1:35" ht="15" customHeight="1">
      <c r="A73" s="1228" t="s">
        <v>691</v>
      </c>
      <c r="B73" s="1228"/>
      <c r="C73" s="1228"/>
      <c r="D73" s="1228"/>
      <c r="E73" s="1228"/>
      <c r="F73" s="1228"/>
      <c r="G73" s="1228"/>
      <c r="H73" s="1228"/>
      <c r="I73" s="1228"/>
      <c r="J73" s="1228"/>
      <c r="K73" s="1228"/>
      <c r="L73" s="1228"/>
      <c r="M73" s="1228"/>
      <c r="N73" s="508"/>
      <c r="O73" s="508"/>
      <c r="P73" s="508"/>
      <c r="Q73" s="509"/>
      <c r="R73" s="509"/>
      <c r="S73" s="509"/>
      <c r="T73" s="509"/>
      <c r="U73" s="509"/>
      <c r="V73" s="509"/>
      <c r="W73" s="509"/>
      <c r="X73" s="509"/>
      <c r="Y73" s="509"/>
      <c r="Z73" s="509"/>
      <c r="AA73" s="509"/>
      <c r="AB73" s="509"/>
      <c r="AC73" s="509"/>
      <c r="AD73" s="509"/>
      <c r="AE73" s="509"/>
      <c r="AF73" s="509"/>
      <c r="AG73" s="509"/>
      <c r="AH73" s="509"/>
      <c r="AI73" s="509"/>
    </row>
    <row r="75" spans="1:35">
      <c r="C75" s="27"/>
      <c r="I75" s="510"/>
    </row>
    <row r="76" spans="1:35">
      <c r="B76" s="511"/>
      <c r="C76" s="347"/>
      <c r="D76" s="511"/>
      <c r="E76" s="511"/>
      <c r="G76" s="511"/>
      <c r="H76" s="511"/>
      <c r="I76" s="347"/>
      <c r="L76" s="511"/>
      <c r="M76" s="511"/>
    </row>
    <row r="77" spans="1:35" s="404" customFormat="1" ht="23.1" customHeight="1">
      <c r="A77" s="399"/>
      <c r="B77" s="512"/>
      <c r="C77" s="512"/>
      <c r="D77" s="512"/>
      <c r="E77" s="512"/>
      <c r="F77" s="512"/>
      <c r="G77" s="512"/>
      <c r="H77" s="512"/>
      <c r="I77" s="512"/>
      <c r="J77" s="399"/>
      <c r="K77" s="399"/>
      <c r="L77" s="512"/>
      <c r="M77" s="512"/>
      <c r="N77" s="399"/>
      <c r="O77" s="399"/>
      <c r="P77" s="399"/>
    </row>
    <row r="80" spans="1:35" ht="48" customHeight="1"/>
  </sheetData>
  <mergeCells count="110">
    <mergeCell ref="A73:M73"/>
    <mergeCell ref="B66:B67"/>
    <mergeCell ref="C66:E67"/>
    <mergeCell ref="H66:H67"/>
    <mergeCell ref="I66:I67"/>
    <mergeCell ref="J66:K67"/>
    <mergeCell ref="L66:M67"/>
    <mergeCell ref="B64:B65"/>
    <mergeCell ref="C64:E65"/>
    <mergeCell ref="F64:F65"/>
    <mergeCell ref="H64:H65"/>
    <mergeCell ref="I64:I65"/>
    <mergeCell ref="J64:K65"/>
    <mergeCell ref="L64:M65"/>
    <mergeCell ref="A69:M69"/>
    <mergeCell ref="A71:M71"/>
    <mergeCell ref="A70:L70"/>
    <mergeCell ref="A72:M72"/>
    <mergeCell ref="B60:B61"/>
    <mergeCell ref="C60:E61"/>
    <mergeCell ref="F60:F61"/>
    <mergeCell ref="H60:M60"/>
    <mergeCell ref="L61:M61"/>
    <mergeCell ref="B62:B63"/>
    <mergeCell ref="C62:E63"/>
    <mergeCell ref="F62:F63"/>
    <mergeCell ref="H62:H63"/>
    <mergeCell ref="I62:I63"/>
    <mergeCell ref="J62:K63"/>
    <mergeCell ref="L62:M63"/>
    <mergeCell ref="L57:M57"/>
    <mergeCell ref="B58:B59"/>
    <mergeCell ref="C58:E59"/>
    <mergeCell ref="F58:F59"/>
    <mergeCell ref="J58:K58"/>
    <mergeCell ref="L58:M58"/>
    <mergeCell ref="B53:B54"/>
    <mergeCell ref="C53:E54"/>
    <mergeCell ref="F53:F54"/>
    <mergeCell ref="I53:I54"/>
    <mergeCell ref="A56:F56"/>
    <mergeCell ref="H56:M56"/>
    <mergeCell ref="B48:B50"/>
    <mergeCell ref="C48:E50"/>
    <mergeCell ref="F48:F50"/>
    <mergeCell ref="A49:A50"/>
    <mergeCell ref="H49:M50"/>
    <mergeCell ref="B51:B52"/>
    <mergeCell ref="C51:E52"/>
    <mergeCell ref="F51:F52"/>
    <mergeCell ref="I51:I52"/>
    <mergeCell ref="B46:B47"/>
    <mergeCell ref="C46:E47"/>
    <mergeCell ref="F46:F47"/>
    <mergeCell ref="I46:I47"/>
    <mergeCell ref="J46:K47"/>
    <mergeCell ref="L46:M47"/>
    <mergeCell ref="B44:B45"/>
    <mergeCell ref="C44:E45"/>
    <mergeCell ref="F44:F45"/>
    <mergeCell ref="I44:I45"/>
    <mergeCell ref="J44:K45"/>
    <mergeCell ref="L44:M45"/>
    <mergeCell ref="A40:F40"/>
    <mergeCell ref="H40:M40"/>
    <mergeCell ref="L41:M41"/>
    <mergeCell ref="B42:B43"/>
    <mergeCell ref="C42:E43"/>
    <mergeCell ref="F42:F43"/>
    <mergeCell ref="I42:I43"/>
    <mergeCell ref="J42:K43"/>
    <mergeCell ref="L42:M43"/>
    <mergeCell ref="B37:B38"/>
    <mergeCell ref="C37:E38"/>
    <mergeCell ref="F37:F38"/>
    <mergeCell ref="I37:I38"/>
    <mergeCell ref="J37:K38"/>
    <mergeCell ref="L37:M38"/>
    <mergeCell ref="B35:B36"/>
    <mergeCell ref="C35:E36"/>
    <mergeCell ref="F35:F36"/>
    <mergeCell ref="I35:I36"/>
    <mergeCell ref="J35:K36"/>
    <mergeCell ref="L35:M36"/>
    <mergeCell ref="B33:B34"/>
    <mergeCell ref="C33:E34"/>
    <mergeCell ref="F33:F34"/>
    <mergeCell ref="I33:I34"/>
    <mergeCell ref="J33:K34"/>
    <mergeCell ref="L33:M34"/>
    <mergeCell ref="A29:F29"/>
    <mergeCell ref="H29:M29"/>
    <mergeCell ref="L30:M30"/>
    <mergeCell ref="B31:B32"/>
    <mergeCell ref="C31:E32"/>
    <mergeCell ref="F31:F32"/>
    <mergeCell ref="I31:I32"/>
    <mergeCell ref="J31:K32"/>
    <mergeCell ref="L31:M32"/>
    <mergeCell ref="C1:J5"/>
    <mergeCell ref="B11:E11"/>
    <mergeCell ref="I12:K12"/>
    <mergeCell ref="B13:G13"/>
    <mergeCell ref="A16:E16"/>
    <mergeCell ref="K5:M6"/>
    <mergeCell ref="B7:G7"/>
    <mergeCell ref="B8:G8"/>
    <mergeCell ref="B9:G9"/>
    <mergeCell ref="B10:E10"/>
    <mergeCell ref="B14:M14"/>
  </mergeCells>
  <phoneticPr fontId="36" type="noConversion"/>
  <conditionalFormatting sqref="C42:E43">
    <cfRule type="dataBar" priority="20">
      <dataBar showValue="0">
        <cfvo type="num" val="0"/>
        <cfvo type="num" val="13"/>
        <color rgb="FF996633"/>
      </dataBar>
      <extLst>
        <ext xmlns:x14="http://schemas.microsoft.com/office/spreadsheetml/2009/9/main" uri="{B025F937-C7B1-47D3-B67F-A62EFF666E3E}">
          <x14:id>{28755F29-ACA7-9D45-AF27-0EE061CBB6CD}</x14:id>
        </ext>
      </extLst>
    </cfRule>
  </conditionalFormatting>
  <conditionalFormatting sqref="C44:E45">
    <cfRule type="dataBar" priority="19">
      <dataBar showValue="0">
        <cfvo type="num" val="0"/>
        <cfvo type="num" val="5"/>
        <color rgb="FF996633"/>
      </dataBar>
      <extLst>
        <ext xmlns:x14="http://schemas.microsoft.com/office/spreadsheetml/2009/9/main" uri="{B025F937-C7B1-47D3-B67F-A62EFF666E3E}">
          <x14:id>{1ECB2B89-0481-B942-BAD5-9C25B608292B}</x14:id>
        </ext>
      </extLst>
    </cfRule>
  </conditionalFormatting>
  <conditionalFormatting sqref="C46:E47">
    <cfRule type="dataBar" priority="18">
      <dataBar showValue="0">
        <cfvo type="num" val="0"/>
        <cfvo type="num" val="10"/>
        <color rgb="FF996633"/>
      </dataBar>
      <extLst>
        <ext xmlns:x14="http://schemas.microsoft.com/office/spreadsheetml/2009/9/main" uri="{B025F937-C7B1-47D3-B67F-A62EFF666E3E}">
          <x14:id>{6C648D9D-A2B6-614D-BD41-DA06EB33A319}</x14:id>
        </ext>
      </extLst>
    </cfRule>
  </conditionalFormatting>
  <conditionalFormatting sqref="C48:E50">
    <cfRule type="dataBar" priority="17">
      <dataBar showValue="0">
        <cfvo type="num" val="0"/>
        <cfvo type="num" val="10"/>
        <color rgb="FF996633"/>
      </dataBar>
      <extLst>
        <ext xmlns:x14="http://schemas.microsoft.com/office/spreadsheetml/2009/9/main" uri="{B025F937-C7B1-47D3-B67F-A62EFF666E3E}">
          <x14:id>{B6B9563C-93B4-1548-B748-F72EE93FB3DA}</x14:id>
        </ext>
      </extLst>
    </cfRule>
  </conditionalFormatting>
  <conditionalFormatting sqref="C51:E52">
    <cfRule type="dataBar" priority="16">
      <dataBar showValue="0">
        <cfvo type="num" val="0"/>
        <cfvo type="num" val="7"/>
        <color rgb="FF996633"/>
      </dataBar>
      <extLst>
        <ext xmlns:x14="http://schemas.microsoft.com/office/spreadsheetml/2009/9/main" uri="{B025F937-C7B1-47D3-B67F-A62EFF666E3E}">
          <x14:id>{24BA69DF-E342-F24F-8196-E027C2356EE1}</x14:id>
        </ext>
      </extLst>
    </cfRule>
  </conditionalFormatting>
  <conditionalFormatting sqref="C53:E54">
    <cfRule type="dataBar" priority="15">
      <dataBar showValue="0">
        <cfvo type="num" val="0"/>
        <cfvo type="num" val="22"/>
        <color rgb="FF996633"/>
      </dataBar>
      <extLst>
        <ext xmlns:x14="http://schemas.microsoft.com/office/spreadsheetml/2009/9/main" uri="{B025F937-C7B1-47D3-B67F-A62EFF666E3E}">
          <x14:id>{B7584305-CFC4-864D-83DA-7F6C344BF179}</x14:id>
        </ext>
      </extLst>
    </cfRule>
  </conditionalFormatting>
  <conditionalFormatting sqref="C58:E59">
    <cfRule type="dataBar" priority="14">
      <dataBar showValue="0">
        <cfvo type="num" val="0"/>
        <cfvo type="num" val="7"/>
        <color rgb="FF996633"/>
      </dataBar>
      <extLst>
        <ext xmlns:x14="http://schemas.microsoft.com/office/spreadsheetml/2009/9/main" uri="{B025F937-C7B1-47D3-B67F-A62EFF666E3E}">
          <x14:id>{E706ECD7-AA1A-2A41-8509-DA4744D0AEC6}</x14:id>
        </ext>
      </extLst>
    </cfRule>
  </conditionalFormatting>
  <conditionalFormatting sqref="C66">
    <cfRule type="dataBar" priority="13">
      <dataBar showValue="0">
        <cfvo type="num" val="0"/>
        <cfvo type="num" val="1.3"/>
        <color rgb="FF996633"/>
      </dataBar>
      <extLst>
        <ext xmlns:x14="http://schemas.microsoft.com/office/spreadsheetml/2009/9/main" uri="{B025F937-C7B1-47D3-B67F-A62EFF666E3E}">
          <x14:id>{7DD0EBF1-8DD7-944C-826A-A79330F29944}</x14:id>
        </ext>
      </extLst>
    </cfRule>
  </conditionalFormatting>
  <conditionalFormatting sqref="J33:K34">
    <cfRule type="dataBar" priority="12">
      <dataBar showValue="0">
        <cfvo type="num" val="0"/>
        <cfvo type="num" val="0.5"/>
        <color rgb="FF996633"/>
      </dataBar>
      <extLst>
        <ext xmlns:x14="http://schemas.microsoft.com/office/spreadsheetml/2009/9/main" uri="{B025F937-C7B1-47D3-B67F-A62EFF666E3E}">
          <x14:id>{0D7ACF42-EF72-A945-AECD-9A57EBB71450}</x14:id>
        </ext>
      </extLst>
    </cfRule>
  </conditionalFormatting>
  <conditionalFormatting sqref="J35:K36">
    <cfRule type="dataBar" priority="11">
      <dataBar showValue="0">
        <cfvo type="num" val="0"/>
        <cfvo type="num" val="150"/>
        <color rgb="FF996633"/>
      </dataBar>
      <extLst>
        <ext xmlns:x14="http://schemas.microsoft.com/office/spreadsheetml/2009/9/main" uri="{B025F937-C7B1-47D3-B67F-A62EFF666E3E}">
          <x14:id>{1F33DFEF-282E-824C-8DE7-A9DB148AE0FC}</x14:id>
        </ext>
      </extLst>
    </cfRule>
  </conditionalFormatting>
  <conditionalFormatting sqref="J37:K38">
    <cfRule type="dataBar" priority="10">
      <dataBar showValue="0">
        <cfvo type="num" val="0"/>
        <cfvo type="num" val="0.7"/>
        <color rgb="FF996633"/>
      </dataBar>
      <extLst>
        <ext xmlns:x14="http://schemas.microsoft.com/office/spreadsheetml/2009/9/main" uri="{B025F937-C7B1-47D3-B67F-A62EFF666E3E}">
          <x14:id>{E17EF7C7-332E-4B4D-96FF-F2C6F67986C0}</x14:id>
        </ext>
      </extLst>
    </cfRule>
  </conditionalFormatting>
  <conditionalFormatting sqref="J42:K43">
    <cfRule type="dataBar" priority="9">
      <dataBar showValue="0">
        <cfvo type="num" val="0"/>
        <cfvo type="num" val="75"/>
        <color rgb="FF996633"/>
      </dataBar>
      <extLst>
        <ext xmlns:x14="http://schemas.microsoft.com/office/spreadsheetml/2009/9/main" uri="{B025F937-C7B1-47D3-B67F-A62EFF666E3E}">
          <x14:id>{242B4F8F-615F-1446-A917-3ECD27A95524}</x14:id>
        </ext>
      </extLst>
    </cfRule>
  </conditionalFormatting>
  <conditionalFormatting sqref="J44:K45">
    <cfRule type="dataBar" priority="8">
      <dataBar showValue="0">
        <cfvo type="num" val="0"/>
        <cfvo type="num" val="520"/>
        <color rgb="FF996633"/>
      </dataBar>
      <extLst>
        <ext xmlns:x14="http://schemas.microsoft.com/office/spreadsheetml/2009/9/main" uri="{B025F937-C7B1-47D3-B67F-A62EFF666E3E}">
          <x14:id>{3EB4B8DA-C6C8-F847-9483-6C1F1F67C3FE}</x14:id>
        </ext>
      </extLst>
    </cfRule>
  </conditionalFormatting>
  <conditionalFormatting sqref="J46:K47">
    <cfRule type="dataBar" priority="7">
      <dataBar showValue="0">
        <cfvo type="num" val="0"/>
        <cfvo type="num" val="500"/>
        <color rgb="FF996633"/>
      </dataBar>
      <extLst>
        <ext xmlns:x14="http://schemas.microsoft.com/office/spreadsheetml/2009/9/main" uri="{B025F937-C7B1-47D3-B67F-A62EFF666E3E}">
          <x14:id>{C464E7E6-6073-6748-A043-CBAEC735ECE8}</x14:id>
        </ext>
      </extLst>
    </cfRule>
  </conditionalFormatting>
  <conditionalFormatting sqref="J58:K58">
    <cfRule type="dataBar" priority="6">
      <dataBar showValue="0">
        <cfvo type="num" val="0"/>
        <cfvo type="num" val="100"/>
        <color rgb="FF996633"/>
      </dataBar>
      <extLst>
        <ext xmlns:x14="http://schemas.microsoft.com/office/spreadsheetml/2009/9/main" uri="{B025F937-C7B1-47D3-B67F-A62EFF666E3E}">
          <x14:id>{3D81B8D2-D6F7-CC4E-A690-020D5B163967}</x14:id>
        </ext>
      </extLst>
    </cfRule>
  </conditionalFormatting>
  <conditionalFormatting sqref="J62">
    <cfRule type="dataBar" priority="5">
      <dataBar showValue="0">
        <cfvo type="num" val="0"/>
        <cfvo type="num" val="7"/>
        <color rgb="FF996633"/>
      </dataBar>
      <extLst>
        <ext xmlns:x14="http://schemas.microsoft.com/office/spreadsheetml/2009/9/main" uri="{B025F937-C7B1-47D3-B67F-A62EFF666E3E}">
          <x14:id>{5A3F628A-E01E-3343-B742-34E0615FFAA0}</x14:id>
        </ext>
      </extLst>
    </cfRule>
  </conditionalFormatting>
  <conditionalFormatting sqref="J64">
    <cfRule type="dataBar" priority="4">
      <dataBar showValue="0">
        <cfvo type="num" val="0"/>
        <cfvo type="num" val="22"/>
        <color rgb="FF996633"/>
      </dataBar>
      <extLst>
        <ext xmlns:x14="http://schemas.microsoft.com/office/spreadsheetml/2009/9/main" uri="{B025F937-C7B1-47D3-B67F-A62EFF666E3E}">
          <x14:id>{B4D01CFE-3998-8E4C-9D4A-6B32B980C502}</x14:id>
        </ext>
      </extLst>
    </cfRule>
  </conditionalFormatting>
  <conditionalFormatting sqref="J66">
    <cfRule type="dataBar" priority="3">
      <dataBar showValue="0">
        <cfvo type="num" val="0"/>
        <cfvo type="num" val="1.1000000000000001"/>
        <color rgb="FF996633"/>
      </dataBar>
      <extLst>
        <ext xmlns:x14="http://schemas.microsoft.com/office/spreadsheetml/2009/9/main" uri="{B025F937-C7B1-47D3-B67F-A62EFF666E3E}">
          <x14:id>{1F628F91-AC0F-9042-A716-A2715AC695FF}</x14:id>
        </ext>
      </extLst>
    </cfRule>
  </conditionalFormatting>
  <conditionalFormatting sqref="J31:K32">
    <cfRule type="dataBar" priority="2">
      <dataBar showValue="0">
        <cfvo type="num" val="0"/>
        <cfvo type="num" val="0.5"/>
        <color rgb="FF996633"/>
      </dataBar>
      <extLst>
        <ext xmlns:x14="http://schemas.microsoft.com/office/spreadsheetml/2009/9/main" uri="{B025F937-C7B1-47D3-B67F-A62EFF666E3E}">
          <x14:id>{15B58E7D-9D0A-0F41-8881-5E09A5817DF7}</x14:id>
        </ext>
      </extLst>
    </cfRule>
  </conditionalFormatting>
  <conditionalFormatting sqref="C60:E65">
    <cfRule type="dataBar" priority="1">
      <dataBar showValue="0">
        <cfvo type="num" val="0"/>
        <cfvo type="num" val="7"/>
        <color rgb="FF996633"/>
      </dataBar>
      <extLst>
        <ext xmlns:x14="http://schemas.microsoft.com/office/spreadsheetml/2009/9/main" uri="{B025F937-C7B1-47D3-B67F-A62EFF666E3E}">
          <x14:id>{29B5FD4F-E403-0047-8887-1469F90A0CD3}</x14:id>
        </ext>
      </extLst>
    </cfRule>
  </conditionalFormatting>
  <printOptions horizontalCentered="1" verticalCentered="1"/>
  <pageMargins left="0" right="0" top="0.4" bottom="0.41666666666666669" header="0" footer="0"/>
  <pageSetup paperSize="9" scale="56" orientation="portrait" r:id="rId1"/>
  <headerFooter>
    <oddFooter>&amp;C&amp;"Calibri,Normal"&amp;10&amp;K000000_x000D__x000D__x000D__x000D__x000D_FIN DE PAGE _x000D_--------------------------------_x000D_AGROPOLIS-GI5 GI6, Commune de Mejjate, Meknes, Maroc_x000D_Tél:+212 538 00 49 20/ www.elephantvert.ch / contactmaroc@elephantvert.ch</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LOT_SOL">
                <anchor moveWithCells="1" sizeWithCells="1">
                  <from>
                    <xdr:col>40</xdr:col>
                    <xdr:colOff>76200</xdr:colOff>
                    <xdr:row>1</xdr:row>
                    <xdr:rowOff>99060</xdr:rowOff>
                  </from>
                  <to>
                    <xdr:col>41</xdr:col>
                    <xdr:colOff>312420</xdr:colOff>
                    <xdr:row>3</xdr:row>
                    <xdr:rowOff>160020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28755F29-ACA7-9D45-AF27-0EE061CBB6CD}">
            <x14:dataBar minLength="0" maxLength="100" gradient="0">
              <x14:cfvo type="num">
                <xm:f>0</xm:f>
              </x14:cfvo>
              <x14:cfvo type="num">
                <xm:f>13</xm:f>
              </x14:cfvo>
              <x14:negativeFillColor rgb="FFFF0000"/>
              <x14:axisColor rgb="FF000000"/>
            </x14:dataBar>
          </x14:cfRule>
          <xm:sqref>C42:E43</xm:sqref>
        </x14:conditionalFormatting>
        <x14:conditionalFormatting xmlns:xm="http://schemas.microsoft.com/office/excel/2006/main">
          <x14:cfRule type="dataBar" id="{1ECB2B89-0481-B942-BAD5-9C25B608292B}">
            <x14:dataBar minLength="0" maxLength="100" gradient="0">
              <x14:cfvo type="num">
                <xm:f>0</xm:f>
              </x14:cfvo>
              <x14:cfvo type="num">
                <xm:f>5</xm:f>
              </x14:cfvo>
              <x14:negativeFillColor rgb="FFFF0000"/>
              <x14:axisColor rgb="FF000000"/>
            </x14:dataBar>
          </x14:cfRule>
          <xm:sqref>C44:E45</xm:sqref>
        </x14:conditionalFormatting>
        <x14:conditionalFormatting xmlns:xm="http://schemas.microsoft.com/office/excel/2006/main">
          <x14:cfRule type="dataBar" id="{6C648D9D-A2B6-614D-BD41-DA06EB33A319}">
            <x14:dataBar minLength="0" maxLength="100" gradient="0">
              <x14:cfvo type="num">
                <xm:f>0</xm:f>
              </x14:cfvo>
              <x14:cfvo type="num">
                <xm:f>10</xm:f>
              </x14:cfvo>
              <x14:negativeFillColor rgb="FFFF0000"/>
              <x14:axisColor rgb="FF000000"/>
            </x14:dataBar>
          </x14:cfRule>
          <xm:sqref>C46:E47</xm:sqref>
        </x14:conditionalFormatting>
        <x14:conditionalFormatting xmlns:xm="http://schemas.microsoft.com/office/excel/2006/main">
          <x14:cfRule type="dataBar" id="{B6B9563C-93B4-1548-B748-F72EE93FB3DA}">
            <x14:dataBar minLength="0" maxLength="100" gradient="0">
              <x14:cfvo type="num">
                <xm:f>0</xm:f>
              </x14:cfvo>
              <x14:cfvo type="num">
                <xm:f>10</xm:f>
              </x14:cfvo>
              <x14:negativeFillColor rgb="FFFF0000"/>
              <x14:axisColor rgb="FF000000"/>
            </x14:dataBar>
          </x14:cfRule>
          <xm:sqref>C48:E50</xm:sqref>
        </x14:conditionalFormatting>
        <x14:conditionalFormatting xmlns:xm="http://schemas.microsoft.com/office/excel/2006/main">
          <x14:cfRule type="dataBar" id="{24BA69DF-E342-F24F-8196-E027C2356EE1}">
            <x14:dataBar minLength="0" maxLength="100" gradient="0">
              <x14:cfvo type="num">
                <xm:f>0</xm:f>
              </x14:cfvo>
              <x14:cfvo type="num">
                <xm:f>7</xm:f>
              </x14:cfvo>
              <x14:negativeFillColor rgb="FFFF0000"/>
              <x14:axisColor rgb="FF000000"/>
            </x14:dataBar>
          </x14:cfRule>
          <xm:sqref>C51:E52</xm:sqref>
        </x14:conditionalFormatting>
        <x14:conditionalFormatting xmlns:xm="http://schemas.microsoft.com/office/excel/2006/main">
          <x14:cfRule type="dataBar" id="{B7584305-CFC4-864D-83DA-7F6C344BF179}">
            <x14:dataBar minLength="0" maxLength="100" gradient="0">
              <x14:cfvo type="num">
                <xm:f>0</xm:f>
              </x14:cfvo>
              <x14:cfvo type="num">
                <xm:f>22</xm:f>
              </x14:cfvo>
              <x14:negativeFillColor rgb="FFFF0000"/>
              <x14:axisColor rgb="FF000000"/>
            </x14:dataBar>
          </x14:cfRule>
          <xm:sqref>C53:E54</xm:sqref>
        </x14:conditionalFormatting>
        <x14:conditionalFormatting xmlns:xm="http://schemas.microsoft.com/office/excel/2006/main">
          <x14:cfRule type="dataBar" id="{E706ECD7-AA1A-2A41-8509-DA4744D0AEC6}">
            <x14:dataBar minLength="0" maxLength="100" gradient="0">
              <x14:cfvo type="num">
                <xm:f>0</xm:f>
              </x14:cfvo>
              <x14:cfvo type="num">
                <xm:f>7</xm:f>
              </x14:cfvo>
              <x14:negativeFillColor rgb="FFFF0000"/>
              <x14:axisColor rgb="FF000000"/>
            </x14:dataBar>
          </x14:cfRule>
          <xm:sqref>C58:E59</xm:sqref>
        </x14:conditionalFormatting>
        <x14:conditionalFormatting xmlns:xm="http://schemas.microsoft.com/office/excel/2006/main">
          <x14:cfRule type="dataBar" id="{7DD0EBF1-8DD7-944C-826A-A79330F29944}">
            <x14:dataBar minLength="0" maxLength="100" gradient="0">
              <x14:cfvo type="num">
                <xm:f>0</xm:f>
              </x14:cfvo>
              <x14:cfvo type="num">
                <xm:f>1.3</xm:f>
              </x14:cfvo>
              <x14:negativeFillColor rgb="FFFF0000"/>
              <x14:axisColor rgb="FF000000"/>
            </x14:dataBar>
          </x14:cfRule>
          <xm:sqref>C66</xm:sqref>
        </x14:conditionalFormatting>
        <x14:conditionalFormatting xmlns:xm="http://schemas.microsoft.com/office/excel/2006/main">
          <x14:cfRule type="dataBar" id="{0D7ACF42-EF72-A945-AECD-9A57EBB71450}">
            <x14:dataBar minLength="0" maxLength="100" gradient="0">
              <x14:cfvo type="num">
                <xm:f>0</xm:f>
              </x14:cfvo>
              <x14:cfvo type="num">
                <xm:f>0.5</xm:f>
              </x14:cfvo>
              <x14:negativeFillColor rgb="FFFF0000"/>
              <x14:axisColor rgb="FF000000"/>
            </x14:dataBar>
          </x14:cfRule>
          <xm:sqref>J33:K34</xm:sqref>
        </x14:conditionalFormatting>
        <x14:conditionalFormatting xmlns:xm="http://schemas.microsoft.com/office/excel/2006/main">
          <x14:cfRule type="dataBar" id="{1F33DFEF-282E-824C-8DE7-A9DB148AE0FC}">
            <x14:dataBar minLength="0" maxLength="100" gradient="0">
              <x14:cfvo type="num">
                <xm:f>0</xm:f>
              </x14:cfvo>
              <x14:cfvo type="num">
                <xm:f>150</xm:f>
              </x14:cfvo>
              <x14:negativeFillColor rgb="FFFF0000"/>
              <x14:axisColor rgb="FF000000"/>
            </x14:dataBar>
          </x14:cfRule>
          <xm:sqref>J35:K36</xm:sqref>
        </x14:conditionalFormatting>
        <x14:conditionalFormatting xmlns:xm="http://schemas.microsoft.com/office/excel/2006/main">
          <x14:cfRule type="dataBar" id="{E17EF7C7-332E-4B4D-96FF-F2C6F67986C0}">
            <x14:dataBar minLength="0" maxLength="100" gradient="0">
              <x14:cfvo type="num">
                <xm:f>0</xm:f>
              </x14:cfvo>
              <x14:cfvo type="num">
                <xm:f>0.7</xm:f>
              </x14:cfvo>
              <x14:negativeFillColor rgb="FFFF0000"/>
              <x14:axisColor rgb="FF000000"/>
            </x14:dataBar>
          </x14:cfRule>
          <xm:sqref>J37:K38</xm:sqref>
        </x14:conditionalFormatting>
        <x14:conditionalFormatting xmlns:xm="http://schemas.microsoft.com/office/excel/2006/main">
          <x14:cfRule type="dataBar" id="{242B4F8F-615F-1446-A917-3ECD27A95524}">
            <x14:dataBar minLength="0" maxLength="100" gradient="0">
              <x14:cfvo type="num">
                <xm:f>0</xm:f>
              </x14:cfvo>
              <x14:cfvo type="num">
                <xm:f>75</xm:f>
              </x14:cfvo>
              <x14:negativeFillColor rgb="FFFF0000"/>
              <x14:axisColor rgb="FF000000"/>
            </x14:dataBar>
          </x14:cfRule>
          <xm:sqref>J42:K43</xm:sqref>
        </x14:conditionalFormatting>
        <x14:conditionalFormatting xmlns:xm="http://schemas.microsoft.com/office/excel/2006/main">
          <x14:cfRule type="dataBar" id="{3EB4B8DA-C6C8-F847-9483-6C1F1F67C3FE}">
            <x14:dataBar minLength="0" maxLength="100" gradient="0">
              <x14:cfvo type="num">
                <xm:f>0</xm:f>
              </x14:cfvo>
              <x14:cfvo type="num">
                <xm:f>520</xm:f>
              </x14:cfvo>
              <x14:negativeFillColor rgb="FFFF0000"/>
              <x14:axisColor rgb="FF000000"/>
            </x14:dataBar>
          </x14:cfRule>
          <xm:sqref>J44:K45</xm:sqref>
        </x14:conditionalFormatting>
        <x14:conditionalFormatting xmlns:xm="http://schemas.microsoft.com/office/excel/2006/main">
          <x14:cfRule type="dataBar" id="{C464E7E6-6073-6748-A043-CBAEC735ECE8}">
            <x14:dataBar minLength="0" maxLength="100" gradient="0">
              <x14:cfvo type="num">
                <xm:f>0</xm:f>
              </x14:cfvo>
              <x14:cfvo type="num">
                <xm:f>500</xm:f>
              </x14:cfvo>
              <x14:negativeFillColor rgb="FFFF0000"/>
              <x14:axisColor rgb="FF000000"/>
            </x14:dataBar>
          </x14:cfRule>
          <xm:sqref>J46:K47</xm:sqref>
        </x14:conditionalFormatting>
        <x14:conditionalFormatting xmlns:xm="http://schemas.microsoft.com/office/excel/2006/main">
          <x14:cfRule type="dataBar" id="{3D81B8D2-D6F7-CC4E-A690-020D5B163967}">
            <x14:dataBar minLength="0" maxLength="100" gradient="0">
              <x14:cfvo type="num">
                <xm:f>0</xm:f>
              </x14:cfvo>
              <x14:cfvo type="num">
                <xm:f>100</xm:f>
              </x14:cfvo>
              <x14:negativeFillColor rgb="FFFF0000"/>
              <x14:axisColor rgb="FF000000"/>
            </x14:dataBar>
          </x14:cfRule>
          <xm:sqref>J58:K58</xm:sqref>
        </x14:conditionalFormatting>
        <x14:conditionalFormatting xmlns:xm="http://schemas.microsoft.com/office/excel/2006/main">
          <x14:cfRule type="dataBar" id="{5A3F628A-E01E-3343-B742-34E0615FFAA0}">
            <x14:dataBar minLength="0" maxLength="100" gradient="0">
              <x14:cfvo type="num">
                <xm:f>0</xm:f>
              </x14:cfvo>
              <x14:cfvo type="num">
                <xm:f>7</xm:f>
              </x14:cfvo>
              <x14:negativeFillColor rgb="FFFF0000"/>
              <x14:axisColor rgb="FF000000"/>
            </x14:dataBar>
          </x14:cfRule>
          <xm:sqref>J62</xm:sqref>
        </x14:conditionalFormatting>
        <x14:conditionalFormatting xmlns:xm="http://schemas.microsoft.com/office/excel/2006/main">
          <x14:cfRule type="dataBar" id="{B4D01CFE-3998-8E4C-9D4A-6B32B980C502}">
            <x14:dataBar minLength="0" maxLength="100" gradient="0">
              <x14:cfvo type="num">
                <xm:f>0</xm:f>
              </x14:cfvo>
              <x14:cfvo type="num">
                <xm:f>22</xm:f>
              </x14:cfvo>
              <x14:negativeFillColor rgb="FFFF0000"/>
              <x14:axisColor rgb="FF000000"/>
            </x14:dataBar>
          </x14:cfRule>
          <xm:sqref>J64</xm:sqref>
        </x14:conditionalFormatting>
        <x14:conditionalFormatting xmlns:xm="http://schemas.microsoft.com/office/excel/2006/main">
          <x14:cfRule type="dataBar" id="{1F628F91-AC0F-9042-A716-A2715AC695FF}">
            <x14:dataBar minLength="0" maxLength="100" gradient="0">
              <x14:cfvo type="num">
                <xm:f>0</xm:f>
              </x14:cfvo>
              <x14:cfvo type="num">
                <xm:f>1.1000000000000001</xm:f>
              </x14:cfvo>
              <x14:negativeFillColor rgb="FFFF0000"/>
              <x14:axisColor rgb="FF000000"/>
            </x14:dataBar>
          </x14:cfRule>
          <xm:sqref>J66</xm:sqref>
        </x14:conditionalFormatting>
        <x14:conditionalFormatting xmlns:xm="http://schemas.microsoft.com/office/excel/2006/main">
          <x14:cfRule type="dataBar" id="{15B58E7D-9D0A-0F41-8881-5E09A5817DF7}">
            <x14:dataBar minLength="0" maxLength="100" gradient="0">
              <x14:cfvo type="num">
                <xm:f>0</xm:f>
              </x14:cfvo>
              <x14:cfvo type="num">
                <xm:f>0.5</xm:f>
              </x14:cfvo>
              <x14:negativeFillColor rgb="FFFF0000"/>
              <x14:axisColor rgb="FF000000"/>
            </x14:dataBar>
          </x14:cfRule>
          <xm:sqref>J31:K32</xm:sqref>
        </x14:conditionalFormatting>
        <x14:conditionalFormatting xmlns:xm="http://schemas.microsoft.com/office/excel/2006/main">
          <x14:cfRule type="dataBar" id="{29B5FD4F-E403-0047-8887-1469F90A0CD3}">
            <x14:dataBar minLength="0" maxLength="100" gradient="0">
              <x14:cfvo type="num">
                <xm:f>0</xm:f>
              </x14:cfvo>
              <x14:cfvo type="num">
                <xm:f>7</xm:f>
              </x14:cfvo>
              <x14:negativeFillColor rgb="FFFF0000"/>
              <x14:axisColor rgb="FF000000"/>
            </x14:dataBar>
          </x14:cfRule>
          <xm:sqref>C60:E65</xm:sqref>
        </x14:conditionalFormatting>
      </x14:conditionalFormattings>
    </ext>
    <ext xmlns:mx="http://schemas.microsoft.com/office/mac/excel/2008/main" uri="{64002731-A6B0-56B0-2670-7721B7C09600}">
      <mx:PLV Mode="0" OnePage="0" WScale="63"/>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6"/>
  <dimension ref="D10:K408"/>
  <sheetViews>
    <sheetView topLeftCell="A254" workbookViewId="0">
      <selection activeCell="D272" sqref="D272"/>
    </sheetView>
  </sheetViews>
  <sheetFormatPr baseColWidth="10" defaultColWidth="11.5" defaultRowHeight="13.2"/>
  <cols>
    <col min="1" max="4" width="11.5" style="545"/>
    <col min="5" max="5" width="35" style="545" customWidth="1"/>
    <col min="6" max="6" width="39.3984375" style="545" customWidth="1"/>
    <col min="7" max="8" width="11.5" style="545"/>
    <col min="9" max="9" width="16.5" style="545" customWidth="1"/>
    <col min="10" max="260" width="11.5" style="545"/>
    <col min="261" max="261" width="35" style="545" customWidth="1"/>
    <col min="262" max="262" width="39.3984375" style="545" customWidth="1"/>
    <col min="263" max="264" width="11.5" style="545"/>
    <col min="265" max="265" width="16.5" style="545" customWidth="1"/>
    <col min="266" max="516" width="11.5" style="545"/>
    <col min="517" max="517" width="35" style="545" customWidth="1"/>
    <col min="518" max="518" width="39.3984375" style="545" customWidth="1"/>
    <col min="519" max="520" width="11.5" style="545"/>
    <col min="521" max="521" width="16.5" style="545" customWidth="1"/>
    <col min="522" max="772" width="11.5" style="545"/>
    <col min="773" max="773" width="35" style="545" customWidth="1"/>
    <col min="774" max="774" width="39.3984375" style="545" customWidth="1"/>
    <col min="775" max="776" width="11.5" style="545"/>
    <col min="777" max="777" width="16.5" style="545" customWidth="1"/>
    <col min="778" max="1028" width="11.5" style="545"/>
    <col min="1029" max="1029" width="35" style="545" customWidth="1"/>
    <col min="1030" max="1030" width="39.3984375" style="545" customWidth="1"/>
    <col min="1031" max="1032" width="11.5" style="545"/>
    <col min="1033" max="1033" width="16.5" style="545" customWidth="1"/>
    <col min="1034" max="1284" width="11.5" style="545"/>
    <col min="1285" max="1285" width="35" style="545" customWidth="1"/>
    <col min="1286" max="1286" width="39.3984375" style="545" customWidth="1"/>
    <col min="1287" max="1288" width="11.5" style="545"/>
    <col min="1289" max="1289" width="16.5" style="545" customWidth="1"/>
    <col min="1290" max="1540" width="11.5" style="545"/>
    <col min="1541" max="1541" width="35" style="545" customWidth="1"/>
    <col min="1542" max="1542" width="39.3984375" style="545" customWidth="1"/>
    <col min="1543" max="1544" width="11.5" style="545"/>
    <col min="1545" max="1545" width="16.5" style="545" customWidth="1"/>
    <col min="1546" max="1796" width="11.5" style="545"/>
    <col min="1797" max="1797" width="35" style="545" customWidth="1"/>
    <col min="1798" max="1798" width="39.3984375" style="545" customWidth="1"/>
    <col min="1799" max="1800" width="11.5" style="545"/>
    <col min="1801" max="1801" width="16.5" style="545" customWidth="1"/>
    <col min="1802" max="2052" width="11.5" style="545"/>
    <col min="2053" max="2053" width="35" style="545" customWidth="1"/>
    <col min="2054" max="2054" width="39.3984375" style="545" customWidth="1"/>
    <col min="2055" max="2056" width="11.5" style="545"/>
    <col min="2057" max="2057" width="16.5" style="545" customWidth="1"/>
    <col min="2058" max="2308" width="11.5" style="545"/>
    <col min="2309" max="2309" width="35" style="545" customWidth="1"/>
    <col min="2310" max="2310" width="39.3984375" style="545" customWidth="1"/>
    <col min="2311" max="2312" width="11.5" style="545"/>
    <col min="2313" max="2313" width="16.5" style="545" customWidth="1"/>
    <col min="2314" max="2564" width="11.5" style="545"/>
    <col min="2565" max="2565" width="35" style="545" customWidth="1"/>
    <col min="2566" max="2566" width="39.3984375" style="545" customWidth="1"/>
    <col min="2567" max="2568" width="11.5" style="545"/>
    <col min="2569" max="2569" width="16.5" style="545" customWidth="1"/>
    <col min="2570" max="2820" width="11.5" style="545"/>
    <col min="2821" max="2821" width="35" style="545" customWidth="1"/>
    <col min="2822" max="2822" width="39.3984375" style="545" customWidth="1"/>
    <col min="2823" max="2824" width="11.5" style="545"/>
    <col min="2825" max="2825" width="16.5" style="545" customWidth="1"/>
    <col min="2826" max="3076" width="11.5" style="545"/>
    <col min="3077" max="3077" width="35" style="545" customWidth="1"/>
    <col min="3078" max="3078" width="39.3984375" style="545" customWidth="1"/>
    <col min="3079" max="3080" width="11.5" style="545"/>
    <col min="3081" max="3081" width="16.5" style="545" customWidth="1"/>
    <col min="3082" max="3332" width="11.5" style="545"/>
    <col min="3333" max="3333" width="35" style="545" customWidth="1"/>
    <col min="3334" max="3334" width="39.3984375" style="545" customWidth="1"/>
    <col min="3335" max="3336" width="11.5" style="545"/>
    <col min="3337" max="3337" width="16.5" style="545" customWidth="1"/>
    <col min="3338" max="3588" width="11.5" style="545"/>
    <col min="3589" max="3589" width="35" style="545" customWidth="1"/>
    <col min="3590" max="3590" width="39.3984375" style="545" customWidth="1"/>
    <col min="3591" max="3592" width="11.5" style="545"/>
    <col min="3593" max="3593" width="16.5" style="545" customWidth="1"/>
    <col min="3594" max="3844" width="11.5" style="545"/>
    <col min="3845" max="3845" width="35" style="545" customWidth="1"/>
    <col min="3846" max="3846" width="39.3984375" style="545" customWidth="1"/>
    <col min="3847" max="3848" width="11.5" style="545"/>
    <col min="3849" max="3849" width="16.5" style="545" customWidth="1"/>
    <col min="3850" max="4100" width="11.5" style="545"/>
    <col min="4101" max="4101" width="35" style="545" customWidth="1"/>
    <col min="4102" max="4102" width="39.3984375" style="545" customWidth="1"/>
    <col min="4103" max="4104" width="11.5" style="545"/>
    <col min="4105" max="4105" width="16.5" style="545" customWidth="1"/>
    <col min="4106" max="4356" width="11.5" style="545"/>
    <col min="4357" max="4357" width="35" style="545" customWidth="1"/>
    <col min="4358" max="4358" width="39.3984375" style="545" customWidth="1"/>
    <col min="4359" max="4360" width="11.5" style="545"/>
    <col min="4361" max="4361" width="16.5" style="545" customWidth="1"/>
    <col min="4362" max="4612" width="11.5" style="545"/>
    <col min="4613" max="4613" width="35" style="545" customWidth="1"/>
    <col min="4614" max="4614" width="39.3984375" style="545" customWidth="1"/>
    <col min="4615" max="4616" width="11.5" style="545"/>
    <col min="4617" max="4617" width="16.5" style="545" customWidth="1"/>
    <col min="4618" max="4868" width="11.5" style="545"/>
    <col min="4869" max="4869" width="35" style="545" customWidth="1"/>
    <col min="4870" max="4870" width="39.3984375" style="545" customWidth="1"/>
    <col min="4871" max="4872" width="11.5" style="545"/>
    <col min="4873" max="4873" width="16.5" style="545" customWidth="1"/>
    <col min="4874" max="5124" width="11.5" style="545"/>
    <col min="5125" max="5125" width="35" style="545" customWidth="1"/>
    <col min="5126" max="5126" width="39.3984375" style="545" customWidth="1"/>
    <col min="5127" max="5128" width="11.5" style="545"/>
    <col min="5129" max="5129" width="16.5" style="545" customWidth="1"/>
    <col min="5130" max="5380" width="11.5" style="545"/>
    <col min="5381" max="5381" width="35" style="545" customWidth="1"/>
    <col min="5382" max="5382" width="39.3984375" style="545" customWidth="1"/>
    <col min="5383" max="5384" width="11.5" style="545"/>
    <col min="5385" max="5385" width="16.5" style="545" customWidth="1"/>
    <col min="5386" max="5636" width="11.5" style="545"/>
    <col min="5637" max="5637" width="35" style="545" customWidth="1"/>
    <col min="5638" max="5638" width="39.3984375" style="545" customWidth="1"/>
    <col min="5639" max="5640" width="11.5" style="545"/>
    <col min="5641" max="5641" width="16.5" style="545" customWidth="1"/>
    <col min="5642" max="5892" width="11.5" style="545"/>
    <col min="5893" max="5893" width="35" style="545" customWidth="1"/>
    <col min="5894" max="5894" width="39.3984375" style="545" customWidth="1"/>
    <col min="5895" max="5896" width="11.5" style="545"/>
    <col min="5897" max="5897" width="16.5" style="545" customWidth="1"/>
    <col min="5898" max="6148" width="11.5" style="545"/>
    <col min="6149" max="6149" width="35" style="545" customWidth="1"/>
    <col min="6150" max="6150" width="39.3984375" style="545" customWidth="1"/>
    <col min="6151" max="6152" width="11.5" style="545"/>
    <col min="6153" max="6153" width="16.5" style="545" customWidth="1"/>
    <col min="6154" max="6404" width="11.5" style="545"/>
    <col min="6405" max="6405" width="35" style="545" customWidth="1"/>
    <col min="6406" max="6406" width="39.3984375" style="545" customWidth="1"/>
    <col min="6407" max="6408" width="11.5" style="545"/>
    <col min="6409" max="6409" width="16.5" style="545" customWidth="1"/>
    <col min="6410" max="6660" width="11.5" style="545"/>
    <col min="6661" max="6661" width="35" style="545" customWidth="1"/>
    <col min="6662" max="6662" width="39.3984375" style="545" customWidth="1"/>
    <col min="6663" max="6664" width="11.5" style="545"/>
    <col min="6665" max="6665" width="16.5" style="545" customWidth="1"/>
    <col min="6666" max="6916" width="11.5" style="545"/>
    <col min="6917" max="6917" width="35" style="545" customWidth="1"/>
    <col min="6918" max="6918" width="39.3984375" style="545" customWidth="1"/>
    <col min="6919" max="6920" width="11.5" style="545"/>
    <col min="6921" max="6921" width="16.5" style="545" customWidth="1"/>
    <col min="6922" max="7172" width="11.5" style="545"/>
    <col min="7173" max="7173" width="35" style="545" customWidth="1"/>
    <col min="7174" max="7174" width="39.3984375" style="545" customWidth="1"/>
    <col min="7175" max="7176" width="11.5" style="545"/>
    <col min="7177" max="7177" width="16.5" style="545" customWidth="1"/>
    <col min="7178" max="7428" width="11.5" style="545"/>
    <col min="7429" max="7429" width="35" style="545" customWidth="1"/>
    <col min="7430" max="7430" width="39.3984375" style="545" customWidth="1"/>
    <col min="7431" max="7432" width="11.5" style="545"/>
    <col min="7433" max="7433" width="16.5" style="545" customWidth="1"/>
    <col min="7434" max="7684" width="11.5" style="545"/>
    <col min="7685" max="7685" width="35" style="545" customWidth="1"/>
    <col min="7686" max="7686" width="39.3984375" style="545" customWidth="1"/>
    <col min="7687" max="7688" width="11.5" style="545"/>
    <col min="7689" max="7689" width="16.5" style="545" customWidth="1"/>
    <col min="7690" max="7940" width="11.5" style="545"/>
    <col min="7941" max="7941" width="35" style="545" customWidth="1"/>
    <col min="7942" max="7942" width="39.3984375" style="545" customWidth="1"/>
    <col min="7943" max="7944" width="11.5" style="545"/>
    <col min="7945" max="7945" width="16.5" style="545" customWidth="1"/>
    <col min="7946" max="8196" width="11.5" style="545"/>
    <col min="8197" max="8197" width="35" style="545" customWidth="1"/>
    <col min="8198" max="8198" width="39.3984375" style="545" customWidth="1"/>
    <col min="8199" max="8200" width="11.5" style="545"/>
    <col min="8201" max="8201" width="16.5" style="545" customWidth="1"/>
    <col min="8202" max="8452" width="11.5" style="545"/>
    <col min="8453" max="8453" width="35" style="545" customWidth="1"/>
    <col min="8454" max="8454" width="39.3984375" style="545" customWidth="1"/>
    <col min="8455" max="8456" width="11.5" style="545"/>
    <col min="8457" max="8457" width="16.5" style="545" customWidth="1"/>
    <col min="8458" max="8708" width="11.5" style="545"/>
    <col min="8709" max="8709" width="35" style="545" customWidth="1"/>
    <col min="8710" max="8710" width="39.3984375" style="545" customWidth="1"/>
    <col min="8711" max="8712" width="11.5" style="545"/>
    <col min="8713" max="8713" width="16.5" style="545" customWidth="1"/>
    <col min="8714" max="8964" width="11.5" style="545"/>
    <col min="8965" max="8965" width="35" style="545" customWidth="1"/>
    <col min="8966" max="8966" width="39.3984375" style="545" customWidth="1"/>
    <col min="8967" max="8968" width="11.5" style="545"/>
    <col min="8969" max="8969" width="16.5" style="545" customWidth="1"/>
    <col min="8970" max="9220" width="11.5" style="545"/>
    <col min="9221" max="9221" width="35" style="545" customWidth="1"/>
    <col min="9222" max="9222" width="39.3984375" style="545" customWidth="1"/>
    <col min="9223" max="9224" width="11.5" style="545"/>
    <col min="9225" max="9225" width="16.5" style="545" customWidth="1"/>
    <col min="9226" max="9476" width="11.5" style="545"/>
    <col min="9477" max="9477" width="35" style="545" customWidth="1"/>
    <col min="9478" max="9478" width="39.3984375" style="545" customWidth="1"/>
    <col min="9479" max="9480" width="11.5" style="545"/>
    <col min="9481" max="9481" width="16.5" style="545" customWidth="1"/>
    <col min="9482" max="9732" width="11.5" style="545"/>
    <col min="9733" max="9733" width="35" style="545" customWidth="1"/>
    <col min="9734" max="9734" width="39.3984375" style="545" customWidth="1"/>
    <col min="9735" max="9736" width="11.5" style="545"/>
    <col min="9737" max="9737" width="16.5" style="545" customWidth="1"/>
    <col min="9738" max="9988" width="11.5" style="545"/>
    <col min="9989" max="9989" width="35" style="545" customWidth="1"/>
    <col min="9990" max="9990" width="39.3984375" style="545" customWidth="1"/>
    <col min="9991" max="9992" width="11.5" style="545"/>
    <col min="9993" max="9993" width="16.5" style="545" customWidth="1"/>
    <col min="9994" max="10244" width="11.5" style="545"/>
    <col min="10245" max="10245" width="35" style="545" customWidth="1"/>
    <col min="10246" max="10246" width="39.3984375" style="545" customWidth="1"/>
    <col min="10247" max="10248" width="11.5" style="545"/>
    <col min="10249" max="10249" width="16.5" style="545" customWidth="1"/>
    <col min="10250" max="10500" width="11.5" style="545"/>
    <col min="10501" max="10501" width="35" style="545" customWidth="1"/>
    <col min="10502" max="10502" width="39.3984375" style="545" customWidth="1"/>
    <col min="10503" max="10504" width="11.5" style="545"/>
    <col min="10505" max="10505" width="16.5" style="545" customWidth="1"/>
    <col min="10506" max="10756" width="11.5" style="545"/>
    <col min="10757" max="10757" width="35" style="545" customWidth="1"/>
    <col min="10758" max="10758" width="39.3984375" style="545" customWidth="1"/>
    <col min="10759" max="10760" width="11.5" style="545"/>
    <col min="10761" max="10761" width="16.5" style="545" customWidth="1"/>
    <col min="10762" max="11012" width="11.5" style="545"/>
    <col min="11013" max="11013" width="35" style="545" customWidth="1"/>
    <col min="11014" max="11014" width="39.3984375" style="545" customWidth="1"/>
    <col min="11015" max="11016" width="11.5" style="545"/>
    <col min="11017" max="11017" width="16.5" style="545" customWidth="1"/>
    <col min="11018" max="11268" width="11.5" style="545"/>
    <col min="11269" max="11269" width="35" style="545" customWidth="1"/>
    <col min="11270" max="11270" width="39.3984375" style="545" customWidth="1"/>
    <col min="11271" max="11272" width="11.5" style="545"/>
    <col min="11273" max="11273" width="16.5" style="545" customWidth="1"/>
    <col min="11274" max="11524" width="11.5" style="545"/>
    <col min="11525" max="11525" width="35" style="545" customWidth="1"/>
    <col min="11526" max="11526" width="39.3984375" style="545" customWidth="1"/>
    <col min="11527" max="11528" width="11.5" style="545"/>
    <col min="11529" max="11529" width="16.5" style="545" customWidth="1"/>
    <col min="11530" max="11780" width="11.5" style="545"/>
    <col min="11781" max="11781" width="35" style="545" customWidth="1"/>
    <col min="11782" max="11782" width="39.3984375" style="545" customWidth="1"/>
    <col min="11783" max="11784" width="11.5" style="545"/>
    <col min="11785" max="11785" width="16.5" style="545" customWidth="1"/>
    <col min="11786" max="12036" width="11.5" style="545"/>
    <col min="12037" max="12037" width="35" style="545" customWidth="1"/>
    <col min="12038" max="12038" width="39.3984375" style="545" customWidth="1"/>
    <col min="12039" max="12040" width="11.5" style="545"/>
    <col min="12041" max="12041" width="16.5" style="545" customWidth="1"/>
    <col min="12042" max="12292" width="11.5" style="545"/>
    <col min="12293" max="12293" width="35" style="545" customWidth="1"/>
    <col min="12294" max="12294" width="39.3984375" style="545" customWidth="1"/>
    <col min="12295" max="12296" width="11.5" style="545"/>
    <col min="12297" max="12297" width="16.5" style="545" customWidth="1"/>
    <col min="12298" max="12548" width="11.5" style="545"/>
    <col min="12549" max="12549" width="35" style="545" customWidth="1"/>
    <col min="12550" max="12550" width="39.3984375" style="545" customWidth="1"/>
    <col min="12551" max="12552" width="11.5" style="545"/>
    <col min="12553" max="12553" width="16.5" style="545" customWidth="1"/>
    <col min="12554" max="12804" width="11.5" style="545"/>
    <col min="12805" max="12805" width="35" style="545" customWidth="1"/>
    <col min="12806" max="12806" width="39.3984375" style="545" customWidth="1"/>
    <col min="12807" max="12808" width="11.5" style="545"/>
    <col min="12809" max="12809" width="16.5" style="545" customWidth="1"/>
    <col min="12810" max="13060" width="11.5" style="545"/>
    <col min="13061" max="13061" width="35" style="545" customWidth="1"/>
    <col min="13062" max="13062" width="39.3984375" style="545" customWidth="1"/>
    <col min="13063" max="13064" width="11.5" style="545"/>
    <col min="13065" max="13065" width="16.5" style="545" customWidth="1"/>
    <col min="13066" max="13316" width="11.5" style="545"/>
    <col min="13317" max="13317" width="35" style="545" customWidth="1"/>
    <col min="13318" max="13318" width="39.3984375" style="545" customWidth="1"/>
    <col min="13319" max="13320" width="11.5" style="545"/>
    <col min="13321" max="13321" width="16.5" style="545" customWidth="1"/>
    <col min="13322" max="13572" width="11.5" style="545"/>
    <col min="13573" max="13573" width="35" style="545" customWidth="1"/>
    <col min="13574" max="13574" width="39.3984375" style="545" customWidth="1"/>
    <col min="13575" max="13576" width="11.5" style="545"/>
    <col min="13577" max="13577" width="16.5" style="545" customWidth="1"/>
    <col min="13578" max="13828" width="11.5" style="545"/>
    <col min="13829" max="13829" width="35" style="545" customWidth="1"/>
    <col min="13830" max="13830" width="39.3984375" style="545" customWidth="1"/>
    <col min="13831" max="13832" width="11.5" style="545"/>
    <col min="13833" max="13833" width="16.5" style="545" customWidth="1"/>
    <col min="13834" max="14084" width="11.5" style="545"/>
    <col min="14085" max="14085" width="35" style="545" customWidth="1"/>
    <col min="14086" max="14086" width="39.3984375" style="545" customWidth="1"/>
    <col min="14087" max="14088" width="11.5" style="545"/>
    <col min="14089" max="14089" width="16.5" style="545" customWidth="1"/>
    <col min="14090" max="14340" width="11.5" style="545"/>
    <col min="14341" max="14341" width="35" style="545" customWidth="1"/>
    <col min="14342" max="14342" width="39.3984375" style="545" customWidth="1"/>
    <col min="14343" max="14344" width="11.5" style="545"/>
    <col min="14345" max="14345" width="16.5" style="545" customWidth="1"/>
    <col min="14346" max="14596" width="11.5" style="545"/>
    <col min="14597" max="14597" width="35" style="545" customWidth="1"/>
    <col min="14598" max="14598" width="39.3984375" style="545" customWidth="1"/>
    <col min="14599" max="14600" width="11.5" style="545"/>
    <col min="14601" max="14601" width="16.5" style="545" customWidth="1"/>
    <col min="14602" max="14852" width="11.5" style="545"/>
    <col min="14853" max="14853" width="35" style="545" customWidth="1"/>
    <col min="14854" max="14854" width="39.3984375" style="545" customWidth="1"/>
    <col min="14855" max="14856" width="11.5" style="545"/>
    <col min="14857" max="14857" width="16.5" style="545" customWidth="1"/>
    <col min="14858" max="15108" width="11.5" style="545"/>
    <col min="15109" max="15109" width="35" style="545" customWidth="1"/>
    <col min="15110" max="15110" width="39.3984375" style="545" customWidth="1"/>
    <col min="15111" max="15112" width="11.5" style="545"/>
    <col min="15113" max="15113" width="16.5" style="545" customWidth="1"/>
    <col min="15114" max="15364" width="11.5" style="545"/>
    <col min="15365" max="15365" width="35" style="545" customWidth="1"/>
    <col min="15366" max="15366" width="39.3984375" style="545" customWidth="1"/>
    <col min="15367" max="15368" width="11.5" style="545"/>
    <col min="15369" max="15369" width="16.5" style="545" customWidth="1"/>
    <col min="15370" max="15620" width="11.5" style="545"/>
    <col min="15621" max="15621" width="35" style="545" customWidth="1"/>
    <col min="15622" max="15622" width="39.3984375" style="545" customWidth="1"/>
    <col min="15623" max="15624" width="11.5" style="545"/>
    <col min="15625" max="15625" width="16.5" style="545" customWidth="1"/>
    <col min="15626" max="15876" width="11.5" style="545"/>
    <col min="15877" max="15877" width="35" style="545" customWidth="1"/>
    <col min="15878" max="15878" width="39.3984375" style="545" customWidth="1"/>
    <col min="15879" max="15880" width="11.5" style="545"/>
    <col min="15881" max="15881" width="16.5" style="545" customWidth="1"/>
    <col min="15882" max="16132" width="11.5" style="545"/>
    <col min="16133" max="16133" width="35" style="545" customWidth="1"/>
    <col min="16134" max="16134" width="39.3984375" style="545" customWidth="1"/>
    <col min="16135" max="16136" width="11.5" style="545"/>
    <col min="16137" max="16137" width="16.5" style="545" customWidth="1"/>
    <col min="16138" max="16384" width="11.5" style="545"/>
  </cols>
  <sheetData>
    <row r="10" spans="5:6">
      <c r="E10" s="545" t="s">
        <v>708</v>
      </c>
      <c r="F10" s="545" t="s">
        <v>739</v>
      </c>
    </row>
    <row r="11" spans="5:6">
      <c r="E11" s="545" t="s">
        <v>702</v>
      </c>
      <c r="F11" s="545" t="s">
        <v>740</v>
      </c>
    </row>
    <row r="12" spans="5:6">
      <c r="E12" s="545" t="s">
        <v>700</v>
      </c>
      <c r="F12" s="545" t="s">
        <v>741</v>
      </c>
    </row>
    <row r="13" spans="5:6">
      <c r="E13" s="545" t="s">
        <v>696</v>
      </c>
      <c r="F13" s="545" t="s">
        <v>742</v>
      </c>
    </row>
    <row r="14" spans="5:6">
      <c r="E14" s="545" t="s">
        <v>704</v>
      </c>
      <c r="F14" s="545" t="s">
        <v>743</v>
      </c>
    </row>
    <row r="15" spans="5:6">
      <c r="E15" s="545" t="s">
        <v>744</v>
      </c>
      <c r="F15" s="545" t="s">
        <v>745</v>
      </c>
    </row>
    <row r="16" spans="5:6">
      <c r="E16" s="545" t="s">
        <v>706</v>
      </c>
      <c r="F16" s="545" t="s">
        <v>745</v>
      </c>
    </row>
    <row r="17" spans="4:6">
      <c r="E17" s="545" t="s">
        <v>712</v>
      </c>
      <c r="F17" s="545" t="s">
        <v>746</v>
      </c>
    </row>
    <row r="18" spans="4:6">
      <c r="E18" s="545" t="s">
        <v>710</v>
      </c>
      <c r="F18" s="545" t="s">
        <v>747</v>
      </c>
    </row>
    <row r="19" spans="4:6">
      <c r="E19" s="545" t="s">
        <v>698</v>
      </c>
      <c r="F19" s="545" t="s">
        <v>748</v>
      </c>
    </row>
    <row r="20" spans="4:6">
      <c r="E20" s="545" t="s">
        <v>714</v>
      </c>
      <c r="F20" s="545" t="s">
        <v>749</v>
      </c>
    </row>
    <row r="24" spans="4:6" s="546" customFormat="1">
      <c r="D24" s="546" t="str">
        <f>VLOOKUP(textures,E10:F20,1+1,0)</f>
        <v>*Sol lourd, attention aux excès d'eau sur ce type de sol, risque d'asphyxie racinaire</v>
      </c>
    </row>
    <row r="31" spans="4:6">
      <c r="E31" s="545" t="s">
        <v>708</v>
      </c>
      <c r="F31" s="545" t="s">
        <v>750</v>
      </c>
    </row>
    <row r="32" spans="4:6">
      <c r="E32" s="545" t="s">
        <v>702</v>
      </c>
      <c r="F32" s="545" t="s">
        <v>751</v>
      </c>
    </row>
    <row r="33" spans="4:7">
      <c r="E33" s="545" t="s">
        <v>700</v>
      </c>
      <c r="F33" s="545" t="s">
        <v>752</v>
      </c>
    </row>
    <row r="34" spans="4:7">
      <c r="E34" s="545" t="s">
        <v>696</v>
      </c>
      <c r="F34" s="545" t="s">
        <v>753</v>
      </c>
    </row>
    <row r="35" spans="4:7">
      <c r="E35" s="545" t="s">
        <v>704</v>
      </c>
      <c r="F35" s="545" t="s">
        <v>754</v>
      </c>
    </row>
    <row r="36" spans="4:7">
      <c r="E36" s="545" t="s">
        <v>744</v>
      </c>
      <c r="F36" s="545" t="s">
        <v>755</v>
      </c>
    </row>
    <row r="37" spans="4:7">
      <c r="E37" s="545" t="s">
        <v>706</v>
      </c>
      <c r="F37" s="545" t="s">
        <v>755</v>
      </c>
    </row>
    <row r="38" spans="4:7">
      <c r="E38" s="545" t="s">
        <v>712</v>
      </c>
      <c r="F38" s="545" t="s">
        <v>756</v>
      </c>
    </row>
    <row r="39" spans="4:7">
      <c r="E39" s="545" t="s">
        <v>710</v>
      </c>
      <c r="F39" s="545" t="s">
        <v>757</v>
      </c>
    </row>
    <row r="40" spans="4:7">
      <c r="E40" s="545" t="s">
        <v>698</v>
      </c>
      <c r="F40" s="545" t="s">
        <v>758</v>
      </c>
    </row>
    <row r="41" spans="4:7">
      <c r="E41" s="545" t="s">
        <v>714</v>
      </c>
      <c r="F41" s="545" t="s">
        <v>759</v>
      </c>
    </row>
    <row r="43" spans="4:7" s="546" customFormat="1">
      <c r="D43" s="546" t="str">
        <f>VLOOKUP(textures,E31:F41,1+1,0)</f>
        <v>*Mise en route souvent difficile du système racinaire au printemps, veuiller à bien soutenir le végétal au démarage. Eviter aussi dfe travailler ce sol en condition humide.</v>
      </c>
    </row>
    <row r="46" spans="4:7">
      <c r="D46" s="545" t="b">
        <f>calcairetots&lt;10</f>
        <v>0</v>
      </c>
      <c r="E46" s="545" t="s">
        <v>760</v>
      </c>
      <c r="G46" s="545" t="s">
        <v>761</v>
      </c>
    </row>
    <row r="47" spans="4:7">
      <c r="D47" s="545" t="b">
        <f>calcairetots&lt;50</f>
        <v>0</v>
      </c>
      <c r="E47" s="545" t="s">
        <v>762</v>
      </c>
      <c r="G47" s="545" t="s">
        <v>763</v>
      </c>
    </row>
    <row r="49" spans="4:7">
      <c r="D49" s="545" t="b">
        <f>AND(calcairetots&lt;200,Cactiis&lt;10)</f>
        <v>0</v>
      </c>
      <c r="E49" s="545" t="s">
        <v>764</v>
      </c>
      <c r="F49" s="545" t="s">
        <v>765</v>
      </c>
      <c r="G49" s="545" t="s">
        <v>766</v>
      </c>
    </row>
    <row r="50" spans="4:7">
      <c r="D50" s="545" t="b">
        <f>AND(calcairetots&lt;200,Cactiis&lt;40)</f>
        <v>0</v>
      </c>
      <c r="F50" s="545" t="s">
        <v>767</v>
      </c>
      <c r="G50" s="545" t="s">
        <v>768</v>
      </c>
    </row>
    <row r="51" spans="4:7">
      <c r="D51" s="545" t="b">
        <f>AND(calcairetots&lt;200,Cactiis&lt;90)</f>
        <v>0</v>
      </c>
      <c r="F51" s="545" t="s">
        <v>769</v>
      </c>
      <c r="G51" s="545" t="s">
        <v>770</v>
      </c>
    </row>
    <row r="52" spans="4:7">
      <c r="D52" s="545" t="b">
        <f>AND(calcairetots&lt;200,Cactiis&lt;150)</f>
        <v>0</v>
      </c>
      <c r="F52" s="545" t="s">
        <v>771</v>
      </c>
      <c r="G52" s="545" t="s">
        <v>772</v>
      </c>
    </row>
    <row r="53" spans="4:7">
      <c r="D53" s="545" t="b">
        <f>AND(calcairetots&lt;200,Cactiis&gt;=150)</f>
        <v>0</v>
      </c>
      <c r="F53" s="545" t="s">
        <v>773</v>
      </c>
      <c r="G53" s="545" t="s">
        <v>774</v>
      </c>
    </row>
    <row r="55" spans="4:7">
      <c r="D55" s="545" t="b">
        <f>AND(calcairetots&lt;400,Cactiis&lt;10)</f>
        <v>0</v>
      </c>
      <c r="E55" s="545" t="s">
        <v>775</v>
      </c>
      <c r="F55" s="545" t="s">
        <v>765</v>
      </c>
      <c r="G55" s="545" t="s">
        <v>776</v>
      </c>
    </row>
    <row r="56" spans="4:7">
      <c r="D56" s="545" t="b">
        <f>AND(calcairetots&lt;400,Cactiis&lt;40)</f>
        <v>0</v>
      </c>
      <c r="F56" s="545" t="s">
        <v>767</v>
      </c>
      <c r="G56" s="545" t="s">
        <v>777</v>
      </c>
    </row>
    <row r="57" spans="4:7">
      <c r="D57" s="545" t="b">
        <f>AND(calcairetots&lt;400,Cactiis&lt;90)</f>
        <v>1</v>
      </c>
      <c r="F57" s="545" t="s">
        <v>769</v>
      </c>
      <c r="G57" s="545" t="s">
        <v>778</v>
      </c>
    </row>
    <row r="58" spans="4:7">
      <c r="D58" s="545" t="b">
        <f>AND(calcairetots&lt;400,Cactiis&lt;150)</f>
        <v>1</v>
      </c>
      <c r="F58" s="545" t="s">
        <v>771</v>
      </c>
      <c r="G58" s="545" t="s">
        <v>779</v>
      </c>
    </row>
    <row r="59" spans="4:7">
      <c r="D59" s="545" t="b">
        <f>AND(calcairetots&lt;400,Cactiis&gt;=150)</f>
        <v>0</v>
      </c>
      <c r="F59" s="545" t="s">
        <v>773</v>
      </c>
      <c r="G59" s="545" t="s">
        <v>780</v>
      </c>
    </row>
    <row r="61" spans="4:7">
      <c r="D61" s="545" t="b">
        <f>AND(calcairetots&gt;400,Cactiis&lt;10)</f>
        <v>0</v>
      </c>
      <c r="E61" s="545" t="s">
        <v>781</v>
      </c>
      <c r="F61" s="545" t="s">
        <v>765</v>
      </c>
      <c r="G61" s="545" t="s">
        <v>782</v>
      </c>
    </row>
    <row r="62" spans="4:7">
      <c r="D62" s="545" t="b">
        <f>AND(calcairetots&gt;400,Cactiis&lt;40)</f>
        <v>0</v>
      </c>
      <c r="F62" s="545" t="s">
        <v>767</v>
      </c>
      <c r="G62" s="545" t="s">
        <v>783</v>
      </c>
    </row>
    <row r="63" spans="4:7">
      <c r="D63" s="545" t="b">
        <f>AND(calcairetots&gt;400,Cactiis&lt;90)</f>
        <v>0</v>
      </c>
      <c r="F63" s="545" t="s">
        <v>769</v>
      </c>
      <c r="G63" s="545" t="s">
        <v>784</v>
      </c>
    </row>
    <row r="64" spans="4:7">
      <c r="D64" s="545" t="b">
        <f>AND(calcairetots&gt;400,Cactiis&lt;150)</f>
        <v>0</v>
      </c>
      <c r="F64" s="545" t="s">
        <v>771</v>
      </c>
      <c r="G64" s="545" t="s">
        <v>785</v>
      </c>
    </row>
    <row r="65" spans="4:7">
      <c r="D65" s="545" t="b">
        <f>AND(calcairetots&gt;400,Cactiis&gt;=150)</f>
        <v>0</v>
      </c>
      <c r="F65" s="545" t="s">
        <v>773</v>
      </c>
      <c r="G65" s="545" t="s">
        <v>786</v>
      </c>
    </row>
    <row r="67" spans="4:7" s="546" customFormat="1">
      <c r="D67" s="546" t="str">
        <f>VLOOKUP(TRUE,D46:G65,1+3,0)</f>
        <v>*Sol fortement calcaire, tout risque de chlorose n'est pas à exclure ici</v>
      </c>
    </row>
    <row r="69" spans="4:7">
      <c r="D69" s="545" t="b">
        <f>pHeaus&lt;5.5</f>
        <v>0</v>
      </c>
      <c r="E69" s="545" t="s">
        <v>787</v>
      </c>
      <c r="G69" s="547" t="s">
        <v>788</v>
      </c>
    </row>
    <row r="70" spans="4:7">
      <c r="D70" s="545" t="b">
        <f>pHeaus&lt;6.5</f>
        <v>0</v>
      </c>
      <c r="E70" s="545" t="s">
        <v>789</v>
      </c>
      <c r="G70" s="547" t="s">
        <v>790</v>
      </c>
    </row>
    <row r="71" spans="4:7">
      <c r="D71" s="545" t="b">
        <f>pHeaus&lt;6.8</f>
        <v>0</v>
      </c>
      <c r="E71" s="545" t="s">
        <v>791</v>
      </c>
      <c r="G71" s="545" t="s">
        <v>792</v>
      </c>
    </row>
    <row r="72" spans="4:7">
      <c r="D72" s="545" t="b">
        <f>pHeaus&lt;7.2</f>
        <v>0</v>
      </c>
      <c r="E72" s="545" t="s">
        <v>793</v>
      </c>
      <c r="G72" s="545" t="s">
        <v>794</v>
      </c>
    </row>
    <row r="73" spans="4:7">
      <c r="D73" s="545" t="b">
        <f>pHeaus&lt;7.5</f>
        <v>0</v>
      </c>
      <c r="E73" s="545" t="s">
        <v>795</v>
      </c>
      <c r="G73" s="545" t="s">
        <v>796</v>
      </c>
    </row>
    <row r="74" spans="4:7">
      <c r="D74" s="545" t="b">
        <f>(AND(pHeaus&lt;8.3,calcairetots&lt;50))</f>
        <v>0</v>
      </c>
      <c r="E74" s="545" t="s">
        <v>797</v>
      </c>
      <c r="F74" s="545" t="s">
        <v>762</v>
      </c>
      <c r="G74" s="545" t="s">
        <v>798</v>
      </c>
    </row>
    <row r="75" spans="4:7">
      <c r="D75" s="545" t="b">
        <f>(AND(pHeaus&lt;8.3,calcairetots&gt;=50))</f>
        <v>0</v>
      </c>
      <c r="E75" s="545" t="s">
        <v>797</v>
      </c>
      <c r="F75" s="545" t="s">
        <v>799</v>
      </c>
      <c r="G75" s="545" t="s">
        <v>800</v>
      </c>
    </row>
    <row r="76" spans="4:7">
      <c r="D76" s="545" t="b">
        <f>(AND(pHeaus&gt;=8.3,calcairetots&lt;50))</f>
        <v>0</v>
      </c>
      <c r="E76" s="545" t="s">
        <v>801</v>
      </c>
      <c r="F76" s="545" t="s">
        <v>762</v>
      </c>
      <c r="G76" s="545" t="s">
        <v>802</v>
      </c>
    </row>
    <row r="77" spans="4:7">
      <c r="D77" s="545" t="b">
        <f>(AND(pHeaus&gt;=8.3,calcairetots&gt;=50))</f>
        <v>1</v>
      </c>
      <c r="E77" s="545" t="s">
        <v>801</v>
      </c>
      <c r="F77" s="545" t="s">
        <v>799</v>
      </c>
      <c r="G77" s="545" t="s">
        <v>803</v>
      </c>
    </row>
    <row r="79" spans="4:7" s="546" customFormat="1">
      <c r="D79" s="546" t="str">
        <f>VLOOKUP(TRUE,D70:G77,1+3,0)</f>
        <v>*pH très basique</v>
      </c>
    </row>
    <row r="83" spans="4:7">
      <c r="D83" s="545" t="b">
        <f>pHeaus&lt;5.5</f>
        <v>0</v>
      </c>
      <c r="E83" s="545" t="s">
        <v>787</v>
      </c>
      <c r="F83" s="545" t="s">
        <v>804</v>
      </c>
    </row>
    <row r="84" spans="4:7">
      <c r="D84" s="545" t="b">
        <f>pHeaus&lt;=6</f>
        <v>0</v>
      </c>
      <c r="E84" s="545" t="s">
        <v>805</v>
      </c>
      <c r="F84" s="545" t="s">
        <v>806</v>
      </c>
    </row>
    <row r="85" spans="4:7">
      <c r="D85" s="545" t="b">
        <f>pHeaus&lt;6.8</f>
        <v>0</v>
      </c>
      <c r="E85" s="545" t="s">
        <v>791</v>
      </c>
      <c r="F85" s="545" t="s">
        <v>807</v>
      </c>
    </row>
    <row r="86" spans="4:7">
      <c r="D86" s="545" t="b">
        <f>pHeaus&lt;7.2</f>
        <v>0</v>
      </c>
      <c r="E86" s="545" t="s">
        <v>793</v>
      </c>
      <c r="F86" s="545" t="s">
        <v>808</v>
      </c>
    </row>
    <row r="87" spans="4:7">
      <c r="D87" s="545" t="b">
        <f>pHeaus&lt;7.6</f>
        <v>0</v>
      </c>
      <c r="E87" s="545" t="s">
        <v>809</v>
      </c>
      <c r="F87" s="545" t="s">
        <v>810</v>
      </c>
    </row>
    <row r="88" spans="4:7">
      <c r="D88" s="545" t="b">
        <f>pHeaus&lt;8</f>
        <v>0</v>
      </c>
      <c r="E88" s="545" t="s">
        <v>811</v>
      </c>
      <c r="F88" s="545" t="s">
        <v>812</v>
      </c>
    </row>
    <row r="89" spans="4:7">
      <c r="D89" s="545" t="b">
        <f>pHeaus&lt;8.3</f>
        <v>0</v>
      </c>
      <c r="E89" s="545" t="s">
        <v>813</v>
      </c>
      <c r="F89" s="545" t="s">
        <v>814</v>
      </c>
    </row>
    <row r="90" spans="4:7">
      <c r="D90" s="545" t="b">
        <f>pHeaus&lt;8.6</f>
        <v>1</v>
      </c>
      <c r="E90" s="545" t="s">
        <v>815</v>
      </c>
      <c r="F90" s="545" t="s">
        <v>816</v>
      </c>
    </row>
    <row r="91" spans="4:7">
      <c r="D91" s="545" t="b">
        <f>pHeaus&gt;=8.3</f>
        <v>1</v>
      </c>
      <c r="E91" s="545" t="s">
        <v>817</v>
      </c>
      <c r="F91" s="545" t="s">
        <v>818</v>
      </c>
    </row>
    <row r="93" spans="4:7" s="546" customFormat="1">
      <c r="D93" s="546" t="str">
        <f>VLOOKUP(TRUE,D83:F91,1+2,0)</f>
        <v>*Risques très élevés de perturbation de la nutrition, il est nécessaire d'adapter le niveau de la fertilisation et le type d'engrais à apporter notament du phosphore et des oligo-éléments</v>
      </c>
    </row>
    <row r="95" spans="4:7">
      <c r="G95" s="545" t="s">
        <v>819</v>
      </c>
    </row>
    <row r="97" spans="4:7">
      <c r="D97" s="545" t="b">
        <f>Ca_CECs&lt;45</f>
        <v>0</v>
      </c>
      <c r="E97" s="545" t="s">
        <v>820</v>
      </c>
      <c r="G97" s="545" t="s">
        <v>821</v>
      </c>
    </row>
    <row r="98" spans="4:7">
      <c r="D98" s="545" t="b">
        <f>Ca_CECs&lt;60</f>
        <v>0</v>
      </c>
      <c r="E98" s="545" t="s">
        <v>822</v>
      </c>
      <c r="G98" s="545" t="s">
        <v>823</v>
      </c>
    </row>
    <row r="99" spans="4:7">
      <c r="D99" s="545" t="b">
        <f>Ca_CECs&lt;80</f>
        <v>0</v>
      </c>
      <c r="E99" s="545" t="s">
        <v>824</v>
      </c>
      <c r="G99" s="545" t="s">
        <v>825</v>
      </c>
    </row>
    <row r="101" spans="4:7">
      <c r="D101" s="545" t="b">
        <f>AND(Mg_CECs&lt;Mgssups,K_CECs&lt;KsSUPs,IPs&gt;2)</f>
        <v>0</v>
      </c>
      <c r="E101" s="545" t="s">
        <v>826</v>
      </c>
      <c r="F101" s="545" t="s">
        <v>827</v>
      </c>
      <c r="G101" s="545" t="s">
        <v>828</v>
      </c>
    </row>
    <row r="102" spans="4:7">
      <c r="D102" s="545" t="b">
        <f>AND(Mg_CECs&lt;Mgssups,K_CECs&lt;KsSUPs,IPs&lt;2)</f>
        <v>0</v>
      </c>
      <c r="E102" s="545" t="s">
        <v>826</v>
      </c>
      <c r="F102" s="545" t="s">
        <v>829</v>
      </c>
      <c r="G102" s="545" t="s">
        <v>830</v>
      </c>
    </row>
    <row r="103" spans="4:7">
      <c r="D103" s="545" t="b">
        <f>AND(Mg_CECs&lt;Mgssups,K_CECs&gt;KsSUPs,IPs&lt;2)</f>
        <v>0</v>
      </c>
      <c r="E103" s="545" t="s">
        <v>826</v>
      </c>
      <c r="F103" s="545" t="s">
        <v>831</v>
      </c>
      <c r="G103" s="545" t="s">
        <v>832</v>
      </c>
    </row>
    <row r="104" spans="4:7">
      <c r="D104" s="545" t="b">
        <f>AND(Mg_CECs&gt;Mgssups,K_CECs&lt;KsSUPs,IPs&gt;2)</f>
        <v>0</v>
      </c>
      <c r="E104" s="545" t="s">
        <v>826</v>
      </c>
      <c r="F104" s="545" t="s">
        <v>833</v>
      </c>
      <c r="G104" s="545" t="s">
        <v>834</v>
      </c>
    </row>
    <row r="105" spans="4:7">
      <c r="D105" s="545" t="b">
        <f>AND(Mg_CECs&lt;Mgssups,K_CECs&gt;KsSUPs,IPs&lt;2)</f>
        <v>0</v>
      </c>
      <c r="E105" s="545" t="s">
        <v>826</v>
      </c>
      <c r="F105" s="545" t="s">
        <v>835</v>
      </c>
      <c r="G105" s="545" t="s">
        <v>836</v>
      </c>
    </row>
    <row r="106" spans="4:7">
      <c r="D106" s="545" t="b">
        <f>AND(Mg_CECs&gt;Mgssups,K_CECs&lt;KsSUPs,IPs&lt;2)</f>
        <v>1</v>
      </c>
      <c r="E106" s="545" t="s">
        <v>826</v>
      </c>
      <c r="F106" s="545" t="s">
        <v>837</v>
      </c>
      <c r="G106" s="545" t="s">
        <v>838</v>
      </c>
    </row>
    <row r="107" spans="4:7">
      <c r="D107" s="545" t="b">
        <f>AND(Mg_CECs&gt;Mgssups,K_CECs&gt;KsSUPs,IPs&gt;2)</f>
        <v>0</v>
      </c>
      <c r="E107" s="545" t="s">
        <v>826</v>
      </c>
      <c r="F107" s="545" t="s">
        <v>839</v>
      </c>
      <c r="G107" s="545" t="s">
        <v>840</v>
      </c>
    </row>
    <row r="108" spans="4:7">
      <c r="D108" s="545" t="b">
        <f>AND(Mg_CECs&gt;Mgssups,K_CECs&gt;KsSUPs,IPs&lt;2)</f>
        <v>0</v>
      </c>
      <c r="E108" s="545" t="s">
        <v>826</v>
      </c>
      <c r="F108" s="545" t="s">
        <v>841</v>
      </c>
      <c r="G108" s="545" t="s">
        <v>842</v>
      </c>
    </row>
    <row r="113" spans="4:7" s="546" customFormat="1">
      <c r="D113" s="546" t="str">
        <f>VLOOKUP(TRUE,D97:G108,1+3,0)</f>
        <v>*Sol saturé en calcium mais avec des risques de faible disponibilité liés au manque d'aération et au déséquilibre vis-à-vis du magnésium</v>
      </c>
    </row>
    <row r="116" spans="4:7">
      <c r="D116" s="545" t="e">
        <f>Psols&gt;2*Psups</f>
        <v>#REF!</v>
      </c>
      <c r="E116" s="548" t="s">
        <v>843</v>
      </c>
      <c r="F116" s="545" t="s">
        <v>496</v>
      </c>
    </row>
    <row r="117" spans="4:7">
      <c r="D117" s="545" t="e">
        <f>Psols&gt;Psups</f>
        <v>#REF!</v>
      </c>
      <c r="E117" s="548" t="s">
        <v>844</v>
      </c>
      <c r="F117" s="545" t="s">
        <v>596</v>
      </c>
    </row>
    <row r="118" spans="4:7">
      <c r="D118" s="545" t="e">
        <f>Psols&gt;Pinfs</f>
        <v>#REF!</v>
      </c>
      <c r="E118" s="548" t="s">
        <v>845</v>
      </c>
      <c r="F118" s="545" t="s">
        <v>283</v>
      </c>
    </row>
    <row r="119" spans="4:7">
      <c r="D119" s="545" t="e">
        <f>Psols&lt;(Pinfs/2)</f>
        <v>#REF!</v>
      </c>
      <c r="E119" s="548" t="s">
        <v>846</v>
      </c>
      <c r="F119" s="545" t="s">
        <v>493</v>
      </c>
    </row>
    <row r="120" spans="4:7">
      <c r="D120" s="545" t="e">
        <f>Psols&gt;=(Pinfs/2)</f>
        <v>#REF!</v>
      </c>
      <c r="E120" s="548" t="s">
        <v>847</v>
      </c>
      <c r="F120" s="545" t="s">
        <v>282</v>
      </c>
    </row>
    <row r="122" spans="4:7" s="546" customFormat="1">
      <c r="D122" s="546" t="e">
        <f>VLOOKUP(TRUE,D116:F120,1+2,0)</f>
        <v>#N/A</v>
      </c>
    </row>
    <row r="126" spans="4:7">
      <c r="D126" s="545" t="b">
        <f>pHeaus&lt;5.8</f>
        <v>0</v>
      </c>
      <c r="E126" s="545" t="s">
        <v>848</v>
      </c>
      <c r="G126" s="545" t="s">
        <v>849</v>
      </c>
    </row>
    <row r="127" spans="4:7">
      <c r="D127" s="545" t="b">
        <f>pHeaus&lt;6.8</f>
        <v>0</v>
      </c>
      <c r="E127" s="545" t="s">
        <v>850</v>
      </c>
      <c r="G127" s="545" t="s">
        <v>851</v>
      </c>
    </row>
    <row r="128" spans="4:7">
      <c r="D128" s="545" t="b">
        <f>pHeaus&lt;7.3</f>
        <v>0</v>
      </c>
      <c r="E128" s="545" t="s">
        <v>852</v>
      </c>
      <c r="G128" s="545" t="s">
        <v>853</v>
      </c>
    </row>
    <row r="129" spans="4:11">
      <c r="D129" s="545" t="b">
        <f>(AND(pHeaus&gt;=8.3,calcairetots&gt;100))</f>
        <v>1</v>
      </c>
      <c r="E129" s="545" t="s">
        <v>854</v>
      </c>
      <c r="F129" s="545" t="s">
        <v>855</v>
      </c>
      <c r="G129" s="545" t="s">
        <v>856</v>
      </c>
    </row>
    <row r="130" spans="4:11">
      <c r="D130" s="545" t="b">
        <f>pHeaus&lt;8.3</f>
        <v>0</v>
      </c>
      <c r="E130" s="545" t="s">
        <v>857</v>
      </c>
      <c r="G130" s="545" t="s">
        <v>849</v>
      </c>
    </row>
    <row r="131" spans="4:11">
      <c r="D131" s="545" t="b">
        <f>pHeaus&gt;=8</f>
        <v>1</v>
      </c>
      <c r="E131" s="545" t="s">
        <v>854</v>
      </c>
      <c r="G131" s="545" t="s">
        <v>849</v>
      </c>
    </row>
    <row r="133" spans="4:11" s="546" customFormat="1">
      <c r="D133" s="546" t="str">
        <f>VLOOKUP(TRUE,D126:G131,1+3,0)</f>
        <v>Très élevés</v>
      </c>
    </row>
    <row r="136" spans="4:11">
      <c r="D136" s="545" t="e">
        <f>(DéfPs&gt;300)</f>
        <v>#REF!</v>
      </c>
      <c r="E136" s="545" t="s">
        <v>858</v>
      </c>
      <c r="F136" s="545" t="s">
        <v>859</v>
      </c>
      <c r="G136" s="549" t="s">
        <v>860</v>
      </c>
      <c r="H136" s="549"/>
      <c r="I136" s="549"/>
      <c r="J136" s="549"/>
      <c r="K136" s="549"/>
    </row>
    <row r="137" spans="4:11">
      <c r="D137" s="545" t="e">
        <f>(DéfPs&gt;150)</f>
        <v>#REF!</v>
      </c>
      <c r="F137" s="545" t="s">
        <v>861</v>
      </c>
      <c r="G137" s="549" t="s">
        <v>862</v>
      </c>
      <c r="H137" s="549"/>
      <c r="I137" s="549"/>
      <c r="J137" s="549"/>
      <c r="K137" s="549"/>
    </row>
    <row r="138" spans="4:11">
      <c r="D138" s="545" t="e">
        <f>(DéfPs&gt;70)</f>
        <v>#REF!</v>
      </c>
      <c r="F138" s="545" t="s">
        <v>863</v>
      </c>
      <c r="G138" s="549" t="s">
        <v>864</v>
      </c>
      <c r="H138" s="549"/>
      <c r="I138" s="549"/>
      <c r="J138" s="549"/>
      <c r="K138" s="549"/>
    </row>
    <row r="139" spans="4:11">
      <c r="D139" s="545" t="e">
        <f>(DéfPs&gt;0)</f>
        <v>#REF!</v>
      </c>
      <c r="F139" s="545" t="s">
        <v>865</v>
      </c>
      <c r="G139" s="549" t="s">
        <v>866</v>
      </c>
      <c r="H139" s="549"/>
      <c r="I139" s="549"/>
      <c r="J139" s="549"/>
      <c r="K139" s="549"/>
    </row>
    <row r="140" spans="4:11">
      <c r="D140" s="545" t="b">
        <f>(RésPs&lt;=0)</f>
        <v>0</v>
      </c>
      <c r="F140" s="545" t="s">
        <v>867</v>
      </c>
      <c r="G140" s="549" t="s">
        <v>868</v>
      </c>
      <c r="H140" s="549"/>
      <c r="I140" s="549"/>
      <c r="J140" s="549"/>
      <c r="K140" s="549"/>
    </row>
    <row r="141" spans="4:11">
      <c r="D141" s="545" t="b">
        <f>(RésPs&gt;400)</f>
        <v>1</v>
      </c>
      <c r="F141" s="545" t="s">
        <v>869</v>
      </c>
      <c r="G141" s="549" t="s">
        <v>870</v>
      </c>
      <c r="H141" s="549"/>
      <c r="I141" s="549"/>
      <c r="J141" s="549"/>
      <c r="K141" s="549"/>
    </row>
    <row r="142" spans="4:11">
      <c r="D142" s="545" t="b">
        <f>(RésPs&gt;300)</f>
        <v>1</v>
      </c>
      <c r="F142" s="545" t="s">
        <v>871</v>
      </c>
      <c r="G142" s="549" t="s">
        <v>872</v>
      </c>
      <c r="H142" s="549"/>
      <c r="I142" s="549"/>
      <c r="J142" s="549"/>
      <c r="K142" s="549"/>
    </row>
    <row r="143" spans="4:11">
      <c r="D143" s="545" t="b">
        <f>(RésPs&gt;200)</f>
        <v>1</v>
      </c>
      <c r="F143" s="545" t="s">
        <v>873</v>
      </c>
      <c r="G143" s="549" t="s">
        <v>874</v>
      </c>
      <c r="H143" s="549"/>
      <c r="I143" s="549"/>
      <c r="J143" s="549"/>
      <c r="K143" s="549"/>
    </row>
    <row r="144" spans="4:11">
      <c r="D144" s="545" t="b">
        <f>(RésPs&gt;=0)</f>
        <v>1</v>
      </c>
      <c r="F144" s="545" t="s">
        <v>875</v>
      </c>
      <c r="G144" s="549" t="s">
        <v>876</v>
      </c>
      <c r="H144" s="549"/>
      <c r="I144" s="549"/>
      <c r="J144" s="549"/>
      <c r="K144" s="549"/>
    </row>
    <row r="148" spans="4:7" s="546" customFormat="1">
      <c r="D148" s="546" t="str">
        <f>VLOOKUP(TRUE,D136:G144,1+3,0)</f>
        <v>Les très fortes réserves en phosphore indiquent un problème de fonctionnement du sol ou une surfertilisation en cet élément</v>
      </c>
    </row>
    <row r="151" spans="4:7">
      <c r="D151" s="545" t="b">
        <f>blocPs&lt;1</f>
        <v>0</v>
      </c>
      <c r="F151" s="545" t="s">
        <v>877</v>
      </c>
    </row>
    <row r="152" spans="4:7">
      <c r="D152" s="545" t="b">
        <f>blocPs&lt;3</f>
        <v>0</v>
      </c>
      <c r="F152" s="545" t="s">
        <v>878</v>
      </c>
      <c r="G152" s="548"/>
    </row>
    <row r="153" spans="4:7">
      <c r="D153" s="545" t="b">
        <f>blocPs&lt;5</f>
        <v>0</v>
      </c>
      <c r="F153" s="550" t="s">
        <v>879</v>
      </c>
      <c r="G153" s="548"/>
    </row>
    <row r="154" spans="4:7">
      <c r="D154" s="545" t="b">
        <f>blocPs&lt;6</f>
        <v>0</v>
      </c>
      <c r="F154" s="550" t="s">
        <v>880</v>
      </c>
      <c r="G154" s="548"/>
    </row>
    <row r="155" spans="4:7">
      <c r="D155" s="545" t="b">
        <f>blocPs&lt;7</f>
        <v>1</v>
      </c>
      <c r="E155" s="548"/>
      <c r="F155" s="550" t="s">
        <v>881</v>
      </c>
    </row>
    <row r="156" spans="4:7">
      <c r="D156" s="545" t="b">
        <f>blocPs&lt;8</f>
        <v>1</v>
      </c>
      <c r="F156" s="550" t="s">
        <v>882</v>
      </c>
    </row>
    <row r="157" spans="4:7">
      <c r="D157" s="545" t="b">
        <f>blocPs&lt;9</f>
        <v>1</v>
      </c>
      <c r="F157" s="545" t="s">
        <v>883</v>
      </c>
    </row>
    <row r="158" spans="4:7">
      <c r="D158" s="545" t="b">
        <f>blocPs&lt;10</f>
        <v>1</v>
      </c>
      <c r="F158" s="545" t="s">
        <v>884</v>
      </c>
    </row>
    <row r="159" spans="4:7">
      <c r="D159" s="545" t="b">
        <f>blocPs&lt;11</f>
        <v>1</v>
      </c>
      <c r="F159" s="545" t="s">
        <v>885</v>
      </c>
    </row>
    <row r="160" spans="4:7">
      <c r="D160" s="545" t="b">
        <f>blocPs&lt;12</f>
        <v>1</v>
      </c>
      <c r="F160" s="545" t="s">
        <v>886</v>
      </c>
    </row>
    <row r="161" spans="4:7">
      <c r="D161" s="545" t="b">
        <f>blocPs&lt;13</f>
        <v>1</v>
      </c>
      <c r="F161" s="545" t="s">
        <v>887</v>
      </c>
    </row>
    <row r="162" spans="4:7">
      <c r="D162" s="545" t="b">
        <f>blocPs&lt;14</f>
        <v>1</v>
      </c>
      <c r="F162" s="545" t="s">
        <v>888</v>
      </c>
    </row>
    <row r="163" spans="4:7">
      <c r="D163" s="545" t="b">
        <f>blocPs&gt;=14</f>
        <v>0</v>
      </c>
      <c r="F163" s="545" t="s">
        <v>889</v>
      </c>
    </row>
    <row r="164" spans="4:7" s="546" customFormat="1">
      <c r="D164" s="546" t="str">
        <f>VLOOKUP(TRUE,D151:G163,1+2,0)</f>
        <v>Risque très significatif de blocage du phosphore dans le sol. Il est  nécessaire d'adapter le niveau et les équilibres de la fertilisation.</v>
      </c>
    </row>
    <row r="170" spans="4:7" s="546" customFormat="1">
      <c r="D170" s="545"/>
    </row>
    <row r="172" spans="4:7">
      <c r="D172" s="545" t="e">
        <f>AND(Argiles&gt;300,Ksols&gt;Ksups*2)</f>
        <v>#REF!</v>
      </c>
      <c r="E172" s="545" t="s">
        <v>890</v>
      </c>
      <c r="F172" s="545" t="s">
        <v>891</v>
      </c>
      <c r="G172" s="545" t="s">
        <v>496</v>
      </c>
    </row>
    <row r="173" spans="4:7">
      <c r="D173" s="545" t="e">
        <f>AND(Argiles&gt;300,Ksols&gt;=Ksups)</f>
        <v>#REF!</v>
      </c>
      <c r="F173" s="545" t="s">
        <v>892</v>
      </c>
      <c r="G173" s="545" t="s">
        <v>596</v>
      </c>
    </row>
    <row r="174" spans="4:7">
      <c r="D174" s="545" t="e">
        <f>AND(Argiles&gt;300,Ksols&gt;=Kinfs)</f>
        <v>#REF!</v>
      </c>
      <c r="F174" s="545" t="s">
        <v>893</v>
      </c>
      <c r="G174" s="545" t="s">
        <v>283</v>
      </c>
    </row>
    <row r="175" spans="4:7">
      <c r="D175" s="545" t="e">
        <f>AND(Argiles&gt;300,Ksols&lt;Kinfs)</f>
        <v>#REF!</v>
      </c>
      <c r="G175" s="545" t="s">
        <v>282</v>
      </c>
    </row>
    <row r="176" spans="4:7">
      <c r="D176" s="545" t="e">
        <f>AND(Argiles&gt;=100,Ksols&gt;Ksups*2)</f>
        <v>#REF!</v>
      </c>
      <c r="E176" s="545" t="s">
        <v>894</v>
      </c>
      <c r="F176" s="545" t="s">
        <v>895</v>
      </c>
      <c r="G176" s="545" t="s">
        <v>496</v>
      </c>
    </row>
    <row r="177" spans="4:7">
      <c r="D177" s="545" t="e">
        <f>AND(Argiles&gt;=100,Ksols&gt;=Ksups)</f>
        <v>#REF!</v>
      </c>
      <c r="F177" s="545" t="s">
        <v>892</v>
      </c>
      <c r="G177" s="545" t="s">
        <v>596</v>
      </c>
    </row>
    <row r="178" spans="4:7">
      <c r="D178" s="545" t="e">
        <f>AND(Argiles&gt;=100,Ksols&gt;=Kinfs)</f>
        <v>#REF!</v>
      </c>
      <c r="F178" s="545" t="s">
        <v>893</v>
      </c>
      <c r="G178" s="545" t="s">
        <v>283</v>
      </c>
    </row>
    <row r="179" spans="4:7">
      <c r="D179" s="545" t="e">
        <f>AND(Argiles&gt;=100,Ksols&lt;Kinfs)</f>
        <v>#REF!</v>
      </c>
      <c r="G179" s="545" t="s">
        <v>282</v>
      </c>
    </row>
    <row r="180" spans="4:7">
      <c r="D180" s="545" t="e">
        <f>AND(Argiles&lt;100,Ksols&gt;Ksups*2)</f>
        <v>#REF!</v>
      </c>
      <c r="E180" s="545" t="s">
        <v>896</v>
      </c>
      <c r="F180" s="545" t="s">
        <v>897</v>
      </c>
      <c r="G180" s="545" t="s">
        <v>496</v>
      </c>
    </row>
    <row r="181" spans="4:7">
      <c r="D181" s="545" t="e">
        <f>AND(Argiles&lt;100,Ksols&gt;=Ksups)</f>
        <v>#REF!</v>
      </c>
      <c r="F181" s="545" t="s">
        <v>892</v>
      </c>
      <c r="G181" s="545" t="s">
        <v>596</v>
      </c>
    </row>
    <row r="182" spans="4:7">
      <c r="D182" s="545" t="e">
        <f>AND(Argiles&lt;100,Ksols&gt;=Kinfs)</f>
        <v>#REF!</v>
      </c>
      <c r="F182" s="545" t="s">
        <v>893</v>
      </c>
      <c r="G182" s="545" t="s">
        <v>283</v>
      </c>
    </row>
    <row r="183" spans="4:7">
      <c r="D183" s="545" t="e">
        <f>AND(Argiles&lt;100,Ksols&lt;Kinfs)</f>
        <v>#REF!</v>
      </c>
      <c r="G183" s="545" t="s">
        <v>282</v>
      </c>
    </row>
    <row r="185" spans="4:7" s="546" customFormat="1">
      <c r="D185" s="546" t="e">
        <f>VLOOKUP(TRUE,D172:G183,1+3,0)</f>
        <v>#N/A</v>
      </c>
    </row>
    <row r="188" spans="4:7">
      <c r="D188" s="545" t="b">
        <f>AND(MgsurKs&gt;10)</f>
        <v>0</v>
      </c>
      <c r="F188" s="545" t="s">
        <v>898</v>
      </c>
      <c r="G188" s="545" t="s">
        <v>856</v>
      </c>
    </row>
    <row r="189" spans="4:7">
      <c r="D189" s="545" t="b">
        <f>AND(CasurKs&gt;30)</f>
        <v>0</v>
      </c>
      <c r="F189" s="545" t="s">
        <v>899</v>
      </c>
      <c r="G189" s="545" t="s">
        <v>856</v>
      </c>
    </row>
    <row r="190" spans="4:7">
      <c r="D190" s="545" t="b">
        <f>AND(MgsurKs&gt;6.25)</f>
        <v>0</v>
      </c>
      <c r="F190" s="545" t="s">
        <v>900</v>
      </c>
      <c r="G190" s="545" t="s">
        <v>849</v>
      </c>
    </row>
    <row r="191" spans="4:7">
      <c r="D191" s="545" t="b">
        <f>AND(CasurKs&gt;25)</f>
        <v>1</v>
      </c>
      <c r="F191" s="545" t="s">
        <v>901</v>
      </c>
      <c r="G191" s="545" t="s">
        <v>849</v>
      </c>
    </row>
    <row r="192" spans="4:7">
      <c r="D192" s="545" t="b">
        <f>AND(MgsurKs&gt;2.857)</f>
        <v>1</v>
      </c>
      <c r="F192" s="545" t="s">
        <v>902</v>
      </c>
      <c r="G192" s="545" t="s">
        <v>853</v>
      </c>
    </row>
    <row r="193" spans="4:7">
      <c r="D193" s="545" t="b">
        <f>AND(CasurKs&gt;15)</f>
        <v>1</v>
      </c>
      <c r="F193" s="545" t="s">
        <v>903</v>
      </c>
      <c r="G193" s="545" t="s">
        <v>853</v>
      </c>
    </row>
    <row r="194" spans="4:7">
      <c r="D194" s="548" t="b">
        <v>1</v>
      </c>
      <c r="G194" s="545" t="s">
        <v>853</v>
      </c>
    </row>
    <row r="196" spans="4:7" s="546" customFormat="1">
      <c r="D196" s="546" t="str">
        <f>VLOOKUP(TRUE,D188:G194,1+3,0)</f>
        <v>Elevés</v>
      </c>
    </row>
    <row r="198" spans="4:7">
      <c r="D198" s="545" t="b">
        <f>(DéficitK2Os&gt;500)</f>
        <v>0</v>
      </c>
      <c r="F198" s="545" t="s">
        <v>904</v>
      </c>
    </row>
    <row r="199" spans="4:7">
      <c r="D199" s="545" t="b">
        <f>(DéficitK2Os&gt;400)</f>
        <v>0</v>
      </c>
      <c r="F199" s="549" t="s">
        <v>905</v>
      </c>
    </row>
    <row r="200" spans="4:7">
      <c r="D200" s="545" t="b">
        <f>(DéficitK2Os&gt;300)</f>
        <v>0</v>
      </c>
      <c r="F200" s="549" t="s">
        <v>906</v>
      </c>
    </row>
    <row r="201" spans="4:7">
      <c r="D201" s="545" t="b">
        <f>(DéficitK2Os&gt;200)</f>
        <v>0</v>
      </c>
      <c r="F201" s="549" t="s">
        <v>907</v>
      </c>
    </row>
    <row r="202" spans="4:7">
      <c r="D202" s="545" t="b">
        <f>(DéficitK2Os&gt;0)</f>
        <v>0</v>
      </c>
      <c r="F202" s="549" t="s">
        <v>908</v>
      </c>
    </row>
    <row r="203" spans="4:7">
      <c r="D203" s="545" t="b">
        <f>(Résks&lt;0)</f>
        <v>0</v>
      </c>
      <c r="F203" s="549" t="s">
        <v>909</v>
      </c>
    </row>
    <row r="204" spans="4:7">
      <c r="D204" s="545" t="b">
        <f>(Résks&gt;1200)</f>
        <v>0</v>
      </c>
      <c r="F204" s="545" t="s">
        <v>910</v>
      </c>
    </row>
    <row r="205" spans="4:7">
      <c r="D205" s="545" t="b">
        <f>(Résks&gt;800)</f>
        <v>0</v>
      </c>
      <c r="F205" s="545" t="s">
        <v>911</v>
      </c>
    </row>
    <row r="206" spans="4:7">
      <c r="D206" s="545" t="b">
        <f>(Résks&gt;400)</f>
        <v>1</v>
      </c>
      <c r="F206" s="545" t="s">
        <v>912</v>
      </c>
    </row>
    <row r="207" spans="4:7">
      <c r="D207" s="545" t="b">
        <f>(Résks&gt;150)</f>
        <v>1</v>
      </c>
      <c r="F207" s="545" t="s">
        <v>913</v>
      </c>
    </row>
    <row r="208" spans="4:7">
      <c r="D208" s="545" t="b">
        <f>(Résks&gt;0)</f>
        <v>1</v>
      </c>
      <c r="F208" s="545" t="s">
        <v>914</v>
      </c>
    </row>
    <row r="211" spans="4:6" s="546" customFormat="1" ht="17.25" customHeight="1">
      <c r="D211" s="546" t="str">
        <f>VLOOKUP(TRUE,D198:G208,1+2,0)</f>
        <v>Réserves élevées en potassium ne pas augmenter les apports en cet élément</v>
      </c>
    </row>
    <row r="213" spans="4:6">
      <c r="D213" s="545" t="b">
        <f>blocKs&lt;3</f>
        <v>0</v>
      </c>
      <c r="F213" s="545" t="s">
        <v>915</v>
      </c>
    </row>
    <row r="214" spans="4:6">
      <c r="D214" s="545" t="b">
        <f>blocKs&lt;4</f>
        <v>0</v>
      </c>
      <c r="F214" s="545" t="s">
        <v>916</v>
      </c>
    </row>
    <row r="215" spans="4:6">
      <c r="D215" s="545" t="b">
        <f>blocKs&lt;5</f>
        <v>0</v>
      </c>
      <c r="F215" s="550" t="s">
        <v>917</v>
      </c>
    </row>
    <row r="216" spans="4:6">
      <c r="D216" s="545" t="b">
        <f>blocKs&lt;6</f>
        <v>0</v>
      </c>
      <c r="F216" s="550" t="s">
        <v>918</v>
      </c>
    </row>
    <row r="217" spans="4:6">
      <c r="D217" s="545" t="b">
        <f>blocKs&lt;7</f>
        <v>0</v>
      </c>
      <c r="F217" s="550" t="s">
        <v>919</v>
      </c>
    </row>
    <row r="218" spans="4:6">
      <c r="D218" s="545" t="b">
        <f>blocKs&lt;8</f>
        <v>0</v>
      </c>
      <c r="F218" s="550" t="s">
        <v>920</v>
      </c>
    </row>
    <row r="219" spans="4:6">
      <c r="D219" s="545" t="b">
        <f>blocKs&lt;9</f>
        <v>1</v>
      </c>
      <c r="F219" s="545" t="s">
        <v>921</v>
      </c>
    </row>
    <row r="220" spans="4:6">
      <c r="D220" s="545" t="b">
        <f>blocKs&lt;10</f>
        <v>1</v>
      </c>
      <c r="F220" s="545" t="s">
        <v>922</v>
      </c>
    </row>
    <row r="221" spans="4:6">
      <c r="D221" s="545" t="b">
        <f>blocKs&lt;11</f>
        <v>1</v>
      </c>
      <c r="F221" s="545" t="s">
        <v>923</v>
      </c>
    </row>
    <row r="222" spans="4:6">
      <c r="D222" s="545" t="b">
        <f>blocKs&lt;12</f>
        <v>1</v>
      </c>
      <c r="F222" s="545" t="s">
        <v>924</v>
      </c>
    </row>
    <row r="223" spans="4:6">
      <c r="D223" s="545" t="b">
        <f>blocKs&lt;13</f>
        <v>1</v>
      </c>
      <c r="F223" s="545" t="s">
        <v>925</v>
      </c>
    </row>
    <row r="224" spans="4:6">
      <c r="D224" s="545" t="b">
        <f>blocKs&lt;14</f>
        <v>1</v>
      </c>
      <c r="F224" s="545" t="s">
        <v>926</v>
      </c>
    </row>
    <row r="225" spans="4:7">
      <c r="D225" s="545" t="b">
        <f>blocKs&gt;=14</f>
        <v>0</v>
      </c>
      <c r="F225" s="545" t="s">
        <v>927</v>
      </c>
    </row>
    <row r="231" spans="4:7" s="546" customFormat="1">
      <c r="D231" s="546" t="str">
        <f>VLOOKUP(TRUE,D213:G225,1+2,0)</f>
        <v xml:space="preserve">Risque très important de blocage du  potassium de ce sol, obligeant à adapter la fertilisation (Niveau, fractionnement, nature de produit,…etc) </v>
      </c>
    </row>
    <row r="234" spans="4:7">
      <c r="D234" s="545" t="e">
        <f>AND(Argiles&gt;300,Mgsols&gt;Mgsups*2)</f>
        <v>#REF!</v>
      </c>
      <c r="E234" s="545" t="s">
        <v>890</v>
      </c>
      <c r="F234" s="545" t="s">
        <v>928</v>
      </c>
      <c r="G234" s="545" t="s">
        <v>496</v>
      </c>
    </row>
    <row r="235" spans="4:7">
      <c r="D235" s="545" t="e">
        <f>AND(Argiles&gt;300,Mgsols&gt;=Mgsups)</f>
        <v>#REF!</v>
      </c>
      <c r="F235" s="545" t="s">
        <v>929</v>
      </c>
      <c r="G235" s="545" t="s">
        <v>596</v>
      </c>
    </row>
    <row r="236" spans="4:7">
      <c r="D236" s="545" t="e">
        <f>AND(Argiles&gt;300,Mgsols&gt;=Mginfs)</f>
        <v>#REF!</v>
      </c>
      <c r="F236" s="545" t="s">
        <v>930</v>
      </c>
      <c r="G236" s="545" t="s">
        <v>283</v>
      </c>
    </row>
    <row r="237" spans="4:7">
      <c r="D237" s="545" t="e">
        <f>AND(Argiles&gt;300,Mgsols&lt;Mginfs)</f>
        <v>#REF!</v>
      </c>
      <c r="G237" s="545" t="s">
        <v>282</v>
      </c>
    </row>
    <row r="238" spans="4:7">
      <c r="D238" s="545" t="e">
        <f>AND(Argiles&gt;=100,Mgsols&gt;Mgsups*2)</f>
        <v>#REF!</v>
      </c>
      <c r="E238" s="545" t="s">
        <v>894</v>
      </c>
      <c r="F238" s="545" t="s">
        <v>931</v>
      </c>
      <c r="G238" s="545" t="s">
        <v>496</v>
      </c>
    </row>
    <row r="239" spans="4:7">
      <c r="D239" s="545" t="e">
        <f>AND(Argiles&gt;=100,Mgsols&gt;=Mgsups)</f>
        <v>#REF!</v>
      </c>
      <c r="F239" s="545" t="s">
        <v>929</v>
      </c>
      <c r="G239" s="545" t="s">
        <v>596</v>
      </c>
    </row>
    <row r="240" spans="4:7">
      <c r="D240" s="545" t="e">
        <f>AND(Argiles&gt;=100,Mgsols&gt;=Mginfs)</f>
        <v>#REF!</v>
      </c>
      <c r="F240" s="545" t="s">
        <v>930</v>
      </c>
      <c r="G240" s="545" t="s">
        <v>283</v>
      </c>
    </row>
    <row r="241" spans="4:7">
      <c r="D241" s="545" t="e">
        <f>AND(Argiles&gt;=100,Mgsols&lt;Mginfs)</f>
        <v>#REF!</v>
      </c>
      <c r="G241" s="545" t="s">
        <v>282</v>
      </c>
    </row>
    <row r="242" spans="4:7">
      <c r="D242" s="545" t="e">
        <f>AND(Argiles&lt;100,Mgsols&gt;Mgsups*2)</f>
        <v>#REF!</v>
      </c>
      <c r="E242" s="545" t="s">
        <v>896</v>
      </c>
      <c r="F242" s="545" t="s">
        <v>932</v>
      </c>
      <c r="G242" s="545" t="s">
        <v>496</v>
      </c>
    </row>
    <row r="243" spans="4:7">
      <c r="D243" s="545" t="e">
        <f>AND(Argiles&lt;100,Mgsols&gt;=Mgsups)</f>
        <v>#REF!</v>
      </c>
      <c r="F243" s="545" t="s">
        <v>929</v>
      </c>
      <c r="G243" s="545" t="s">
        <v>596</v>
      </c>
    </row>
    <row r="244" spans="4:7">
      <c r="D244" s="545" t="e">
        <f>AND(Argiles&lt;100,Mgsols&gt;=Mginfs)</f>
        <v>#REF!</v>
      </c>
      <c r="F244" s="545" t="s">
        <v>930</v>
      </c>
      <c r="G244" s="545" t="s">
        <v>283</v>
      </c>
    </row>
    <row r="245" spans="4:7">
      <c r="D245" s="545" t="e">
        <f>AND(Argiles&lt;100,Mgsols&lt;Mginfs)</f>
        <v>#REF!</v>
      </c>
      <c r="G245" s="545" t="s">
        <v>282</v>
      </c>
    </row>
    <row r="247" spans="4:7" s="546" customFormat="1">
      <c r="D247" s="546" t="e">
        <f>VLOOKUP(TRUE,D234:G245,1+3,0)</f>
        <v>#N/A</v>
      </c>
    </row>
    <row r="249" spans="4:7">
      <c r="D249" s="545" t="b">
        <f>AND(KsurMgsols&gt;0.7)</f>
        <v>0</v>
      </c>
      <c r="F249" s="545" t="s">
        <v>933</v>
      </c>
      <c r="G249" s="545" t="s">
        <v>934</v>
      </c>
    </row>
    <row r="250" spans="4:7">
      <c r="D250" s="545" t="b">
        <f>AND(CasurMgs&gt;10)</f>
        <v>0</v>
      </c>
      <c r="F250" s="545" t="s">
        <v>935</v>
      </c>
      <c r="G250" s="545" t="s">
        <v>856</v>
      </c>
    </row>
    <row r="251" spans="4:7">
      <c r="D251" s="545" t="b">
        <f>AND(KsurMgsols&gt;0.4)</f>
        <v>0</v>
      </c>
      <c r="F251" s="545" t="s">
        <v>936</v>
      </c>
      <c r="G251" s="545" t="s">
        <v>849</v>
      </c>
    </row>
    <row r="252" spans="4:7">
      <c r="D252" s="545" t="b">
        <f>AND(CasurMgs&gt;7)</f>
        <v>0</v>
      </c>
      <c r="F252" s="545" t="s">
        <v>937</v>
      </c>
      <c r="G252" s="545" t="s">
        <v>849</v>
      </c>
    </row>
    <row r="253" spans="4:7">
      <c r="D253" s="545" t="b">
        <f>AND(KsurMgsols&gt;0.16)</f>
        <v>1</v>
      </c>
      <c r="F253" s="545" t="s">
        <v>938</v>
      </c>
      <c r="G253" s="545" t="s">
        <v>853</v>
      </c>
    </row>
    <row r="254" spans="4:7">
      <c r="D254" s="545" t="b">
        <f>AND(CasurMgs&gt;3)</f>
        <v>1</v>
      </c>
      <c r="F254" s="545" t="s">
        <v>939</v>
      </c>
      <c r="G254" s="545" t="s">
        <v>853</v>
      </c>
    </row>
    <row r="255" spans="4:7">
      <c r="D255" s="548" t="b">
        <v>1</v>
      </c>
      <c r="G255" s="545" t="s">
        <v>851</v>
      </c>
    </row>
    <row r="257" spans="4:9" s="546" customFormat="1">
      <c r="D257" s="546" t="str">
        <f>VLOOKUP(TRUE,D249:G255,1+3,0)</f>
        <v>Moyens</v>
      </c>
    </row>
    <row r="259" spans="4:9">
      <c r="D259" s="545" t="b">
        <f>(déficitMgOs&gt;500)</f>
        <v>0</v>
      </c>
      <c r="F259" s="545" t="s">
        <v>940</v>
      </c>
    </row>
    <row r="260" spans="4:9">
      <c r="D260" s="545" t="b">
        <f>(déficitMgOs&gt;400)</f>
        <v>0</v>
      </c>
      <c r="F260" s="549" t="s">
        <v>941</v>
      </c>
    </row>
    <row r="261" spans="4:9">
      <c r="D261" s="545" t="b">
        <f>(déficitMgOs&gt;300)</f>
        <v>0</v>
      </c>
      <c r="F261" s="549" t="s">
        <v>942</v>
      </c>
    </row>
    <row r="262" spans="4:9">
      <c r="D262" s="545" t="b">
        <f>(déficitMgOs&gt;200)</f>
        <v>0</v>
      </c>
      <c r="F262" s="549" t="s">
        <v>943</v>
      </c>
    </row>
    <row r="263" spans="4:9">
      <c r="D263" s="545" t="b">
        <f>(déficitMgOs&gt;0)</f>
        <v>0</v>
      </c>
      <c r="F263" s="549" t="s">
        <v>944</v>
      </c>
    </row>
    <row r="264" spans="4:9">
      <c r="D264" s="545" t="b">
        <f>(RésMgs&lt;0)</f>
        <v>0</v>
      </c>
      <c r="F264" s="549" t="s">
        <v>945</v>
      </c>
    </row>
    <row r="265" spans="4:9">
      <c r="D265" s="545" t="b">
        <f>(RésMgs&gt;1200)</f>
        <v>1</v>
      </c>
      <c r="F265" s="545" t="s">
        <v>946</v>
      </c>
    </row>
    <row r="266" spans="4:9">
      <c r="D266" s="545" t="b">
        <f>(RésMgs&gt;800)</f>
        <v>1</v>
      </c>
      <c r="F266" s="545" t="s">
        <v>947</v>
      </c>
    </row>
    <row r="267" spans="4:9">
      <c r="D267" s="545" t="b">
        <f>(RésMgs&gt;400)</f>
        <v>1</v>
      </c>
      <c r="F267" s="545" t="s">
        <v>948</v>
      </c>
    </row>
    <row r="268" spans="4:9">
      <c r="D268" s="545" t="b">
        <f>(RésMgs&gt;150)</f>
        <v>1</v>
      </c>
      <c r="F268" s="545" t="s">
        <v>949</v>
      </c>
    </row>
    <row r="269" spans="4:9" s="546" customFormat="1">
      <c r="D269" s="545" t="b">
        <f>(RésMgs&gt;0)</f>
        <v>1</v>
      </c>
      <c r="F269" s="545" t="s">
        <v>950</v>
      </c>
    </row>
    <row r="270" spans="4:9" s="546" customFormat="1">
      <c r="D270" s="546" t="str">
        <f>VLOOKUP(TRUE,D259:F269,1+2,0)</f>
        <v>Réserves excessives en magnésium,éviter impérativement tout apport au sol.</v>
      </c>
      <c r="F270" s="545"/>
    </row>
    <row r="271" spans="4:9" s="551" customFormat="1">
      <c r="D271" s="545" t="e">
        <f>OR(RsvMgs="Très élevé",RsvMgs="Elevé")</f>
        <v>#REF!</v>
      </c>
      <c r="F271" s="545" t="s">
        <v>951</v>
      </c>
      <c r="I271" s="552"/>
    </row>
    <row r="272" spans="4:9" s="551" customFormat="1">
      <c r="D272" s="545" t="b">
        <f>blocMgs&lt;3</f>
        <v>1</v>
      </c>
      <c r="F272" s="545" t="s">
        <v>952</v>
      </c>
    </row>
    <row r="273" spans="4:6" s="551" customFormat="1">
      <c r="D273" s="545" t="b">
        <f>blocMgs&lt;4</f>
        <v>1</v>
      </c>
      <c r="F273" s="545" t="s">
        <v>953</v>
      </c>
    </row>
    <row r="274" spans="4:6" s="551" customFormat="1">
      <c r="D274" s="545" t="b">
        <f>blocMgs&lt;5</f>
        <v>1</v>
      </c>
      <c r="F274" s="550" t="s">
        <v>954</v>
      </c>
    </row>
    <row r="275" spans="4:6" s="551" customFormat="1">
      <c r="D275" s="545" t="b">
        <f>blocMgs&lt;6</f>
        <v>1</v>
      </c>
      <c r="F275" s="550" t="s">
        <v>955</v>
      </c>
    </row>
    <row r="276" spans="4:6" s="551" customFormat="1">
      <c r="D276" s="545" t="b">
        <f>blocMgs&lt;7</f>
        <v>1</v>
      </c>
      <c r="F276" s="550" t="s">
        <v>956</v>
      </c>
    </row>
    <row r="277" spans="4:6" s="551" customFormat="1">
      <c r="D277" s="545" t="b">
        <f>blocMgs&lt;8</f>
        <v>1</v>
      </c>
      <c r="F277" s="550" t="s">
        <v>957</v>
      </c>
    </row>
    <row r="278" spans="4:6" s="551" customFormat="1">
      <c r="D278" s="545" t="b">
        <f>blocMgs&lt;9</f>
        <v>1</v>
      </c>
      <c r="F278" s="545" t="s">
        <v>958</v>
      </c>
    </row>
    <row r="279" spans="4:6" s="551" customFormat="1">
      <c r="D279" s="545" t="b">
        <f>blocMgs&lt;10</f>
        <v>1</v>
      </c>
      <c r="F279" s="545" t="s">
        <v>959</v>
      </c>
    </row>
    <row r="280" spans="4:6" s="551" customFormat="1">
      <c r="D280" s="545" t="b">
        <f>blocMgs&lt;11</f>
        <v>1</v>
      </c>
      <c r="F280" s="545" t="s">
        <v>960</v>
      </c>
    </row>
    <row r="281" spans="4:6" s="551" customFormat="1">
      <c r="D281" s="545" t="b">
        <f>blocMgs&lt;12</f>
        <v>1</v>
      </c>
      <c r="F281" s="545" t="s">
        <v>961</v>
      </c>
    </row>
    <row r="282" spans="4:6" s="551" customFormat="1">
      <c r="D282" s="545" t="b">
        <f>blocMgs&lt;13</f>
        <v>1</v>
      </c>
      <c r="F282" s="545" t="s">
        <v>962</v>
      </c>
    </row>
    <row r="283" spans="4:6" s="551" customFormat="1">
      <c r="D283" s="545" t="b">
        <f>blocMgs&lt;14</f>
        <v>1</v>
      </c>
      <c r="F283" s="545" t="s">
        <v>963</v>
      </c>
    </row>
    <row r="284" spans="4:6" s="551" customFormat="1">
      <c r="D284" s="545" t="b">
        <f>blocMgs&gt;14</f>
        <v>0</v>
      </c>
      <c r="F284" s="545" t="s">
        <v>964</v>
      </c>
    </row>
    <row r="285" spans="4:6" s="551" customFormat="1"/>
    <row r="286" spans="4:6" s="551" customFormat="1"/>
    <row r="288" spans="4:6" s="546" customFormat="1">
      <c r="D288" s="546" t="str">
        <f>VLOOKUP(TRUE,D271:F284,1+2,0)</f>
        <v>Les conditions de sol sont favorables pour la bonne assimilation du magnésium</v>
      </c>
    </row>
    <row r="290" spans="4:7">
      <c r="D290" s="545" t="b">
        <f>(VBA_SOL!S7*1.72&gt;MOsups)</f>
        <v>0</v>
      </c>
      <c r="F290" s="545" t="s">
        <v>965</v>
      </c>
      <c r="G290" s="545" t="s">
        <v>596</v>
      </c>
    </row>
    <row r="291" spans="4:7">
      <c r="D291" s="545" t="b">
        <f>(VBA_SOL!S7*1.72&gt;=MOinfs)</f>
        <v>1</v>
      </c>
      <c r="F291" s="545" t="s">
        <v>966</v>
      </c>
      <c r="G291" s="545" t="s">
        <v>967</v>
      </c>
    </row>
    <row r="292" spans="4:7">
      <c r="D292" s="545" t="b">
        <f>(VBA_SOL!S7*1.72&lt;MOinfs)</f>
        <v>0</v>
      </c>
      <c r="F292" s="545" t="s">
        <v>968</v>
      </c>
      <c r="G292" s="545" t="s">
        <v>282</v>
      </c>
    </row>
    <row r="294" spans="4:7" s="553" customFormat="1">
      <c r="D294" s="546" t="str">
        <f>VLOOKUP(TRUE,D290:G292,1+3,0)</f>
        <v>Bien pourvu</v>
      </c>
    </row>
    <row r="296" spans="4:7">
      <c r="D296" s="545" t="b">
        <f>VBA_SOL!S7*1.72&gt;MOsups*2</f>
        <v>0</v>
      </c>
      <c r="F296" s="545" t="s">
        <v>969</v>
      </c>
    </row>
    <row r="297" spans="4:7">
      <c r="D297" s="545" t="b">
        <f>VBA_SOL!S7*1.72&gt;MOsups</f>
        <v>0</v>
      </c>
      <c r="F297" s="545" t="s">
        <v>970</v>
      </c>
    </row>
    <row r="298" spans="4:7">
      <c r="D298" s="545" t="b">
        <f>VBA_SOL!S7*1.72&gt;MOinfs</f>
        <v>1</v>
      </c>
      <c r="F298" s="545" t="s">
        <v>971</v>
      </c>
    </row>
    <row r="299" spans="4:7">
      <c r="D299" s="545" t="b">
        <f>VBA_SOL!S7*1.72&gt;MOinfs*0.5</f>
        <v>1</v>
      </c>
      <c r="F299" s="545" t="s">
        <v>972</v>
      </c>
    </row>
    <row r="300" spans="4:7">
      <c r="D300" s="545" t="b">
        <f>VBA_SOL!S7*1.72&lt;=MOinfs*0.5</f>
        <v>0</v>
      </c>
      <c r="F300" s="545" t="s">
        <v>973</v>
      </c>
    </row>
    <row r="302" spans="4:7" s="546" customFormat="1">
      <c r="D302" s="546" t="str">
        <f>VLOOKUP(TRUE,D295:F300,1+2,0)</f>
        <v>Niveau correct en matière organique par rapport à la texture de sol, un apport de correction n'est pas nécessaire. Entretenir ce potentiel par des apports réguliers</v>
      </c>
    </row>
    <row r="304" spans="4:7">
      <c r="D304" s="545" t="b">
        <f>(CsurNs&lt;6)</f>
        <v>0</v>
      </c>
      <c r="F304" s="545" t="s">
        <v>974</v>
      </c>
    </row>
    <row r="305" spans="4:6">
      <c r="D305" s="545" t="b">
        <f>(CsurNs&lt;8)</f>
        <v>0</v>
      </c>
      <c r="F305" s="545" t="s">
        <v>975</v>
      </c>
    </row>
    <row r="306" spans="4:6">
      <c r="D306" s="545" t="b">
        <f>(CsurNs&lt;12)</f>
        <v>1</v>
      </c>
      <c r="F306" s="545" t="s">
        <v>976</v>
      </c>
    </row>
    <row r="307" spans="4:6">
      <c r="D307" s="545" t="b">
        <f>(CsurNs&lt;=16)</f>
        <v>1</v>
      </c>
      <c r="F307" s="545" t="s">
        <v>977</v>
      </c>
    </row>
    <row r="308" spans="4:6">
      <c r="D308" s="545" t="b">
        <f>(CsurNs&gt;16)</f>
        <v>0</v>
      </c>
      <c r="F308" s="545" t="s">
        <v>978</v>
      </c>
    </row>
    <row r="311" spans="4:6" s="546" customFormat="1">
      <c r="D311" s="546" t="str">
        <f>VLOOKUP(TRUE,D304:F308,1+2,0)</f>
        <v>Rapport C/N correct à la fois pour la nutrition du végétal et pour l'effet positif de la MO sur l'état du sol;</v>
      </c>
    </row>
    <row r="313" spans="4:6">
      <c r="D313" s="545" t="b">
        <f>pHeaus&gt;=8</f>
        <v>1</v>
      </c>
      <c r="E313" s="545" t="s">
        <v>979</v>
      </c>
      <c r="F313" s="545" t="s">
        <v>856</v>
      </c>
    </row>
    <row r="314" spans="4:6">
      <c r="D314" s="545" t="b">
        <f>pHeaus&gt;=7.3</f>
        <v>1</v>
      </c>
      <c r="E314" s="545" t="s">
        <v>980</v>
      </c>
      <c r="F314" s="545" t="s">
        <v>849</v>
      </c>
    </row>
    <row r="315" spans="4:6">
      <c r="D315" s="545" t="b">
        <f>pHeaus&gt;6.8</f>
        <v>1</v>
      </c>
      <c r="E315" s="545" t="s">
        <v>981</v>
      </c>
      <c r="F315" s="545" t="s">
        <v>853</v>
      </c>
    </row>
    <row r="316" spans="4:6">
      <c r="D316" s="545" t="b">
        <f>pHeaus&lt;6.8</f>
        <v>0</v>
      </c>
      <c r="F316" s="545" t="s">
        <v>851</v>
      </c>
    </row>
    <row r="318" spans="4:6" s="546" customFormat="1">
      <c r="D318" s="546" t="str">
        <f>VLOOKUP(TRUE,D313:F316,1+2,0)</f>
        <v>Très élevés</v>
      </c>
    </row>
    <row r="320" spans="4:6">
      <c r="D320" s="545" t="b">
        <f>pHeaus&gt;8.5</f>
        <v>0</v>
      </c>
      <c r="F320" s="545" t="s">
        <v>982</v>
      </c>
    </row>
    <row r="321" spans="4:6">
      <c r="D321" s="545" t="b">
        <f>pHeaus&gt;=8</f>
        <v>1</v>
      </c>
      <c r="F321" s="545" t="s">
        <v>983</v>
      </c>
    </row>
    <row r="322" spans="4:6">
      <c r="D322" s="545" t="b">
        <f>pHeaus&gt;=7.3</f>
        <v>1</v>
      </c>
      <c r="F322" s="545" t="s">
        <v>984</v>
      </c>
    </row>
    <row r="323" spans="4:6">
      <c r="D323" s="545" t="b">
        <f>pHeaus&gt;7</f>
        <v>1</v>
      </c>
      <c r="F323" s="545" t="s">
        <v>985</v>
      </c>
    </row>
    <row r="324" spans="4:6">
      <c r="D324" s="545" t="b">
        <f>pHeaus&lt;7</f>
        <v>0</v>
      </c>
      <c r="F324" s="545" t="s">
        <v>986</v>
      </c>
    </row>
    <row r="325" spans="4:6" s="546" customFormat="1">
      <c r="D325" s="546" t="str">
        <f>VLOOKUP(TRUE,D320:F324,1+2,0)</f>
        <v>Risques de blocage très élevés de l'assimilation des oligo-éléments de sol . Des apports sont à prévoir (Au sol : fertigation ou par voie foliaire)</v>
      </c>
    </row>
    <row r="327" spans="4:6">
      <c r="D327" s="545" t="b">
        <f>CEsols&lt;=0.4</f>
        <v>1</v>
      </c>
      <c r="E327" s="554" t="s">
        <v>987</v>
      </c>
      <c r="F327" s="545" t="s">
        <v>988</v>
      </c>
    </row>
    <row r="328" spans="4:6">
      <c r="D328" s="545" t="b">
        <f>CEsols&lt;=0.8</f>
        <v>1</v>
      </c>
      <c r="E328" s="545" t="s">
        <v>989</v>
      </c>
      <c r="F328" s="545" t="s">
        <v>990</v>
      </c>
    </row>
    <row r="329" spans="4:6">
      <c r="D329" s="545" t="b">
        <f>CEsols&lt;1.2</f>
        <v>1</v>
      </c>
      <c r="E329" s="545" t="s">
        <v>991</v>
      </c>
      <c r="F329" s="545" t="s">
        <v>992</v>
      </c>
    </row>
    <row r="330" spans="4:6">
      <c r="D330" s="545" t="b">
        <f>CEsols&gt;=1.2</f>
        <v>0</v>
      </c>
      <c r="E330" s="545" t="s">
        <v>993</v>
      </c>
      <c r="F330" s="545" t="s">
        <v>994</v>
      </c>
    </row>
    <row r="332" spans="4:6" s="546" customFormat="1">
      <c r="D332" s="546" t="str">
        <f>VLOOKUP(TRUE,D327:F330,1+2,0)</f>
        <v>*Pas de risque de salinité</v>
      </c>
    </row>
    <row r="336" spans="4:6">
      <c r="D336" s="545">
        <f ca="1">RAND()</f>
        <v>0.96075458104977085</v>
      </c>
      <c r="E336" s="555">
        <f ca="1">INT(D336*10)</f>
        <v>9</v>
      </c>
      <c r="F336" s="556" t="s">
        <v>995</v>
      </c>
    </row>
    <row r="337" spans="4:6">
      <c r="D337" s="545">
        <f t="shared" ref="D337:D373" ca="1" si="0">RAND()</f>
        <v>0.75074835154523645</v>
      </c>
      <c r="E337" s="555">
        <f t="shared" ref="E337:E355" ca="1" si="1">INT(D337*10)</f>
        <v>7</v>
      </c>
      <c r="F337" s="545" t="s">
        <v>996</v>
      </c>
    </row>
    <row r="338" spans="4:6">
      <c r="D338" s="545">
        <f t="shared" ca="1" si="0"/>
        <v>0.75958504656271453</v>
      </c>
      <c r="E338" s="555">
        <f t="shared" ca="1" si="1"/>
        <v>7</v>
      </c>
      <c r="F338" s="545" t="s">
        <v>997</v>
      </c>
    </row>
    <row r="339" spans="4:6">
      <c r="D339" s="545">
        <f t="shared" ca="1" si="0"/>
        <v>0.95684135546592175</v>
      </c>
      <c r="E339" s="555">
        <f t="shared" ca="1" si="1"/>
        <v>9</v>
      </c>
      <c r="F339" s="545" t="s">
        <v>998</v>
      </c>
    </row>
    <row r="340" spans="4:6">
      <c r="D340" s="545">
        <f t="shared" ca="1" si="0"/>
        <v>0.3453915775765285</v>
      </c>
      <c r="E340" s="555">
        <f t="shared" ca="1" si="1"/>
        <v>3</v>
      </c>
      <c r="F340" s="545" t="s">
        <v>999</v>
      </c>
    </row>
    <row r="341" spans="4:6">
      <c r="D341" s="545">
        <f t="shared" ca="1" si="0"/>
        <v>0.75730680410769957</v>
      </c>
      <c r="E341" s="555">
        <f t="shared" ca="1" si="1"/>
        <v>7</v>
      </c>
      <c r="F341" s="545" t="s">
        <v>1000</v>
      </c>
    </row>
    <row r="342" spans="4:6">
      <c r="D342" s="545">
        <f t="shared" ca="1" si="0"/>
        <v>0.52683134559078415</v>
      </c>
      <c r="E342" s="555">
        <f t="shared" ca="1" si="1"/>
        <v>5</v>
      </c>
      <c r="F342" s="545" t="s">
        <v>1001</v>
      </c>
    </row>
    <row r="343" spans="4:6">
      <c r="D343" s="545">
        <f t="shared" ca="1" si="0"/>
        <v>0.76695137199383423</v>
      </c>
      <c r="E343" s="555">
        <f t="shared" ca="1" si="1"/>
        <v>7</v>
      </c>
      <c r="F343" s="545" t="s">
        <v>1002</v>
      </c>
    </row>
    <row r="344" spans="4:6">
      <c r="D344" s="545">
        <f t="shared" ca="1" si="0"/>
        <v>0.41131710911670738</v>
      </c>
      <c r="E344" s="555">
        <f t="shared" ca="1" si="1"/>
        <v>4</v>
      </c>
      <c r="F344" s="545" t="s">
        <v>1003</v>
      </c>
    </row>
    <row r="345" spans="4:6">
      <c r="D345" s="545">
        <f t="shared" ca="1" si="0"/>
        <v>0.2982434373680134</v>
      </c>
      <c r="E345" s="555">
        <f t="shared" ca="1" si="1"/>
        <v>2</v>
      </c>
      <c r="F345" s="545" t="s">
        <v>1004</v>
      </c>
    </row>
    <row r="346" spans="4:6">
      <c r="D346" s="545">
        <f t="shared" ca="1" si="0"/>
        <v>0.1306873202248805</v>
      </c>
      <c r="E346" s="555">
        <f t="shared" ca="1" si="1"/>
        <v>1</v>
      </c>
      <c r="F346" s="556" t="s">
        <v>995</v>
      </c>
    </row>
    <row r="347" spans="4:6">
      <c r="D347" s="545">
        <f t="shared" ca="1" si="0"/>
        <v>0.52039128644432697</v>
      </c>
      <c r="E347" s="555">
        <f t="shared" ca="1" si="1"/>
        <v>5</v>
      </c>
      <c r="F347" s="545" t="s">
        <v>1005</v>
      </c>
    </row>
    <row r="348" spans="4:6">
      <c r="D348" s="545">
        <f t="shared" ca="1" si="0"/>
        <v>0.84108527350323448</v>
      </c>
      <c r="E348" s="555">
        <f t="shared" ca="1" si="1"/>
        <v>8</v>
      </c>
      <c r="F348" s="556" t="s">
        <v>995</v>
      </c>
    </row>
    <row r="349" spans="4:6">
      <c r="D349" s="545">
        <f t="shared" ca="1" si="0"/>
        <v>8.8942412248725011E-2</v>
      </c>
      <c r="E349" s="555">
        <f t="shared" ca="1" si="1"/>
        <v>0</v>
      </c>
      <c r="F349" s="545" t="s">
        <v>996</v>
      </c>
    </row>
    <row r="350" spans="4:6">
      <c r="D350" s="545">
        <f t="shared" ca="1" si="0"/>
        <v>0.93785900421275248</v>
      </c>
      <c r="E350" s="555">
        <f t="shared" ca="1" si="1"/>
        <v>9</v>
      </c>
      <c r="F350" s="545" t="s">
        <v>997</v>
      </c>
    </row>
    <row r="351" spans="4:6">
      <c r="D351" s="545">
        <f t="shared" ca="1" si="0"/>
        <v>0.53596697808963667</v>
      </c>
      <c r="E351" s="555">
        <f t="shared" ca="1" si="1"/>
        <v>5</v>
      </c>
      <c r="F351" s="545" t="s">
        <v>998</v>
      </c>
    </row>
    <row r="352" spans="4:6">
      <c r="D352" s="545">
        <f t="shared" ca="1" si="0"/>
        <v>0.95770058041973383</v>
      </c>
      <c r="E352" s="555">
        <f t="shared" ca="1" si="1"/>
        <v>9</v>
      </c>
      <c r="F352" s="545" t="s">
        <v>999</v>
      </c>
    </row>
    <row r="353" spans="4:6">
      <c r="D353" s="545">
        <f t="shared" ca="1" si="0"/>
        <v>0.70742513346444114</v>
      </c>
      <c r="E353" s="555">
        <f t="shared" ca="1" si="1"/>
        <v>7</v>
      </c>
      <c r="F353" s="545" t="s">
        <v>1000</v>
      </c>
    </row>
    <row r="354" spans="4:6">
      <c r="D354" s="545">
        <f t="shared" ca="1" si="0"/>
        <v>0.63519091900214397</v>
      </c>
      <c r="E354" s="555">
        <f t="shared" ca="1" si="1"/>
        <v>6</v>
      </c>
      <c r="F354" s="545" t="s">
        <v>1001</v>
      </c>
    </row>
    <row r="355" spans="4:6">
      <c r="D355" s="545">
        <f t="shared" ca="1" si="0"/>
        <v>0.93504650137639489</v>
      </c>
      <c r="E355" s="555">
        <f t="shared" ca="1" si="1"/>
        <v>9</v>
      </c>
      <c r="F355" s="545" t="s">
        <v>1002</v>
      </c>
    </row>
    <row r="356" spans="4:6">
      <c r="D356" s="545">
        <f t="shared" ca="1" si="0"/>
        <v>0.39238258192319364</v>
      </c>
      <c r="E356" s="555">
        <f ca="1">INT(D356*10)</f>
        <v>3</v>
      </c>
      <c r="F356" s="545" t="s">
        <v>1003</v>
      </c>
    </row>
    <row r="357" spans="4:6">
      <c r="D357" s="545">
        <f t="shared" ca="1" si="0"/>
        <v>3.2349813014605155E-2</v>
      </c>
      <c r="E357" s="555">
        <f ca="1">INT(D357*10)</f>
        <v>0</v>
      </c>
      <c r="F357" s="545" t="s">
        <v>1004</v>
      </c>
    </row>
    <row r="358" spans="4:6">
      <c r="D358" s="545">
        <f t="shared" ca="1" si="0"/>
        <v>0.91871715077628724</v>
      </c>
      <c r="E358" s="555">
        <f t="shared" ref="E358:E373" ca="1" si="2">INT(D358*10)</f>
        <v>9</v>
      </c>
      <c r="F358" s="556" t="s">
        <v>995</v>
      </c>
    </row>
    <row r="359" spans="4:6">
      <c r="D359" s="545">
        <f t="shared" ca="1" si="0"/>
        <v>0.80256173208498793</v>
      </c>
      <c r="E359" s="555">
        <f t="shared" ca="1" si="2"/>
        <v>8</v>
      </c>
      <c r="F359" s="545" t="s">
        <v>1005</v>
      </c>
    </row>
    <row r="360" spans="4:6">
      <c r="D360" s="545">
        <f t="shared" ca="1" si="0"/>
        <v>0.24708774406103107</v>
      </c>
      <c r="E360" s="555">
        <f t="shared" ca="1" si="2"/>
        <v>2</v>
      </c>
      <c r="F360" s="556" t="s">
        <v>995</v>
      </c>
    </row>
    <row r="361" spans="4:6">
      <c r="D361" s="545">
        <f t="shared" ca="1" si="0"/>
        <v>0.7311088194808133</v>
      </c>
      <c r="E361" s="555">
        <f t="shared" ca="1" si="2"/>
        <v>7</v>
      </c>
      <c r="F361" s="545" t="s">
        <v>996</v>
      </c>
    </row>
    <row r="362" spans="4:6">
      <c r="D362" s="545">
        <f t="shared" ca="1" si="0"/>
        <v>0.46673325670894139</v>
      </c>
      <c r="E362" s="555">
        <f t="shared" ca="1" si="2"/>
        <v>4</v>
      </c>
      <c r="F362" s="545" t="s">
        <v>997</v>
      </c>
    </row>
    <row r="363" spans="4:6">
      <c r="D363" s="545">
        <f t="shared" ca="1" si="0"/>
        <v>0.93924000372231153</v>
      </c>
      <c r="E363" s="555">
        <f t="shared" ca="1" si="2"/>
        <v>9</v>
      </c>
      <c r="F363" s="545" t="s">
        <v>998</v>
      </c>
    </row>
    <row r="364" spans="4:6">
      <c r="D364" s="545">
        <f t="shared" ca="1" si="0"/>
        <v>0.22979924736438551</v>
      </c>
      <c r="E364" s="555">
        <f t="shared" ca="1" si="2"/>
        <v>2</v>
      </c>
      <c r="F364" s="545" t="s">
        <v>999</v>
      </c>
    </row>
    <row r="365" spans="4:6">
      <c r="D365" s="545">
        <f t="shared" ca="1" si="0"/>
        <v>0.95811586032136986</v>
      </c>
      <c r="E365" s="555">
        <f t="shared" ca="1" si="2"/>
        <v>9</v>
      </c>
      <c r="F365" s="545" t="s">
        <v>1000</v>
      </c>
    </row>
    <row r="366" spans="4:6">
      <c r="D366" s="545">
        <f t="shared" ca="1" si="0"/>
        <v>3.6165883497198292E-2</v>
      </c>
      <c r="E366" s="555">
        <f t="shared" ca="1" si="2"/>
        <v>0</v>
      </c>
      <c r="F366" s="545" t="s">
        <v>1001</v>
      </c>
    </row>
    <row r="367" spans="4:6">
      <c r="D367" s="545">
        <f t="shared" ca="1" si="0"/>
        <v>0.48666764584698619</v>
      </c>
      <c r="E367" s="555">
        <f t="shared" ca="1" si="2"/>
        <v>4</v>
      </c>
      <c r="F367" s="545" t="s">
        <v>1002</v>
      </c>
    </row>
    <row r="368" spans="4:6">
      <c r="D368" s="545">
        <f t="shared" ca="1" si="0"/>
        <v>0.50303321856092154</v>
      </c>
      <c r="E368" s="555">
        <f t="shared" ca="1" si="2"/>
        <v>5</v>
      </c>
      <c r="F368" s="545" t="s">
        <v>1003</v>
      </c>
    </row>
    <row r="369" spans="4:6">
      <c r="D369" s="545">
        <f t="shared" ca="1" si="0"/>
        <v>0.88467943306714592</v>
      </c>
      <c r="E369" s="555">
        <f t="shared" ca="1" si="2"/>
        <v>8</v>
      </c>
      <c r="F369" s="545" t="s">
        <v>1004</v>
      </c>
    </row>
    <row r="370" spans="4:6">
      <c r="D370" s="545">
        <f t="shared" ca="1" si="0"/>
        <v>0.13146927851819079</v>
      </c>
      <c r="E370" s="555">
        <f t="shared" ca="1" si="2"/>
        <v>1</v>
      </c>
      <c r="F370" s="556" t="s">
        <v>995</v>
      </c>
    </row>
    <row r="371" spans="4:6">
      <c r="D371" s="545">
        <f t="shared" ca="1" si="0"/>
        <v>0.173666995789728</v>
      </c>
      <c r="E371" s="555">
        <f t="shared" ca="1" si="2"/>
        <v>1</v>
      </c>
      <c r="F371" s="545" t="s">
        <v>1005</v>
      </c>
    </row>
    <row r="372" spans="4:6">
      <c r="D372" s="545">
        <f t="shared" ca="1" si="0"/>
        <v>0.22233913533265648</v>
      </c>
      <c r="E372" s="555">
        <f t="shared" ca="1" si="2"/>
        <v>2</v>
      </c>
      <c r="F372" s="556" t="s">
        <v>995</v>
      </c>
    </row>
    <row r="373" spans="4:6">
      <c r="D373" s="545">
        <f t="shared" ca="1" si="0"/>
        <v>0.6043535644541369</v>
      </c>
      <c r="E373" s="555">
        <f t="shared" ca="1" si="2"/>
        <v>6</v>
      </c>
      <c r="F373" s="545" t="s">
        <v>996</v>
      </c>
    </row>
    <row r="375" spans="4:6">
      <c r="D375" s="546" t="str">
        <f ca="1">VLOOKUP(1,E336:F373,1+1,0)</f>
        <v>*Une analyse réguilière par l'extrait aqueux (pâte saturée ou 1/5ème) peut aider à appécier la disponibilité instantanée des éléments minéraux sur ce sol;</v>
      </c>
      <c r="E375" s="546"/>
      <c r="F375" s="546"/>
    </row>
    <row r="378" spans="4:6">
      <c r="E378" s="545" t="b">
        <f>+(N_MOs&lt;30)</f>
        <v>0</v>
      </c>
      <c r="F378" s="545" t="s">
        <v>1006</v>
      </c>
    </row>
    <row r="379" spans="4:6">
      <c r="E379" s="545" t="b">
        <f>(N_MOs&lt;50)</f>
        <v>1</v>
      </c>
      <c r="F379" s="545" t="s">
        <v>1007</v>
      </c>
    </row>
    <row r="380" spans="4:6">
      <c r="E380" s="545" t="b">
        <f>(N_MOs&lt;80)</f>
        <v>1</v>
      </c>
      <c r="F380" s="545" t="s">
        <v>1008</v>
      </c>
    </row>
    <row r="381" spans="4:6">
      <c r="E381" s="545" t="b">
        <f>(N_MOs&lt;140)</f>
        <v>1</v>
      </c>
      <c r="F381" s="545" t="s">
        <v>1009</v>
      </c>
    </row>
    <row r="382" spans="4:6">
      <c r="E382" s="545" t="b">
        <f>(N_MOs&gt;=140)</f>
        <v>0</v>
      </c>
      <c r="F382" s="545" t="s">
        <v>1010</v>
      </c>
    </row>
    <row r="383" spans="4:6">
      <c r="D383" s="546" t="str">
        <f>VLOOKUP(TRUE,E378:F382,1+1,0)</f>
        <v>*Potentiel moyen de participation du sol (azote organique) à la nutrition azotée</v>
      </c>
      <c r="E383" s="546"/>
      <c r="F383" s="546"/>
    </row>
    <row r="403" ht="6" hidden="1" customHeight="1"/>
    <row r="404" ht="32.25" customHeight="1"/>
    <row r="405" ht="54.75" customHeight="1"/>
    <row r="408" ht="18.75" customHeight="1"/>
  </sheetData>
  <pageMargins left="0.78740157499999996" right="0.78740157499999996" top="0.984251969" bottom="0.984251969" header="0.4921259845" footer="0.4921259845"/>
  <pageSetup paperSize="9" orientation="portrait"/>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7">
    <tabColor rgb="FF008000"/>
    <pageSetUpPr fitToPage="1"/>
  </sheetPr>
  <dimension ref="A1:CQ240"/>
  <sheetViews>
    <sheetView showGridLines="0" showZeros="0" view="pageBreakPreview" topLeftCell="A89" zoomScaleSheetLayoutView="100" workbookViewId="0"/>
  </sheetViews>
  <sheetFormatPr baseColWidth="10" defaultColWidth="9.3984375" defaultRowHeight="16.2"/>
  <cols>
    <col min="1" max="1" width="9.3984375" style="557" customWidth="1"/>
    <col min="2" max="2" width="11.8984375" style="557" customWidth="1"/>
    <col min="3" max="3" width="35.3984375" style="559" customWidth="1"/>
    <col min="4" max="4" width="11.8984375" style="559" customWidth="1"/>
    <col min="5" max="5" width="6.5" style="559" customWidth="1"/>
    <col min="6" max="6" width="13.5" style="559" customWidth="1"/>
    <col min="7" max="7" width="17.3984375" style="559" customWidth="1"/>
    <col min="8" max="8" width="1.59765625" style="559" customWidth="1"/>
    <col min="9" max="9" width="29.3984375" style="559" customWidth="1"/>
    <col min="10" max="10" width="8.5" style="559" customWidth="1"/>
    <col min="11" max="11" width="16.3984375" style="559" customWidth="1"/>
    <col min="12" max="12" width="5.5" style="559" customWidth="1"/>
    <col min="13" max="13" width="11" style="559" customWidth="1"/>
    <col min="14" max="14" width="15.3984375" style="557" customWidth="1"/>
    <col min="15" max="15" width="10.3984375" style="557" customWidth="1"/>
    <col min="16" max="16" width="12.3984375" style="557" customWidth="1"/>
    <col min="17" max="17" width="5.3984375" style="557" customWidth="1"/>
    <col min="18" max="18" width="7" style="557" customWidth="1"/>
    <col min="19" max="19" width="7.09765625" style="557" customWidth="1"/>
    <col min="20" max="20" width="7" style="557" customWidth="1"/>
    <col min="21" max="21" width="3.59765625" style="557" customWidth="1"/>
    <col min="22" max="22" width="10.3984375" style="557" customWidth="1"/>
    <col min="23" max="24" width="9.3984375" style="557" customWidth="1"/>
    <col min="25" max="25" width="16.5" style="557" customWidth="1"/>
    <col min="26" max="26" width="11.5" style="557" customWidth="1"/>
    <col min="27" max="27" width="5.59765625" style="557" customWidth="1"/>
    <col min="28" max="29" width="12" style="557" customWidth="1"/>
    <col min="30" max="34" width="5.59765625" style="557" customWidth="1"/>
    <col min="35" max="35" width="17" style="557" customWidth="1"/>
    <col min="36" max="42" width="7.59765625" style="557" customWidth="1"/>
    <col min="43" max="43" width="9.3984375" style="557" customWidth="1"/>
    <col min="44" max="44" width="19.3984375" style="557" customWidth="1"/>
    <col min="45" max="65" width="9.3984375" style="557" customWidth="1"/>
    <col min="66" max="256" width="9.3984375" style="557"/>
    <col min="257" max="258" width="0" style="557" hidden="1" customWidth="1"/>
    <col min="259" max="259" width="35.3984375" style="557" customWidth="1"/>
    <col min="260" max="260" width="11.8984375" style="557" customWidth="1"/>
    <col min="261" max="261" width="6.5" style="557" customWidth="1"/>
    <col min="262" max="262" width="0" style="557" hidden="1" customWidth="1"/>
    <col min="263" max="263" width="17.3984375" style="557" customWidth="1"/>
    <col min="264" max="264" width="1.59765625" style="557" customWidth="1"/>
    <col min="265" max="265" width="29.3984375" style="557" customWidth="1"/>
    <col min="266" max="266" width="8.5" style="557" customWidth="1"/>
    <col min="267" max="267" width="16.3984375" style="557" customWidth="1"/>
    <col min="268" max="268" width="5.5" style="557" customWidth="1"/>
    <col min="269" max="269" width="11" style="557" customWidth="1"/>
    <col min="270" max="299" width="0" style="557" hidden="1" customWidth="1"/>
    <col min="300" max="300" width="19.3984375" style="557" customWidth="1"/>
    <col min="301" max="512" width="9.3984375" style="557"/>
    <col min="513" max="514" width="0" style="557" hidden="1" customWidth="1"/>
    <col min="515" max="515" width="35.3984375" style="557" customWidth="1"/>
    <col min="516" max="516" width="11.8984375" style="557" customWidth="1"/>
    <col min="517" max="517" width="6.5" style="557" customWidth="1"/>
    <col min="518" max="518" width="0" style="557" hidden="1" customWidth="1"/>
    <col min="519" max="519" width="17.3984375" style="557" customWidth="1"/>
    <col min="520" max="520" width="1.59765625" style="557" customWidth="1"/>
    <col min="521" max="521" width="29.3984375" style="557" customWidth="1"/>
    <col min="522" max="522" width="8.5" style="557" customWidth="1"/>
    <col min="523" max="523" width="16.3984375" style="557" customWidth="1"/>
    <col min="524" max="524" width="5.5" style="557" customWidth="1"/>
    <col min="525" max="525" width="11" style="557" customWidth="1"/>
    <col min="526" max="555" width="0" style="557" hidden="1" customWidth="1"/>
    <col min="556" max="556" width="19.3984375" style="557" customWidth="1"/>
    <col min="557" max="768" width="9.3984375" style="557"/>
    <col min="769" max="770" width="0" style="557" hidden="1" customWidth="1"/>
    <col min="771" max="771" width="35.3984375" style="557" customWidth="1"/>
    <col min="772" max="772" width="11.8984375" style="557" customWidth="1"/>
    <col min="773" max="773" width="6.5" style="557" customWidth="1"/>
    <col min="774" max="774" width="0" style="557" hidden="1" customWidth="1"/>
    <col min="775" max="775" width="17.3984375" style="557" customWidth="1"/>
    <col min="776" max="776" width="1.59765625" style="557" customWidth="1"/>
    <col min="777" max="777" width="29.3984375" style="557" customWidth="1"/>
    <col min="778" max="778" width="8.5" style="557" customWidth="1"/>
    <col min="779" max="779" width="16.3984375" style="557" customWidth="1"/>
    <col min="780" max="780" width="5.5" style="557" customWidth="1"/>
    <col min="781" max="781" width="11" style="557" customWidth="1"/>
    <col min="782" max="811" width="0" style="557" hidden="1" customWidth="1"/>
    <col min="812" max="812" width="19.3984375" style="557" customWidth="1"/>
    <col min="813" max="1024" width="9.3984375" style="557"/>
    <col min="1025" max="1026" width="0" style="557" hidden="1" customWidth="1"/>
    <col min="1027" max="1027" width="35.3984375" style="557" customWidth="1"/>
    <col min="1028" max="1028" width="11.8984375" style="557" customWidth="1"/>
    <col min="1029" max="1029" width="6.5" style="557" customWidth="1"/>
    <col min="1030" max="1030" width="0" style="557" hidden="1" customWidth="1"/>
    <col min="1031" max="1031" width="17.3984375" style="557" customWidth="1"/>
    <col min="1032" max="1032" width="1.59765625" style="557" customWidth="1"/>
    <col min="1033" max="1033" width="29.3984375" style="557" customWidth="1"/>
    <col min="1034" max="1034" width="8.5" style="557" customWidth="1"/>
    <col min="1035" max="1035" width="16.3984375" style="557" customWidth="1"/>
    <col min="1036" max="1036" width="5.5" style="557" customWidth="1"/>
    <col min="1037" max="1037" width="11" style="557" customWidth="1"/>
    <col min="1038" max="1067" width="0" style="557" hidden="1" customWidth="1"/>
    <col min="1068" max="1068" width="19.3984375" style="557" customWidth="1"/>
    <col min="1069" max="1280" width="9.3984375" style="557"/>
    <col min="1281" max="1282" width="0" style="557" hidden="1" customWidth="1"/>
    <col min="1283" max="1283" width="35.3984375" style="557" customWidth="1"/>
    <col min="1284" max="1284" width="11.8984375" style="557" customWidth="1"/>
    <col min="1285" max="1285" width="6.5" style="557" customWidth="1"/>
    <col min="1286" max="1286" width="0" style="557" hidden="1" customWidth="1"/>
    <col min="1287" max="1287" width="17.3984375" style="557" customWidth="1"/>
    <col min="1288" max="1288" width="1.59765625" style="557" customWidth="1"/>
    <col min="1289" max="1289" width="29.3984375" style="557" customWidth="1"/>
    <col min="1290" max="1290" width="8.5" style="557" customWidth="1"/>
    <col min="1291" max="1291" width="16.3984375" style="557" customWidth="1"/>
    <col min="1292" max="1292" width="5.5" style="557" customWidth="1"/>
    <col min="1293" max="1293" width="11" style="557" customWidth="1"/>
    <col min="1294" max="1323" width="0" style="557" hidden="1" customWidth="1"/>
    <col min="1324" max="1324" width="19.3984375" style="557" customWidth="1"/>
    <col min="1325" max="1536" width="9.3984375" style="557"/>
    <col min="1537" max="1538" width="0" style="557" hidden="1" customWidth="1"/>
    <col min="1539" max="1539" width="35.3984375" style="557" customWidth="1"/>
    <col min="1540" max="1540" width="11.8984375" style="557" customWidth="1"/>
    <col min="1541" max="1541" width="6.5" style="557" customWidth="1"/>
    <col min="1542" max="1542" width="0" style="557" hidden="1" customWidth="1"/>
    <col min="1543" max="1543" width="17.3984375" style="557" customWidth="1"/>
    <col min="1544" max="1544" width="1.59765625" style="557" customWidth="1"/>
    <col min="1545" max="1545" width="29.3984375" style="557" customWidth="1"/>
    <col min="1546" max="1546" width="8.5" style="557" customWidth="1"/>
    <col min="1547" max="1547" width="16.3984375" style="557" customWidth="1"/>
    <col min="1548" max="1548" width="5.5" style="557" customWidth="1"/>
    <col min="1549" max="1549" width="11" style="557" customWidth="1"/>
    <col min="1550" max="1579" width="0" style="557" hidden="1" customWidth="1"/>
    <col min="1580" max="1580" width="19.3984375" style="557" customWidth="1"/>
    <col min="1581" max="1792" width="9.3984375" style="557"/>
    <col min="1793" max="1794" width="0" style="557" hidden="1" customWidth="1"/>
    <col min="1795" max="1795" width="35.3984375" style="557" customWidth="1"/>
    <col min="1796" max="1796" width="11.8984375" style="557" customWidth="1"/>
    <col min="1797" max="1797" width="6.5" style="557" customWidth="1"/>
    <col min="1798" max="1798" width="0" style="557" hidden="1" customWidth="1"/>
    <col min="1799" max="1799" width="17.3984375" style="557" customWidth="1"/>
    <col min="1800" max="1800" width="1.59765625" style="557" customWidth="1"/>
    <col min="1801" max="1801" width="29.3984375" style="557" customWidth="1"/>
    <col min="1802" max="1802" width="8.5" style="557" customWidth="1"/>
    <col min="1803" max="1803" width="16.3984375" style="557" customWidth="1"/>
    <col min="1804" max="1804" width="5.5" style="557" customWidth="1"/>
    <col min="1805" max="1805" width="11" style="557" customWidth="1"/>
    <col min="1806" max="1835" width="0" style="557" hidden="1" customWidth="1"/>
    <col min="1836" max="1836" width="19.3984375" style="557" customWidth="1"/>
    <col min="1837" max="2048" width="9.3984375" style="557"/>
    <col min="2049" max="2050" width="0" style="557" hidden="1" customWidth="1"/>
    <col min="2051" max="2051" width="35.3984375" style="557" customWidth="1"/>
    <col min="2052" max="2052" width="11.8984375" style="557" customWidth="1"/>
    <col min="2053" max="2053" width="6.5" style="557" customWidth="1"/>
    <col min="2054" max="2054" width="0" style="557" hidden="1" customWidth="1"/>
    <col min="2055" max="2055" width="17.3984375" style="557" customWidth="1"/>
    <col min="2056" max="2056" width="1.59765625" style="557" customWidth="1"/>
    <col min="2057" max="2057" width="29.3984375" style="557" customWidth="1"/>
    <col min="2058" max="2058" width="8.5" style="557" customWidth="1"/>
    <col min="2059" max="2059" width="16.3984375" style="557" customWidth="1"/>
    <col min="2060" max="2060" width="5.5" style="557" customWidth="1"/>
    <col min="2061" max="2061" width="11" style="557" customWidth="1"/>
    <col min="2062" max="2091" width="0" style="557" hidden="1" customWidth="1"/>
    <col min="2092" max="2092" width="19.3984375" style="557" customWidth="1"/>
    <col min="2093" max="2304" width="9.3984375" style="557"/>
    <col min="2305" max="2306" width="0" style="557" hidden="1" customWidth="1"/>
    <col min="2307" max="2307" width="35.3984375" style="557" customWidth="1"/>
    <col min="2308" max="2308" width="11.8984375" style="557" customWidth="1"/>
    <col min="2309" max="2309" width="6.5" style="557" customWidth="1"/>
    <col min="2310" max="2310" width="0" style="557" hidden="1" customWidth="1"/>
    <col min="2311" max="2311" width="17.3984375" style="557" customWidth="1"/>
    <col min="2312" max="2312" width="1.59765625" style="557" customWidth="1"/>
    <col min="2313" max="2313" width="29.3984375" style="557" customWidth="1"/>
    <col min="2314" max="2314" width="8.5" style="557" customWidth="1"/>
    <col min="2315" max="2315" width="16.3984375" style="557" customWidth="1"/>
    <col min="2316" max="2316" width="5.5" style="557" customWidth="1"/>
    <col min="2317" max="2317" width="11" style="557" customWidth="1"/>
    <col min="2318" max="2347" width="0" style="557" hidden="1" customWidth="1"/>
    <col min="2348" max="2348" width="19.3984375" style="557" customWidth="1"/>
    <col min="2349" max="2560" width="9.3984375" style="557"/>
    <col min="2561" max="2562" width="0" style="557" hidden="1" customWidth="1"/>
    <col min="2563" max="2563" width="35.3984375" style="557" customWidth="1"/>
    <col min="2564" max="2564" width="11.8984375" style="557" customWidth="1"/>
    <col min="2565" max="2565" width="6.5" style="557" customWidth="1"/>
    <col min="2566" max="2566" width="0" style="557" hidden="1" customWidth="1"/>
    <col min="2567" max="2567" width="17.3984375" style="557" customWidth="1"/>
    <col min="2568" max="2568" width="1.59765625" style="557" customWidth="1"/>
    <col min="2569" max="2569" width="29.3984375" style="557" customWidth="1"/>
    <col min="2570" max="2570" width="8.5" style="557" customWidth="1"/>
    <col min="2571" max="2571" width="16.3984375" style="557" customWidth="1"/>
    <col min="2572" max="2572" width="5.5" style="557" customWidth="1"/>
    <col min="2573" max="2573" width="11" style="557" customWidth="1"/>
    <col min="2574" max="2603" width="0" style="557" hidden="1" customWidth="1"/>
    <col min="2604" max="2604" width="19.3984375" style="557" customWidth="1"/>
    <col min="2605" max="2816" width="9.3984375" style="557"/>
    <col min="2817" max="2818" width="0" style="557" hidden="1" customWidth="1"/>
    <col min="2819" max="2819" width="35.3984375" style="557" customWidth="1"/>
    <col min="2820" max="2820" width="11.8984375" style="557" customWidth="1"/>
    <col min="2821" max="2821" width="6.5" style="557" customWidth="1"/>
    <col min="2822" max="2822" width="0" style="557" hidden="1" customWidth="1"/>
    <col min="2823" max="2823" width="17.3984375" style="557" customWidth="1"/>
    <col min="2824" max="2824" width="1.59765625" style="557" customWidth="1"/>
    <col min="2825" max="2825" width="29.3984375" style="557" customWidth="1"/>
    <col min="2826" max="2826" width="8.5" style="557" customWidth="1"/>
    <col min="2827" max="2827" width="16.3984375" style="557" customWidth="1"/>
    <col min="2828" max="2828" width="5.5" style="557" customWidth="1"/>
    <col min="2829" max="2829" width="11" style="557" customWidth="1"/>
    <col min="2830" max="2859" width="0" style="557" hidden="1" customWidth="1"/>
    <col min="2860" max="2860" width="19.3984375" style="557" customWidth="1"/>
    <col min="2861" max="3072" width="9.3984375" style="557"/>
    <col min="3073" max="3074" width="0" style="557" hidden="1" customWidth="1"/>
    <col min="3075" max="3075" width="35.3984375" style="557" customWidth="1"/>
    <col min="3076" max="3076" width="11.8984375" style="557" customWidth="1"/>
    <col min="3077" max="3077" width="6.5" style="557" customWidth="1"/>
    <col min="3078" max="3078" width="0" style="557" hidden="1" customWidth="1"/>
    <col min="3079" max="3079" width="17.3984375" style="557" customWidth="1"/>
    <col min="3080" max="3080" width="1.59765625" style="557" customWidth="1"/>
    <col min="3081" max="3081" width="29.3984375" style="557" customWidth="1"/>
    <col min="3082" max="3082" width="8.5" style="557" customWidth="1"/>
    <col min="3083" max="3083" width="16.3984375" style="557" customWidth="1"/>
    <col min="3084" max="3084" width="5.5" style="557" customWidth="1"/>
    <col min="3085" max="3085" width="11" style="557" customWidth="1"/>
    <col min="3086" max="3115" width="0" style="557" hidden="1" customWidth="1"/>
    <col min="3116" max="3116" width="19.3984375" style="557" customWidth="1"/>
    <col min="3117" max="3328" width="9.3984375" style="557"/>
    <col min="3329" max="3330" width="0" style="557" hidden="1" customWidth="1"/>
    <col min="3331" max="3331" width="35.3984375" style="557" customWidth="1"/>
    <col min="3332" max="3332" width="11.8984375" style="557" customWidth="1"/>
    <col min="3333" max="3333" width="6.5" style="557" customWidth="1"/>
    <col min="3334" max="3334" width="0" style="557" hidden="1" customWidth="1"/>
    <col min="3335" max="3335" width="17.3984375" style="557" customWidth="1"/>
    <col min="3336" max="3336" width="1.59765625" style="557" customWidth="1"/>
    <col min="3337" max="3337" width="29.3984375" style="557" customWidth="1"/>
    <col min="3338" max="3338" width="8.5" style="557" customWidth="1"/>
    <col min="3339" max="3339" width="16.3984375" style="557" customWidth="1"/>
    <col min="3340" max="3340" width="5.5" style="557" customWidth="1"/>
    <col min="3341" max="3341" width="11" style="557" customWidth="1"/>
    <col min="3342" max="3371" width="0" style="557" hidden="1" customWidth="1"/>
    <col min="3372" max="3372" width="19.3984375" style="557" customWidth="1"/>
    <col min="3373" max="3584" width="9.3984375" style="557"/>
    <col min="3585" max="3586" width="0" style="557" hidden="1" customWidth="1"/>
    <col min="3587" max="3587" width="35.3984375" style="557" customWidth="1"/>
    <col min="3588" max="3588" width="11.8984375" style="557" customWidth="1"/>
    <col min="3589" max="3589" width="6.5" style="557" customWidth="1"/>
    <col min="3590" max="3590" width="0" style="557" hidden="1" customWidth="1"/>
    <col min="3591" max="3591" width="17.3984375" style="557" customWidth="1"/>
    <col min="3592" max="3592" width="1.59765625" style="557" customWidth="1"/>
    <col min="3593" max="3593" width="29.3984375" style="557" customWidth="1"/>
    <col min="3594" max="3594" width="8.5" style="557" customWidth="1"/>
    <col min="3595" max="3595" width="16.3984375" style="557" customWidth="1"/>
    <col min="3596" max="3596" width="5.5" style="557" customWidth="1"/>
    <col min="3597" max="3597" width="11" style="557" customWidth="1"/>
    <col min="3598" max="3627" width="0" style="557" hidden="1" customWidth="1"/>
    <col min="3628" max="3628" width="19.3984375" style="557" customWidth="1"/>
    <col min="3629" max="3840" width="9.3984375" style="557"/>
    <col min="3841" max="3842" width="0" style="557" hidden="1" customWidth="1"/>
    <col min="3843" max="3843" width="35.3984375" style="557" customWidth="1"/>
    <col min="3844" max="3844" width="11.8984375" style="557" customWidth="1"/>
    <col min="3845" max="3845" width="6.5" style="557" customWidth="1"/>
    <col min="3846" max="3846" width="0" style="557" hidden="1" customWidth="1"/>
    <col min="3847" max="3847" width="17.3984375" style="557" customWidth="1"/>
    <col min="3848" max="3848" width="1.59765625" style="557" customWidth="1"/>
    <col min="3849" max="3849" width="29.3984375" style="557" customWidth="1"/>
    <col min="3850" max="3850" width="8.5" style="557" customWidth="1"/>
    <col min="3851" max="3851" width="16.3984375" style="557" customWidth="1"/>
    <col min="3852" max="3852" width="5.5" style="557" customWidth="1"/>
    <col min="3853" max="3853" width="11" style="557" customWidth="1"/>
    <col min="3854" max="3883" width="0" style="557" hidden="1" customWidth="1"/>
    <col min="3884" max="3884" width="19.3984375" style="557" customWidth="1"/>
    <col min="3885" max="4096" width="9.3984375" style="557"/>
    <col min="4097" max="4098" width="0" style="557" hidden="1" customWidth="1"/>
    <col min="4099" max="4099" width="35.3984375" style="557" customWidth="1"/>
    <col min="4100" max="4100" width="11.8984375" style="557" customWidth="1"/>
    <col min="4101" max="4101" width="6.5" style="557" customWidth="1"/>
    <col min="4102" max="4102" width="0" style="557" hidden="1" customWidth="1"/>
    <col min="4103" max="4103" width="17.3984375" style="557" customWidth="1"/>
    <col min="4104" max="4104" width="1.59765625" style="557" customWidth="1"/>
    <col min="4105" max="4105" width="29.3984375" style="557" customWidth="1"/>
    <col min="4106" max="4106" width="8.5" style="557" customWidth="1"/>
    <col min="4107" max="4107" width="16.3984375" style="557" customWidth="1"/>
    <col min="4108" max="4108" width="5.5" style="557" customWidth="1"/>
    <col min="4109" max="4109" width="11" style="557" customWidth="1"/>
    <col min="4110" max="4139" width="0" style="557" hidden="1" customWidth="1"/>
    <col min="4140" max="4140" width="19.3984375" style="557" customWidth="1"/>
    <col min="4141" max="4352" width="9.3984375" style="557"/>
    <col min="4353" max="4354" width="0" style="557" hidden="1" customWidth="1"/>
    <col min="4355" max="4355" width="35.3984375" style="557" customWidth="1"/>
    <col min="4356" max="4356" width="11.8984375" style="557" customWidth="1"/>
    <col min="4357" max="4357" width="6.5" style="557" customWidth="1"/>
    <col min="4358" max="4358" width="0" style="557" hidden="1" customWidth="1"/>
    <col min="4359" max="4359" width="17.3984375" style="557" customWidth="1"/>
    <col min="4360" max="4360" width="1.59765625" style="557" customWidth="1"/>
    <col min="4361" max="4361" width="29.3984375" style="557" customWidth="1"/>
    <col min="4362" max="4362" width="8.5" style="557" customWidth="1"/>
    <col min="4363" max="4363" width="16.3984375" style="557" customWidth="1"/>
    <col min="4364" max="4364" width="5.5" style="557" customWidth="1"/>
    <col min="4365" max="4365" width="11" style="557" customWidth="1"/>
    <col min="4366" max="4395" width="0" style="557" hidden="1" customWidth="1"/>
    <col min="4396" max="4396" width="19.3984375" style="557" customWidth="1"/>
    <col min="4397" max="4608" width="9.3984375" style="557"/>
    <col min="4609" max="4610" width="0" style="557" hidden="1" customWidth="1"/>
    <col min="4611" max="4611" width="35.3984375" style="557" customWidth="1"/>
    <col min="4612" max="4612" width="11.8984375" style="557" customWidth="1"/>
    <col min="4613" max="4613" width="6.5" style="557" customWidth="1"/>
    <col min="4614" max="4614" width="0" style="557" hidden="1" customWidth="1"/>
    <col min="4615" max="4615" width="17.3984375" style="557" customWidth="1"/>
    <col min="4616" max="4616" width="1.59765625" style="557" customWidth="1"/>
    <col min="4617" max="4617" width="29.3984375" style="557" customWidth="1"/>
    <col min="4618" max="4618" width="8.5" style="557" customWidth="1"/>
    <col min="4619" max="4619" width="16.3984375" style="557" customWidth="1"/>
    <col min="4620" max="4620" width="5.5" style="557" customWidth="1"/>
    <col min="4621" max="4621" width="11" style="557" customWidth="1"/>
    <col min="4622" max="4651" width="0" style="557" hidden="1" customWidth="1"/>
    <col min="4652" max="4652" width="19.3984375" style="557" customWidth="1"/>
    <col min="4653" max="4864" width="9.3984375" style="557"/>
    <col min="4865" max="4866" width="0" style="557" hidden="1" customWidth="1"/>
    <col min="4867" max="4867" width="35.3984375" style="557" customWidth="1"/>
    <col min="4868" max="4868" width="11.8984375" style="557" customWidth="1"/>
    <col min="4869" max="4869" width="6.5" style="557" customWidth="1"/>
    <col min="4870" max="4870" width="0" style="557" hidden="1" customWidth="1"/>
    <col min="4871" max="4871" width="17.3984375" style="557" customWidth="1"/>
    <col min="4872" max="4872" width="1.59765625" style="557" customWidth="1"/>
    <col min="4873" max="4873" width="29.3984375" style="557" customWidth="1"/>
    <col min="4874" max="4874" width="8.5" style="557" customWidth="1"/>
    <col min="4875" max="4875" width="16.3984375" style="557" customWidth="1"/>
    <col min="4876" max="4876" width="5.5" style="557" customWidth="1"/>
    <col min="4877" max="4877" width="11" style="557" customWidth="1"/>
    <col min="4878" max="4907" width="0" style="557" hidden="1" customWidth="1"/>
    <col min="4908" max="4908" width="19.3984375" style="557" customWidth="1"/>
    <col min="4909" max="5120" width="9.3984375" style="557"/>
    <col min="5121" max="5122" width="0" style="557" hidden="1" customWidth="1"/>
    <col min="5123" max="5123" width="35.3984375" style="557" customWidth="1"/>
    <col min="5124" max="5124" width="11.8984375" style="557" customWidth="1"/>
    <col min="5125" max="5125" width="6.5" style="557" customWidth="1"/>
    <col min="5126" max="5126" width="0" style="557" hidden="1" customWidth="1"/>
    <col min="5127" max="5127" width="17.3984375" style="557" customWidth="1"/>
    <col min="5128" max="5128" width="1.59765625" style="557" customWidth="1"/>
    <col min="5129" max="5129" width="29.3984375" style="557" customWidth="1"/>
    <col min="5130" max="5130" width="8.5" style="557" customWidth="1"/>
    <col min="5131" max="5131" width="16.3984375" style="557" customWidth="1"/>
    <col min="5132" max="5132" width="5.5" style="557" customWidth="1"/>
    <col min="5133" max="5133" width="11" style="557" customWidth="1"/>
    <col min="5134" max="5163" width="0" style="557" hidden="1" customWidth="1"/>
    <col min="5164" max="5164" width="19.3984375" style="557" customWidth="1"/>
    <col min="5165" max="5376" width="9.3984375" style="557"/>
    <col min="5377" max="5378" width="0" style="557" hidden="1" customWidth="1"/>
    <col min="5379" max="5379" width="35.3984375" style="557" customWidth="1"/>
    <col min="5380" max="5380" width="11.8984375" style="557" customWidth="1"/>
    <col min="5381" max="5381" width="6.5" style="557" customWidth="1"/>
    <col min="5382" max="5382" width="0" style="557" hidden="1" customWidth="1"/>
    <col min="5383" max="5383" width="17.3984375" style="557" customWidth="1"/>
    <col min="5384" max="5384" width="1.59765625" style="557" customWidth="1"/>
    <col min="5385" max="5385" width="29.3984375" style="557" customWidth="1"/>
    <col min="5386" max="5386" width="8.5" style="557" customWidth="1"/>
    <col min="5387" max="5387" width="16.3984375" style="557" customWidth="1"/>
    <col min="5388" max="5388" width="5.5" style="557" customWidth="1"/>
    <col min="5389" max="5389" width="11" style="557" customWidth="1"/>
    <col min="5390" max="5419" width="0" style="557" hidden="1" customWidth="1"/>
    <col min="5420" max="5420" width="19.3984375" style="557" customWidth="1"/>
    <col min="5421" max="5632" width="9.3984375" style="557"/>
    <col min="5633" max="5634" width="0" style="557" hidden="1" customWidth="1"/>
    <col min="5635" max="5635" width="35.3984375" style="557" customWidth="1"/>
    <col min="5636" max="5636" width="11.8984375" style="557" customWidth="1"/>
    <col min="5637" max="5637" width="6.5" style="557" customWidth="1"/>
    <col min="5638" max="5638" width="0" style="557" hidden="1" customWidth="1"/>
    <col min="5639" max="5639" width="17.3984375" style="557" customWidth="1"/>
    <col min="5640" max="5640" width="1.59765625" style="557" customWidth="1"/>
    <col min="5641" max="5641" width="29.3984375" style="557" customWidth="1"/>
    <col min="5642" max="5642" width="8.5" style="557" customWidth="1"/>
    <col min="5643" max="5643" width="16.3984375" style="557" customWidth="1"/>
    <col min="5644" max="5644" width="5.5" style="557" customWidth="1"/>
    <col min="5645" max="5645" width="11" style="557" customWidth="1"/>
    <col min="5646" max="5675" width="0" style="557" hidden="1" customWidth="1"/>
    <col min="5676" max="5676" width="19.3984375" style="557" customWidth="1"/>
    <col min="5677" max="5888" width="9.3984375" style="557"/>
    <col min="5889" max="5890" width="0" style="557" hidden="1" customWidth="1"/>
    <col min="5891" max="5891" width="35.3984375" style="557" customWidth="1"/>
    <col min="5892" max="5892" width="11.8984375" style="557" customWidth="1"/>
    <col min="5893" max="5893" width="6.5" style="557" customWidth="1"/>
    <col min="5894" max="5894" width="0" style="557" hidden="1" customWidth="1"/>
    <col min="5895" max="5895" width="17.3984375" style="557" customWidth="1"/>
    <col min="5896" max="5896" width="1.59765625" style="557" customWidth="1"/>
    <col min="5897" max="5897" width="29.3984375" style="557" customWidth="1"/>
    <col min="5898" max="5898" width="8.5" style="557" customWidth="1"/>
    <col min="5899" max="5899" width="16.3984375" style="557" customWidth="1"/>
    <col min="5900" max="5900" width="5.5" style="557" customWidth="1"/>
    <col min="5901" max="5901" width="11" style="557" customWidth="1"/>
    <col min="5902" max="5931" width="0" style="557" hidden="1" customWidth="1"/>
    <col min="5932" max="5932" width="19.3984375" style="557" customWidth="1"/>
    <col min="5933" max="6144" width="9.3984375" style="557"/>
    <col min="6145" max="6146" width="0" style="557" hidden="1" customWidth="1"/>
    <col min="6147" max="6147" width="35.3984375" style="557" customWidth="1"/>
    <col min="6148" max="6148" width="11.8984375" style="557" customWidth="1"/>
    <col min="6149" max="6149" width="6.5" style="557" customWidth="1"/>
    <col min="6150" max="6150" width="0" style="557" hidden="1" customWidth="1"/>
    <col min="6151" max="6151" width="17.3984375" style="557" customWidth="1"/>
    <col min="6152" max="6152" width="1.59765625" style="557" customWidth="1"/>
    <col min="6153" max="6153" width="29.3984375" style="557" customWidth="1"/>
    <col min="6154" max="6154" width="8.5" style="557" customWidth="1"/>
    <col min="6155" max="6155" width="16.3984375" style="557" customWidth="1"/>
    <col min="6156" max="6156" width="5.5" style="557" customWidth="1"/>
    <col min="6157" max="6157" width="11" style="557" customWidth="1"/>
    <col min="6158" max="6187" width="0" style="557" hidden="1" customWidth="1"/>
    <col min="6188" max="6188" width="19.3984375" style="557" customWidth="1"/>
    <col min="6189" max="6400" width="9.3984375" style="557"/>
    <col min="6401" max="6402" width="0" style="557" hidden="1" customWidth="1"/>
    <col min="6403" max="6403" width="35.3984375" style="557" customWidth="1"/>
    <col min="6404" max="6404" width="11.8984375" style="557" customWidth="1"/>
    <col min="6405" max="6405" width="6.5" style="557" customWidth="1"/>
    <col min="6406" max="6406" width="0" style="557" hidden="1" customWidth="1"/>
    <col min="6407" max="6407" width="17.3984375" style="557" customWidth="1"/>
    <col min="6408" max="6408" width="1.59765625" style="557" customWidth="1"/>
    <col min="6409" max="6409" width="29.3984375" style="557" customWidth="1"/>
    <col min="6410" max="6410" width="8.5" style="557" customWidth="1"/>
    <col min="6411" max="6411" width="16.3984375" style="557" customWidth="1"/>
    <col min="6412" max="6412" width="5.5" style="557" customWidth="1"/>
    <col min="6413" max="6413" width="11" style="557" customWidth="1"/>
    <col min="6414" max="6443" width="0" style="557" hidden="1" customWidth="1"/>
    <col min="6444" max="6444" width="19.3984375" style="557" customWidth="1"/>
    <col min="6445" max="6656" width="9.3984375" style="557"/>
    <col min="6657" max="6658" width="0" style="557" hidden="1" customWidth="1"/>
    <col min="6659" max="6659" width="35.3984375" style="557" customWidth="1"/>
    <col min="6660" max="6660" width="11.8984375" style="557" customWidth="1"/>
    <col min="6661" max="6661" width="6.5" style="557" customWidth="1"/>
    <col min="6662" max="6662" width="0" style="557" hidden="1" customWidth="1"/>
    <col min="6663" max="6663" width="17.3984375" style="557" customWidth="1"/>
    <col min="6664" max="6664" width="1.59765625" style="557" customWidth="1"/>
    <col min="6665" max="6665" width="29.3984375" style="557" customWidth="1"/>
    <col min="6666" max="6666" width="8.5" style="557" customWidth="1"/>
    <col min="6667" max="6667" width="16.3984375" style="557" customWidth="1"/>
    <col min="6668" max="6668" width="5.5" style="557" customWidth="1"/>
    <col min="6669" max="6669" width="11" style="557" customWidth="1"/>
    <col min="6670" max="6699" width="0" style="557" hidden="1" customWidth="1"/>
    <col min="6700" max="6700" width="19.3984375" style="557" customWidth="1"/>
    <col min="6701" max="6912" width="9.3984375" style="557"/>
    <col min="6913" max="6914" width="0" style="557" hidden="1" customWidth="1"/>
    <col min="6915" max="6915" width="35.3984375" style="557" customWidth="1"/>
    <col min="6916" max="6916" width="11.8984375" style="557" customWidth="1"/>
    <col min="6917" max="6917" width="6.5" style="557" customWidth="1"/>
    <col min="6918" max="6918" width="0" style="557" hidden="1" customWidth="1"/>
    <col min="6919" max="6919" width="17.3984375" style="557" customWidth="1"/>
    <col min="6920" max="6920" width="1.59765625" style="557" customWidth="1"/>
    <col min="6921" max="6921" width="29.3984375" style="557" customWidth="1"/>
    <col min="6922" max="6922" width="8.5" style="557" customWidth="1"/>
    <col min="6923" max="6923" width="16.3984375" style="557" customWidth="1"/>
    <col min="6924" max="6924" width="5.5" style="557" customWidth="1"/>
    <col min="6925" max="6925" width="11" style="557" customWidth="1"/>
    <col min="6926" max="6955" width="0" style="557" hidden="1" customWidth="1"/>
    <col min="6956" max="6956" width="19.3984375" style="557" customWidth="1"/>
    <col min="6957" max="7168" width="9.3984375" style="557"/>
    <col min="7169" max="7170" width="0" style="557" hidden="1" customWidth="1"/>
    <col min="7171" max="7171" width="35.3984375" style="557" customWidth="1"/>
    <col min="7172" max="7172" width="11.8984375" style="557" customWidth="1"/>
    <col min="7173" max="7173" width="6.5" style="557" customWidth="1"/>
    <col min="7174" max="7174" width="0" style="557" hidden="1" customWidth="1"/>
    <col min="7175" max="7175" width="17.3984375" style="557" customWidth="1"/>
    <col min="7176" max="7176" width="1.59765625" style="557" customWidth="1"/>
    <col min="7177" max="7177" width="29.3984375" style="557" customWidth="1"/>
    <col min="7178" max="7178" width="8.5" style="557" customWidth="1"/>
    <col min="7179" max="7179" width="16.3984375" style="557" customWidth="1"/>
    <col min="7180" max="7180" width="5.5" style="557" customWidth="1"/>
    <col min="7181" max="7181" width="11" style="557" customWidth="1"/>
    <col min="7182" max="7211" width="0" style="557" hidden="1" customWidth="1"/>
    <col min="7212" max="7212" width="19.3984375" style="557" customWidth="1"/>
    <col min="7213" max="7424" width="9.3984375" style="557"/>
    <col min="7425" max="7426" width="0" style="557" hidden="1" customWidth="1"/>
    <col min="7427" max="7427" width="35.3984375" style="557" customWidth="1"/>
    <col min="7428" max="7428" width="11.8984375" style="557" customWidth="1"/>
    <col min="7429" max="7429" width="6.5" style="557" customWidth="1"/>
    <col min="7430" max="7430" width="0" style="557" hidden="1" customWidth="1"/>
    <col min="7431" max="7431" width="17.3984375" style="557" customWidth="1"/>
    <col min="7432" max="7432" width="1.59765625" style="557" customWidth="1"/>
    <col min="7433" max="7433" width="29.3984375" style="557" customWidth="1"/>
    <col min="7434" max="7434" width="8.5" style="557" customWidth="1"/>
    <col min="7435" max="7435" width="16.3984375" style="557" customWidth="1"/>
    <col min="7436" max="7436" width="5.5" style="557" customWidth="1"/>
    <col min="7437" max="7437" width="11" style="557" customWidth="1"/>
    <col min="7438" max="7467" width="0" style="557" hidden="1" customWidth="1"/>
    <col min="7468" max="7468" width="19.3984375" style="557" customWidth="1"/>
    <col min="7469" max="7680" width="9.3984375" style="557"/>
    <col min="7681" max="7682" width="0" style="557" hidden="1" customWidth="1"/>
    <col min="7683" max="7683" width="35.3984375" style="557" customWidth="1"/>
    <col min="7684" max="7684" width="11.8984375" style="557" customWidth="1"/>
    <col min="7685" max="7685" width="6.5" style="557" customWidth="1"/>
    <col min="7686" max="7686" width="0" style="557" hidden="1" customWidth="1"/>
    <col min="7687" max="7687" width="17.3984375" style="557" customWidth="1"/>
    <col min="7688" max="7688" width="1.59765625" style="557" customWidth="1"/>
    <col min="7689" max="7689" width="29.3984375" style="557" customWidth="1"/>
    <col min="7690" max="7690" width="8.5" style="557" customWidth="1"/>
    <col min="7691" max="7691" width="16.3984375" style="557" customWidth="1"/>
    <col min="7692" max="7692" width="5.5" style="557" customWidth="1"/>
    <col min="7693" max="7693" width="11" style="557" customWidth="1"/>
    <col min="7694" max="7723" width="0" style="557" hidden="1" customWidth="1"/>
    <col min="7724" max="7724" width="19.3984375" style="557" customWidth="1"/>
    <col min="7725" max="7936" width="9.3984375" style="557"/>
    <col min="7937" max="7938" width="0" style="557" hidden="1" customWidth="1"/>
    <col min="7939" max="7939" width="35.3984375" style="557" customWidth="1"/>
    <col min="7940" max="7940" width="11.8984375" style="557" customWidth="1"/>
    <col min="7941" max="7941" width="6.5" style="557" customWidth="1"/>
    <col min="7942" max="7942" width="0" style="557" hidden="1" customWidth="1"/>
    <col min="7943" max="7943" width="17.3984375" style="557" customWidth="1"/>
    <col min="7944" max="7944" width="1.59765625" style="557" customWidth="1"/>
    <col min="7945" max="7945" width="29.3984375" style="557" customWidth="1"/>
    <col min="7946" max="7946" width="8.5" style="557" customWidth="1"/>
    <col min="7947" max="7947" width="16.3984375" style="557" customWidth="1"/>
    <col min="7948" max="7948" width="5.5" style="557" customWidth="1"/>
    <col min="7949" max="7949" width="11" style="557" customWidth="1"/>
    <col min="7950" max="7979" width="0" style="557" hidden="1" customWidth="1"/>
    <col min="7980" max="7980" width="19.3984375" style="557" customWidth="1"/>
    <col min="7981" max="8192" width="9.3984375" style="557"/>
    <col min="8193" max="8194" width="0" style="557" hidden="1" customWidth="1"/>
    <col min="8195" max="8195" width="35.3984375" style="557" customWidth="1"/>
    <col min="8196" max="8196" width="11.8984375" style="557" customWidth="1"/>
    <col min="8197" max="8197" width="6.5" style="557" customWidth="1"/>
    <col min="8198" max="8198" width="0" style="557" hidden="1" customWidth="1"/>
    <col min="8199" max="8199" width="17.3984375" style="557" customWidth="1"/>
    <col min="8200" max="8200" width="1.59765625" style="557" customWidth="1"/>
    <col min="8201" max="8201" width="29.3984375" style="557" customWidth="1"/>
    <col min="8202" max="8202" width="8.5" style="557" customWidth="1"/>
    <col min="8203" max="8203" width="16.3984375" style="557" customWidth="1"/>
    <col min="8204" max="8204" width="5.5" style="557" customWidth="1"/>
    <col min="8205" max="8205" width="11" style="557" customWidth="1"/>
    <col min="8206" max="8235" width="0" style="557" hidden="1" customWidth="1"/>
    <col min="8236" max="8236" width="19.3984375" style="557" customWidth="1"/>
    <col min="8237" max="8448" width="9.3984375" style="557"/>
    <col min="8449" max="8450" width="0" style="557" hidden="1" customWidth="1"/>
    <col min="8451" max="8451" width="35.3984375" style="557" customWidth="1"/>
    <col min="8452" max="8452" width="11.8984375" style="557" customWidth="1"/>
    <col min="8453" max="8453" width="6.5" style="557" customWidth="1"/>
    <col min="8454" max="8454" width="0" style="557" hidden="1" customWidth="1"/>
    <col min="8455" max="8455" width="17.3984375" style="557" customWidth="1"/>
    <col min="8456" max="8456" width="1.59765625" style="557" customWidth="1"/>
    <col min="8457" max="8457" width="29.3984375" style="557" customWidth="1"/>
    <col min="8458" max="8458" width="8.5" style="557" customWidth="1"/>
    <col min="8459" max="8459" width="16.3984375" style="557" customWidth="1"/>
    <col min="8460" max="8460" width="5.5" style="557" customWidth="1"/>
    <col min="8461" max="8461" width="11" style="557" customWidth="1"/>
    <col min="8462" max="8491" width="0" style="557" hidden="1" customWidth="1"/>
    <col min="8492" max="8492" width="19.3984375" style="557" customWidth="1"/>
    <col min="8493" max="8704" width="9.3984375" style="557"/>
    <col min="8705" max="8706" width="0" style="557" hidden="1" customWidth="1"/>
    <col min="8707" max="8707" width="35.3984375" style="557" customWidth="1"/>
    <col min="8708" max="8708" width="11.8984375" style="557" customWidth="1"/>
    <col min="8709" max="8709" width="6.5" style="557" customWidth="1"/>
    <col min="8710" max="8710" width="0" style="557" hidden="1" customWidth="1"/>
    <col min="8711" max="8711" width="17.3984375" style="557" customWidth="1"/>
    <col min="8712" max="8712" width="1.59765625" style="557" customWidth="1"/>
    <col min="8713" max="8713" width="29.3984375" style="557" customWidth="1"/>
    <col min="8714" max="8714" width="8.5" style="557" customWidth="1"/>
    <col min="8715" max="8715" width="16.3984375" style="557" customWidth="1"/>
    <col min="8716" max="8716" width="5.5" style="557" customWidth="1"/>
    <col min="8717" max="8717" width="11" style="557" customWidth="1"/>
    <col min="8718" max="8747" width="0" style="557" hidden="1" customWidth="1"/>
    <col min="8748" max="8748" width="19.3984375" style="557" customWidth="1"/>
    <col min="8749" max="8960" width="9.3984375" style="557"/>
    <col min="8961" max="8962" width="0" style="557" hidden="1" customWidth="1"/>
    <col min="8963" max="8963" width="35.3984375" style="557" customWidth="1"/>
    <col min="8964" max="8964" width="11.8984375" style="557" customWidth="1"/>
    <col min="8965" max="8965" width="6.5" style="557" customWidth="1"/>
    <col min="8966" max="8966" width="0" style="557" hidden="1" customWidth="1"/>
    <col min="8967" max="8967" width="17.3984375" style="557" customWidth="1"/>
    <col min="8968" max="8968" width="1.59765625" style="557" customWidth="1"/>
    <col min="8969" max="8969" width="29.3984375" style="557" customWidth="1"/>
    <col min="8970" max="8970" width="8.5" style="557" customWidth="1"/>
    <col min="8971" max="8971" width="16.3984375" style="557" customWidth="1"/>
    <col min="8972" max="8972" width="5.5" style="557" customWidth="1"/>
    <col min="8973" max="8973" width="11" style="557" customWidth="1"/>
    <col min="8974" max="9003" width="0" style="557" hidden="1" customWidth="1"/>
    <col min="9004" max="9004" width="19.3984375" style="557" customWidth="1"/>
    <col min="9005" max="9216" width="9.3984375" style="557"/>
    <col min="9217" max="9218" width="0" style="557" hidden="1" customWidth="1"/>
    <col min="9219" max="9219" width="35.3984375" style="557" customWidth="1"/>
    <col min="9220" max="9220" width="11.8984375" style="557" customWidth="1"/>
    <col min="9221" max="9221" width="6.5" style="557" customWidth="1"/>
    <col min="9222" max="9222" width="0" style="557" hidden="1" customWidth="1"/>
    <col min="9223" max="9223" width="17.3984375" style="557" customWidth="1"/>
    <col min="9224" max="9224" width="1.59765625" style="557" customWidth="1"/>
    <col min="9225" max="9225" width="29.3984375" style="557" customWidth="1"/>
    <col min="9226" max="9226" width="8.5" style="557" customWidth="1"/>
    <col min="9227" max="9227" width="16.3984375" style="557" customWidth="1"/>
    <col min="9228" max="9228" width="5.5" style="557" customWidth="1"/>
    <col min="9229" max="9229" width="11" style="557" customWidth="1"/>
    <col min="9230" max="9259" width="0" style="557" hidden="1" customWidth="1"/>
    <col min="9260" max="9260" width="19.3984375" style="557" customWidth="1"/>
    <col min="9261" max="9472" width="9.3984375" style="557"/>
    <col min="9473" max="9474" width="0" style="557" hidden="1" customWidth="1"/>
    <col min="9475" max="9475" width="35.3984375" style="557" customWidth="1"/>
    <col min="9476" max="9476" width="11.8984375" style="557" customWidth="1"/>
    <col min="9477" max="9477" width="6.5" style="557" customWidth="1"/>
    <col min="9478" max="9478" width="0" style="557" hidden="1" customWidth="1"/>
    <col min="9479" max="9479" width="17.3984375" style="557" customWidth="1"/>
    <col min="9480" max="9480" width="1.59765625" style="557" customWidth="1"/>
    <col min="9481" max="9481" width="29.3984375" style="557" customWidth="1"/>
    <col min="9482" max="9482" width="8.5" style="557" customWidth="1"/>
    <col min="9483" max="9483" width="16.3984375" style="557" customWidth="1"/>
    <col min="9484" max="9484" width="5.5" style="557" customWidth="1"/>
    <col min="9485" max="9485" width="11" style="557" customWidth="1"/>
    <col min="9486" max="9515" width="0" style="557" hidden="1" customWidth="1"/>
    <col min="9516" max="9516" width="19.3984375" style="557" customWidth="1"/>
    <col min="9517" max="9728" width="9.3984375" style="557"/>
    <col min="9729" max="9730" width="0" style="557" hidden="1" customWidth="1"/>
    <col min="9731" max="9731" width="35.3984375" style="557" customWidth="1"/>
    <col min="9732" max="9732" width="11.8984375" style="557" customWidth="1"/>
    <col min="9733" max="9733" width="6.5" style="557" customWidth="1"/>
    <col min="9734" max="9734" width="0" style="557" hidden="1" customWidth="1"/>
    <col min="9735" max="9735" width="17.3984375" style="557" customWidth="1"/>
    <col min="9736" max="9736" width="1.59765625" style="557" customWidth="1"/>
    <col min="9737" max="9737" width="29.3984375" style="557" customWidth="1"/>
    <col min="9738" max="9738" width="8.5" style="557" customWidth="1"/>
    <col min="9739" max="9739" width="16.3984375" style="557" customWidth="1"/>
    <col min="9740" max="9740" width="5.5" style="557" customWidth="1"/>
    <col min="9741" max="9741" width="11" style="557" customWidth="1"/>
    <col min="9742" max="9771" width="0" style="557" hidden="1" customWidth="1"/>
    <col min="9772" max="9772" width="19.3984375" style="557" customWidth="1"/>
    <col min="9773" max="9984" width="9.3984375" style="557"/>
    <col min="9985" max="9986" width="0" style="557" hidden="1" customWidth="1"/>
    <col min="9987" max="9987" width="35.3984375" style="557" customWidth="1"/>
    <col min="9988" max="9988" width="11.8984375" style="557" customWidth="1"/>
    <col min="9989" max="9989" width="6.5" style="557" customWidth="1"/>
    <col min="9990" max="9990" width="0" style="557" hidden="1" customWidth="1"/>
    <col min="9991" max="9991" width="17.3984375" style="557" customWidth="1"/>
    <col min="9992" max="9992" width="1.59765625" style="557" customWidth="1"/>
    <col min="9993" max="9993" width="29.3984375" style="557" customWidth="1"/>
    <col min="9994" max="9994" width="8.5" style="557" customWidth="1"/>
    <col min="9995" max="9995" width="16.3984375" style="557" customWidth="1"/>
    <col min="9996" max="9996" width="5.5" style="557" customWidth="1"/>
    <col min="9997" max="9997" width="11" style="557" customWidth="1"/>
    <col min="9998" max="10027" width="0" style="557" hidden="1" customWidth="1"/>
    <col min="10028" max="10028" width="19.3984375" style="557" customWidth="1"/>
    <col min="10029" max="10240" width="9.3984375" style="557"/>
    <col min="10241" max="10242" width="0" style="557" hidden="1" customWidth="1"/>
    <col min="10243" max="10243" width="35.3984375" style="557" customWidth="1"/>
    <col min="10244" max="10244" width="11.8984375" style="557" customWidth="1"/>
    <col min="10245" max="10245" width="6.5" style="557" customWidth="1"/>
    <col min="10246" max="10246" width="0" style="557" hidden="1" customWidth="1"/>
    <col min="10247" max="10247" width="17.3984375" style="557" customWidth="1"/>
    <col min="10248" max="10248" width="1.59765625" style="557" customWidth="1"/>
    <col min="10249" max="10249" width="29.3984375" style="557" customWidth="1"/>
    <col min="10250" max="10250" width="8.5" style="557" customWidth="1"/>
    <col min="10251" max="10251" width="16.3984375" style="557" customWidth="1"/>
    <col min="10252" max="10252" width="5.5" style="557" customWidth="1"/>
    <col min="10253" max="10253" width="11" style="557" customWidth="1"/>
    <col min="10254" max="10283" width="0" style="557" hidden="1" customWidth="1"/>
    <col min="10284" max="10284" width="19.3984375" style="557" customWidth="1"/>
    <col min="10285" max="10496" width="9.3984375" style="557"/>
    <col min="10497" max="10498" width="0" style="557" hidden="1" customWidth="1"/>
    <col min="10499" max="10499" width="35.3984375" style="557" customWidth="1"/>
    <col min="10500" max="10500" width="11.8984375" style="557" customWidth="1"/>
    <col min="10501" max="10501" width="6.5" style="557" customWidth="1"/>
    <col min="10502" max="10502" width="0" style="557" hidden="1" customWidth="1"/>
    <col min="10503" max="10503" width="17.3984375" style="557" customWidth="1"/>
    <col min="10504" max="10504" width="1.59765625" style="557" customWidth="1"/>
    <col min="10505" max="10505" width="29.3984375" style="557" customWidth="1"/>
    <col min="10506" max="10506" width="8.5" style="557" customWidth="1"/>
    <col min="10507" max="10507" width="16.3984375" style="557" customWidth="1"/>
    <col min="10508" max="10508" width="5.5" style="557" customWidth="1"/>
    <col min="10509" max="10509" width="11" style="557" customWidth="1"/>
    <col min="10510" max="10539" width="0" style="557" hidden="1" customWidth="1"/>
    <col min="10540" max="10540" width="19.3984375" style="557" customWidth="1"/>
    <col min="10541" max="10752" width="9.3984375" style="557"/>
    <col min="10753" max="10754" width="0" style="557" hidden="1" customWidth="1"/>
    <col min="10755" max="10755" width="35.3984375" style="557" customWidth="1"/>
    <col min="10756" max="10756" width="11.8984375" style="557" customWidth="1"/>
    <col min="10757" max="10757" width="6.5" style="557" customWidth="1"/>
    <col min="10758" max="10758" width="0" style="557" hidden="1" customWidth="1"/>
    <col min="10759" max="10759" width="17.3984375" style="557" customWidth="1"/>
    <col min="10760" max="10760" width="1.59765625" style="557" customWidth="1"/>
    <col min="10761" max="10761" width="29.3984375" style="557" customWidth="1"/>
    <col min="10762" max="10762" width="8.5" style="557" customWidth="1"/>
    <col min="10763" max="10763" width="16.3984375" style="557" customWidth="1"/>
    <col min="10764" max="10764" width="5.5" style="557" customWidth="1"/>
    <col min="10765" max="10765" width="11" style="557" customWidth="1"/>
    <col min="10766" max="10795" width="0" style="557" hidden="1" customWidth="1"/>
    <col min="10796" max="10796" width="19.3984375" style="557" customWidth="1"/>
    <col min="10797" max="11008" width="9.3984375" style="557"/>
    <col min="11009" max="11010" width="0" style="557" hidden="1" customWidth="1"/>
    <col min="11011" max="11011" width="35.3984375" style="557" customWidth="1"/>
    <col min="11012" max="11012" width="11.8984375" style="557" customWidth="1"/>
    <col min="11013" max="11013" width="6.5" style="557" customWidth="1"/>
    <col min="11014" max="11014" width="0" style="557" hidden="1" customWidth="1"/>
    <col min="11015" max="11015" width="17.3984375" style="557" customWidth="1"/>
    <col min="11016" max="11016" width="1.59765625" style="557" customWidth="1"/>
    <col min="11017" max="11017" width="29.3984375" style="557" customWidth="1"/>
    <col min="11018" max="11018" width="8.5" style="557" customWidth="1"/>
    <col min="11019" max="11019" width="16.3984375" style="557" customWidth="1"/>
    <col min="11020" max="11020" width="5.5" style="557" customWidth="1"/>
    <col min="11021" max="11021" width="11" style="557" customWidth="1"/>
    <col min="11022" max="11051" width="0" style="557" hidden="1" customWidth="1"/>
    <col min="11052" max="11052" width="19.3984375" style="557" customWidth="1"/>
    <col min="11053" max="11264" width="9.3984375" style="557"/>
    <col min="11265" max="11266" width="0" style="557" hidden="1" customWidth="1"/>
    <col min="11267" max="11267" width="35.3984375" style="557" customWidth="1"/>
    <col min="11268" max="11268" width="11.8984375" style="557" customWidth="1"/>
    <col min="11269" max="11269" width="6.5" style="557" customWidth="1"/>
    <col min="11270" max="11270" width="0" style="557" hidden="1" customWidth="1"/>
    <col min="11271" max="11271" width="17.3984375" style="557" customWidth="1"/>
    <col min="11272" max="11272" width="1.59765625" style="557" customWidth="1"/>
    <col min="11273" max="11273" width="29.3984375" style="557" customWidth="1"/>
    <col min="11274" max="11274" width="8.5" style="557" customWidth="1"/>
    <col min="11275" max="11275" width="16.3984375" style="557" customWidth="1"/>
    <col min="11276" max="11276" width="5.5" style="557" customWidth="1"/>
    <col min="11277" max="11277" width="11" style="557" customWidth="1"/>
    <col min="11278" max="11307" width="0" style="557" hidden="1" customWidth="1"/>
    <col min="11308" max="11308" width="19.3984375" style="557" customWidth="1"/>
    <col min="11309" max="11520" width="9.3984375" style="557"/>
    <col min="11521" max="11522" width="0" style="557" hidden="1" customWidth="1"/>
    <col min="11523" max="11523" width="35.3984375" style="557" customWidth="1"/>
    <col min="11524" max="11524" width="11.8984375" style="557" customWidth="1"/>
    <col min="11525" max="11525" width="6.5" style="557" customWidth="1"/>
    <col min="11526" max="11526" width="0" style="557" hidden="1" customWidth="1"/>
    <col min="11527" max="11527" width="17.3984375" style="557" customWidth="1"/>
    <col min="11528" max="11528" width="1.59765625" style="557" customWidth="1"/>
    <col min="11529" max="11529" width="29.3984375" style="557" customWidth="1"/>
    <col min="11530" max="11530" width="8.5" style="557" customWidth="1"/>
    <col min="11531" max="11531" width="16.3984375" style="557" customWidth="1"/>
    <col min="11532" max="11532" width="5.5" style="557" customWidth="1"/>
    <col min="11533" max="11533" width="11" style="557" customWidth="1"/>
    <col min="11534" max="11563" width="0" style="557" hidden="1" customWidth="1"/>
    <col min="11564" max="11564" width="19.3984375" style="557" customWidth="1"/>
    <col min="11565" max="11776" width="9.3984375" style="557"/>
    <col min="11777" max="11778" width="0" style="557" hidden="1" customWidth="1"/>
    <col min="11779" max="11779" width="35.3984375" style="557" customWidth="1"/>
    <col min="11780" max="11780" width="11.8984375" style="557" customWidth="1"/>
    <col min="11781" max="11781" width="6.5" style="557" customWidth="1"/>
    <col min="11782" max="11782" width="0" style="557" hidden="1" customWidth="1"/>
    <col min="11783" max="11783" width="17.3984375" style="557" customWidth="1"/>
    <col min="11784" max="11784" width="1.59765625" style="557" customWidth="1"/>
    <col min="11785" max="11785" width="29.3984375" style="557" customWidth="1"/>
    <col min="11786" max="11786" width="8.5" style="557" customWidth="1"/>
    <col min="11787" max="11787" width="16.3984375" style="557" customWidth="1"/>
    <col min="11788" max="11788" width="5.5" style="557" customWidth="1"/>
    <col min="11789" max="11789" width="11" style="557" customWidth="1"/>
    <col min="11790" max="11819" width="0" style="557" hidden="1" customWidth="1"/>
    <col min="11820" max="11820" width="19.3984375" style="557" customWidth="1"/>
    <col min="11821" max="12032" width="9.3984375" style="557"/>
    <col min="12033" max="12034" width="0" style="557" hidden="1" customWidth="1"/>
    <col min="12035" max="12035" width="35.3984375" style="557" customWidth="1"/>
    <col min="12036" max="12036" width="11.8984375" style="557" customWidth="1"/>
    <col min="12037" max="12037" width="6.5" style="557" customWidth="1"/>
    <col min="12038" max="12038" width="0" style="557" hidden="1" customWidth="1"/>
    <col min="12039" max="12039" width="17.3984375" style="557" customWidth="1"/>
    <col min="12040" max="12040" width="1.59765625" style="557" customWidth="1"/>
    <col min="12041" max="12041" width="29.3984375" style="557" customWidth="1"/>
    <col min="12042" max="12042" width="8.5" style="557" customWidth="1"/>
    <col min="12043" max="12043" width="16.3984375" style="557" customWidth="1"/>
    <col min="12044" max="12044" width="5.5" style="557" customWidth="1"/>
    <col min="12045" max="12045" width="11" style="557" customWidth="1"/>
    <col min="12046" max="12075" width="0" style="557" hidden="1" customWidth="1"/>
    <col min="12076" max="12076" width="19.3984375" style="557" customWidth="1"/>
    <col min="12077" max="12288" width="9.3984375" style="557"/>
    <col min="12289" max="12290" width="0" style="557" hidden="1" customWidth="1"/>
    <col min="12291" max="12291" width="35.3984375" style="557" customWidth="1"/>
    <col min="12292" max="12292" width="11.8984375" style="557" customWidth="1"/>
    <col min="12293" max="12293" width="6.5" style="557" customWidth="1"/>
    <col min="12294" max="12294" width="0" style="557" hidden="1" customWidth="1"/>
    <col min="12295" max="12295" width="17.3984375" style="557" customWidth="1"/>
    <col min="12296" max="12296" width="1.59765625" style="557" customWidth="1"/>
    <col min="12297" max="12297" width="29.3984375" style="557" customWidth="1"/>
    <col min="12298" max="12298" width="8.5" style="557" customWidth="1"/>
    <col min="12299" max="12299" width="16.3984375" style="557" customWidth="1"/>
    <col min="12300" max="12300" width="5.5" style="557" customWidth="1"/>
    <col min="12301" max="12301" width="11" style="557" customWidth="1"/>
    <col min="12302" max="12331" width="0" style="557" hidden="1" customWidth="1"/>
    <col min="12332" max="12332" width="19.3984375" style="557" customWidth="1"/>
    <col min="12333" max="12544" width="9.3984375" style="557"/>
    <col min="12545" max="12546" width="0" style="557" hidden="1" customWidth="1"/>
    <col min="12547" max="12547" width="35.3984375" style="557" customWidth="1"/>
    <col min="12548" max="12548" width="11.8984375" style="557" customWidth="1"/>
    <col min="12549" max="12549" width="6.5" style="557" customWidth="1"/>
    <col min="12550" max="12550" width="0" style="557" hidden="1" customWidth="1"/>
    <col min="12551" max="12551" width="17.3984375" style="557" customWidth="1"/>
    <col min="12552" max="12552" width="1.59765625" style="557" customWidth="1"/>
    <col min="12553" max="12553" width="29.3984375" style="557" customWidth="1"/>
    <col min="12554" max="12554" width="8.5" style="557" customWidth="1"/>
    <col min="12555" max="12555" width="16.3984375" style="557" customWidth="1"/>
    <col min="12556" max="12556" width="5.5" style="557" customWidth="1"/>
    <col min="12557" max="12557" width="11" style="557" customWidth="1"/>
    <col min="12558" max="12587" width="0" style="557" hidden="1" customWidth="1"/>
    <col min="12588" max="12588" width="19.3984375" style="557" customWidth="1"/>
    <col min="12589" max="12800" width="9.3984375" style="557"/>
    <col min="12801" max="12802" width="0" style="557" hidden="1" customWidth="1"/>
    <col min="12803" max="12803" width="35.3984375" style="557" customWidth="1"/>
    <col min="12804" max="12804" width="11.8984375" style="557" customWidth="1"/>
    <col min="12805" max="12805" width="6.5" style="557" customWidth="1"/>
    <col min="12806" max="12806" width="0" style="557" hidden="1" customWidth="1"/>
    <col min="12807" max="12807" width="17.3984375" style="557" customWidth="1"/>
    <col min="12808" max="12808" width="1.59765625" style="557" customWidth="1"/>
    <col min="12809" max="12809" width="29.3984375" style="557" customWidth="1"/>
    <col min="12810" max="12810" width="8.5" style="557" customWidth="1"/>
    <col min="12811" max="12811" width="16.3984375" style="557" customWidth="1"/>
    <col min="12812" max="12812" width="5.5" style="557" customWidth="1"/>
    <col min="12813" max="12813" width="11" style="557" customWidth="1"/>
    <col min="12814" max="12843" width="0" style="557" hidden="1" customWidth="1"/>
    <col min="12844" max="12844" width="19.3984375" style="557" customWidth="1"/>
    <col min="12845" max="13056" width="9.3984375" style="557"/>
    <col min="13057" max="13058" width="0" style="557" hidden="1" customWidth="1"/>
    <col min="13059" max="13059" width="35.3984375" style="557" customWidth="1"/>
    <col min="13060" max="13060" width="11.8984375" style="557" customWidth="1"/>
    <col min="13061" max="13061" width="6.5" style="557" customWidth="1"/>
    <col min="13062" max="13062" width="0" style="557" hidden="1" customWidth="1"/>
    <col min="13063" max="13063" width="17.3984375" style="557" customWidth="1"/>
    <col min="13064" max="13064" width="1.59765625" style="557" customWidth="1"/>
    <col min="13065" max="13065" width="29.3984375" style="557" customWidth="1"/>
    <col min="13066" max="13066" width="8.5" style="557" customWidth="1"/>
    <col min="13067" max="13067" width="16.3984375" style="557" customWidth="1"/>
    <col min="13068" max="13068" width="5.5" style="557" customWidth="1"/>
    <col min="13069" max="13069" width="11" style="557" customWidth="1"/>
    <col min="13070" max="13099" width="0" style="557" hidden="1" customWidth="1"/>
    <col min="13100" max="13100" width="19.3984375" style="557" customWidth="1"/>
    <col min="13101" max="13312" width="9.3984375" style="557"/>
    <col min="13313" max="13314" width="0" style="557" hidden="1" customWidth="1"/>
    <col min="13315" max="13315" width="35.3984375" style="557" customWidth="1"/>
    <col min="13316" max="13316" width="11.8984375" style="557" customWidth="1"/>
    <col min="13317" max="13317" width="6.5" style="557" customWidth="1"/>
    <col min="13318" max="13318" width="0" style="557" hidden="1" customWidth="1"/>
    <col min="13319" max="13319" width="17.3984375" style="557" customWidth="1"/>
    <col min="13320" max="13320" width="1.59765625" style="557" customWidth="1"/>
    <col min="13321" max="13321" width="29.3984375" style="557" customWidth="1"/>
    <col min="13322" max="13322" width="8.5" style="557" customWidth="1"/>
    <col min="13323" max="13323" width="16.3984375" style="557" customWidth="1"/>
    <col min="13324" max="13324" width="5.5" style="557" customWidth="1"/>
    <col min="13325" max="13325" width="11" style="557" customWidth="1"/>
    <col min="13326" max="13355" width="0" style="557" hidden="1" customWidth="1"/>
    <col min="13356" max="13356" width="19.3984375" style="557" customWidth="1"/>
    <col min="13357" max="13568" width="9.3984375" style="557"/>
    <col min="13569" max="13570" width="0" style="557" hidden="1" customWidth="1"/>
    <col min="13571" max="13571" width="35.3984375" style="557" customWidth="1"/>
    <col min="13572" max="13572" width="11.8984375" style="557" customWidth="1"/>
    <col min="13573" max="13573" width="6.5" style="557" customWidth="1"/>
    <col min="13574" max="13574" width="0" style="557" hidden="1" customWidth="1"/>
    <col min="13575" max="13575" width="17.3984375" style="557" customWidth="1"/>
    <col min="13576" max="13576" width="1.59765625" style="557" customWidth="1"/>
    <col min="13577" max="13577" width="29.3984375" style="557" customWidth="1"/>
    <col min="13578" max="13578" width="8.5" style="557" customWidth="1"/>
    <col min="13579" max="13579" width="16.3984375" style="557" customWidth="1"/>
    <col min="13580" max="13580" width="5.5" style="557" customWidth="1"/>
    <col min="13581" max="13581" width="11" style="557" customWidth="1"/>
    <col min="13582" max="13611" width="0" style="557" hidden="1" customWidth="1"/>
    <col min="13612" max="13612" width="19.3984375" style="557" customWidth="1"/>
    <col min="13613" max="13824" width="9.3984375" style="557"/>
    <col min="13825" max="13826" width="0" style="557" hidden="1" customWidth="1"/>
    <col min="13827" max="13827" width="35.3984375" style="557" customWidth="1"/>
    <col min="13828" max="13828" width="11.8984375" style="557" customWidth="1"/>
    <col min="13829" max="13829" width="6.5" style="557" customWidth="1"/>
    <col min="13830" max="13830" width="0" style="557" hidden="1" customWidth="1"/>
    <col min="13831" max="13831" width="17.3984375" style="557" customWidth="1"/>
    <col min="13832" max="13832" width="1.59765625" style="557" customWidth="1"/>
    <col min="13833" max="13833" width="29.3984375" style="557" customWidth="1"/>
    <col min="13834" max="13834" width="8.5" style="557" customWidth="1"/>
    <col min="13835" max="13835" width="16.3984375" style="557" customWidth="1"/>
    <col min="13836" max="13836" width="5.5" style="557" customWidth="1"/>
    <col min="13837" max="13837" width="11" style="557" customWidth="1"/>
    <col min="13838" max="13867" width="0" style="557" hidden="1" customWidth="1"/>
    <col min="13868" max="13868" width="19.3984375" style="557" customWidth="1"/>
    <col min="13869" max="14080" width="9.3984375" style="557"/>
    <col min="14081" max="14082" width="0" style="557" hidden="1" customWidth="1"/>
    <col min="14083" max="14083" width="35.3984375" style="557" customWidth="1"/>
    <col min="14084" max="14084" width="11.8984375" style="557" customWidth="1"/>
    <col min="14085" max="14085" width="6.5" style="557" customWidth="1"/>
    <col min="14086" max="14086" width="0" style="557" hidden="1" customWidth="1"/>
    <col min="14087" max="14087" width="17.3984375" style="557" customWidth="1"/>
    <col min="14088" max="14088" width="1.59765625" style="557" customWidth="1"/>
    <col min="14089" max="14089" width="29.3984375" style="557" customWidth="1"/>
    <col min="14090" max="14090" width="8.5" style="557" customWidth="1"/>
    <col min="14091" max="14091" width="16.3984375" style="557" customWidth="1"/>
    <col min="14092" max="14092" width="5.5" style="557" customWidth="1"/>
    <col min="14093" max="14093" width="11" style="557" customWidth="1"/>
    <col min="14094" max="14123" width="0" style="557" hidden="1" customWidth="1"/>
    <col min="14124" max="14124" width="19.3984375" style="557" customWidth="1"/>
    <col min="14125" max="14336" width="9.3984375" style="557"/>
    <col min="14337" max="14338" width="0" style="557" hidden="1" customWidth="1"/>
    <col min="14339" max="14339" width="35.3984375" style="557" customWidth="1"/>
    <col min="14340" max="14340" width="11.8984375" style="557" customWidth="1"/>
    <col min="14341" max="14341" width="6.5" style="557" customWidth="1"/>
    <col min="14342" max="14342" width="0" style="557" hidden="1" customWidth="1"/>
    <col min="14343" max="14343" width="17.3984375" style="557" customWidth="1"/>
    <col min="14344" max="14344" width="1.59765625" style="557" customWidth="1"/>
    <col min="14345" max="14345" width="29.3984375" style="557" customWidth="1"/>
    <col min="14346" max="14346" width="8.5" style="557" customWidth="1"/>
    <col min="14347" max="14347" width="16.3984375" style="557" customWidth="1"/>
    <col min="14348" max="14348" width="5.5" style="557" customWidth="1"/>
    <col min="14349" max="14349" width="11" style="557" customWidth="1"/>
    <col min="14350" max="14379" width="0" style="557" hidden="1" customWidth="1"/>
    <col min="14380" max="14380" width="19.3984375" style="557" customWidth="1"/>
    <col min="14381" max="14592" width="9.3984375" style="557"/>
    <col min="14593" max="14594" width="0" style="557" hidden="1" customWidth="1"/>
    <col min="14595" max="14595" width="35.3984375" style="557" customWidth="1"/>
    <col min="14596" max="14596" width="11.8984375" style="557" customWidth="1"/>
    <col min="14597" max="14597" width="6.5" style="557" customWidth="1"/>
    <col min="14598" max="14598" width="0" style="557" hidden="1" customWidth="1"/>
    <col min="14599" max="14599" width="17.3984375" style="557" customWidth="1"/>
    <col min="14600" max="14600" width="1.59765625" style="557" customWidth="1"/>
    <col min="14601" max="14601" width="29.3984375" style="557" customWidth="1"/>
    <col min="14602" max="14602" width="8.5" style="557" customWidth="1"/>
    <col min="14603" max="14603" width="16.3984375" style="557" customWidth="1"/>
    <col min="14604" max="14604" width="5.5" style="557" customWidth="1"/>
    <col min="14605" max="14605" width="11" style="557" customWidth="1"/>
    <col min="14606" max="14635" width="0" style="557" hidden="1" customWidth="1"/>
    <col min="14636" max="14636" width="19.3984375" style="557" customWidth="1"/>
    <col min="14637" max="14848" width="9.3984375" style="557"/>
    <col min="14849" max="14850" width="0" style="557" hidden="1" customWidth="1"/>
    <col min="14851" max="14851" width="35.3984375" style="557" customWidth="1"/>
    <col min="14852" max="14852" width="11.8984375" style="557" customWidth="1"/>
    <col min="14853" max="14853" width="6.5" style="557" customWidth="1"/>
    <col min="14854" max="14854" width="0" style="557" hidden="1" customWidth="1"/>
    <col min="14855" max="14855" width="17.3984375" style="557" customWidth="1"/>
    <col min="14856" max="14856" width="1.59765625" style="557" customWidth="1"/>
    <col min="14857" max="14857" width="29.3984375" style="557" customWidth="1"/>
    <col min="14858" max="14858" width="8.5" style="557" customWidth="1"/>
    <col min="14859" max="14859" width="16.3984375" style="557" customWidth="1"/>
    <col min="14860" max="14860" width="5.5" style="557" customWidth="1"/>
    <col min="14861" max="14861" width="11" style="557" customWidth="1"/>
    <col min="14862" max="14891" width="0" style="557" hidden="1" customWidth="1"/>
    <col min="14892" max="14892" width="19.3984375" style="557" customWidth="1"/>
    <col min="14893" max="15104" width="9.3984375" style="557"/>
    <col min="15105" max="15106" width="0" style="557" hidden="1" customWidth="1"/>
    <col min="15107" max="15107" width="35.3984375" style="557" customWidth="1"/>
    <col min="15108" max="15108" width="11.8984375" style="557" customWidth="1"/>
    <col min="15109" max="15109" width="6.5" style="557" customWidth="1"/>
    <col min="15110" max="15110" width="0" style="557" hidden="1" customWidth="1"/>
    <col min="15111" max="15111" width="17.3984375" style="557" customWidth="1"/>
    <col min="15112" max="15112" width="1.59765625" style="557" customWidth="1"/>
    <col min="15113" max="15113" width="29.3984375" style="557" customWidth="1"/>
    <col min="15114" max="15114" width="8.5" style="557" customWidth="1"/>
    <col min="15115" max="15115" width="16.3984375" style="557" customWidth="1"/>
    <col min="15116" max="15116" width="5.5" style="557" customWidth="1"/>
    <col min="15117" max="15117" width="11" style="557" customWidth="1"/>
    <col min="15118" max="15147" width="0" style="557" hidden="1" customWidth="1"/>
    <col min="15148" max="15148" width="19.3984375" style="557" customWidth="1"/>
    <col min="15149" max="15360" width="9.3984375" style="557"/>
    <col min="15361" max="15362" width="0" style="557" hidden="1" customWidth="1"/>
    <col min="15363" max="15363" width="35.3984375" style="557" customWidth="1"/>
    <col min="15364" max="15364" width="11.8984375" style="557" customWidth="1"/>
    <col min="15365" max="15365" width="6.5" style="557" customWidth="1"/>
    <col min="15366" max="15366" width="0" style="557" hidden="1" customWidth="1"/>
    <col min="15367" max="15367" width="17.3984375" style="557" customWidth="1"/>
    <col min="15368" max="15368" width="1.59765625" style="557" customWidth="1"/>
    <col min="15369" max="15369" width="29.3984375" style="557" customWidth="1"/>
    <col min="15370" max="15370" width="8.5" style="557" customWidth="1"/>
    <col min="15371" max="15371" width="16.3984375" style="557" customWidth="1"/>
    <col min="15372" max="15372" width="5.5" style="557" customWidth="1"/>
    <col min="15373" max="15373" width="11" style="557" customWidth="1"/>
    <col min="15374" max="15403" width="0" style="557" hidden="1" customWidth="1"/>
    <col min="15404" max="15404" width="19.3984375" style="557" customWidth="1"/>
    <col min="15405" max="15616" width="9.3984375" style="557"/>
    <col min="15617" max="15618" width="0" style="557" hidden="1" customWidth="1"/>
    <col min="15619" max="15619" width="35.3984375" style="557" customWidth="1"/>
    <col min="15620" max="15620" width="11.8984375" style="557" customWidth="1"/>
    <col min="15621" max="15621" width="6.5" style="557" customWidth="1"/>
    <col min="15622" max="15622" width="0" style="557" hidden="1" customWidth="1"/>
    <col min="15623" max="15623" width="17.3984375" style="557" customWidth="1"/>
    <col min="15624" max="15624" width="1.59765625" style="557" customWidth="1"/>
    <col min="15625" max="15625" width="29.3984375" style="557" customWidth="1"/>
    <col min="15626" max="15626" width="8.5" style="557" customWidth="1"/>
    <col min="15627" max="15627" width="16.3984375" style="557" customWidth="1"/>
    <col min="15628" max="15628" width="5.5" style="557" customWidth="1"/>
    <col min="15629" max="15629" width="11" style="557" customWidth="1"/>
    <col min="15630" max="15659" width="0" style="557" hidden="1" customWidth="1"/>
    <col min="15660" max="15660" width="19.3984375" style="557" customWidth="1"/>
    <col min="15661" max="15872" width="9.3984375" style="557"/>
    <col min="15873" max="15874" width="0" style="557" hidden="1" customWidth="1"/>
    <col min="15875" max="15875" width="35.3984375" style="557" customWidth="1"/>
    <col min="15876" max="15876" width="11.8984375" style="557" customWidth="1"/>
    <col min="15877" max="15877" width="6.5" style="557" customWidth="1"/>
    <col min="15878" max="15878" width="0" style="557" hidden="1" customWidth="1"/>
    <col min="15879" max="15879" width="17.3984375" style="557" customWidth="1"/>
    <col min="15880" max="15880" width="1.59765625" style="557" customWidth="1"/>
    <col min="15881" max="15881" width="29.3984375" style="557" customWidth="1"/>
    <col min="15882" max="15882" width="8.5" style="557" customWidth="1"/>
    <col min="15883" max="15883" width="16.3984375" style="557" customWidth="1"/>
    <col min="15884" max="15884" width="5.5" style="557" customWidth="1"/>
    <col min="15885" max="15885" width="11" style="557" customWidth="1"/>
    <col min="15886" max="15915" width="0" style="557" hidden="1" customWidth="1"/>
    <col min="15916" max="15916" width="19.3984375" style="557" customWidth="1"/>
    <col min="15917" max="16128" width="9.3984375" style="557"/>
    <col min="16129" max="16130" width="0" style="557" hidden="1" customWidth="1"/>
    <col min="16131" max="16131" width="35.3984375" style="557" customWidth="1"/>
    <col min="16132" max="16132" width="11.8984375" style="557" customWidth="1"/>
    <col min="16133" max="16133" width="6.5" style="557" customWidth="1"/>
    <col min="16134" max="16134" width="0" style="557" hidden="1" customWidth="1"/>
    <col min="16135" max="16135" width="17.3984375" style="557" customWidth="1"/>
    <col min="16136" max="16136" width="1.59765625" style="557" customWidth="1"/>
    <col min="16137" max="16137" width="29.3984375" style="557" customWidth="1"/>
    <col min="16138" max="16138" width="8.5" style="557" customWidth="1"/>
    <col min="16139" max="16139" width="16.3984375" style="557" customWidth="1"/>
    <col min="16140" max="16140" width="5.5" style="557" customWidth="1"/>
    <col min="16141" max="16141" width="11" style="557" customWidth="1"/>
    <col min="16142" max="16171" width="0" style="557" hidden="1" customWidth="1"/>
    <col min="16172" max="16172" width="19.3984375" style="557" customWidth="1"/>
    <col min="16173" max="16384" width="9.3984375" style="557"/>
  </cols>
  <sheetData>
    <row r="1" spans="1:95" ht="91.5" hidden="1" customHeight="1">
      <c r="C1" s="1462" t="str">
        <f>"RAPPORT D'ANALYSE DE SOL n°" &amp;A9</f>
        <v>RAPPORT D'ANALYSE DE SOL n°802970</v>
      </c>
      <c r="D1" s="1462"/>
      <c r="E1" s="1462"/>
      <c r="F1" s="1462"/>
      <c r="G1" s="1462"/>
      <c r="H1" s="1462"/>
      <c r="I1" s="1462"/>
      <c r="J1" s="1462"/>
      <c r="K1" s="1462"/>
      <c r="L1" s="1462"/>
      <c r="M1" s="1462"/>
      <c r="N1" s="558" t="s">
        <v>1011</v>
      </c>
      <c r="O1" s="558" t="s">
        <v>1012</v>
      </c>
      <c r="P1" s="558" t="s">
        <v>1013</v>
      </c>
      <c r="Q1" s="558" t="s">
        <v>1014</v>
      </c>
    </row>
    <row r="2" spans="1:95" ht="13.5" hidden="1" customHeight="1">
      <c r="C2" s="1463" t="s">
        <v>1015</v>
      </c>
      <c r="D2" s="1464"/>
      <c r="E2" s="1464"/>
      <c r="F2" s="1465"/>
      <c r="G2" s="1466" t="s">
        <v>1016</v>
      </c>
      <c r="H2" s="1464"/>
      <c r="I2" s="1467"/>
      <c r="N2" s="557">
        <f>46.203*D48-199.52</f>
        <v>193.2055</v>
      </c>
      <c r="O2" s="557" t="e">
        <f>Ca_sur_CECs+K_CECs+Mg_CECs</f>
        <v>#VALUE!</v>
      </c>
      <c r="P2" s="560" t="s">
        <v>1017</v>
      </c>
      <c r="Q2" s="557">
        <f>W18/Q4*100</f>
        <v>56.000000000000007</v>
      </c>
      <c r="R2" s="557">
        <v>150</v>
      </c>
    </row>
    <row r="3" spans="1:95" ht="13.5" hidden="1" customHeight="1">
      <c r="C3" s="1468" t="str">
        <f>UPPER($B$9)</f>
        <v xml:space="preserve">SAID HAMOUCHI </v>
      </c>
      <c r="D3" s="1469"/>
      <c r="E3" s="1469"/>
      <c r="F3" s="1470"/>
      <c r="G3" s="1471" t="str">
        <f>UPPER(Y9)</f>
        <v/>
      </c>
      <c r="H3" s="1472"/>
      <c r="I3" s="1473"/>
      <c r="K3" s="561"/>
      <c r="L3" s="1456"/>
      <c r="M3" s="1456"/>
      <c r="N3" s="562" t="str">
        <f ca="1">K8</f>
        <v>DATE D'EDITION      :  24 / 03 / 23</v>
      </c>
      <c r="O3" s="562"/>
      <c r="P3" s="560" t="s">
        <v>1018</v>
      </c>
      <c r="Q3" s="557">
        <f>((W20+W22)/Q4*100)</f>
        <v>30</v>
      </c>
      <c r="R3" s="557">
        <v>200</v>
      </c>
      <c r="U3" s="563">
        <f>(pHeaus/3.5)+(calcairetots/120)+(Limonss/160)</f>
        <v>6.0035714285714281</v>
      </c>
      <c r="V3" s="563">
        <f>(pHeaus/3.6)+(calcairetots/120)+(Limonss/110)</f>
        <v>6.7883838383838384</v>
      </c>
    </row>
    <row r="4" spans="1:95" ht="14.25" hidden="1" customHeight="1">
      <c r="C4" s="1479" t="str">
        <f>UPPER($C$9)</f>
        <v>BELFAA CHTOUKA AGADIR</v>
      </c>
      <c r="D4" s="1457"/>
      <c r="E4" s="1457"/>
      <c r="F4" s="1480"/>
      <c r="G4" s="1474"/>
      <c r="H4" s="1442"/>
      <c r="I4" s="1475"/>
      <c r="L4" s="1481"/>
      <c r="M4" s="1481"/>
      <c r="P4" s="557" t="s">
        <v>500</v>
      </c>
      <c r="Q4" s="557">
        <f>SUM(W18:W26)</f>
        <v>1000</v>
      </c>
      <c r="U4" s="557">
        <f>(CT/36)+(pHeaus/6)+(Limonss/160)</f>
        <v>8.9583333333333339</v>
      </c>
    </row>
    <row r="5" spans="1:95" ht="14.25" hidden="1" customHeight="1">
      <c r="C5" s="1479" t="str">
        <f>($D$9)</f>
        <v>_</v>
      </c>
      <c r="D5" s="1457"/>
      <c r="E5" s="1457"/>
      <c r="F5" s="1480"/>
      <c r="G5" s="1474"/>
      <c r="H5" s="1442"/>
      <c r="I5" s="1475"/>
      <c r="L5" s="564"/>
      <c r="M5" s="565"/>
      <c r="N5" s="566">
        <f>IF(Limonss&gt;400,V3,U3)</f>
        <v>6.0035714285714281</v>
      </c>
      <c r="O5" s="567" t="s">
        <v>1019</v>
      </c>
    </row>
    <row r="6" spans="1:95" ht="12" hidden="1" customHeight="1">
      <c r="C6" s="1482">
        <f>$E$9</f>
        <v>43368</v>
      </c>
      <c r="D6" s="1483"/>
      <c r="E6" s="1483"/>
      <c r="F6" s="1484"/>
      <c r="G6" s="1476"/>
      <c r="H6" s="1477"/>
      <c r="I6" s="1478"/>
      <c r="N6" s="566">
        <f>(MgsurKs/2)+(CasurKs/10)+(Argiles/150)-1</f>
        <v>8.3075211255411254</v>
      </c>
      <c r="O6" s="557" t="s">
        <v>1020</v>
      </c>
      <c r="Q6" s="557">
        <v>1E-4</v>
      </c>
      <c r="R6" s="557">
        <v>100</v>
      </c>
      <c r="S6" s="557">
        <v>45</v>
      </c>
      <c r="T6" s="557">
        <v>0.01</v>
      </c>
      <c r="U6" s="557">
        <v>0.01</v>
      </c>
      <c r="V6" s="557">
        <v>60</v>
      </c>
      <c r="W6" s="557">
        <v>81</v>
      </c>
      <c r="X6" s="557">
        <v>0.01</v>
      </c>
      <c r="Y6" s="557">
        <v>0.01</v>
      </c>
      <c r="Z6" s="557">
        <v>92</v>
      </c>
      <c r="AA6" s="557">
        <v>100</v>
      </c>
      <c r="AB6" s="557">
        <v>75</v>
      </c>
      <c r="AC6" s="557">
        <v>45</v>
      </c>
      <c r="AD6" s="557">
        <v>20</v>
      </c>
      <c r="AE6" s="557">
        <v>25</v>
      </c>
      <c r="AF6" s="557">
        <v>25</v>
      </c>
      <c r="AG6" s="557">
        <v>45</v>
      </c>
      <c r="AH6" s="557">
        <v>35</v>
      </c>
      <c r="AI6" s="557">
        <v>25</v>
      </c>
      <c r="AJ6" s="557">
        <v>25</v>
      </c>
      <c r="AK6" s="557">
        <v>73</v>
      </c>
    </row>
    <row r="7" spans="1:95" ht="15.75" hidden="1" customHeight="1">
      <c r="C7" s="1454" t="str">
        <f>"REFERENCES  : "&amp;O9</f>
        <v>REFERENCES  : 43363</v>
      </c>
      <c r="D7" s="1454"/>
      <c r="E7" s="1454"/>
      <c r="F7" s="568" t="e">
        <f>"PROFONDEUR        : "&amp;IF(S9="","",S9&amp;" à "&amp;T9&amp;" cm")</f>
        <v>#REF!</v>
      </c>
      <c r="G7" s="568"/>
      <c r="H7" s="568"/>
      <c r="I7" s="568" t="e">
        <f>"CULTURE :  "&amp;UPPER(Q9)</f>
        <v>#REF!</v>
      </c>
      <c r="K7" s="1426" t="str">
        <f>"VARIETE : "&amp;UPPER(R9)</f>
        <v>VARIETE : 10</v>
      </c>
      <c r="L7" s="1426"/>
      <c r="M7" s="1426"/>
      <c r="N7" s="557">
        <f>((CasurMgs/3)+(8/MgsurKs)+Limonss/160)-1</f>
        <v>3.7801950633830348</v>
      </c>
      <c r="O7" s="557" t="s">
        <v>1021</v>
      </c>
      <c r="Q7" s="557">
        <v>100</v>
      </c>
      <c r="R7" s="557">
        <v>0.01</v>
      </c>
      <c r="S7" s="557">
        <v>55</v>
      </c>
      <c r="T7" s="557">
        <v>60</v>
      </c>
      <c r="U7" s="557">
        <v>46</v>
      </c>
      <c r="V7" s="557">
        <v>38</v>
      </c>
      <c r="W7" s="557">
        <v>19</v>
      </c>
      <c r="X7" s="557">
        <v>22</v>
      </c>
      <c r="Y7" s="557">
        <v>12</v>
      </c>
      <c r="Z7" s="557">
        <v>7</v>
      </c>
      <c r="AA7" s="557">
        <v>0.01</v>
      </c>
      <c r="AB7" s="557">
        <v>0.01</v>
      </c>
      <c r="AC7" s="557">
        <v>40</v>
      </c>
      <c r="AD7" s="557">
        <v>43</v>
      </c>
      <c r="AE7" s="557">
        <v>30</v>
      </c>
      <c r="AF7" s="557">
        <v>0.01</v>
      </c>
      <c r="AG7" s="557">
        <v>0.01</v>
      </c>
      <c r="AH7" s="557">
        <v>20</v>
      </c>
      <c r="AI7" s="557">
        <v>21</v>
      </c>
      <c r="AJ7" s="557">
        <v>30</v>
      </c>
      <c r="AK7" s="557">
        <v>27</v>
      </c>
    </row>
    <row r="8" spans="1:95" ht="16.5" hidden="1" customHeight="1">
      <c r="C8" s="569" t="e">
        <f>"DATE DE PRELEVEMENT :"&amp;" "&amp;TEXT(U9,"jj / mm / aa")</f>
        <v>#REF!</v>
      </c>
      <c r="D8" s="564"/>
      <c r="F8" s="570" t="e">
        <f ca="1">"DATE D'ARRIVEE : "&amp;TEXT(IF($F$9="",NOW(),$F$9),"jj / mm / aa")</f>
        <v>#REF!</v>
      </c>
      <c r="G8" s="569"/>
      <c r="H8" s="564"/>
      <c r="I8" s="569" t="e">
        <f ca="1">"DATE D'ANALYSE : "&amp;TEXT(IF($F$9="",NOW(),$F$9),"jj / mm / aa")</f>
        <v>#REF!</v>
      </c>
      <c r="J8" s="564"/>
      <c r="K8" s="1455" t="str">
        <f ca="1">"DATE D'EDITION      :  "&amp;TEXT(N8,"jj / mm / aa")</f>
        <v>DATE D'EDITION      :  24 / 03 / 23</v>
      </c>
      <c r="L8" s="1455"/>
      <c r="M8" s="1455"/>
      <c r="N8" s="571">
        <f ca="1">+NOW()</f>
        <v>45009.568216435182</v>
      </c>
      <c r="S8" s="557">
        <v>55</v>
      </c>
    </row>
    <row r="9" spans="1:95" s="580" customFormat="1" ht="18" hidden="1">
      <c r="A9" s="572">
        <v>802970</v>
      </c>
      <c r="B9" s="573" t="s">
        <v>1022</v>
      </c>
      <c r="C9" s="574" t="s">
        <v>1023</v>
      </c>
      <c r="D9" s="575" t="s">
        <v>314</v>
      </c>
      <c r="E9" s="576">
        <v>43368</v>
      </c>
      <c r="F9" s="574" t="e">
        <f>MONTH([16]!Table4[[#This Row],[Reçu le]])</f>
        <v>#REF!</v>
      </c>
      <c r="G9" s="574" t="e">
        <f>YEAR([16]!Table4[[#This Row],[Reçu le]])</f>
        <v>#REF!</v>
      </c>
      <c r="H9" s="574">
        <f>1</f>
        <v>1</v>
      </c>
      <c r="I9" s="577" t="s">
        <v>642</v>
      </c>
      <c r="J9" s="575" t="s">
        <v>641</v>
      </c>
      <c r="K9" s="574" t="s">
        <v>1024</v>
      </c>
      <c r="L9" s="575" t="s">
        <v>1025</v>
      </c>
      <c r="M9" s="575" t="s">
        <v>314</v>
      </c>
      <c r="N9" s="578" t="s">
        <v>738</v>
      </c>
      <c r="O9" s="579">
        <v>43363</v>
      </c>
      <c r="P9" s="580" t="s">
        <v>1026</v>
      </c>
      <c r="Q9" s="580" t="e">
        <f>VLOOKUP([16]!Table4[[#This Row],[Commercial]],[16]!Table1[#All],2,FALSE)</f>
        <v>#REF!</v>
      </c>
      <c r="R9" s="581">
        <v>10</v>
      </c>
      <c r="S9" s="582" t="e">
        <f>[16]!Table4[[#This Row],[Reçu le]]+5</f>
        <v>#REF!</v>
      </c>
      <c r="T9" s="583"/>
      <c r="U9" s="584" t="e">
        <f>IF([16]!Table4[[#This Row],[Rapport]]="","En cours d'analyse",NETWORKDAYS([16]!Table4[[#This Row],[Reçu le]],[16]!Table4[[#This Row],[Rapport]]-1))</f>
        <v>#REF!</v>
      </c>
      <c r="V9" s="580">
        <v>0</v>
      </c>
      <c r="W9" s="580">
        <v>30</v>
      </c>
      <c r="Z9" s="580" t="s">
        <v>1027</v>
      </c>
    </row>
    <row r="10" spans="1:95" s="587" customFormat="1" hidden="1">
      <c r="A10" s="585">
        <f>+'BD2'!A2</f>
        <v>905128</v>
      </c>
      <c r="B10" s="585">
        <f>+'BD2'!B2</f>
        <v>204</v>
      </c>
      <c r="C10" s="586">
        <f>+'BD2'!C2</f>
        <v>43.7</v>
      </c>
      <c r="D10" s="586">
        <f>+'BD2'!D2</f>
        <v>8.44</v>
      </c>
      <c r="E10" s="586">
        <f>+'BD2'!E2</f>
        <v>0.218</v>
      </c>
      <c r="F10" s="586">
        <f>+'BD2'!F2</f>
        <v>0</v>
      </c>
      <c r="G10" s="586">
        <f>+'BD2'!G2</f>
        <v>0</v>
      </c>
      <c r="H10" s="586">
        <f>+'BD2'!H2</f>
        <v>239.8</v>
      </c>
      <c r="I10" s="586">
        <f>+'BD2'!I2</f>
        <v>0</v>
      </c>
      <c r="J10" s="586">
        <f>+'BD2'!J2</f>
        <v>0.33465</v>
      </c>
      <c r="K10" s="586">
        <f>+'BD2'!K2</f>
        <v>0.77</v>
      </c>
      <c r="L10" s="586">
        <f>+'BD2'!L2</f>
        <v>1.905</v>
      </c>
      <c r="M10" s="586">
        <f>+'BD2'!M2</f>
        <v>12.24</v>
      </c>
      <c r="N10" s="585">
        <f>+'BD2'!N2</f>
        <v>0.19800000000000001</v>
      </c>
      <c r="O10" s="585">
        <f>+'BD2'!O2</f>
        <v>18.32</v>
      </c>
      <c r="P10" s="585">
        <f>+'BD2'!P2</f>
        <v>1.8516363200000001</v>
      </c>
      <c r="Q10" s="585">
        <f>+'BD2'!Q2</f>
        <v>3.17</v>
      </c>
      <c r="R10" s="585">
        <f>+'BD2'!R2</f>
        <v>0</v>
      </c>
      <c r="S10" s="585">
        <f>+'BD2'!S2</f>
        <v>0</v>
      </c>
      <c r="T10" s="585">
        <f>+'BD2'!T2</f>
        <v>0</v>
      </c>
      <c r="U10" s="585">
        <f>+'BD2'!U2</f>
        <v>0</v>
      </c>
      <c r="V10" s="585">
        <f>+'BD2'!V2</f>
        <v>0</v>
      </c>
      <c r="W10" s="585">
        <f>+'BD2'!W2</f>
        <v>0</v>
      </c>
      <c r="X10" s="585">
        <f>+'BD2'!X2</f>
        <v>0</v>
      </c>
      <c r="Y10" s="585">
        <f>+'BD2'!Y2</f>
        <v>3.17</v>
      </c>
      <c r="Z10" s="585">
        <f>+'BD2'!Z2</f>
        <v>0.75</v>
      </c>
      <c r="AA10" s="585">
        <f>+'BD2'!AA2</f>
        <v>3.17</v>
      </c>
      <c r="AB10" s="585">
        <f>+'BD2'!AB2</f>
        <v>0</v>
      </c>
      <c r="AC10" s="585">
        <f>+'BD2'!AC2</f>
        <v>0</v>
      </c>
      <c r="AD10" s="585">
        <f>+'BD2'!AD2</f>
        <v>0</v>
      </c>
      <c r="AE10" s="585">
        <f>+'BD2'!AE2</f>
        <v>0</v>
      </c>
      <c r="AF10" s="585">
        <f>+'BD2'!AF2</f>
        <v>0</v>
      </c>
      <c r="AG10" s="585">
        <f>+'BD2'!AG2</f>
        <v>0</v>
      </c>
      <c r="AH10" s="585">
        <f>+'BD2'!AH2</f>
        <v>0</v>
      </c>
      <c r="AI10" s="585">
        <f>+'BD2'!AI2</f>
        <v>560</v>
      </c>
      <c r="AJ10" s="585">
        <f>+'BD2'!AJ2</f>
        <v>300</v>
      </c>
      <c r="AK10" s="585">
        <f>+'BD2'!AK2</f>
        <v>0</v>
      </c>
      <c r="AL10" s="585">
        <f>+'BD2'!AL2</f>
        <v>140</v>
      </c>
      <c r="AM10" s="585">
        <f>+'BD2'!AM2</f>
        <v>0</v>
      </c>
      <c r="AN10" s="585">
        <f>+'BD2'!AN2</f>
        <v>33.200000000000003</v>
      </c>
      <c r="AO10" s="585">
        <f>+'BD2'!AO2</f>
        <v>0</v>
      </c>
      <c r="AP10" s="585">
        <f>+'BD2'!AP2</f>
        <v>0</v>
      </c>
      <c r="AQ10" s="585">
        <f>+'BD2'!AQ2</f>
        <v>0</v>
      </c>
      <c r="AR10" s="585">
        <f>+'BD2'!AR2</f>
        <v>0</v>
      </c>
      <c r="AS10" s="585">
        <f>+'BD2'!AS2</f>
        <v>0</v>
      </c>
      <c r="AT10" s="585">
        <f>+'BD2'!AT2</f>
        <v>0</v>
      </c>
      <c r="AU10" s="585">
        <f>+'BD2'!AU2</f>
        <v>0</v>
      </c>
      <c r="AV10" s="585">
        <f>+'BD2'!AV2</f>
        <v>0</v>
      </c>
      <c r="AW10" s="585">
        <f>+'BD2'!AW2</f>
        <v>0</v>
      </c>
      <c r="AX10" s="585">
        <f>+'BD2'!AX2</f>
        <v>0</v>
      </c>
      <c r="AY10" s="585">
        <f>+'BD2'!AY2</f>
        <v>0</v>
      </c>
      <c r="AZ10" s="585">
        <f>+'BD2'!AZ2</f>
        <v>0</v>
      </c>
      <c r="BA10" s="585">
        <f>+'BD2'!BA2</f>
        <v>0</v>
      </c>
      <c r="BB10" s="585">
        <f>+'BD2'!BB2</f>
        <v>0</v>
      </c>
      <c r="BC10" s="585">
        <f>+'BD2'!BC2</f>
        <v>0</v>
      </c>
      <c r="BD10" s="585">
        <f>+'BD2'!BD2</f>
        <v>0</v>
      </c>
      <c r="BE10" s="585">
        <f>+'BD2'!BE2</f>
        <v>0</v>
      </c>
      <c r="BF10" s="585">
        <f>+'BD2'!BF2</f>
        <v>0</v>
      </c>
      <c r="BG10" s="585">
        <f>+'BD2'!BG2</f>
        <v>0</v>
      </c>
      <c r="BH10" s="585">
        <f>+'BD2'!BH2</f>
        <v>0</v>
      </c>
      <c r="BI10" s="585">
        <f>+'BD2'!BI2</f>
        <v>0</v>
      </c>
      <c r="BJ10" s="585">
        <f>+'BD2'!BJ2</f>
        <v>0</v>
      </c>
      <c r="BK10" s="585">
        <f>+'BD2'!BK2</f>
        <v>0</v>
      </c>
      <c r="BL10" s="585">
        <f>+'BD2'!BL2</f>
        <v>0</v>
      </c>
      <c r="BM10" s="585">
        <f>+'BD2'!BM2</f>
        <v>0</v>
      </c>
      <c r="BN10" s="585">
        <f>+'BD2'!BN2</f>
        <v>0</v>
      </c>
      <c r="BO10" s="585">
        <f>+'BD2'!BO2</f>
        <v>0</v>
      </c>
      <c r="BP10" s="585">
        <f>+'BD2'!BP2</f>
        <v>0</v>
      </c>
      <c r="BQ10" s="585">
        <f>+'BD2'!BQ2</f>
        <v>0</v>
      </c>
      <c r="BR10" s="585">
        <f>+'BD2'!BR2</f>
        <v>0</v>
      </c>
      <c r="BS10" s="585">
        <f>+'BD2'!BS2</f>
        <v>0</v>
      </c>
      <c r="BT10" s="585">
        <f>+'BD2'!BT2</f>
        <v>0</v>
      </c>
      <c r="BU10" s="585">
        <f>+'BD2'!BU2</f>
        <v>0</v>
      </c>
      <c r="BV10" s="585">
        <f>+'BD2'!BV2</f>
        <v>0</v>
      </c>
      <c r="BW10" s="585">
        <f>+'BD2'!BW2</f>
        <v>0</v>
      </c>
      <c r="BX10" s="585">
        <f>+'BD2'!BX2</f>
        <v>0</v>
      </c>
      <c r="BY10" s="585">
        <f>+'BD2'!BY2</f>
        <v>0</v>
      </c>
      <c r="BZ10" s="585">
        <f>+'BD2'!BZ2</f>
        <v>0</v>
      </c>
      <c r="CA10" s="585">
        <f>+'BD2'!CA2</f>
        <v>0</v>
      </c>
      <c r="CB10" s="585">
        <f>+'BD2'!CB2</f>
        <v>0</v>
      </c>
      <c r="CC10" s="585">
        <f>+'BD2'!CC2</f>
        <v>0</v>
      </c>
      <c r="CD10" s="585">
        <f>+'BD2'!CD2</f>
        <v>0</v>
      </c>
      <c r="CE10" s="585">
        <f>+'BD2'!CE2</f>
        <v>0</v>
      </c>
      <c r="CF10" s="585">
        <f>+'BD2'!CF2</f>
        <v>0</v>
      </c>
      <c r="CG10" s="585">
        <f>+'BD2'!CG2</f>
        <v>0</v>
      </c>
      <c r="CH10" s="585">
        <f>+'BD2'!CH2</f>
        <v>0</v>
      </c>
      <c r="CI10" s="585">
        <f>+'BD2'!CI2</f>
        <v>0</v>
      </c>
      <c r="CJ10" s="585">
        <f>+'BD2'!CJ2</f>
        <v>0</v>
      </c>
      <c r="CK10" s="585">
        <f>+'BD2'!CK2</f>
        <v>0</v>
      </c>
      <c r="CL10" s="585">
        <f>+'BD2'!CL2</f>
        <v>0</v>
      </c>
      <c r="CM10" s="585">
        <f>+'BD2'!CM2</f>
        <v>0</v>
      </c>
      <c r="CN10" s="585">
        <f>+'BD2'!CN2</f>
        <v>0</v>
      </c>
      <c r="CO10" s="585">
        <f>+'BD2'!CO2</f>
        <v>0</v>
      </c>
      <c r="CP10" s="585">
        <f>+'BD2'!CP2</f>
        <v>0</v>
      </c>
      <c r="CQ10" s="585">
        <f>+'BD2'!CQ2</f>
        <v>0</v>
      </c>
    </row>
    <row r="11" spans="1:95" ht="21.9" hidden="1" customHeight="1">
      <c r="C11" s="559">
        <f>(B10-$AR$10)*MS/100</f>
        <v>0</v>
      </c>
      <c r="D11" s="559">
        <f>100-C11</f>
        <v>100</v>
      </c>
      <c r="F11" s="559" t="e">
        <f>E10*D12*0.8*1000</f>
        <v>#REF!</v>
      </c>
      <c r="G11" s="588" t="e">
        <f>F10*D12</f>
        <v>#REF!</v>
      </c>
      <c r="H11" s="588"/>
      <c r="I11" s="559" t="e">
        <f>G10*D12</f>
        <v>#REF!</v>
      </c>
      <c r="J11" s="589" t="e">
        <f>I10*D12</f>
        <v>#REF!</v>
      </c>
      <c r="K11" s="559" t="e">
        <f>J10*D12</f>
        <v>#REF!</v>
      </c>
      <c r="L11" s="559" t="e">
        <f>K10*D12</f>
        <v>#REF!</v>
      </c>
      <c r="M11" s="559" t="e">
        <f>L10*D12</f>
        <v>#REF!</v>
      </c>
      <c r="N11" s="557" t="e">
        <f>M10*D12</f>
        <v>#REF!</v>
      </c>
      <c r="O11" s="557" t="e">
        <f>N10*D12</f>
        <v>#REF!</v>
      </c>
      <c r="P11" s="557" t="e">
        <f>O10*D12</f>
        <v>#REF!</v>
      </c>
      <c r="Y11" s="590">
        <f>IF($X$10&gt;0,$X$10,0)</f>
        <v>0</v>
      </c>
    </row>
    <row r="12" spans="1:95" ht="21.9" hidden="1" customHeight="1">
      <c r="C12" s="559" t="e">
        <f>Mva</f>
        <v>#REF!</v>
      </c>
      <c r="D12" s="559" t="e">
        <f>(150+(C10-B10+(B10-$AR10)*(100-MS)/100)/2)/100*1.17/(1-0.49*Mva)</f>
        <v>#REF!</v>
      </c>
      <c r="E12" s="559">
        <f>(B10-$AR10)/2/100</f>
        <v>1.02</v>
      </c>
      <c r="F12" s="591" t="str">
        <f>IF($O$9&lt;&gt;"",RIGHT($O$9,1),"B")</f>
        <v>3</v>
      </c>
      <c r="G12" s="592">
        <f>($B$10-$AR$10)*MS/100/200</f>
        <v>0</v>
      </c>
      <c r="H12" s="592"/>
      <c r="I12" s="591" t="str">
        <f>IF($N$9="","N",IF(LEFT($N$9,1)="N","N",LEFT($N$9,1)))</f>
        <v>S</v>
      </c>
      <c r="J12" s="589"/>
      <c r="R12" s="557" t="e">
        <f>Q11/2/R11</f>
        <v>#DIV/0!</v>
      </c>
      <c r="Z12" s="557" t="str">
        <f>IF($AA$9&gt;0,"",IF($Z$9="","B",$Z$9))</f>
        <v>DOMAINE TIFSSA</v>
      </c>
    </row>
    <row r="13" spans="1:95" ht="21.9" hidden="1" customHeight="1">
      <c r="G13" s="591"/>
      <c r="H13" s="591"/>
      <c r="I13" s="593" t="s">
        <v>1028</v>
      </c>
      <c r="J13" s="1456"/>
      <c r="K13" s="1456"/>
    </row>
    <row r="14" spans="1:95" ht="21.9" hidden="1" customHeight="1" thickBot="1">
      <c r="G14" s="591"/>
      <c r="H14" s="591"/>
      <c r="J14" s="589"/>
      <c r="K14" s="594"/>
      <c r="M14" s="559" t="s">
        <v>59</v>
      </c>
      <c r="Q14" s="595"/>
      <c r="S14" s="596" t="e">
        <f>"rie "&amp;$F$12&amp;","" "&amp;CHOOSE(CODE($F$12)-64,#REF!,#REF!,#REF!)&amp;")"</f>
        <v>#VALUE!</v>
      </c>
    </row>
    <row r="15" spans="1:95" ht="21.9" hidden="1" customHeight="1" thickTop="1" thickBot="1">
      <c r="D15" s="597"/>
      <c r="E15" s="598"/>
      <c r="F15" s="599"/>
      <c r="G15" s="599" t="s">
        <v>1029</v>
      </c>
      <c r="H15" s="600"/>
      <c r="I15" s="600"/>
      <c r="J15" s="589"/>
      <c r="L15" s="594"/>
      <c r="N15" s="601"/>
      <c r="O15" s="602"/>
      <c r="P15" s="602"/>
      <c r="Q15" s="602" t="s">
        <v>1029</v>
      </c>
      <c r="R15" s="602"/>
      <c r="S15" s="603"/>
    </row>
    <row r="16" spans="1:95" ht="21.9" hidden="1" customHeight="1" thickTop="1" thickBot="1">
      <c r="C16" s="604" t="str">
        <f>IF($AH$9&lt;&gt;"","Bon de Cde N°: ","")</f>
        <v/>
      </c>
      <c r="D16" s="1457" t="str">
        <f>IF($AH$9&lt;&gt;"",$AH$9,"")</f>
        <v/>
      </c>
      <c r="E16" s="1457"/>
      <c r="F16" s="604"/>
      <c r="G16" s="594">
        <f>$V$9</f>
        <v>0</v>
      </c>
      <c r="H16" s="594"/>
      <c r="K16" s="589"/>
      <c r="P16" s="567"/>
      <c r="Q16" s="605"/>
    </row>
    <row r="17" spans="1:63" s="606" customFormat="1" ht="21.9" hidden="1" customHeight="1" thickBot="1">
      <c r="A17" s="606">
        <v>261957</v>
      </c>
      <c r="B17" s="606">
        <v>273.2</v>
      </c>
      <c r="C17" s="1458" t="s">
        <v>645</v>
      </c>
      <c r="D17" s="1459"/>
      <c r="E17" s="1459"/>
      <c r="F17" s="1459"/>
      <c r="G17" s="1460"/>
      <c r="H17" s="607"/>
      <c r="I17" s="608" t="str">
        <f>"Bon de commande N° : "&amp;H9</f>
        <v>Bon de commande N° : 1</v>
      </c>
      <c r="J17" s="609"/>
      <c r="K17" s="1461" t="str">
        <f>"GPS :  "&amp;AA9&amp;"  "&amp;AB9</f>
        <v xml:space="preserve">GPS :    </v>
      </c>
      <c r="L17" s="1461"/>
      <c r="M17" s="1461"/>
      <c r="AI17" s="606">
        <v>273.2</v>
      </c>
      <c r="BG17" s="606" t="e">
        <f>#REF!</f>
        <v>#REF!</v>
      </c>
    </row>
    <row r="18" spans="1:63" ht="21.9" hidden="1" customHeight="1">
      <c r="C18" s="610" t="s">
        <v>1030</v>
      </c>
      <c r="D18" s="611"/>
      <c r="E18" s="611"/>
      <c r="F18" s="611"/>
      <c r="G18" s="611"/>
      <c r="H18" s="611"/>
      <c r="I18" s="611"/>
      <c r="J18" s="611"/>
      <c r="K18" s="1440" t="str">
        <f>IF(E20&lt;&gt;0,'Calcul (2)'!C14,"")</f>
        <v>Texture très fine argileuse</v>
      </c>
      <c r="L18" s="1440"/>
      <c r="M18" s="1441"/>
      <c r="W18" s="612">
        <f>$AI$10</f>
        <v>560</v>
      </c>
    </row>
    <row r="19" spans="1:63" ht="21.9" hidden="1" customHeight="1">
      <c r="C19" s="613"/>
      <c r="K19" s="1442"/>
      <c r="L19" s="1442"/>
      <c r="M19" s="1443"/>
    </row>
    <row r="20" spans="1:63" ht="21.9" hidden="1" customHeight="1">
      <c r="C20" s="613" t="s">
        <v>1031</v>
      </c>
      <c r="E20" s="614">
        <f>Argiles/10</f>
        <v>56</v>
      </c>
      <c r="K20" s="1442"/>
      <c r="L20" s="1442"/>
      <c r="M20" s="1443"/>
      <c r="N20" s="557" t="s">
        <v>1032</v>
      </c>
      <c r="R20" s="566" t="e">
        <f>Argiles+W20+W22+W24+W26+MOsols</f>
        <v>#REF!</v>
      </c>
      <c r="U20" s="557">
        <f>Argiles</f>
        <v>560</v>
      </c>
      <c r="W20" s="612">
        <f>$AJ$10</f>
        <v>300</v>
      </c>
    </row>
    <row r="21" spans="1:63" ht="3" hidden="1" customHeight="1">
      <c r="C21" s="613"/>
      <c r="J21" s="615"/>
      <c r="K21" s="615"/>
      <c r="L21" s="615"/>
      <c r="M21" s="616"/>
      <c r="W21" s="595"/>
    </row>
    <row r="22" spans="1:63" ht="14.25" hidden="1" customHeight="1">
      <c r="C22" s="613" t="s">
        <v>1033</v>
      </c>
      <c r="E22" s="614">
        <f>W20/10</f>
        <v>30</v>
      </c>
      <c r="J22" s="615"/>
      <c r="K22" s="559" t="str">
        <f>IF(N24&lt;=0,"","Indice de battance        :")</f>
        <v>Indice de battance        :</v>
      </c>
      <c r="M22" s="617">
        <f>IF(E20&lt;&gt;0,IF(N24&lt;0,"",IF(W18=0,"",((1.5*W20+0.75*W22)/(W18+10*MO))-Ccorrections)),"")</f>
        <v>0.21422459501956337</v>
      </c>
      <c r="N22" s="1444" t="s">
        <v>1034</v>
      </c>
      <c r="O22" s="1444"/>
      <c r="P22" s="1444"/>
      <c r="W22" s="612">
        <f>$AK$10</f>
        <v>0</v>
      </c>
      <c r="AB22" s="557" t="b">
        <f t="shared" ref="AB22:AB34" si="0">textures=AC22</f>
        <v>0</v>
      </c>
      <c r="AC22" s="557" t="s">
        <v>696</v>
      </c>
      <c r="AF22" s="557" t="s">
        <v>697</v>
      </c>
    </row>
    <row r="23" spans="1:63" ht="3" hidden="1" customHeight="1">
      <c r="C23" s="613"/>
      <c r="E23" s="591"/>
      <c r="M23" s="618"/>
      <c r="W23" s="595"/>
      <c r="AB23" s="557" t="b">
        <f t="shared" si="0"/>
        <v>0</v>
      </c>
    </row>
    <row r="24" spans="1:63" ht="12.75" hidden="1" customHeight="1">
      <c r="C24" s="613" t="s">
        <v>1035</v>
      </c>
      <c r="E24" s="614">
        <f>W22/10</f>
        <v>0</v>
      </c>
      <c r="K24" s="559" t="s">
        <v>1036</v>
      </c>
      <c r="M24" s="617">
        <f>IF(E20&lt;&gt;0,W26/Argiles,"")</f>
        <v>0</v>
      </c>
      <c r="N24" s="619">
        <f>IF(Argiles=0,"",(((1.5*W20+0.75*W22)/(Argiles+10*MO))-Ccorrections))</f>
        <v>0.21422459501956337</v>
      </c>
      <c r="O24" s="566">
        <f>W20+W22</f>
        <v>300</v>
      </c>
      <c r="Q24" s="557" t="s">
        <v>639</v>
      </c>
      <c r="R24" s="620">
        <f>$P$10</f>
        <v>1.8516363200000001</v>
      </c>
      <c r="W24" s="612">
        <f>$AL$10</f>
        <v>140</v>
      </c>
      <c r="AB24" s="557" t="b">
        <f t="shared" si="0"/>
        <v>0</v>
      </c>
      <c r="AC24" s="557" t="s">
        <v>698</v>
      </c>
      <c r="AF24" s="557" t="s">
        <v>699</v>
      </c>
    </row>
    <row r="25" spans="1:63" ht="3" hidden="1" customHeight="1">
      <c r="C25" s="613"/>
      <c r="E25" s="591"/>
      <c r="M25" s="618"/>
      <c r="W25" s="595"/>
      <c r="AB25" s="557" t="b">
        <f t="shared" si="0"/>
        <v>0</v>
      </c>
    </row>
    <row r="26" spans="1:63" ht="14.25" hidden="1" customHeight="1">
      <c r="C26" s="613" t="s">
        <v>1037</v>
      </c>
      <c r="E26" s="614">
        <f>W24/10</f>
        <v>14</v>
      </c>
      <c r="K26" s="559" t="s">
        <v>1038</v>
      </c>
      <c r="M26" s="1445" t="str">
        <f>IF(E20&lt;&gt;0,AB38,"")</f>
        <v>1,7 mm d'eau /cm de sol</v>
      </c>
      <c r="N26" s="557">
        <f>IF(pHeaus&gt;7,(0.2*(pHeaus-7)),0)</f>
        <v>0.30000000000000004</v>
      </c>
      <c r="Q26" s="557">
        <v>1.4370000000000001</v>
      </c>
      <c r="R26" s="621">
        <f>$O$10*1.72</f>
        <v>31.510400000000001</v>
      </c>
      <c r="S26" s="557">
        <f>$P$10</f>
        <v>1.8516363200000001</v>
      </c>
      <c r="W26" s="612">
        <f>$AM$10</f>
        <v>0</v>
      </c>
      <c r="AB26" s="557" t="b">
        <f t="shared" si="0"/>
        <v>0</v>
      </c>
      <c r="AC26" s="557" t="s">
        <v>700</v>
      </c>
      <c r="AF26" s="557" t="s">
        <v>701</v>
      </c>
      <c r="BK26" s="557" t="e">
        <f>#REF!</f>
        <v>#REF!</v>
      </c>
    </row>
    <row r="27" spans="1:63" ht="3" hidden="1" customHeight="1">
      <c r="C27" s="613"/>
      <c r="E27" s="591"/>
      <c r="M27" s="1445"/>
      <c r="R27" s="567"/>
      <c r="AB27" s="557" t="b">
        <f t="shared" si="0"/>
        <v>0</v>
      </c>
    </row>
    <row r="28" spans="1:63" ht="15.75" hidden="1" customHeight="1">
      <c r="C28" s="613" t="s">
        <v>1039</v>
      </c>
      <c r="E28" s="614">
        <f>W26/10</f>
        <v>0</v>
      </c>
      <c r="M28" s="1445"/>
      <c r="Q28" s="557" t="s">
        <v>613</v>
      </c>
      <c r="R28" s="622">
        <f>IF($P$10="","",MO/1.72/$P$10)</f>
        <v>9.8939515293154319</v>
      </c>
      <c r="X28" s="557" t="s">
        <v>1040</v>
      </c>
      <c r="Y28" s="622" t="str">
        <f>G38</f>
        <v>Souhaitable</v>
      </c>
      <c r="AB28" s="557" t="b">
        <f t="shared" si="0"/>
        <v>0</v>
      </c>
      <c r="AC28" s="557" t="s">
        <v>702</v>
      </c>
      <c r="AF28" s="557" t="s">
        <v>703</v>
      </c>
    </row>
    <row r="29" spans="1:63" ht="12" hidden="1" customHeight="1" thickBot="1">
      <c r="C29" s="623"/>
      <c r="D29" s="624"/>
      <c r="E29" s="625"/>
      <c r="F29" s="624"/>
      <c r="G29" s="624"/>
      <c r="H29" s="624"/>
      <c r="I29" s="624"/>
      <c r="J29" s="624"/>
      <c r="K29" s="624"/>
      <c r="L29" s="624"/>
      <c r="M29" s="1446"/>
      <c r="R29" s="622"/>
      <c r="Y29" s="622"/>
      <c r="AB29" s="557" t="b">
        <f t="shared" si="0"/>
        <v>0</v>
      </c>
      <c r="AC29" s="557" t="s">
        <v>704</v>
      </c>
      <c r="AF29" s="557" t="s">
        <v>705</v>
      </c>
    </row>
    <row r="30" spans="1:63" ht="8.25" hidden="1" customHeight="1" thickBot="1">
      <c r="L30" s="626"/>
      <c r="M30" s="626"/>
      <c r="R30" s="627" t="str">
        <f>IF(F30="","",VALUE(F30))</f>
        <v/>
      </c>
      <c r="X30" s="557" t="s">
        <v>1041</v>
      </c>
      <c r="Y30" s="622" t="str">
        <f>G39</f>
        <v>8/12</v>
      </c>
      <c r="AB30" s="557" t="b">
        <f>textures=AC30</f>
        <v>0</v>
      </c>
      <c r="AC30" s="557" t="s">
        <v>706</v>
      </c>
      <c r="AF30" s="557" t="s">
        <v>707</v>
      </c>
    </row>
    <row r="31" spans="1:63" s="606" customFormat="1" ht="15" hidden="1" customHeight="1" thickBot="1">
      <c r="C31" s="1350" t="s">
        <v>651</v>
      </c>
      <c r="D31" s="1351"/>
      <c r="E31" s="1351"/>
      <c r="F31" s="1351"/>
      <c r="G31" s="1352"/>
      <c r="H31" s="628"/>
      <c r="I31" s="629" t="s">
        <v>1042</v>
      </c>
      <c r="J31" s="630"/>
      <c r="K31" s="630"/>
      <c r="L31" s="630"/>
      <c r="M31" s="631">
        <f>IF(AND(pH_Eau&gt;0,CT&lt;&gt;"",CEC&gt;0),MAX(0.3,-1.5+pH_Eau*0.5-MAX((pH_Eau-7)*0.6,0)+(-0.0025*CT)+(-0.0035*10*(MIN(CEC,320/10)-50/10))),"")</f>
        <v>0.40100000000000002</v>
      </c>
      <c r="P31" s="632"/>
      <c r="X31" s="606" t="s">
        <v>1043</v>
      </c>
      <c r="Y31" s="633" t="str">
        <f>G50</f>
        <v>5,5 / 6,4</v>
      </c>
      <c r="AB31" s="557" t="b">
        <f t="shared" si="0"/>
        <v>0</v>
      </c>
      <c r="AC31" s="634" t="s">
        <v>708</v>
      </c>
      <c r="AF31" s="634" t="s">
        <v>709</v>
      </c>
    </row>
    <row r="32" spans="1:63" ht="15" hidden="1" customHeight="1">
      <c r="C32" s="635"/>
      <c r="D32" s="636" t="s">
        <v>363</v>
      </c>
      <c r="E32" s="637" t="s">
        <v>282</v>
      </c>
      <c r="F32" s="638" t="s">
        <v>596</v>
      </c>
      <c r="G32" s="639" t="s">
        <v>1044</v>
      </c>
      <c r="H32" s="591"/>
      <c r="I32" s="640" t="s">
        <v>1045</v>
      </c>
      <c r="M32" s="641" t="str">
        <f>TEXT(1.52*30*100*MO/1000,"0")&amp;" T/ha"</f>
        <v>144 T/ha</v>
      </c>
      <c r="R32" s="557">
        <f>pH_Eau</f>
        <v>8.44</v>
      </c>
      <c r="X32" s="557" t="s">
        <v>1046</v>
      </c>
      <c r="Y32" s="622">
        <f>G41</f>
        <v>0</v>
      </c>
      <c r="AB32" s="557" t="b">
        <f t="shared" si="0"/>
        <v>0</v>
      </c>
      <c r="AC32" s="557" t="s">
        <v>710</v>
      </c>
      <c r="AF32" s="557" t="s">
        <v>711</v>
      </c>
      <c r="AS32" s="557" t="s">
        <v>1047</v>
      </c>
      <c r="AU32" s="642">
        <f>Z63*1000</f>
        <v>1905</v>
      </c>
      <c r="AV32" s="1361">
        <f>(AU33-AU32)*3.9</f>
        <v>-5357.82</v>
      </c>
    </row>
    <row r="33" spans="3:51" hidden="1">
      <c r="C33" s="643" t="s">
        <v>1048</v>
      </c>
      <c r="D33" s="1447" t="e">
        <f>MOsols/10</f>
        <v>#REF!</v>
      </c>
      <c r="E33" s="1431" t="str">
        <f>IF($T34="","",IF($T34&lt;=$N33,REPT("=",4-($N33-$T34)/$N33*4)&amp;"&gt;",IF($T34&lt;=$O33,REPT("=",5+4-($O33-$T34)/($O33-$N33)*4)&amp;"&gt;",IF($T34&lt;=$P33,REPT("=",9+4-($P33-$T34)/($P33-$O33)*4)&amp;"&gt;",IF($T34&lt;=$Q33,REPT("=",13+4-($Q33-$T34)/($Q33-$P33)*4)&amp;"&gt;",REPT("=",18)&amp;"&gt;")))))</f>
        <v>=============&gt;</v>
      </c>
      <c r="F33" s="1431"/>
      <c r="G33" s="1357" t="str">
        <f>TEXT($O33/10,"0,00")&amp;"/"&amp;TEXT($P33/10,"0,00")</f>
        <v>2,00/3,00</v>
      </c>
      <c r="H33" s="644"/>
      <c r="I33" s="640" t="s">
        <v>1049</v>
      </c>
      <c r="M33" s="645" t="str">
        <f>IF(___k2="","",TEXT(VALUE(LEFT(M32,3))*M31*10,"0")&amp;" kg/ha")</f>
        <v>577 kg/ha</v>
      </c>
      <c r="N33" s="646">
        <v>7</v>
      </c>
      <c r="O33" s="646">
        <f>IF(Argiles&gt;=300,20,IF(Argiles&gt;100,16,12.5))</f>
        <v>20</v>
      </c>
      <c r="P33" s="646">
        <f>IF(Argiles&gt;=300,30,IF(Argiles&gt;100,20,15))</f>
        <v>30</v>
      </c>
      <c r="Q33" s="646">
        <v>40</v>
      </c>
      <c r="R33" s="647">
        <f>IF(MO&lt;=N33,3,IF(MO&lt;=O33,2,IF(MO&lt;=P33,1,0.000001)))</f>
        <v>9.9999999999999995E-7</v>
      </c>
      <c r="V33" s="648"/>
      <c r="W33" s="1451" t="str">
        <f>TEXT($O33,"0")&amp;"/"&amp;TEXT($P33,"0")</f>
        <v>20/30</v>
      </c>
      <c r="X33" s="557" t="s">
        <v>1050</v>
      </c>
      <c r="Y33" s="622">
        <f>G42</f>
        <v>0</v>
      </c>
      <c r="AB33" s="557" t="b">
        <f t="shared" si="0"/>
        <v>1</v>
      </c>
      <c r="AC33" s="557" t="s">
        <v>712</v>
      </c>
      <c r="AF33" s="557" t="s">
        <v>713</v>
      </c>
      <c r="AS33" s="557" t="s">
        <v>1051</v>
      </c>
      <c r="AU33" s="620">
        <f>O63*1000</f>
        <v>531.20000000000005</v>
      </c>
      <c r="AV33" s="1361"/>
      <c r="AW33" s="557">
        <f>Mgsups*1000</f>
        <v>1062.4000000000001</v>
      </c>
      <c r="AX33" s="557">
        <f>(AU32-AW33)*3.9</f>
        <v>3286.1399999999994</v>
      </c>
    </row>
    <row r="34" spans="3:51" ht="129.6" hidden="1">
      <c r="C34" s="649" t="s">
        <v>1052</v>
      </c>
      <c r="D34" s="1448"/>
      <c r="E34" s="1449"/>
      <c r="F34" s="1449"/>
      <c r="G34" s="1450"/>
      <c r="H34" s="628"/>
      <c r="I34" s="650" t="s">
        <v>1053</v>
      </c>
      <c r="J34" s="651"/>
      <c r="K34" s="651"/>
      <c r="L34" s="651"/>
      <c r="M34" s="652" t="str">
        <f>IF(___k2="","",IF(NT=0,TEXT(1.52*30*100*MO/1.72/10/1000*M31*10,"0"),TEXT(1.52*30*100*NT/1000*M31*10,"0"))&amp;" kg/ha/an")</f>
        <v>34 kg/ha/an</v>
      </c>
      <c r="N34" s="1453">
        <f>VALUE(LEFT(M33,SEARCH("",M33,1)))</f>
        <v>5</v>
      </c>
      <c r="O34" s="1453"/>
      <c r="R34" s="557">
        <f>CT</f>
        <v>204</v>
      </c>
      <c r="T34" s="1413">
        <f>MO</f>
        <v>31.510400000000001</v>
      </c>
      <c r="V34" s="653">
        <f>$P$10</f>
        <v>1.8516363200000001</v>
      </c>
      <c r="W34" s="1452"/>
      <c r="X34" s="557" t="s">
        <v>1054</v>
      </c>
      <c r="Y34" s="622" t="str">
        <f>G43</f>
        <v>Souhaitable</v>
      </c>
      <c r="AB34" s="557" t="b">
        <f t="shared" si="0"/>
        <v>0</v>
      </c>
      <c r="AC34" s="557" t="s">
        <v>714</v>
      </c>
      <c r="AF34" s="557" t="s">
        <v>713</v>
      </c>
      <c r="AS34" s="557" t="s">
        <v>1055</v>
      </c>
      <c r="AU34" s="557">
        <f>IF(AV32&gt;=0, AV32,0)</f>
        <v>0</v>
      </c>
    </row>
    <row r="35" spans="3:51" ht="6" hidden="1" customHeight="1">
      <c r="C35" s="613"/>
      <c r="D35" s="654"/>
      <c r="E35" s="1415" t="s">
        <v>1056</v>
      </c>
      <c r="F35" s="1416"/>
      <c r="G35" s="1417"/>
      <c r="I35" s="655"/>
      <c r="J35" s="656"/>
      <c r="K35" s="656"/>
      <c r="L35" s="656"/>
      <c r="M35" s="657"/>
      <c r="R35" s="567">
        <f>$D$10</f>
        <v>8.44</v>
      </c>
      <c r="T35" s="1414"/>
      <c r="V35" s="648"/>
      <c r="X35" s="557" t="s">
        <v>1057</v>
      </c>
      <c r="Y35" s="622" t="str">
        <f>G48</f>
        <v>6,5 / 7,4</v>
      </c>
    </row>
    <row r="36" spans="3:51" ht="12.75" hidden="1" customHeight="1">
      <c r="C36" s="658" t="s">
        <v>1058</v>
      </c>
      <c r="D36" s="659">
        <f>V34/10</f>
        <v>0.18516363200000002</v>
      </c>
      <c r="E36" s="1418"/>
      <c r="F36" s="1419"/>
      <c r="G36" s="1417"/>
      <c r="N36" s="660">
        <f>1.52*30*100*NT/1000*M31*10</f>
        <v>33.858281092992002</v>
      </c>
      <c r="O36" s="557" t="e">
        <f>($F$10*2.5*3.6)*100/$V$10</f>
        <v>#DIV/0!</v>
      </c>
      <c r="Q36" s="567">
        <f>VALUE(LEFT(M34,3))</f>
        <v>34</v>
      </c>
      <c r="R36" s="567">
        <f>IF(Q36&lt;30,3,IF(Q36&lt;60,2,1))</f>
        <v>2</v>
      </c>
      <c r="X36" s="557" t="s">
        <v>1059</v>
      </c>
      <c r="Y36" s="622" t="str">
        <f>G44</f>
        <v>inférieur à 10</v>
      </c>
      <c r="AB36" s="557" t="b">
        <v>1</v>
      </c>
    </row>
    <row r="37" spans="3:51" ht="5.25" hidden="1" customHeight="1">
      <c r="C37" s="613"/>
      <c r="D37" s="661"/>
      <c r="E37" s="1420"/>
      <c r="F37" s="1421"/>
      <c r="G37" s="1422"/>
      <c r="I37" s="1423" t="s">
        <v>1060</v>
      </c>
      <c r="J37" s="1424"/>
      <c r="K37" s="662"/>
      <c r="L37" s="662"/>
      <c r="M37" s="663"/>
      <c r="R37" s="647">
        <f>1000/Q36</f>
        <v>29.411764705882351</v>
      </c>
      <c r="X37" s="560" t="str">
        <f>IF(G46&gt;0,"SO4--","SO4--&amp;+HCO3-&amp;CO3--")</f>
        <v>SO4--</v>
      </c>
      <c r="Y37" s="557" t="str">
        <f>IF(G46&gt;0,G46,SUM(Y30,Y32:Y35)-SUM(Y28,Y31,Y36))</f>
        <v>inférieur à 3</v>
      </c>
    </row>
    <row r="38" spans="3:51" ht="9.75" hidden="1" customHeight="1">
      <c r="C38" s="664"/>
      <c r="D38" s="665"/>
      <c r="E38" s="666" t="s">
        <v>1061</v>
      </c>
      <c r="F38" s="667" t="s">
        <v>1062</v>
      </c>
      <c r="G38" s="668" t="s">
        <v>1044</v>
      </c>
      <c r="H38" s="591"/>
      <c r="I38" s="1425"/>
      <c r="J38" s="1426"/>
      <c r="K38" s="594"/>
      <c r="L38" s="594"/>
      <c r="M38" s="669"/>
      <c r="O38" s="557" t="e">
        <f>($G$10*2.5*3.6)*100/$V$10</f>
        <v>#DIV/0!</v>
      </c>
      <c r="R38" s="567">
        <f>$F$10*CE</f>
        <v>0</v>
      </c>
      <c r="X38" s="560" t="str">
        <f>IF(G46&gt;0,"HCO3-","")</f>
        <v>HCO3-</v>
      </c>
      <c r="Y38" s="557">
        <f>IF(G46&gt;0,SUM(Y30,Y32:Y35)-SUM(Y28,Y31,Y36:Y37),0)</f>
        <v>0</v>
      </c>
      <c r="AB38" s="557" t="str">
        <f>VLOOKUP(TRUE,AB22:AI36,1+4,0)</f>
        <v>1,7 mm d'eau /cm de sol</v>
      </c>
      <c r="AR38" s="557" t="s">
        <v>1063</v>
      </c>
      <c r="AT38" s="557">
        <v>800</v>
      </c>
    </row>
    <row r="39" spans="3:51" ht="18" hidden="1" customHeight="1">
      <c r="C39" s="1427" t="s">
        <v>612</v>
      </c>
      <c r="D39" s="1429">
        <f>$R$28</f>
        <v>9.8939515293154319</v>
      </c>
      <c r="E39" s="1431" t="str">
        <f>IF($D39="","",IF($D39&lt;=$N39,REPT("=",4-($N39-$D39)/$N39*4)&amp;"&gt;",IF($D39&lt;=$O39,REPT("=",5+4-($O39-$D39)/($O39-$N39)*4)&amp;"&gt;",IF($D39&lt;=$P39,REPT("=",9+4-($P39-$D39)/($P39-$O39)*4)&amp;"&gt;",IF($D39&lt;=$Q39,REPT("=",13+4-($Q39-$D39)/($Q39-$P39)*4)&amp;"&gt;",REPT("=",18)&amp;"&gt;")))))</f>
        <v>==========&gt;</v>
      </c>
      <c r="F39" s="1432"/>
      <c r="G39" s="1435" t="str">
        <f>TEXT($O39,"0")&amp;"/"&amp;TEXT($P39,"0")</f>
        <v>8/12</v>
      </c>
      <c r="H39" s="644"/>
      <c r="I39" s="640" t="s">
        <v>1064</v>
      </c>
      <c r="J39" s="670"/>
      <c r="K39" s="1436">
        <f>+IF(F10="","",F10*((1000*200+40*U10*10)/(40*(1000-U10*10))))</f>
        <v>0</v>
      </c>
      <c r="L39" s="1436"/>
      <c r="M39" s="1437"/>
      <c r="N39" s="646">
        <v>6</v>
      </c>
      <c r="O39" s="646">
        <v>8</v>
      </c>
      <c r="P39" s="646">
        <v>12</v>
      </c>
      <c r="Q39" s="646">
        <v>16</v>
      </c>
      <c r="R39" s="671">
        <f>$G$10*CE</f>
        <v>0</v>
      </c>
      <c r="AR39" s="557" t="s">
        <v>1065</v>
      </c>
      <c r="AV39" s="557">
        <f>(AT38*10000*AT39*14)/(1000*1000*18)</f>
        <v>0</v>
      </c>
    </row>
    <row r="40" spans="3:51" ht="18" hidden="1" customHeight="1" thickBot="1">
      <c r="C40" s="1428"/>
      <c r="D40" s="1430"/>
      <c r="E40" s="1433"/>
      <c r="F40" s="1434"/>
      <c r="G40" s="1331"/>
      <c r="H40" s="628"/>
      <c r="I40" s="655" t="s">
        <v>1066</v>
      </c>
      <c r="J40" s="672"/>
      <c r="K40" s="1438">
        <f>+IF(G10="","",G10*((1000*200+40*U10*10)/(40*(1000-U10*10))))</f>
        <v>0</v>
      </c>
      <c r="L40" s="1438"/>
      <c r="M40" s="1439"/>
      <c r="N40" s="557">
        <f>$F$10</f>
        <v>0</v>
      </c>
      <c r="R40" s="567"/>
      <c r="AR40" s="557" t="s">
        <v>1067</v>
      </c>
      <c r="AT40" s="557">
        <v>0</v>
      </c>
      <c r="AV40" s="557">
        <f>(AT38*10000*AT40*14)/(1000*1000*62)</f>
        <v>0</v>
      </c>
    </row>
    <row r="41" spans="3:51" ht="7.5" hidden="1" customHeight="1" thickBot="1">
      <c r="O41" s="557" t="e">
        <f>($F$10*2.5*3.6)*100/$U$10</f>
        <v>#DIV/0!</v>
      </c>
      <c r="R41" s="621">
        <f>$L$10*CE</f>
        <v>0</v>
      </c>
      <c r="S41" s="557">
        <f>IF(G41&lt;20,1,0)</f>
        <v>1</v>
      </c>
    </row>
    <row r="42" spans="3:51" s="606" customFormat="1" ht="15" hidden="1" customHeight="1" thickBot="1">
      <c r="C42" s="1350" t="s">
        <v>664</v>
      </c>
      <c r="D42" s="1351"/>
      <c r="E42" s="1351"/>
      <c r="F42" s="1351"/>
      <c r="G42" s="1352"/>
      <c r="H42" s="628"/>
      <c r="I42" s="673"/>
      <c r="J42" s="674" t="s">
        <v>363</v>
      </c>
      <c r="K42" s="675" t="s">
        <v>282</v>
      </c>
      <c r="L42" s="676" t="s">
        <v>596</v>
      </c>
      <c r="M42" s="677" t="s">
        <v>1044</v>
      </c>
      <c r="N42" s="678"/>
      <c r="P42" s="678" t="b">
        <f>IF(CAss="",FALSE,CActifs&gt;150)</f>
        <v>0</v>
      </c>
      <c r="Q42" s="678"/>
      <c r="R42" s="679">
        <f>$M$10*CE</f>
        <v>0</v>
      </c>
      <c r="S42" s="606">
        <f>IF(G42&lt;20,1,0)</f>
        <v>1</v>
      </c>
    </row>
    <row r="43" spans="3:51" ht="15" hidden="1" customHeight="1">
      <c r="C43" s="680"/>
      <c r="D43" s="636" t="s">
        <v>363</v>
      </c>
      <c r="E43" s="637" t="s">
        <v>282</v>
      </c>
      <c r="F43" s="638" t="s">
        <v>596</v>
      </c>
      <c r="G43" s="681" t="s">
        <v>1044</v>
      </c>
      <c r="H43" s="591"/>
      <c r="I43" s="1405" t="s">
        <v>1068</v>
      </c>
      <c r="J43" s="1393">
        <f>CEILING(CEsols*100,0.1)</f>
        <v>21.8</v>
      </c>
      <c r="K43" s="1355" t="str">
        <f>K73</f>
        <v>===========&gt;</v>
      </c>
      <c r="L43" s="1356"/>
      <c r="M43" s="1402" t="str">
        <f>TEXT($U71*100,"0,0")&amp;" / "&amp;TEXT($V71*100,"0,0")</f>
        <v>1,0 / 40,0</v>
      </c>
      <c r="N43" s="646"/>
      <c r="O43" s="557" t="e">
        <f>($G$10*2.5*3.6)*100/$U$10</f>
        <v>#DIV/0!</v>
      </c>
      <c r="P43" s="646"/>
      <c r="Q43" s="646"/>
      <c r="R43" s="621">
        <f>$N$10*CE</f>
        <v>0</v>
      </c>
      <c r="S43" s="557">
        <f>IF(G43&lt;20,1,0)</f>
        <v>0</v>
      </c>
    </row>
    <row r="44" spans="3:51" ht="18" hidden="1" customHeight="1">
      <c r="C44" s="682" t="s">
        <v>1069</v>
      </c>
      <c r="D44" s="683">
        <f>IF(X44&lt;0.1,"Inf à 0,10",X44)</f>
        <v>20.399999999999999</v>
      </c>
      <c r="E44" s="684" t="str">
        <f>IF(D44="Inf à 0,10","&gt;",Y44)</f>
        <v>==============&gt;</v>
      </c>
      <c r="F44" s="685"/>
      <c r="G44" s="686" t="s">
        <v>1070</v>
      </c>
      <c r="H44" s="591"/>
      <c r="I44" s="1406"/>
      <c r="J44" s="1394"/>
      <c r="K44" s="1326"/>
      <c r="L44" s="1327"/>
      <c r="M44" s="1403"/>
      <c r="N44" s="646">
        <v>0.01</v>
      </c>
      <c r="O44" s="646">
        <v>10</v>
      </c>
      <c r="P44" s="646">
        <v>100</v>
      </c>
      <c r="Q44" s="646">
        <v>500</v>
      </c>
      <c r="R44" s="621">
        <f>$O$10*CE</f>
        <v>0</v>
      </c>
      <c r="S44" s="557">
        <f>$D$10</f>
        <v>8.44</v>
      </c>
      <c r="U44" s="646">
        <v>50</v>
      </c>
      <c r="V44" s="646">
        <v>100</v>
      </c>
      <c r="W44" s="687">
        <f>CT</f>
        <v>204</v>
      </c>
      <c r="X44" s="557">
        <f>IF(calcairetots/10&lt;&gt;0,calcairetots/10,"0")</f>
        <v>20.399999999999999</v>
      </c>
      <c r="Y44" s="557" t="str">
        <f>IF($W44="","",IF($W44&lt;=$N44,REPT("=",4-($N44-$W44)/$N44*4)&amp;"&gt;",IF($W44&lt;=$O44,REPT("=",5+4-($O44-$W44)/($O44-$N44)*4)&amp;"&gt;",IF($W44&lt;=$P44,REPT("=",9+4-($P44-$W44)/($P44-$O44)*4)&amp;"&gt;",IF($W44&lt;=$Q44,REPT("=",13+4-($Q44-$W44)/($Q44-$P44)*4)&amp;"&gt;",REPT("=",18)&amp;"&gt;")))))</f>
        <v>==============&gt;</v>
      </c>
    </row>
    <row r="45" spans="3:51" ht="9.9" hidden="1" customHeight="1">
      <c r="C45" s="688" t="s">
        <v>670</v>
      </c>
      <c r="D45" s="689"/>
      <c r="E45" s="684"/>
      <c r="F45" s="685"/>
      <c r="G45" s="686"/>
      <c r="H45" s="591"/>
      <c r="I45" s="1406"/>
      <c r="J45" s="1394"/>
      <c r="K45" s="1326"/>
      <c r="L45" s="1327"/>
      <c r="M45" s="1403"/>
      <c r="N45" s="646"/>
      <c r="O45" s="646"/>
      <c r="P45" s="646"/>
      <c r="Q45" s="646"/>
      <c r="R45" s="621"/>
      <c r="U45" s="646"/>
      <c r="V45" s="646"/>
      <c r="W45" s="687"/>
    </row>
    <row r="46" spans="3:51" ht="18" hidden="1" customHeight="1">
      <c r="C46" s="658" t="s">
        <v>1071</v>
      </c>
      <c r="D46" s="690">
        <f>IF(W46="","",W46/10)</f>
        <v>4.37</v>
      </c>
      <c r="E46" s="684" t="str">
        <f>IF($W46="","",IF($W46&lt;=$N46,REPT("=",4-($N46-$W46)/$N46*4)&amp;"&gt;",IF($W46&lt;=$O46,REPT("=",5+4-($O46-$W46)/($O46-$N46)*4)&amp;"&gt;",IF($W46&lt;=$P46,REPT("=",9+4-($P46-$W46)/($P46-$O46)*4)&amp;"&gt;",IF($W46&lt;=$Q46,REPT("=",13+4-($Q46-$W46)/($Q46-$P46)*4)&amp;"&gt;",REPT("=",18)&amp;"&gt;")))))</f>
        <v>=============&gt;</v>
      </c>
      <c r="F46" s="691"/>
      <c r="G46" s="686" t="s">
        <v>1072</v>
      </c>
      <c r="H46" s="591"/>
      <c r="I46" s="1407"/>
      <c r="J46" s="1408"/>
      <c r="K46" s="1409"/>
      <c r="L46" s="1410"/>
      <c r="M46" s="1411"/>
      <c r="N46" s="646">
        <v>0.01</v>
      </c>
      <c r="O46" s="646">
        <v>10</v>
      </c>
      <c r="P46" s="646">
        <v>30</v>
      </c>
      <c r="Q46" s="646">
        <v>100</v>
      </c>
      <c r="R46" s="621">
        <f>$K$10*CE</f>
        <v>0</v>
      </c>
      <c r="U46" s="692">
        <v>10</v>
      </c>
      <c r="V46" s="692">
        <v>20</v>
      </c>
      <c r="W46" s="687">
        <f>IF(S50&lt;&gt;0,S50,"")</f>
        <v>43.7</v>
      </c>
      <c r="AI46" s="1412" t="s">
        <v>1073</v>
      </c>
      <c r="AJ46" s="1412"/>
      <c r="AK46" s="1412"/>
      <c r="AL46" s="1412"/>
      <c r="AM46" s="693"/>
      <c r="AN46" s="693"/>
      <c r="AR46" s="694" t="s">
        <v>1074</v>
      </c>
      <c r="AS46" s="694">
        <v>0</v>
      </c>
    </row>
    <row r="47" spans="3:51" ht="12" hidden="1" customHeight="1">
      <c r="C47" s="688" t="s">
        <v>674</v>
      </c>
      <c r="D47" s="695"/>
      <c r="E47" s="684"/>
      <c r="F47" s="685"/>
      <c r="G47" s="686"/>
      <c r="H47" s="591"/>
      <c r="I47" s="640"/>
      <c r="M47" s="696"/>
      <c r="N47" s="646"/>
      <c r="O47" s="646"/>
      <c r="P47" s="646"/>
      <c r="Q47" s="646"/>
      <c r="R47" s="621"/>
      <c r="U47" s="692"/>
      <c r="V47" s="692"/>
      <c r="AI47" s="697"/>
      <c r="AJ47" s="697"/>
      <c r="AK47" s="697"/>
      <c r="AL47" s="697"/>
      <c r="AM47" s="693"/>
      <c r="AN47" s="693"/>
      <c r="AR47" s="694"/>
      <c r="AS47" s="694"/>
    </row>
    <row r="48" spans="3:51" ht="18" hidden="1" customHeight="1">
      <c r="C48" s="658" t="s">
        <v>1075</v>
      </c>
      <c r="D48" s="690">
        <f>CEILING(pH_Eau,0.1)</f>
        <v>8.5</v>
      </c>
      <c r="E48" s="684" t="str">
        <f>IF($D48="","",IF($D48&lt;=$N48,REPT("=",4-($N48-$D48)/$N48*4)&amp;"&gt;",IF($D48&lt;=$O48,REPT("=",5+4-($O48-$D48)/($O48-$N48)*4)&amp;"&gt;",IF($D48&lt;=$P48,REPT("=",9+4-($P48-$D48)/($P48-$O48)*4)&amp;"&gt;",IF($D48&lt;=$Q48,REPT("=",13+4-($Q48-$D48)/($Q48-$P48)*4)&amp;"&gt;",REPT("=",18)&amp;"&gt;")))))</f>
        <v>=================&gt;</v>
      </c>
      <c r="F48" s="685"/>
      <c r="G48" s="686" t="str">
        <f>TEXT($O48,"0,0")&amp;" / "&amp;TEXT($P48,"0,0")</f>
        <v>6,5 / 7,4</v>
      </c>
      <c r="H48" s="591"/>
      <c r="I48" s="1380" t="s">
        <v>1076</v>
      </c>
      <c r="J48" s="1382">
        <f>IF($X$10="","",$X$10)</f>
        <v>0</v>
      </c>
      <c r="K48" s="1384" t="str">
        <f>IF($J48="","",IF($J48&lt;=$N75,REPT("=",4-($N75-$J48)/$N75*4)&amp;"&gt;",IF($J48&lt;=$O75,REPT("=",5+4-($O75-$J48)/($O75-$N75)*4)&amp;"&gt;",IF($J48&lt;=$P75,REPT("=",9+4-($P75-$J48)/($P75-$O75)*4)&amp;"&gt;",IF($J48&lt;=$Q75,REPT("=",13+4-($Q75-$J48)/($Q75-$P75)*4)&amp;"&gt;",REPT("=",18)&amp;"&gt;")))))</f>
        <v>&gt;</v>
      </c>
      <c r="L48" s="1385"/>
      <c r="M48" s="1388" t="str">
        <f>IF(J48="","",TEXT($O75,"0,0")&amp;" / "&amp;TEXT($P75,"0,0"))</f>
        <v>0,4 / 0,8</v>
      </c>
      <c r="N48" s="646">
        <v>5.5</v>
      </c>
      <c r="O48" s="646">
        <v>6.5</v>
      </c>
      <c r="P48" s="646">
        <v>7.4</v>
      </c>
      <c r="Q48" s="646">
        <v>8.5</v>
      </c>
      <c r="R48" s="621">
        <f>$I$10*CE</f>
        <v>0</v>
      </c>
      <c r="S48" s="557">
        <f>IF($D$10&lt;=7,0.001,$B$10)</f>
        <v>204</v>
      </c>
      <c r="AI48" s="694" t="s">
        <v>1077</v>
      </c>
      <c r="AJ48" s="694">
        <f>(W20+W22)/10</f>
        <v>30</v>
      </c>
      <c r="AK48" s="557" t="s">
        <v>1078</v>
      </c>
      <c r="AR48" s="694" t="s">
        <v>1079</v>
      </c>
      <c r="AS48" s="694">
        <v>0</v>
      </c>
      <c r="AT48" s="698" t="s">
        <v>1080</v>
      </c>
      <c r="AX48" s="557" t="s">
        <v>1081</v>
      </c>
      <c r="AY48" s="557">
        <f>AS63*1.25</f>
        <v>167.35071621125331</v>
      </c>
    </row>
    <row r="49" spans="3:54" ht="8.25" hidden="1" customHeight="1">
      <c r="C49" s="688" t="s">
        <v>677</v>
      </c>
      <c r="D49" s="699"/>
      <c r="E49" s="684"/>
      <c r="F49" s="685"/>
      <c r="G49" s="686"/>
      <c r="H49" s="591"/>
      <c r="I49" s="1381"/>
      <c r="J49" s="1383"/>
      <c r="K49" s="1386"/>
      <c r="L49" s="1387"/>
      <c r="M49" s="1389"/>
      <c r="N49" s="646"/>
      <c r="O49" s="646"/>
      <c r="P49" s="646"/>
      <c r="Q49" s="646"/>
      <c r="R49" s="621"/>
      <c r="AI49" s="694"/>
      <c r="AJ49" s="694"/>
      <c r="AR49" s="694"/>
      <c r="AS49" s="694"/>
      <c r="AT49" s="698"/>
    </row>
    <row r="50" spans="3:54" ht="18" hidden="1" customHeight="1">
      <c r="C50" s="658" t="s">
        <v>734</v>
      </c>
      <c r="D50" s="699" t="str">
        <f>IF($BF$10&lt;&gt;0,$BF$10,"")</f>
        <v/>
      </c>
      <c r="E50" s="684" t="str">
        <f>IF($D50="","",IF($D50&lt;=$N50,REPT("=",4-($N50-$D50)/$N50*4)&amp;"&gt;",IF($D50&lt;=$O50,REPT("=",5+4-($O50-$D50)/($O50-$N50)*4)&amp;"&gt;",IF($D50&lt;=$P50,REPT("=",9+4-($P50-$D50)/($P50-$O50)*4)&amp;"&gt;",IF($D50&lt;=$Q50,REPT("=",13+4-($Q50-$D50)/($Q50-$P50)*4)&amp;"&gt;",REPT("=",18)&amp;"&gt;")))))</f>
        <v/>
      </c>
      <c r="F50" s="685"/>
      <c r="G50" s="686" t="str">
        <f>TEXT($O50,"0,0")&amp;" / "&amp;TEXT($P50,"0,0")</f>
        <v>5,5 / 6,4</v>
      </c>
      <c r="H50" s="591"/>
      <c r="I50" s="700"/>
      <c r="J50" s="701"/>
      <c r="K50" s="701"/>
      <c r="L50" s="701"/>
      <c r="M50" s="702"/>
      <c r="N50" s="646">
        <v>4.8</v>
      </c>
      <c r="O50" s="646">
        <f>O48-1</f>
        <v>5.5</v>
      </c>
      <c r="P50" s="646">
        <f>P48-1</f>
        <v>6.4</v>
      </c>
      <c r="Q50" s="646">
        <f>Q48-1</f>
        <v>7.5</v>
      </c>
      <c r="R50" s="621">
        <f>$J$10*CE</f>
        <v>0</v>
      </c>
      <c r="S50" s="557">
        <f>IF($C$10=0,"",$C$10)</f>
        <v>43.7</v>
      </c>
      <c r="T50" s="557">
        <f>IF($C$10=0,0,$C$10)</f>
        <v>43.7</v>
      </c>
      <c r="AI50" s="694" t="s">
        <v>1082</v>
      </c>
      <c r="AJ50" s="694">
        <f>Argiles/10</f>
        <v>56</v>
      </c>
      <c r="AK50" s="557">
        <f>0.25*(AJ50+AJ48)</f>
        <v>21.5</v>
      </c>
      <c r="AL50" s="557">
        <f>AJ50/100</f>
        <v>0.56000000000000005</v>
      </c>
      <c r="AM50" s="557" t="s">
        <v>1083</v>
      </c>
      <c r="AR50" s="694" t="s">
        <v>1084</v>
      </c>
      <c r="AS50" s="694">
        <f>Argiles/10</f>
        <v>56</v>
      </c>
      <c r="AT50" s="698">
        <f>IF(AS50&lt;5,30,IF(AS50&lt;30,-14.427*LN(AS50)+ 48.219,0))</f>
        <v>0</v>
      </c>
    </row>
    <row r="51" spans="3:54" ht="12.75" hidden="1" customHeight="1" thickBot="1">
      <c r="C51" s="688" t="s">
        <v>677</v>
      </c>
      <c r="D51" s="703"/>
      <c r="E51" s="684"/>
      <c r="F51" s="685"/>
      <c r="G51" s="686"/>
      <c r="H51" s="591"/>
      <c r="I51" s="704" t="s">
        <v>1085</v>
      </c>
      <c r="J51" s="705"/>
      <c r="K51" s="706" t="s">
        <v>1086</v>
      </c>
      <c r="L51" s="707" t="s">
        <v>1087</v>
      </c>
      <c r="M51" s="708" t="s">
        <v>1044</v>
      </c>
      <c r="N51" s="646"/>
      <c r="O51" s="646"/>
      <c r="P51" s="646"/>
      <c r="Q51" s="646"/>
      <c r="R51" s="621"/>
      <c r="V51" s="557">
        <v>0</v>
      </c>
      <c r="W51" s="557">
        <v>0</v>
      </c>
      <c r="AI51" s="694"/>
      <c r="AJ51" s="694"/>
      <c r="AR51" s="694"/>
      <c r="AS51" s="694"/>
      <c r="AT51" s="698"/>
    </row>
    <row r="52" spans="3:54" ht="18" hidden="1" customHeight="1" thickBot="1">
      <c r="C52" s="658" t="s">
        <v>1088</v>
      </c>
      <c r="D52" s="709">
        <f>IF(S52&lt;0.5,"Inf à 0,50",S52)</f>
        <v>12.24</v>
      </c>
      <c r="E52" s="684" t="str">
        <f>IF(D52="Inf à 0,50","&gt;",X52)</f>
        <v>==================&gt;</v>
      </c>
      <c r="F52" s="685"/>
      <c r="G52" s="686" t="str">
        <f>TEXT($O52,"0,0")&amp;" / "&amp;TEXT($P52,"0,0")</f>
        <v>6,0 / 7,9</v>
      </c>
      <c r="H52" s="591"/>
      <c r="I52" s="1390" t="s">
        <v>1089</v>
      </c>
      <c r="J52" s="1393" t="str">
        <f>IF(T52=100,"saturé",T52)</f>
        <v>saturé</v>
      </c>
      <c r="K52" s="1396" t="str">
        <f>IF($J52="saturé",REPT("=",19)&amp;"&gt;",IF($J52="","",IF($J52&lt;=$V52/2,REPT("=",4-($V52/2-$J52)/$V52/2*4)&amp;"&gt;",IF($J52&lt;=$V52,REPT("=",5+4-($V52-$J52)/($V52-$V52/2)*4)&amp;"&gt;",IF($J52&lt;=$W52,REPT("=",9+4-($W52-$J52)/($W52-$V52)*4)&amp;"&gt;",IF($J52&lt;=$W52*2,REPT("=",14+4-($W52*2-$J52)/($W52*2-$W52)*4)&amp;"&gt;",REPT("=",19)&amp;"&gt;"))))))</f>
        <v>===================&gt;</v>
      </c>
      <c r="L52" s="1397"/>
      <c r="M52" s="1402" t="str">
        <f>TEXT(O56,"0")&amp;"/"&amp;TEXT(P56,"0")</f>
        <v>85/95</v>
      </c>
      <c r="N52" s="646">
        <v>1.5</v>
      </c>
      <c r="O52" s="646">
        <f>MAX(2.5,CEC*0.182)</f>
        <v>6.0424000000000007</v>
      </c>
      <c r="P52" s="646">
        <f>MAX(5,CEC*0.238)</f>
        <v>7.9016000000000002</v>
      </c>
      <c r="Q52" s="646">
        <v>7</v>
      </c>
      <c r="S52" s="620">
        <f>$M$10</f>
        <v>12.24</v>
      </c>
      <c r="T52" s="710">
        <f>MIN(1,S52*3.571/S54)*100</f>
        <v>100</v>
      </c>
      <c r="U52" s="557" t="s">
        <v>1090</v>
      </c>
      <c r="V52" s="557">
        <v>85</v>
      </c>
      <c r="W52" s="557">
        <v>95</v>
      </c>
      <c r="X52" s="557" t="str">
        <f>IF($D52="","",IF($D52&lt;=$N52,REPT("=",4-($N52-$D52)/$N52*4)&amp;"&gt;",IF($D52&lt;=$O52,REPT("=",5+4-($O52-$D52)/($O52-$N52)*4)&amp;"&gt;",IF($D52&lt;=$P52,REPT("=",9+4-($P52-$D52)/($P52-$O52)*4)&amp;"&gt;",IF($D52&lt;=$Q52,REPT("=",13+4-($Q52-$D52)/($Q52-$P52)*4)&amp;"&gt;",REPT("=",18)&amp;"&gt;")))))</f>
        <v>==================&gt;</v>
      </c>
      <c r="AI52" s="694" t="s">
        <v>1091</v>
      </c>
      <c r="AJ52" s="694">
        <f>W44/10</f>
        <v>20.399999999999999</v>
      </c>
      <c r="AL52" s="557">
        <f>0.66*AJ50/100</f>
        <v>0.36959999999999998</v>
      </c>
      <c r="AM52" s="711" t="s">
        <v>1092</v>
      </c>
      <c r="AN52" s="712">
        <f>IF(AJ52&lt;=30,1.0571*AJ52 + 8.666,0.5*AJ52 + 25)</f>
        <v>30.230839999999997</v>
      </c>
      <c r="AR52" s="694" t="s">
        <v>1093</v>
      </c>
      <c r="AS52" s="694"/>
      <c r="AX52" s="713" t="s">
        <v>1094</v>
      </c>
      <c r="AY52" s="694">
        <f>Z61*1000</f>
        <v>770</v>
      </c>
      <c r="AZ52" s="1361">
        <f>(AY54-AY52)*3.9</f>
        <v>-1488.4848047924909</v>
      </c>
    </row>
    <row r="53" spans="3:54" ht="9.9" hidden="1" customHeight="1">
      <c r="C53" s="688" t="s">
        <v>1095</v>
      </c>
      <c r="D53" s="709"/>
      <c r="E53" s="684"/>
      <c r="F53" s="685"/>
      <c r="G53" s="686"/>
      <c r="H53" s="591"/>
      <c r="I53" s="1391"/>
      <c r="J53" s="1394"/>
      <c r="K53" s="1398"/>
      <c r="L53" s="1399"/>
      <c r="M53" s="1403"/>
      <c r="N53" s="646">
        <f>46.203*pHeaus-199.52</f>
        <v>193.2055</v>
      </c>
      <c r="O53" s="646"/>
      <c r="P53" s="646" t="e">
        <f>+pHeaus+D50</f>
        <v>#VALUE!</v>
      </c>
      <c r="Q53" s="646" t="e">
        <f>+P53/2</f>
        <v>#VALUE!</v>
      </c>
      <c r="T53" s="710"/>
      <c r="AI53" s="694"/>
      <c r="AJ53" s="694"/>
      <c r="AR53" s="694"/>
      <c r="AS53" s="694"/>
      <c r="AX53" s="713"/>
      <c r="AY53" s="694"/>
      <c r="AZ53" s="1361"/>
    </row>
    <row r="54" spans="3:54" ht="25.5" hidden="1" customHeight="1" thickBot="1">
      <c r="C54" s="714" t="s">
        <v>1096</v>
      </c>
      <c r="D54" s="715">
        <f>CEC</f>
        <v>33.200000000000003</v>
      </c>
      <c r="E54" s="716" t="str">
        <f>IF($D54="","",IF($D54&lt;=$N54,REPT("=",4-($N54-$D54)/$N54*4)&amp;"&gt;",IF($D54&lt;=$O54,REPT("=",5+4-($O54-$D54)/($O54-$N54)*4)&amp;"&gt;",IF($D54&lt;=$P54,REPT("=",9+4-($P54-$D54)/($P54-$O54)*4)&amp;"&gt;",IF($D54&lt;=$Q54,REPT("=",13+4-($Q54-$D54)/($Q54-$P54)*4)&amp;"&gt;",REPT("=",18)&amp;"&gt;")))))</f>
        <v>==================&gt;</v>
      </c>
      <c r="F54" s="717"/>
      <c r="G54" s="718" t="str">
        <f>TEXT($O54,"0")&amp;" / "&amp;TEXT($P54,"0")</f>
        <v>8 / 15</v>
      </c>
      <c r="H54" s="628"/>
      <c r="I54" s="1392"/>
      <c r="J54" s="1395"/>
      <c r="K54" s="1400"/>
      <c r="L54" s="1401"/>
      <c r="M54" s="1404"/>
      <c r="N54" s="646">
        <v>4</v>
      </c>
      <c r="O54" s="646">
        <v>8</v>
      </c>
      <c r="P54" s="646">
        <v>15</v>
      </c>
      <c r="Q54" s="646">
        <v>25</v>
      </c>
      <c r="S54" s="622">
        <f>$AN$10</f>
        <v>33.200000000000003</v>
      </c>
      <c r="T54" s="566">
        <f>MIN(1,T52)*100</f>
        <v>100</v>
      </c>
      <c r="U54" s="557" t="s">
        <v>1097</v>
      </c>
      <c r="AI54" s="694" t="s">
        <v>1098</v>
      </c>
      <c r="AJ54" s="694"/>
      <c r="AL54" s="557">
        <f>0.33*AJ50/100</f>
        <v>0.18479999999999999</v>
      </c>
      <c r="AR54" s="694" t="s">
        <v>1099</v>
      </c>
      <c r="AS54" s="694">
        <f>AC101</f>
        <v>130.65</v>
      </c>
      <c r="AX54" s="713" t="s">
        <v>1100</v>
      </c>
      <c r="AY54" s="719">
        <f>O61*1000</f>
        <v>388.33722954038694</v>
      </c>
      <c r="AZ54" s="1361"/>
      <c r="BA54" s="557">
        <f>P61*1000</f>
        <v>645.05301367640823</v>
      </c>
      <c r="BB54" s="557">
        <f>(AY52-BA54)*3.9</f>
        <v>487.2932466620079</v>
      </c>
    </row>
    <row r="55" spans="3:54" ht="6.75" hidden="1" customHeight="1" thickBot="1">
      <c r="J55" s="720"/>
      <c r="K55" s="721"/>
      <c r="L55" s="721"/>
      <c r="N55" s="646"/>
      <c r="O55" s="646"/>
      <c r="P55" s="646"/>
      <c r="Q55" s="646"/>
      <c r="AI55" s="694" t="s">
        <v>1101</v>
      </c>
      <c r="AJ55" s="694" t="e">
        <f>#REF!</f>
        <v>#REF!</v>
      </c>
      <c r="AR55" s="694" t="s">
        <v>1102</v>
      </c>
      <c r="AS55" s="694">
        <f>AT50*AS54/100</f>
        <v>0</v>
      </c>
    </row>
    <row r="56" spans="3:54" s="606" customFormat="1" ht="15" hidden="1" customHeight="1" thickBot="1">
      <c r="C56" s="1350" t="s">
        <v>665</v>
      </c>
      <c r="D56" s="1351"/>
      <c r="E56" s="1351"/>
      <c r="F56" s="1351"/>
      <c r="G56" s="1352"/>
      <c r="H56" s="628"/>
      <c r="I56" s="1362" t="s">
        <v>1103</v>
      </c>
      <c r="J56" s="1365" t="s">
        <v>363</v>
      </c>
      <c r="K56" s="1368" t="s">
        <v>282</v>
      </c>
      <c r="L56" s="1371" t="s">
        <v>596</v>
      </c>
      <c r="M56" s="1374" t="s">
        <v>1044</v>
      </c>
      <c r="N56" s="678">
        <v>35</v>
      </c>
      <c r="O56" s="678">
        <v>85</v>
      </c>
      <c r="P56" s="678">
        <v>95</v>
      </c>
      <c r="Q56" s="678">
        <v>99</v>
      </c>
      <c r="AI56" s="722" t="s">
        <v>1104</v>
      </c>
      <c r="AJ56" s="722" t="e">
        <f xml:space="preserve"> AD101</f>
        <v>#REF!</v>
      </c>
      <c r="AR56" s="722" t="s">
        <v>1083</v>
      </c>
      <c r="AS56" s="723">
        <f>AS48*6.5*0.12</f>
        <v>0</v>
      </c>
      <c r="AT56" s="722">
        <f>IF(AS50&gt;=30,1,IF(AS50&gt;=10,2,3))</f>
        <v>1</v>
      </c>
      <c r="AX56" s="723" t="s">
        <v>1105</v>
      </c>
      <c r="AY56" s="722">
        <f>IF(AZ52&gt;=0, AZ52,0)</f>
        <v>0</v>
      </c>
      <c r="AZ56" s="606">
        <f>AY48+AY56</f>
        <v>167.35071621125331</v>
      </c>
    </row>
    <row r="57" spans="3:54" ht="17.25" hidden="1" customHeight="1">
      <c r="C57" s="1377"/>
      <c r="D57" s="1378"/>
      <c r="E57" s="1378"/>
      <c r="F57" s="1378"/>
      <c r="G57" s="1379"/>
      <c r="H57" s="724"/>
      <c r="I57" s="1363"/>
      <c r="J57" s="1366"/>
      <c r="K57" s="1369"/>
      <c r="L57" s="1372"/>
      <c r="M57" s="1375"/>
      <c r="N57" s="646">
        <v>50</v>
      </c>
      <c r="O57" s="646">
        <v>90</v>
      </c>
      <c r="P57" s="646">
        <v>97</v>
      </c>
      <c r="Q57" s="646">
        <v>99</v>
      </c>
      <c r="R57" s="596"/>
      <c r="S57" s="596"/>
      <c r="AI57" s="694" t="s">
        <v>1106</v>
      </c>
      <c r="AJ57" s="694">
        <f>Z59*1000</f>
        <v>334.65</v>
      </c>
      <c r="AL57" s="557">
        <f>AJ57</f>
        <v>334.65</v>
      </c>
      <c r="AR57" s="694" t="s">
        <v>1107</v>
      </c>
      <c r="AS57" s="725">
        <v>0</v>
      </c>
      <c r="AT57" s="694" t="str">
        <f>IF(AT58="nord",3,IF(AT58="centre",2,IF(AT58="sud",1,"0")))</f>
        <v>0</v>
      </c>
    </row>
    <row r="58" spans="3:54" ht="15" hidden="1" customHeight="1">
      <c r="C58" s="726" t="s">
        <v>1108</v>
      </c>
      <c r="D58" s="665" t="s">
        <v>363</v>
      </c>
      <c r="E58" s="705" t="s">
        <v>282</v>
      </c>
      <c r="F58" s="727" t="s">
        <v>596</v>
      </c>
      <c r="G58" s="728" t="s">
        <v>653</v>
      </c>
      <c r="H58" s="591"/>
      <c r="I58" s="1364"/>
      <c r="J58" s="1367"/>
      <c r="K58" s="1370"/>
      <c r="L58" s="1373"/>
      <c r="M58" s="1376"/>
      <c r="N58" s="646"/>
      <c r="O58" s="660">
        <f>Y73/1000</f>
        <v>0</v>
      </c>
      <c r="P58" s="660">
        <v>0.06</v>
      </c>
      <c r="Q58" s="646"/>
      <c r="R58" s="596"/>
      <c r="S58" s="596"/>
      <c r="W58" s="557" t="s">
        <v>1109</v>
      </c>
      <c r="X58" s="557">
        <f>X63/J63</f>
        <v>26.672072727272727</v>
      </c>
      <c r="AI58" s="694" t="s">
        <v>1110</v>
      </c>
      <c r="AJ58" s="719">
        <f>(O59+Psups)*1000/2</f>
        <v>45.943464124251896</v>
      </c>
      <c r="AK58" s="694" t="e">
        <f>IF(Psols&gt;Pinfs,0,(AJ58-AJ57)*3.9)</f>
        <v>#REF!</v>
      </c>
      <c r="AL58" s="557">
        <f>P59*1000</f>
        <v>60</v>
      </c>
      <c r="AM58" s="694">
        <f>(AL57-AL58)*3.9</f>
        <v>1071.135</v>
      </c>
      <c r="AR58" s="729" t="s">
        <v>1111</v>
      </c>
      <c r="AS58" s="557">
        <v>0</v>
      </c>
      <c r="AT58" s="694" t="s">
        <v>1112</v>
      </c>
      <c r="AW58" s="725" t="s">
        <v>1113</v>
      </c>
      <c r="AX58" s="730" t="e">
        <f>AE101</f>
        <v>#REF!</v>
      </c>
      <c r="AY58" s="694"/>
    </row>
    <row r="59" spans="3:54" ht="18" hidden="1" customHeight="1">
      <c r="C59" s="658" t="s">
        <v>1114</v>
      </c>
      <c r="D59" s="731" t="e">
        <f>IF(Psols*1000&lt;5,"Inf à 5",Psols*1000)</f>
        <v>#REF!</v>
      </c>
      <c r="E59" s="684" t="e">
        <f>IF(D59="Inf à 5","&gt;",AA59)</f>
        <v>#REF!</v>
      </c>
      <c r="F59" s="732"/>
      <c r="G59" s="733" t="str">
        <f>TEXT($O59*1000,"0")&amp;" / "&amp;TEXT($P59*1000,"0")</f>
        <v>32 / 60</v>
      </c>
      <c r="H59" s="734"/>
      <c r="I59" s="735" t="s">
        <v>1115</v>
      </c>
      <c r="J59" s="736">
        <f>T59</f>
        <v>4.9331024096385532</v>
      </c>
      <c r="K59" s="737" t="str">
        <f>IF($J59="saturé",REPT("=",19)&amp;"&gt;",IF($J59="","",IF($J59&lt;=$U59/2,REPT("=",4-($U59/2-$J59)/$U59/2*4)&amp;"&gt;",IF($J59&lt;=$U59,REPT("=",5+4-($U59-$J59)/($U59-$U59/2)*4)&amp;"&gt;",IF($J59&lt;=$V59,REPT("=",9+4-($V59-$J59)/($V59-$U59)*4)&amp;"&gt;",IF($J59&lt;=$V59*2,REPT("=",14+4-($V59*2-$J59)/($V59*2-$V59)*4)&amp;"&gt;",REPT("=",19)&amp;"&gt;"))))))</f>
        <v>============&gt;</v>
      </c>
      <c r="L59" s="721"/>
      <c r="M59" s="738" t="str">
        <f>TEXT($U59,"0,0")&amp;" / "&amp;TEXT($V59,"0,0")</f>
        <v>3,0 / 5,0</v>
      </c>
      <c r="N59" s="660">
        <v>0.02</v>
      </c>
      <c r="O59" s="660">
        <f>IF($K$9="maraichage",0.06,Y75/1000)</f>
        <v>3.1886928248503796E-2</v>
      </c>
      <c r="P59" s="660">
        <f>IF($K$9="maraichage",0.12,0.06)</f>
        <v>0.06</v>
      </c>
      <c r="Q59" s="660">
        <v>0.1</v>
      </c>
      <c r="R59" s="595">
        <f>IF(Z59&lt;N59,2,IF(Z59&lt;O59,1,IF(Z59&lt;P59,0,IF(Z59&lt;Q59,-1,-2))))</f>
        <v>-2</v>
      </c>
      <c r="S59" s="739">
        <f>$J$10</f>
        <v>0.33465</v>
      </c>
      <c r="T59" s="596">
        <f>S61*2.127/CEC*100</f>
        <v>4.9331024096385532</v>
      </c>
      <c r="U59" s="692">
        <v>3</v>
      </c>
      <c r="V59" s="692">
        <v>5</v>
      </c>
      <c r="W59" s="557" t="s">
        <v>1116</v>
      </c>
      <c r="X59" s="557">
        <f>1/J63</f>
        <v>5.8139610389610388</v>
      </c>
      <c r="Y59" s="557">
        <f>AN59</f>
        <v>0</v>
      </c>
      <c r="Z59" s="740">
        <f>S59</f>
        <v>0.33465</v>
      </c>
      <c r="AA59" s="557" t="str">
        <f>IF($Z59="","",IF($Z59&lt;=$N59,REPT("=",4-($N59-$Z59)/$N59*4)&amp;"&gt;",IF($Z59&lt;=$O59,REPT("=",5+4-($O59-$Z59)/($O59-$N59)*4)&amp;"&gt;",IF($Z59&lt;=$P59,REPT("=",9+4-($P59-$Z59)/($P59-$O59)*4)&amp;"&gt;",IF($Z59&lt;=$Q59,REPT("=",13+4-($Q59-$Z59)/($Q59-$P59)*4)&amp;"&gt;",REPT("=",18)&amp;"&gt;")))))</f>
        <v>==================&gt;</v>
      </c>
      <c r="AB59" s="557">
        <v>60</v>
      </c>
      <c r="AC59" s="557">
        <v>120</v>
      </c>
      <c r="AI59" s="694" t="s">
        <v>1117</v>
      </c>
      <c r="AJ59" s="694">
        <f>AN50*2.5*0.8*0.1</f>
        <v>0</v>
      </c>
      <c r="AR59" s="694" t="s">
        <v>1118</v>
      </c>
      <c r="AS59" s="694">
        <f>N_MOs*0.3</f>
        <v>10.157484327897601</v>
      </c>
      <c r="AT59" s="741">
        <f>T34/10</f>
        <v>3.1510400000000001</v>
      </c>
      <c r="AW59" s="725" t="s">
        <v>1119</v>
      </c>
      <c r="AX59" s="742" t="e">
        <f>(1.58 + 0.125*#REF! - 0.0001*POWER(#REF!,2))*AX58/100</f>
        <v>#REF!</v>
      </c>
      <c r="AY59" s="694"/>
    </row>
    <row r="60" spans="3:54" ht="12.75" hidden="1" customHeight="1">
      <c r="C60" s="743" t="s">
        <v>671</v>
      </c>
      <c r="D60" s="744"/>
      <c r="E60" s="684" t="str">
        <f>IF($Z60="","",IF($Z60&lt;=$N60,REPT("=",4-($N60-$Z60)/$N60*4)&amp;"&gt;",IF($Z60&lt;=$O60,REPT("=",5+4-($O60-$Z60)/($O60-$N60)*4)&amp;"&gt;",IF($Z60&lt;=$P60,REPT("=",9+4-($P60-$Z60)/($P60-$O60)*4)&amp;"&gt;",IF($Z60&lt;=$Q60,REPT("=",13+4-($Q60-$Z60)/($Q60-$P60)*4)&amp;"&gt;",REPT("=",18)&amp;"&gt;")))))</f>
        <v/>
      </c>
      <c r="F60" s="685"/>
      <c r="G60" s="745"/>
      <c r="H60" s="651"/>
      <c r="I60" s="746"/>
      <c r="J60" s="709"/>
      <c r="K60" s="747"/>
      <c r="L60" s="721"/>
      <c r="M60" s="748"/>
      <c r="N60" s="660"/>
      <c r="O60" s="660"/>
      <c r="P60" s="660"/>
      <c r="Q60" s="660"/>
      <c r="R60" s="595"/>
      <c r="S60" s="596"/>
      <c r="T60" s="596"/>
      <c r="U60" s="692"/>
      <c r="V60" s="692"/>
      <c r="Z60" s="749"/>
      <c r="AI60" s="694"/>
      <c r="AJ60" s="694"/>
      <c r="AT60" s="622"/>
      <c r="AW60" s="725"/>
      <c r="AX60" s="742"/>
      <c r="AY60" s="694"/>
    </row>
    <row r="61" spans="3:54" ht="18" hidden="1" customHeight="1">
      <c r="C61" s="658" t="s">
        <v>1120</v>
      </c>
      <c r="D61" s="750" t="e">
        <f>IF(Ksols*1000&lt;4,"Inf à 4",Ksols*1000)</f>
        <v>#REF!</v>
      </c>
      <c r="E61" s="684" t="e">
        <f>IF(D61="Inf à 4","&gt;",AA61)</f>
        <v>#REF!</v>
      </c>
      <c r="F61" s="685"/>
      <c r="G61" s="733" t="str">
        <f>TEXT($AB61,"00")&amp;" / "&amp;TEXT($AC61,"0")</f>
        <v>388 / 645</v>
      </c>
      <c r="H61" s="651"/>
      <c r="I61" s="746" t="s">
        <v>1121</v>
      </c>
      <c r="J61" s="690">
        <f>T61</f>
        <v>28.460240963855419</v>
      </c>
      <c r="K61" s="747" t="str">
        <f>IF($J61="saturé",REPT("=",19)&amp;"&gt;",IF($J61="","",IF($J61&lt;=$U61/2,REPT("=",4-($U61/2-$J61)/$U61/2*4)&amp;"&gt;",IF($J61&lt;=$U61,REPT("=",5+4-($U61-$J61)/($U61-$U61/2)*4)&amp;"&gt;",IF($J61&lt;=$V61,REPT("=",9+4-($V61-$J61)/($V61-$U61)*4)&amp;"&gt;",IF($J61&lt;=$V61*2,REPT("=",14+4-($V61*2-$J61)/($V61*2-$V61)*4)&amp;"&gt;",REPT("=",19)&amp;"&gt;"))))))</f>
        <v>=================&gt;</v>
      </c>
      <c r="L61" s="721"/>
      <c r="M61" s="748" t="str">
        <f>TEXT($U61,"0,0")&amp;" / "&amp;TEXT($V61,"0,0")</f>
        <v>8,0 / 16,0</v>
      </c>
      <c r="N61" s="660">
        <v>0.1</v>
      </c>
      <c r="O61" s="660">
        <f>IF(E20&lt;&gt;0,IF(D54&lt;5,X71,MAX(AB78,X71)),IF(D54&lt;5,X71,MAX(Ksinfs/(2.127/CEC*100),X71)))</f>
        <v>0.38833722954038696</v>
      </c>
      <c r="P61" s="660">
        <f>IF(E20&lt;&gt;0,IF(D54&lt;5,0.175,MAX(AC78,0.175)),IF(D54&lt;5,0.175,MAX(KsSUPs/(2.127/CEC*100),0.175)))</f>
        <v>0.64505301367640822</v>
      </c>
      <c r="Q61" s="660">
        <v>0.35</v>
      </c>
      <c r="R61" s="751">
        <f>IF(Z61&lt;N61,2,IF(Z61&lt;O61,1,IF(Z61&lt;P61,0.0001,IF(Z61&lt;Q61,-1,-2))))</f>
        <v>-2</v>
      </c>
      <c r="S61" s="739">
        <f>$K$10</f>
        <v>0.77</v>
      </c>
      <c r="T61" s="596">
        <f>S63*4.96/CEC*100</f>
        <v>28.460240963855419</v>
      </c>
      <c r="U61" s="646">
        <v>8</v>
      </c>
      <c r="V61" s="646">
        <v>16</v>
      </c>
      <c r="Z61" s="749">
        <f>S61</f>
        <v>0.77</v>
      </c>
      <c r="AA61" s="557" t="str">
        <f>IF($Z61="","",IF($Z61&lt;=$N61,REPT("=",4-($N61-$Z61)/$N61*4)&amp;"&gt;",IF($Z61&lt;=$O61,REPT("=",5+4-($O61-$Z61)/($O61-$N61)*4)&amp;"&gt;",IF($Z61&lt;=$P61,REPT("=",9+4-($P61-$Z61)/($P61-$O61)*4)&amp;"&gt;",IF($Z61&lt;=$Q61,REPT("=",13+4-($Q61-$Z61)/($Q61-$P61)*4)&amp;"&gt;",REPT("=",18)&amp;"&gt;")))))</f>
        <v>==================&gt;</v>
      </c>
      <c r="AB61" s="557">
        <f>Kinfs*1000</f>
        <v>388.33722954038694</v>
      </c>
      <c r="AC61" s="557">
        <f>Ksups*1000</f>
        <v>645.05301367640823</v>
      </c>
      <c r="AI61" s="694" t="s">
        <v>1092</v>
      </c>
      <c r="AJ61" s="752" t="e">
        <f>AN52*AJ56/100</f>
        <v>#REF!</v>
      </c>
      <c r="AK61" s="753"/>
      <c r="AL61" s="753"/>
      <c r="AR61" s="567" t="s">
        <v>1122</v>
      </c>
      <c r="AS61" s="567">
        <f>AS54+AS55+AS57+AS58-AS59-AS56-AS46</f>
        <v>120.4925156721024</v>
      </c>
      <c r="AU61" s="557">
        <v>2.2000000000000002</v>
      </c>
      <c r="AW61" s="725" t="s">
        <v>1123</v>
      </c>
      <c r="AX61" s="1348" t="e">
        <f>IF(AJ52&gt;=10,AX58*0.2,AX58*0.1)</f>
        <v>#REF!</v>
      </c>
      <c r="AY61" s="1349"/>
    </row>
    <row r="62" spans="3:54" ht="12.75" hidden="1" customHeight="1">
      <c r="C62" s="743" t="s">
        <v>658</v>
      </c>
      <c r="D62" s="754"/>
      <c r="E62" s="684"/>
      <c r="F62" s="685"/>
      <c r="G62" s="745"/>
      <c r="H62" s="651"/>
      <c r="I62" s="746"/>
      <c r="J62" s="690"/>
      <c r="K62" s="747"/>
      <c r="L62" s="721"/>
      <c r="M62" s="748"/>
      <c r="N62" s="660"/>
      <c r="O62" s="660"/>
      <c r="P62" s="660"/>
      <c r="Q62" s="660"/>
      <c r="R62" s="751"/>
      <c r="S62" s="596"/>
      <c r="T62" s="596"/>
      <c r="U62" s="646"/>
      <c r="V62" s="646"/>
      <c r="Z62" s="749"/>
      <c r="AI62" s="694"/>
      <c r="AJ62" s="752"/>
      <c r="AK62" s="753"/>
      <c r="AL62" s="753"/>
      <c r="AR62" s="567"/>
      <c r="AS62" s="567"/>
      <c r="AU62" s="557">
        <v>1.55</v>
      </c>
      <c r="AW62" s="725"/>
      <c r="AX62" s="1348"/>
      <c r="AY62" s="1349"/>
    </row>
    <row r="63" spans="3:54" ht="25.5" hidden="1" customHeight="1" thickBot="1">
      <c r="C63" s="755" t="s">
        <v>1124</v>
      </c>
      <c r="D63" s="756" t="e">
        <f>IF(Mgsols*1000&lt;20,"Inf à 20",Mgsols*1000)</f>
        <v>#REF!</v>
      </c>
      <c r="E63" s="757" t="e">
        <f>IF(D63="Inf à 20","&gt;",AA63)</f>
        <v>#REF!</v>
      </c>
      <c r="F63" s="758"/>
      <c r="G63" s="759" t="str">
        <f>TEXT($AB63,"00")&amp;" / "&amp;TEXT($AC63,"00")</f>
        <v>531 / 1062</v>
      </c>
      <c r="H63" s="651"/>
      <c r="I63" s="760" t="s">
        <v>512</v>
      </c>
      <c r="J63" s="761">
        <f>T63</f>
        <v>0.17199977662366672</v>
      </c>
      <c r="K63" s="762" t="str">
        <f>IF($J63="saturé",REPT("=",19)&amp;"&gt;",IF($J63="","",IF($J63&lt;=$U63/2,REPT("=",4-($U63/2-$J63)/$U63/2*4)&amp;"&gt;",IF($J63&lt;=$U63,REPT("=",5+4-($U63-$J63)/($U63-$U63/2)*4)&amp;"&gt;",IF($J63&lt;=$V63,REPT("=",9+4-($V63-$J63)/($V63-$U63)*4)&amp;"&gt;",IF($J63&lt;=$V63*2,REPT("=",14+4-($V63*2-$J63)/($V63*2-$V63)*4)&amp;"&gt;",REPT("=",19)&amp;"&gt;"))))))</f>
        <v>=====&gt;</v>
      </c>
      <c r="L63" s="763"/>
      <c r="M63" s="764" t="str">
        <f>TEXT($U63,"0,0")&amp;" / "&amp;TEXT($V63,"0,0")</f>
        <v>0,3 / 0,6</v>
      </c>
      <c r="N63" s="660">
        <v>0.01</v>
      </c>
      <c r="O63" s="660">
        <f>IF(D54&lt;6, Kinfs*0.9,$U61/(1000/(CEC*2)))</f>
        <v>0.53120000000000001</v>
      </c>
      <c r="P63" s="660">
        <f>IF(D54&lt;6,Ksups*0.9,$V61/(1000/(CEC*2)))</f>
        <v>1.0624</v>
      </c>
      <c r="Q63" s="660">
        <v>0.35</v>
      </c>
      <c r="R63" s="751">
        <f>IF(Z63&lt;N63,3,IF(Z63&lt;O63,2,IF(Z63&lt;P63,0.001,IF(Z63&lt;Q63,0.001,0.001))))</f>
        <v>1E-3</v>
      </c>
      <c r="S63" s="739">
        <f>$L$10</f>
        <v>1.905</v>
      </c>
      <c r="T63" s="765">
        <f>S61*20/(S63*47)</f>
        <v>0.17199977662366672</v>
      </c>
      <c r="U63" s="692">
        <v>0.3</v>
      </c>
      <c r="V63" s="646">
        <v>0.6</v>
      </c>
      <c r="W63" s="557" t="s">
        <v>514</v>
      </c>
      <c r="X63" s="557">
        <f>(D52/Z63)*0.714</f>
        <v>4.5875905511811021</v>
      </c>
      <c r="Z63" s="766">
        <f>S63</f>
        <v>1.905</v>
      </c>
      <c r="AA63" s="557" t="str">
        <f>IF($Z63="","",IF($Z63&lt;=$N63,REPT("=",4-($N63-$Z63)/$N63*4)&amp;"&gt;",IF($Z63&lt;=$O63,REPT("=",5+4-($O63-$Z63)/($O63-$N63)*4)&amp;"&gt;",IF($Z63&lt;=$P63,REPT("=",9+4-($P63-$Z63)/($P63-$O63)*4)&amp;"&gt;",IF($Z63&lt;=$Q63,REPT("=",13+4-($Q63-$Z63)/($Q63-$P63)*4)&amp;"&gt;",REPT("=",18)&amp;"&gt;")))))</f>
        <v>==================&gt;</v>
      </c>
      <c r="AB63" s="557">
        <f>Mginfs*1000</f>
        <v>531.20000000000005</v>
      </c>
      <c r="AC63" s="557">
        <f>Mgsups*1000</f>
        <v>1062.4000000000001</v>
      </c>
      <c r="AI63" s="694" t="s">
        <v>1125</v>
      </c>
      <c r="AJ63" s="694" t="e">
        <f>(AJ54*5)*AJ56/50000</f>
        <v>#REF!</v>
      </c>
      <c r="AS63" s="557">
        <f>AS61/0.9</f>
        <v>133.88057296900266</v>
      </c>
      <c r="AW63" s="725"/>
      <c r="AX63" s="1348"/>
      <c r="AY63" s="1349"/>
    </row>
    <row r="64" spans="3:54" ht="9.9" hidden="1" customHeight="1" thickBot="1">
      <c r="D64" s="767"/>
      <c r="E64" s="768"/>
      <c r="G64" s="651"/>
      <c r="H64" s="651"/>
      <c r="J64" s="769"/>
      <c r="K64" s="768"/>
      <c r="M64" s="591"/>
      <c r="N64" s="660"/>
      <c r="O64" s="660"/>
      <c r="P64" s="660"/>
      <c r="Q64" s="660"/>
      <c r="R64" s="751"/>
      <c r="S64" s="596"/>
      <c r="T64" s="765"/>
      <c r="U64" s="692"/>
      <c r="V64" s="646"/>
      <c r="AI64" s="694"/>
      <c r="AJ64" s="694"/>
      <c r="AS64" s="557">
        <f>AS63+20</f>
        <v>153.88057296900266</v>
      </c>
      <c r="AU64" s="557">
        <f>(AU61-AU62)*10/0.08</f>
        <v>81.250000000000014</v>
      </c>
      <c r="AX64" s="770"/>
      <c r="AY64" s="595"/>
    </row>
    <row r="65" spans="3:50" s="606" customFormat="1" ht="15" hidden="1" customHeight="1" thickBot="1">
      <c r="C65" s="1350" t="s">
        <v>10</v>
      </c>
      <c r="D65" s="1351"/>
      <c r="E65" s="1351"/>
      <c r="F65" s="1351"/>
      <c r="G65" s="1352"/>
      <c r="H65" s="628"/>
      <c r="I65" s="1350" t="s">
        <v>652</v>
      </c>
      <c r="J65" s="1351"/>
      <c r="K65" s="1351"/>
      <c r="L65" s="1351"/>
      <c r="M65" s="1352"/>
      <c r="N65" s="771" t="e">
        <f>#REF!/1000</f>
        <v>#REF!</v>
      </c>
      <c r="O65" s="771">
        <v>0.06</v>
      </c>
      <c r="P65" s="678"/>
      <c r="Q65" s="678"/>
      <c r="AI65" s="722" t="s">
        <v>1126</v>
      </c>
      <c r="AJ65" s="722" t="e">
        <f>AL50*AJ56</f>
        <v>#REF!</v>
      </c>
      <c r="AS65" s="606">
        <f>+AU64+AS64</f>
        <v>235.13057296900269</v>
      </c>
      <c r="AX65" s="606" t="e">
        <f>AX61+AX59+AX58</f>
        <v>#REF!</v>
      </c>
    </row>
    <row r="66" spans="3:50" ht="15" hidden="1" customHeight="1">
      <c r="C66" s="772" t="s">
        <v>1127</v>
      </c>
      <c r="D66" s="773" t="s">
        <v>363</v>
      </c>
      <c r="E66" s="774" t="s">
        <v>282</v>
      </c>
      <c r="F66" s="775" t="s">
        <v>596</v>
      </c>
      <c r="G66" s="776" t="s">
        <v>653</v>
      </c>
      <c r="H66" s="591"/>
      <c r="I66" s="772"/>
      <c r="J66" s="773" t="s">
        <v>363</v>
      </c>
      <c r="K66" s="774" t="s">
        <v>282</v>
      </c>
      <c r="L66" s="775" t="s">
        <v>596</v>
      </c>
      <c r="M66" s="777" t="s">
        <v>1044</v>
      </c>
      <c r="N66" s="646"/>
      <c r="O66" s="646"/>
      <c r="P66" s="646"/>
      <c r="Q66" s="646"/>
      <c r="R66" s="596">
        <f>MO</f>
        <v>31.510400000000001</v>
      </c>
      <c r="S66" s="596"/>
      <c r="V66" s="557">
        <f>1/(23*2+16)*(23*2)</f>
        <v>0.74193548387096775</v>
      </c>
      <c r="AI66" s="694" t="s">
        <v>1128</v>
      </c>
      <c r="AJ66" s="694" t="e">
        <f>AK50*AJ56/100</f>
        <v>#REF!</v>
      </c>
      <c r="AS66" s="557">
        <f>(AS59+AS46)/3.9</f>
        <v>2.604483160999385</v>
      </c>
    </row>
    <row r="67" spans="3:50" s="779" customFormat="1" ht="24" hidden="1" customHeight="1">
      <c r="C67" s="1353" t="s">
        <v>1129</v>
      </c>
      <c r="D67" s="1354">
        <f>IF(W67=0,"",W67)</f>
        <v>0.75</v>
      </c>
      <c r="E67" s="1355" t="str">
        <f>IF(D67="Inf à 0,20","=&gt;",X80)</f>
        <v>===&gt;</v>
      </c>
      <c r="F67" s="1356"/>
      <c r="G67" s="1357" t="str">
        <f>IF(D67="","",TEXT($O67,"0,0")&amp;" / "&amp;TEXT($P67,"0,0"))</f>
        <v>1,8 / 4,6</v>
      </c>
      <c r="H67" s="628"/>
      <c r="I67" s="1353" t="s">
        <v>1130</v>
      </c>
      <c r="J67" s="1358">
        <f>IF($N$10&lt;=0.005,"&lt;0,005",N$10)</f>
        <v>0.19800000000000001</v>
      </c>
      <c r="K67" s="1355" t="str">
        <f>IF(J67="&lt;0,005","&gt;",AL69)</f>
        <v>=========&gt;</v>
      </c>
      <c r="L67" s="1356"/>
      <c r="M67" s="1357" t="str">
        <f>TEXT($U67,"0")&amp;" / "&amp;TEXT($V67,"0,00")</f>
        <v>0 / 1,03</v>
      </c>
      <c r="N67" s="678">
        <f>O67/2</f>
        <v>0.92199999999999993</v>
      </c>
      <c r="O67" s="678">
        <f>IF($AP$10="",IF(pH_Eau&lt;6.5,IF(MO&lt;$P$33,1,1+(0.6*(MO-($Q$33*2-$P$33))/($Q$33*2-$P$33))),IF(MO&lt;$P$33,1.8,1.8+(3.2-3.2*(MO-($Q$33*2-$P$33))/($Q$33*2-$P$33)))),1+pH_Eau/10)</f>
        <v>1.8439999999999999</v>
      </c>
      <c r="P67" s="678">
        <f>O67*2.5</f>
        <v>4.6099999999999994</v>
      </c>
      <c r="Q67" s="678">
        <f>P67*2.5</f>
        <v>11.524999999999999</v>
      </c>
      <c r="R67" s="634">
        <v>40</v>
      </c>
      <c r="S67" s="778">
        <f>IF($Z$10&lt;&gt;0,$Z$10,"")</f>
        <v>0.75</v>
      </c>
      <c r="T67" s="779">
        <f>$O$10</f>
        <v>18.32</v>
      </c>
      <c r="U67" s="780">
        <v>1E-3</v>
      </c>
      <c r="V67" s="771">
        <f>0.1*CEC*0.3099</f>
        <v>1.0288680000000001</v>
      </c>
      <c r="W67" s="779">
        <f>IF(S67&lt;0.2,"Inf à 0,20",S67)</f>
        <v>0.75</v>
      </c>
      <c r="Y67" s="1360" t="s">
        <v>1131</v>
      </c>
      <c r="Z67" s="1360"/>
      <c r="AI67" s="781"/>
      <c r="AJ67" s="781"/>
      <c r="AS67" s="779">
        <f>(40-AS66)*3.9/0.65</f>
        <v>224.37310103400367</v>
      </c>
    </row>
    <row r="68" spans="3:50" ht="1.5" hidden="1" customHeight="1">
      <c r="C68" s="1335"/>
      <c r="D68" s="1324"/>
      <c r="E68" s="1326"/>
      <c r="F68" s="1327"/>
      <c r="G68" s="1330"/>
      <c r="I68" s="1335"/>
      <c r="J68" s="1359"/>
      <c r="K68" s="1326"/>
      <c r="L68" s="1327"/>
      <c r="M68" s="1330"/>
      <c r="N68" s="646"/>
      <c r="O68" s="646"/>
      <c r="P68" s="646"/>
      <c r="Q68" s="646"/>
      <c r="R68" s="596"/>
      <c r="S68" s="596"/>
      <c r="U68" s="692"/>
      <c r="V68" s="660"/>
      <c r="Y68" s="605"/>
      <c r="Z68" s="605"/>
      <c r="AI68" s="694"/>
      <c r="AJ68" s="694"/>
    </row>
    <row r="69" spans="3:50" s="779" customFormat="1" ht="18" hidden="1" customHeight="1">
      <c r="C69" s="1335" t="s">
        <v>1132</v>
      </c>
      <c r="D69" s="1324">
        <f>IF(W69=0,"",W69)</f>
        <v>3.17</v>
      </c>
      <c r="E69" s="1326" t="str">
        <f>IF(D69="Inf à 0,20","=&gt;",X81)</f>
        <v>=========&gt;</v>
      </c>
      <c r="F69" s="1327"/>
      <c r="G69" s="1330" t="str">
        <f>IF(D69="","",TEXT($O69,"0,0")&amp;" / "&amp;TEXT($P69,"0,0"))</f>
        <v>1,8 / 10,0</v>
      </c>
      <c r="H69" s="628"/>
      <c r="I69" s="1335" t="s">
        <v>1133</v>
      </c>
      <c r="J69" s="1345">
        <f>IF($H$10&lt;=20,"Inf à 20",$H$10)</f>
        <v>239.8</v>
      </c>
      <c r="K69" s="1346" t="str">
        <f>IF(J69="Inf à 20","&gt;",AL71)</f>
        <v>===================&gt;</v>
      </c>
      <c r="L69" s="1337"/>
      <c r="M69" s="1347" t="str">
        <f>TEXT($U69,"0")&amp;" / "&amp;TEXT($V69,"0")</f>
        <v>0 / 100</v>
      </c>
      <c r="N69" s="678">
        <f>O69/2</f>
        <v>0.9</v>
      </c>
      <c r="O69" s="678">
        <f>IF(pH_Eau&lt;6,1,MIN(1.8,1+(pH_Eau-6)*2))</f>
        <v>1.8</v>
      </c>
      <c r="P69" s="678">
        <f>IF(pH_Eau&lt;6,7,MIN(10,7+(pH_Eau-6)*6))</f>
        <v>10</v>
      </c>
      <c r="Q69" s="678">
        <f>P69*2.5</f>
        <v>25</v>
      </c>
      <c r="R69" s="634">
        <f>pH_Eau</f>
        <v>8.44</v>
      </c>
      <c r="S69" s="778">
        <f>IF($Y$10&lt;&gt;0,$Y$10,"")</f>
        <v>3.17</v>
      </c>
      <c r="T69" s="779">
        <f>$I$10</f>
        <v>0</v>
      </c>
      <c r="U69" s="780">
        <v>1E-3</v>
      </c>
      <c r="V69" s="678">
        <v>100</v>
      </c>
      <c r="W69" s="779">
        <f>IF(S69&lt;0.2,"Inf à 0,20",S69)</f>
        <v>3.17</v>
      </c>
      <c r="Y69" s="782" t="s">
        <v>1134</v>
      </c>
      <c r="Z69" s="783">
        <f>T34/10</f>
        <v>3.1510400000000001</v>
      </c>
      <c r="AB69" s="784" t="s">
        <v>1135</v>
      </c>
      <c r="AC69" s="722">
        <f>Argiles/10</f>
        <v>56</v>
      </c>
      <c r="AI69" s="785" t="s">
        <v>1136</v>
      </c>
      <c r="AJ69" s="785" t="e">
        <f>((AJ56+AJ61+AJ63+AJ65+AJ66-AJ59))</f>
        <v>#REF!</v>
      </c>
      <c r="AL69" s="779" t="str">
        <f>IF($J67="","",IF($J67&lt;=$U67,REPT("=",5+4-($U67-$J67)/($U67-$U67/2)*4)&amp;"&gt;",IF($J67&lt;=$V67,REPT("=",9+4-($V67-$J67)/($V67-$U67)*4)&amp;"&gt;",IF($J67&lt;=$V67*2,REPT("=",14+4-($V67*2-$J67)/($V67*2-$V67)*4)&amp;"&gt;",REPT("=",19)&amp;"&gt;"))))</f>
        <v>=========&gt;</v>
      </c>
    </row>
    <row r="70" spans="3:50" ht="1.5" hidden="1" customHeight="1">
      <c r="C70" s="1335"/>
      <c r="D70" s="1324"/>
      <c r="E70" s="1326"/>
      <c r="F70" s="1327"/>
      <c r="G70" s="1330"/>
      <c r="H70" s="591"/>
      <c r="I70" s="1335"/>
      <c r="J70" s="1345"/>
      <c r="K70" s="1346"/>
      <c r="L70" s="1337"/>
      <c r="M70" s="1347"/>
      <c r="N70" s="646"/>
      <c r="O70" s="646"/>
      <c r="P70" s="646"/>
      <c r="Q70" s="646"/>
      <c r="R70" s="596"/>
      <c r="S70" s="596"/>
      <c r="U70" s="692"/>
      <c r="V70" s="646"/>
      <c r="Y70" s="563"/>
      <c r="Z70" s="783"/>
      <c r="AB70" s="784"/>
      <c r="AC70" s="722"/>
      <c r="AI70" s="786"/>
      <c r="AJ70" s="786"/>
    </row>
    <row r="71" spans="3:50" s="779" customFormat="1" ht="18" hidden="1" customHeight="1">
      <c r="C71" s="1335" t="s">
        <v>1137</v>
      </c>
      <c r="D71" s="1324">
        <f>IF(W71=0,"",W71)</f>
        <v>3.17</v>
      </c>
      <c r="E71" s="1326" t="str">
        <f>IF(D71="Inf à 0,20","=&gt;",X82)</f>
        <v>========&gt;</v>
      </c>
      <c r="F71" s="1327"/>
      <c r="G71" s="1330" t="str">
        <f>IF(D71="","",TEXT($O71,"0,0")&amp;" / "&amp;TEXT($P71,"0,0"))</f>
        <v>3,2 / 10,0</v>
      </c>
      <c r="H71" s="628"/>
      <c r="I71" s="1335"/>
      <c r="J71" s="1345"/>
      <c r="K71" s="1346"/>
      <c r="L71" s="1337"/>
      <c r="M71" s="1347"/>
      <c r="N71" s="678">
        <f>O71/2</f>
        <v>1.5939999999999999</v>
      </c>
      <c r="O71" s="678">
        <f>IF($AQ$10="",IF(pH_Eau&lt;6,7,IF(pH_Eau&lt;7.8,1+pH_Eau,MIN(10,1+pH_Eau+(pH_Eau-7.8)*10))),1.5+pH_Eau/5)</f>
        <v>3.1879999999999997</v>
      </c>
      <c r="P71" s="678">
        <f>IF($AQ$10="",20,10)</f>
        <v>10</v>
      </c>
      <c r="Q71" s="678">
        <f>P71*2.5</f>
        <v>25</v>
      </c>
      <c r="R71" s="678"/>
      <c r="S71" s="778">
        <f>IF($AA$10&lt;&gt;0,$AA$10,"")</f>
        <v>3.17</v>
      </c>
      <c r="T71" s="779">
        <f>$E$10</f>
        <v>0.218</v>
      </c>
      <c r="U71" s="780">
        <v>0.01</v>
      </c>
      <c r="V71" s="787">
        <v>0.4</v>
      </c>
      <c r="W71" s="779">
        <f>IF(S71&lt;0.2,"Inf à 0,20",S71)</f>
        <v>3.17</v>
      </c>
      <c r="X71" s="779">
        <f>(2.5*D54+75)*(94/78)*0.001</f>
        <v>0.19041025641025641</v>
      </c>
      <c r="Y71" s="782" t="s">
        <v>1135</v>
      </c>
      <c r="Z71" s="783">
        <f>Argiles/10</f>
        <v>56</v>
      </c>
      <c r="AB71" s="788" t="s">
        <v>268</v>
      </c>
      <c r="AC71" s="788" t="s">
        <v>269</v>
      </c>
      <c r="AI71" s="785" t="s">
        <v>1136</v>
      </c>
      <c r="AJ71" s="781" t="e">
        <f>AJ69/0.5</f>
        <v>#REF!</v>
      </c>
      <c r="AL71" s="779" t="str">
        <f>IF($J69="saturé",REPT("=",19)&amp;"&gt;",IF($J69="","",IF($J69&lt;=$U69/2,REPT("=",4-($U69/2-$J69)/$U69/2*4)&amp;"&gt;",IF($J69&lt;=$U69,REPT("=",5+4-($U69-$J69)/($U69-$U69/2)*4)&amp;"&gt;",IF($J69&lt;=$V69,REPT("=",9+4-($V69-$J69)/($V69-$U69)*4)&amp;"&gt;",IF($J69&lt;=$V69*2,REPT("=",14+4-($V69*2-$J69)/($V69*2-$V69)*4)&amp;"&gt;",REPT("=",19)&amp;"&gt;"))))))</f>
        <v>===================&gt;</v>
      </c>
    </row>
    <row r="72" spans="3:50" ht="3.75" hidden="1" customHeight="1">
      <c r="C72" s="1335"/>
      <c r="D72" s="1324"/>
      <c r="E72" s="1326"/>
      <c r="F72" s="1327"/>
      <c r="G72" s="1330"/>
      <c r="H72" s="591"/>
      <c r="I72" s="1335"/>
      <c r="J72" s="789"/>
      <c r="K72" s="790"/>
      <c r="L72" s="791"/>
      <c r="M72" s="792"/>
      <c r="N72" s="646"/>
      <c r="O72" s="646"/>
      <c r="P72" s="646"/>
      <c r="Q72" s="646"/>
      <c r="R72" s="646"/>
      <c r="S72" s="596"/>
      <c r="U72" s="692"/>
      <c r="V72" s="646"/>
      <c r="Y72" s="563"/>
      <c r="Z72" s="783"/>
      <c r="AB72" s="788"/>
      <c r="AC72" s="788"/>
      <c r="AI72" s="786"/>
      <c r="AJ72" s="694"/>
    </row>
    <row r="73" spans="3:50" ht="10.5" hidden="1" customHeight="1">
      <c r="C73" s="1335" t="s">
        <v>1138</v>
      </c>
      <c r="D73" s="1324">
        <f>IF(W73=0,"",W73)</f>
        <v>3.17</v>
      </c>
      <c r="E73" s="1326" t="str">
        <f>IF(D73="Inf à 0,20","=&gt;",X84)</f>
        <v>&gt;</v>
      </c>
      <c r="F73" s="1337"/>
      <c r="G73" s="1339" t="str">
        <f>IF(D73="","",TEXT($O73,"0")&amp;" / "&amp;TEXT($P73,"0"))</f>
        <v>40 / 100</v>
      </c>
      <c r="I73" s="1341" t="s">
        <v>1139</v>
      </c>
      <c r="J73" s="1324">
        <f>$E$10</f>
        <v>0.218</v>
      </c>
      <c r="K73" s="1326" t="str">
        <f>IF($J73="saturé",REPT("=",19)&amp;"&gt;",IF($J73="","",IF($J73&lt;=$U71/2,REPT("=",4-($U71/2-$J73)/$U71/2*4)&amp;"&gt;",IF($J73&lt;=$U71,REPT("=",5+4-($U71-$J73)/($U71-$U71/2)*4)&amp;"&gt;",IF($J73&lt;=$V71,REPT("=",9+4-($V71-$J73)/($V71-$U71)*4)&amp;"&gt;",IF($J73&lt;=$V71*2,REPT("=",14+4-($V71*2-$J73)/($V71*2-$V71)*4)&amp;"&gt;",REPT("=",19)&amp;"&gt;"))))))</f>
        <v>===========&gt;</v>
      </c>
      <c r="L73" s="1327"/>
      <c r="M73" s="1330" t="str">
        <f>TEXT($U71,"0,00")&amp;" / "&amp;TEXT($V71,"0,00")</f>
        <v>0,01 / 0,40</v>
      </c>
      <c r="N73" s="646">
        <f>O73/2</f>
        <v>20</v>
      </c>
      <c r="O73" s="646">
        <v>40</v>
      </c>
      <c r="P73" s="646">
        <v>100</v>
      </c>
      <c r="Q73" s="646">
        <f>P73*2.5</f>
        <v>250</v>
      </c>
      <c r="R73" s="596"/>
      <c r="S73" s="739">
        <f>IF($Q$10&lt;&gt;0,$Q$10,"")</f>
        <v>3.17</v>
      </c>
      <c r="W73" s="779">
        <f>IF(S73&lt;0.2,"Inf à 0,20",S73)</f>
        <v>3.17</v>
      </c>
      <c r="Y73" s="563"/>
      <c r="Z73" s="783"/>
      <c r="AB73" s="788"/>
      <c r="AC73" s="788"/>
      <c r="AI73" s="694" t="s">
        <v>1140</v>
      </c>
      <c r="AJ73" s="694" t="e">
        <f>IF(AK58&gt;0,AK58,0)</f>
        <v>#REF!</v>
      </c>
    </row>
    <row r="74" spans="3:50" ht="27" hidden="1" customHeight="1" thickBot="1">
      <c r="C74" s="1336" t="s">
        <v>1141</v>
      </c>
      <c r="D74" s="1325"/>
      <c r="E74" s="1328"/>
      <c r="F74" s="1338"/>
      <c r="G74" s="1340"/>
      <c r="H74" s="628"/>
      <c r="I74" s="1342"/>
      <c r="J74" s="1325"/>
      <c r="K74" s="1328"/>
      <c r="L74" s="1329"/>
      <c r="M74" s="1331"/>
      <c r="N74" s="646"/>
      <c r="O74" s="646"/>
      <c r="P74" s="646"/>
      <c r="Q74" s="646"/>
      <c r="R74" s="596"/>
      <c r="S74" s="596"/>
      <c r="Y74" s="563"/>
      <c r="Z74" s="783"/>
      <c r="AB74" s="788"/>
      <c r="AC74" s="788"/>
      <c r="AI74" s="694"/>
      <c r="AJ74" s="694"/>
    </row>
    <row r="75" spans="3:50" ht="9" hidden="1" customHeight="1">
      <c r="H75" s="591"/>
      <c r="L75" s="591"/>
      <c r="M75" s="793"/>
      <c r="N75" s="646">
        <f>O75/2</f>
        <v>0.19699999999999998</v>
      </c>
      <c r="O75" s="646">
        <f>IF(pH_Eau&lt;6.3,0.18,pH_Eau*0.1-0.45)</f>
        <v>0.39399999999999996</v>
      </c>
      <c r="P75" s="646">
        <f>O75*2</f>
        <v>0.78799999999999992</v>
      </c>
      <c r="Q75" s="646">
        <f>P75*2.5</f>
        <v>1.9699999999999998</v>
      </c>
      <c r="R75" s="596"/>
      <c r="S75" s="739">
        <f>$Y$10</f>
        <v>3.17</v>
      </c>
      <c r="Y75" s="794">
        <f>2.7817*LN(Z71+5*Z69) + 20</f>
        <v>31.886928248503793</v>
      </c>
      <c r="Z75" s="795">
        <f>4.984*LN(Z71+5*Z69) + 19.924</f>
        <v>41.221929464192009</v>
      </c>
      <c r="AB75" s="722">
        <f>(97.52*LN(AC69)-84.143)/1000</f>
        <v>0.30840929688049173</v>
      </c>
      <c r="AC75" s="722">
        <f>(185.36*LN(AC69)-159.11)/1000</f>
        <v>0.58702918939466731</v>
      </c>
      <c r="AI75" s="694" t="s">
        <v>1142</v>
      </c>
      <c r="AJ75" s="694" t="e">
        <f>AJ73/4</f>
        <v>#REF!</v>
      </c>
    </row>
    <row r="76" spans="3:50" ht="3.75" hidden="1" customHeight="1">
      <c r="D76" s="600"/>
      <c r="E76" s="768"/>
      <c r="G76" s="591"/>
      <c r="H76" s="591"/>
      <c r="L76" s="591"/>
      <c r="M76" s="793"/>
      <c r="N76" s="646"/>
      <c r="O76" s="646"/>
      <c r="P76" s="646"/>
      <c r="Q76" s="646"/>
      <c r="R76" s="596"/>
      <c r="S76" s="596"/>
      <c r="Y76" s="796"/>
      <c r="Z76" s="797"/>
      <c r="AB76" s="606"/>
      <c r="AC76" s="606"/>
      <c r="AI76" s="694"/>
      <c r="AJ76" s="694"/>
    </row>
    <row r="77" spans="3:50" ht="11.25" hidden="1" customHeight="1">
      <c r="C77" s="1332"/>
      <c r="D77" s="1332"/>
      <c r="E77" s="1332"/>
      <c r="F77" s="1332"/>
      <c r="G77" s="1332"/>
      <c r="H77" s="1332"/>
      <c r="I77" s="1332"/>
      <c r="J77" s="1332"/>
      <c r="K77" s="1332"/>
      <c r="L77" s="1332"/>
      <c r="M77" s="1332"/>
      <c r="N77" s="646"/>
      <c r="O77" s="646"/>
      <c r="P77" s="646"/>
      <c r="Q77" s="646"/>
      <c r="R77" s="596"/>
      <c r="S77" s="596"/>
      <c r="Y77" s="796"/>
      <c r="Z77" s="797"/>
      <c r="AB77" s="606">
        <f>3/(2.127/CEC*100)</f>
        <v>0.46826516220028219</v>
      </c>
      <c r="AC77" s="606">
        <f>5/(2.127/CEC*100)</f>
        <v>0.78044193700047038</v>
      </c>
      <c r="AI77" s="694"/>
      <c r="AJ77" s="694"/>
    </row>
    <row r="78" spans="3:50" ht="9.75" hidden="1" customHeight="1">
      <c r="C78" s="1332"/>
      <c r="D78" s="1332"/>
      <c r="E78" s="1332"/>
      <c r="F78" s="1332"/>
      <c r="G78" s="1332"/>
      <c r="H78" s="1332"/>
      <c r="I78" s="1332"/>
      <c r="J78" s="1332"/>
      <c r="K78" s="1332"/>
      <c r="L78" s="1332"/>
      <c r="M78" s="1332"/>
      <c r="N78" s="646"/>
      <c r="O78" s="646"/>
      <c r="P78" s="646"/>
      <c r="Q78" s="646"/>
      <c r="R78" s="596"/>
      <c r="S78" s="596"/>
      <c r="Y78" s="796"/>
      <c r="Z78" s="797"/>
      <c r="AB78" s="606">
        <f>(AB75*0.5+AB77*0.5)</f>
        <v>0.38833722954038696</v>
      </c>
      <c r="AC78" s="606">
        <f>(AC75*0.7+AC77*0.3)</f>
        <v>0.64505301367640822</v>
      </c>
      <c r="AI78" s="694"/>
      <c r="AJ78" s="694"/>
    </row>
    <row r="79" spans="3:50" ht="0.75" hidden="1" customHeight="1">
      <c r="C79" s="798"/>
      <c r="D79" s="798"/>
      <c r="E79" s="798"/>
      <c r="F79" s="798"/>
      <c r="G79" s="798"/>
      <c r="H79" s="798"/>
      <c r="L79" s="798"/>
      <c r="M79" s="798"/>
      <c r="N79" s="646"/>
      <c r="O79" s="646"/>
      <c r="P79" s="646"/>
      <c r="Q79" s="646"/>
      <c r="R79" s="596"/>
      <c r="S79" s="596"/>
      <c r="Y79" s="796"/>
      <c r="Z79" s="797"/>
      <c r="AB79" s="606"/>
      <c r="AC79" s="606"/>
      <c r="AI79" s="694"/>
      <c r="AJ79" s="694"/>
    </row>
    <row r="80" spans="3:50" ht="13.5" hidden="1" customHeight="1">
      <c r="C80" s="799"/>
      <c r="D80" s="800"/>
      <c r="E80" s="800"/>
      <c r="F80" s="800"/>
      <c r="G80" s="800"/>
      <c r="H80" s="800"/>
      <c r="J80" s="1333"/>
      <c r="K80" s="1333"/>
      <c r="L80" s="1333"/>
      <c r="M80" s="1333"/>
      <c r="N80" s="646"/>
      <c r="O80" s="646"/>
      <c r="P80" s="646"/>
      <c r="Q80" s="646"/>
      <c r="R80" s="596"/>
      <c r="S80" s="596"/>
      <c r="X80" s="557" t="str">
        <f>IF($D67="","",IF($D67&lt;=$N67,REPT("=",4-($N67-$D67)/$N67*4)&amp;"&gt;",IF($D67&lt;=$O67,REPT("=",5+4-($O67-$D67)/($O67-$N67)*4)&amp;"&gt;",IF($D67&lt;=$P67,REPT("=",9+4-($P67-$D67)/($P67-$O67)*4)&amp;"&gt;",IF($D67&lt;=$Q67,REPT("=",13+4-($Q67-$D67)/($Q67-$P67)*4)&amp;"&gt;",REPT("=",18)&amp;"&gt;")))))</f>
        <v>===&gt;</v>
      </c>
      <c r="Y80" s="796"/>
      <c r="Z80" s="797"/>
      <c r="AB80" s="606"/>
      <c r="AC80" s="606"/>
      <c r="AI80" s="694"/>
      <c r="AJ80" s="694"/>
    </row>
    <row r="81" spans="1:36" ht="15" hidden="1" customHeight="1">
      <c r="C81" s="1334"/>
      <c r="D81" s="1334"/>
      <c r="E81" s="1334"/>
      <c r="F81" s="1334"/>
      <c r="G81" s="1334"/>
      <c r="H81" s="1334"/>
      <c r="I81" s="1334"/>
      <c r="J81" s="1257"/>
      <c r="K81" s="1257"/>
      <c r="L81" s="1257"/>
      <c r="M81" s="1257"/>
      <c r="N81" s="646"/>
      <c r="O81" s="646"/>
      <c r="P81" s="646"/>
      <c r="Q81" s="646"/>
      <c r="R81" s="596"/>
      <c r="S81" s="596"/>
      <c r="X81" s="557" t="str">
        <f>IF($D69="","",IF($D69&lt;=$N69,REPT("=",4-($N69-$D69)/$N69*4)&amp;"&gt;",IF($D69&lt;=$O69,REPT("=",5+4-($O69-$D69)/($O69-$N69)*4)&amp;"&gt;",IF($D69&lt;=$P69,REPT("=",9+4-($P69-$D69)/($P69-$O69)*4)&amp;"&gt;",IF($D69&lt;=$Q69,REPT("=",13+4-($Q69-$D69)/($Q69-$P69)*4)&amp;"&gt;",REPT("=",18)&amp;"&gt;")))))</f>
        <v>=========&gt;</v>
      </c>
      <c r="Y81" s="796"/>
      <c r="Z81" s="797"/>
      <c r="AB81" s="606"/>
      <c r="AC81" s="606"/>
      <c r="AI81" s="694"/>
      <c r="AJ81" s="694"/>
    </row>
    <row r="82" spans="1:36" ht="16.5" hidden="1" customHeight="1">
      <c r="C82" s="1334"/>
      <c r="D82" s="1334"/>
      <c r="E82" s="1334"/>
      <c r="F82" s="1334"/>
      <c r="G82" s="1334"/>
      <c r="H82" s="1334"/>
      <c r="I82" s="1334"/>
      <c r="L82" s="798"/>
      <c r="M82" s="798"/>
      <c r="N82" s="646"/>
      <c r="O82" s="646"/>
      <c r="P82" s="646"/>
      <c r="Q82" s="646"/>
      <c r="R82" s="596"/>
      <c r="S82" s="596"/>
      <c r="X82" s="557" t="str">
        <f>IF($D71="","",IF($D71&lt;=$N71,REPT("=",4-($N71-$D71)/$N71*4)&amp;"&gt;",IF($D71&lt;=$O71,REPT("=",5+4-($O71-$D71)/($O71-$N71)*4)&amp;"&gt;",IF($D71&lt;=$P71,REPT("=",9+4-($P71-$D71)/($P71-$O71)*4)&amp;"&gt;",IF($D71&lt;=$Q71,REPT("=",13+4-($Q71-$D71)/($Q71-$P71)*4)&amp;"&gt;",REPT("=",18)&amp;"&gt;")))))</f>
        <v>========&gt;</v>
      </c>
      <c r="Y82" s="796"/>
      <c r="Z82" s="797"/>
      <c r="AB82" s="606"/>
      <c r="AC82" s="606"/>
      <c r="AI82" s="694"/>
      <c r="AJ82" s="694"/>
    </row>
    <row r="83" spans="1:36" ht="2.25" hidden="1" customHeight="1">
      <c r="C83" s="1334"/>
      <c r="D83" s="1334"/>
      <c r="E83" s="1334"/>
      <c r="F83" s="1334"/>
      <c r="G83" s="1334"/>
      <c r="H83" s="1334"/>
      <c r="I83" s="1334"/>
      <c r="L83" s="798"/>
      <c r="M83" s="798"/>
      <c r="N83" s="646"/>
      <c r="O83" s="646"/>
      <c r="P83" s="646"/>
      <c r="Q83" s="646"/>
      <c r="R83" s="596"/>
      <c r="S83" s="596"/>
      <c r="Y83" s="796"/>
      <c r="Z83" s="797"/>
      <c r="AB83" s="606"/>
      <c r="AC83" s="606"/>
      <c r="AI83" s="694"/>
      <c r="AJ83" s="694"/>
    </row>
    <row r="84" spans="1:36" ht="15" hidden="1" customHeight="1">
      <c r="C84" s="799"/>
      <c r="D84" s="798"/>
      <c r="E84" s="798"/>
      <c r="F84" s="798"/>
      <c r="G84" s="798"/>
      <c r="H84" s="798"/>
      <c r="L84" s="798"/>
      <c r="M84" s="798"/>
      <c r="N84" s="646"/>
      <c r="O84" s="646"/>
      <c r="P84" s="646"/>
      <c r="Q84" s="646"/>
      <c r="R84" s="596"/>
      <c r="S84" s="596"/>
      <c r="X84" s="557" t="str">
        <f>IF($D73="","",IF($D73&lt;=$N73,REPT("=",4-($N73-$D73)/$N73*4)&amp;"&gt;",IF($D73&lt;=$O73,REPT("=",5+4-($O73-$D73)/($O73-$N73)*4)&amp;"&gt;",IF($D73&lt;=$P73,REPT("=",9+4-($P73-$D73)/($P73-$O73)*4)&amp;"&gt;",IF($D73&lt;=$Q73,REPT("=",13+4-($Q73-$D73)/($Q73-$P73)*4)&amp;"&gt;",REPT("=",18)&amp;"&gt;")))))</f>
        <v>&gt;</v>
      </c>
      <c r="Y84" s="796"/>
      <c r="Z84" s="797"/>
      <c r="AB84" s="606"/>
      <c r="AC84" s="606"/>
      <c r="AI84" s="694"/>
      <c r="AJ84" s="694"/>
    </row>
    <row r="85" spans="1:36" ht="22.5" hidden="1" customHeight="1">
      <c r="C85" s="1343"/>
      <c r="D85" s="1343"/>
      <c r="E85" s="1343"/>
      <c r="F85" s="1343"/>
      <c r="G85" s="1343"/>
      <c r="H85" s="1343"/>
      <c r="I85" s="1343"/>
      <c r="J85" s="1343"/>
      <c r="K85" s="1343"/>
      <c r="L85" s="1343"/>
      <c r="M85" s="1343"/>
      <c r="N85" s="646"/>
      <c r="O85" s="646"/>
      <c r="P85" s="646"/>
      <c r="Q85" s="646"/>
      <c r="R85" s="596"/>
      <c r="S85" s="596"/>
      <c r="Y85" s="796"/>
      <c r="Z85" s="797"/>
      <c r="AB85" s="606"/>
      <c r="AC85" s="606"/>
      <c r="AI85" s="694"/>
      <c r="AJ85" s="694"/>
    </row>
    <row r="86" spans="1:36" ht="22.5" hidden="1" customHeight="1">
      <c r="C86" s="798"/>
      <c r="D86" s="798"/>
      <c r="E86" s="798"/>
      <c r="F86" s="798"/>
      <c r="G86" s="798"/>
      <c r="H86" s="798"/>
      <c r="L86" s="798"/>
      <c r="M86" s="798"/>
      <c r="N86" s="646"/>
      <c r="O86" s="646"/>
      <c r="P86" s="646"/>
      <c r="Q86" s="646"/>
      <c r="R86" s="596"/>
      <c r="S86" s="596"/>
      <c r="Y86" s="796"/>
      <c r="Z86" s="797"/>
      <c r="AB86" s="606"/>
      <c r="AC86" s="606"/>
      <c r="AI86" s="694"/>
      <c r="AJ86" s="694"/>
    </row>
    <row r="87" spans="1:36" ht="22.5" hidden="1" customHeight="1">
      <c r="C87" s="1344"/>
      <c r="D87" s="1344"/>
      <c r="E87" s="1344"/>
      <c r="F87" s="1344"/>
      <c r="G87" s="1344"/>
      <c r="H87" s="1344"/>
      <c r="I87" s="1344"/>
      <c r="J87" s="1344"/>
      <c r="K87" s="1344"/>
      <c r="L87" s="1344"/>
      <c r="M87" s="1344"/>
      <c r="N87" s="801"/>
      <c r="O87" s="801"/>
      <c r="P87" s="646"/>
      <c r="Q87" s="646"/>
      <c r="R87" s="596"/>
      <c r="S87" s="596"/>
      <c r="Y87" s="796"/>
      <c r="Z87" s="797"/>
      <c r="AB87" s="606"/>
      <c r="AC87" s="606"/>
      <c r="AI87" s="694"/>
      <c r="AJ87" s="694"/>
    </row>
    <row r="88" spans="1:36" ht="22.5" hidden="1" customHeight="1">
      <c r="A88" s="557" t="str">
        <f>COM_SOL!K95&amp;"_"&amp;'BD2'!B10&amp;"_"&amp;D96&amp;"_"&amp;K96</f>
        <v>COM905128_BENACER KHOUYA_PARCELLE N°2_0 - 50 cm</v>
      </c>
      <c r="C88" s="1257"/>
      <c r="D88" s="1257"/>
      <c r="E88" s="1257"/>
      <c r="F88" s="1257"/>
      <c r="G88" s="1257"/>
      <c r="H88" s="1257"/>
      <c r="I88" s="1257"/>
      <c r="J88" s="1257"/>
      <c r="K88" s="1257"/>
      <c r="L88" s="1257"/>
      <c r="M88" s="1257"/>
      <c r="P88" s="646"/>
      <c r="Q88" s="646"/>
      <c r="R88" s="596"/>
      <c r="S88" s="596"/>
      <c r="Y88" s="796"/>
      <c r="Z88" s="797"/>
      <c r="AB88" s="606"/>
      <c r="AC88" s="606"/>
      <c r="AI88" s="694"/>
      <c r="AJ88" s="694"/>
    </row>
    <row r="89" spans="1:36" ht="22.5" customHeight="1">
      <c r="D89" s="591"/>
      <c r="E89" s="768"/>
      <c r="G89" s="591"/>
      <c r="H89" s="591"/>
      <c r="I89" s="594"/>
      <c r="L89" s="591"/>
      <c r="M89" s="793"/>
      <c r="N89" s="646"/>
      <c r="O89" s="646"/>
      <c r="P89" s="646"/>
      <c r="Q89" s="646"/>
      <c r="R89" s="596"/>
      <c r="S89" s="596"/>
      <c r="V89" s="887" t="s">
        <v>1188</v>
      </c>
      <c r="Y89" s="796"/>
      <c r="Z89" s="797"/>
      <c r="AB89" s="606"/>
      <c r="AC89" s="606"/>
      <c r="AI89" s="694"/>
      <c r="AJ89" s="694"/>
    </row>
    <row r="90" spans="1:36" ht="21" customHeight="1">
      <c r="V90" s="887" t="s">
        <v>1187</v>
      </c>
    </row>
    <row r="91" spans="1:36" ht="21" customHeight="1">
      <c r="G91" s="1320" t="s">
        <v>1143</v>
      </c>
      <c r="H91" s="1320"/>
      <c r="I91" s="1320"/>
      <c r="J91" s="1320"/>
      <c r="K91" s="1320"/>
      <c r="L91" s="1320"/>
      <c r="M91" s="1320"/>
      <c r="V91" s="188" t="str">
        <f>"Users:asmaabenhida:Documents:Gestion laboratoire:Rapport_d'analyses:COM:"&amp;K95&amp;"_"&amp;D95&amp;"_"&amp;D97</f>
        <v>Users:asmaabenhida:Documents:Gestion laboratoire:Rapport_d'analyses:COM:COM905128_BENACER KHOUYA_ABRICOT</v>
      </c>
    </row>
    <row r="92" spans="1:36" ht="5.0999999999999996" customHeight="1"/>
    <row r="93" spans="1:36" ht="21" customHeight="1">
      <c r="C93" s="802" t="s">
        <v>305</v>
      </c>
      <c r="G93" s="1320" t="str">
        <f>K95</f>
        <v>COM905128</v>
      </c>
      <c r="H93" s="1320"/>
      <c r="I93" s="1320"/>
      <c r="J93" s="1320"/>
      <c r="K93" s="1320"/>
      <c r="L93" s="1320"/>
      <c r="M93" s="1320"/>
    </row>
    <row r="94" spans="1:36" ht="21" customHeight="1">
      <c r="C94" s="803" t="s">
        <v>1144</v>
      </c>
    </row>
    <row r="95" spans="1:36" s="779" customFormat="1" ht="21" customHeight="1">
      <c r="C95" s="804" t="s">
        <v>643</v>
      </c>
      <c r="D95" s="1321" t="str">
        <f>UPPER('BD2'!B10)</f>
        <v>BENACER KHOUYA</v>
      </c>
      <c r="E95" s="1321"/>
      <c r="F95" s="1321"/>
      <c r="G95" s="1321"/>
      <c r="H95" s="1321"/>
      <c r="I95" s="1322" t="s">
        <v>290</v>
      </c>
      <c r="J95" s="1322"/>
      <c r="K95" s="1323" t="str">
        <f>"COM"&amp;'BD2'!A10</f>
        <v>COM905128</v>
      </c>
      <c r="L95" s="1323"/>
      <c r="M95" s="1323"/>
      <c r="N95" s="805"/>
    </row>
    <row r="96" spans="1:36" s="779" customFormat="1" ht="21" customHeight="1">
      <c r="C96" s="806" t="s">
        <v>295</v>
      </c>
      <c r="D96" s="1312" t="str">
        <f>IF('BD2'!K10="","",'BD2'!K10)</f>
        <v>PARCELLE N°2</v>
      </c>
      <c r="E96" s="1313"/>
      <c r="F96" s="1313"/>
      <c r="G96" s="1313"/>
      <c r="H96" s="1314"/>
      <c r="I96" s="1315" t="s">
        <v>644</v>
      </c>
      <c r="J96" s="1315"/>
      <c r="K96" s="1316" t="str">
        <f>IF('BD2'!V10="","",'BD2'!V10&amp;" - "&amp;'BD2'!W10&amp;" cm")</f>
        <v>0 - 50 cm</v>
      </c>
      <c r="L96" s="1317"/>
      <c r="M96" s="1318"/>
      <c r="N96" s="807"/>
    </row>
    <row r="97" spans="3:34" s="779" customFormat="1" ht="21" customHeight="1">
      <c r="C97" s="806" t="s">
        <v>359</v>
      </c>
      <c r="D97" s="1312" t="str">
        <f>IF('BD2'!L10="","",'BD2'!L10)</f>
        <v>ABRICOT</v>
      </c>
      <c r="E97" s="1313"/>
      <c r="F97" s="1313"/>
      <c r="G97" s="1313"/>
      <c r="H97" s="1314"/>
      <c r="I97" s="1315" t="str">
        <f>"Date d'édition"</f>
        <v>Date d'édition</v>
      </c>
      <c r="J97" s="1315"/>
      <c r="K97" s="1319">
        <f ca="1">TODAY()</f>
        <v>45009</v>
      </c>
      <c r="L97" s="1317"/>
      <c r="M97" s="1318"/>
      <c r="N97" s="807"/>
    </row>
    <row r="98" spans="3:34" ht="21" customHeight="1" thickBot="1">
      <c r="L98" s="1310"/>
      <c r="M98" s="1310"/>
    </row>
    <row r="99" spans="3:34" ht="21" hidden="1" customHeight="1">
      <c r="K99" s="670"/>
      <c r="L99" s="808"/>
      <c r="O99" s="809"/>
      <c r="P99" s="810"/>
      <c r="Q99" s="563"/>
      <c r="R99" s="563"/>
      <c r="S99" s="563"/>
      <c r="AA99" s="1298" t="s">
        <v>1145</v>
      </c>
      <c r="AB99" s="1298"/>
      <c r="AC99" s="811" t="s">
        <v>503</v>
      </c>
      <c r="AD99" s="811" t="s">
        <v>1146</v>
      </c>
      <c r="AE99" s="811" t="s">
        <v>1147</v>
      </c>
      <c r="AF99" s="711"/>
      <c r="AG99" s="711"/>
      <c r="AH99" s="711"/>
    </row>
    <row r="100" spans="3:34" ht="21" hidden="1" customHeight="1">
      <c r="K100" s="670"/>
      <c r="L100" s="808"/>
      <c r="O100" s="810"/>
      <c r="P100" s="810"/>
      <c r="Q100" s="563"/>
      <c r="R100" s="563"/>
      <c r="S100" s="563"/>
      <c r="AA100" s="811"/>
      <c r="AB100" s="811"/>
      <c r="AC100" s="811"/>
      <c r="AD100" s="811"/>
      <c r="AE100" s="811"/>
      <c r="AF100" s="711"/>
      <c r="AG100" s="711"/>
      <c r="AH100" s="711"/>
    </row>
    <row r="101" spans="3:34" ht="21" hidden="1" customHeight="1">
      <c r="K101" s="812"/>
      <c r="L101" s="1311"/>
      <c r="M101" s="1311"/>
      <c r="Q101" s="1286"/>
      <c r="R101" s="1286"/>
      <c r="S101" s="1286"/>
      <c r="AA101" s="1298" t="s">
        <v>1148</v>
      </c>
      <c r="AB101" s="1298"/>
      <c r="AC101" s="811">
        <f xml:space="preserve"> 1.755 *30 + 78</f>
        <v>130.65</v>
      </c>
      <c r="AD101" s="811" t="e">
        <f xml:space="preserve"> 0.41 *#REF! + 13</f>
        <v>#REF!</v>
      </c>
      <c r="AE101" s="811" t="e">
        <f xml:space="preserve"> 2.53 *#REF! + 60</f>
        <v>#REF!</v>
      </c>
      <c r="AF101" s="711"/>
      <c r="AG101" s="711"/>
      <c r="AH101" s="711"/>
    </row>
    <row r="102" spans="3:34" ht="1.5" hidden="1" customHeight="1">
      <c r="E102" s="813"/>
      <c r="F102" s="813"/>
      <c r="G102" s="814"/>
      <c r="H102" s="814"/>
      <c r="L102" s="1311"/>
      <c r="M102" s="1311"/>
      <c r="AA102" s="1298" t="s">
        <v>436</v>
      </c>
      <c r="AB102" s="1298"/>
      <c r="AC102" s="811" t="e">
        <f>90+1.3*#REF!</f>
        <v>#REF!</v>
      </c>
      <c r="AD102" s="811">
        <v>40</v>
      </c>
      <c r="AE102" s="811"/>
      <c r="AF102" s="711"/>
      <c r="AG102" s="711"/>
      <c r="AH102" s="711"/>
    </row>
    <row r="103" spans="3:34" ht="10.5" hidden="1" customHeight="1">
      <c r="E103" s="813"/>
      <c r="F103" s="813"/>
      <c r="G103" s="814"/>
      <c r="H103" s="814"/>
      <c r="I103" s="815"/>
      <c r="J103" s="815"/>
      <c r="K103" s="815"/>
      <c r="L103" s="1311"/>
      <c r="M103" s="1311"/>
      <c r="AA103" s="1298" t="s">
        <v>439</v>
      </c>
      <c r="AB103" s="1298"/>
      <c r="AC103" s="811" t="e">
        <f>80+0.6*#REF!</f>
        <v>#REF!</v>
      </c>
      <c r="AD103" s="811">
        <v>40</v>
      </c>
      <c r="AE103" s="811"/>
      <c r="AF103" s="711"/>
      <c r="AG103" s="711"/>
      <c r="AH103" s="711"/>
    </row>
    <row r="104" spans="3:34" ht="8.25" hidden="1" customHeight="1">
      <c r="E104" s="813"/>
      <c r="F104" s="813"/>
      <c r="G104" s="814"/>
      <c r="H104" s="814"/>
      <c r="AA104" s="1298" t="s">
        <v>484</v>
      </c>
      <c r="AB104" s="1298"/>
      <c r="AC104" s="1298" t="e">
        <f>90+0.9*#REF!</f>
        <v>#REF!</v>
      </c>
      <c r="AD104" s="1298">
        <v>40</v>
      </c>
      <c r="AE104" s="1298"/>
      <c r="AF104" s="1304"/>
      <c r="AG104" s="1304"/>
      <c r="AH104" s="1304"/>
    </row>
    <row r="105" spans="3:34" ht="21.9" customHeight="1" thickBot="1">
      <c r="C105" s="816" t="s">
        <v>1149</v>
      </c>
      <c r="E105" s="813"/>
      <c r="F105" s="813"/>
      <c r="Q105" s="1286"/>
      <c r="R105" s="1286"/>
      <c r="AA105" s="1298"/>
      <c r="AB105" s="1298"/>
      <c r="AC105" s="1298"/>
      <c r="AD105" s="1298"/>
      <c r="AE105" s="1298"/>
      <c r="AF105" s="1304"/>
      <c r="AG105" s="1304"/>
      <c r="AH105" s="1304"/>
    </row>
    <row r="106" spans="3:34" s="779" customFormat="1" ht="30.9" customHeight="1" thickBot="1">
      <c r="C106" s="1305" t="str">
        <f>IF(E20&lt;&gt;0,"*Sol à "&amp;TEXT(textures,""),"")</f>
        <v>*Sol à Texture très fine argileuse</v>
      </c>
      <c r="D106" s="1305"/>
      <c r="E106" s="1305"/>
      <c r="F106" s="1305"/>
      <c r="G106" s="1305"/>
      <c r="H106" s="1305"/>
      <c r="I106" s="1305"/>
      <c r="J106" s="1305"/>
      <c r="K106" s="1305"/>
      <c r="L106" s="1305"/>
      <c r="M106" s="1305"/>
      <c r="Q106" s="1306"/>
      <c r="R106" s="1306"/>
      <c r="AA106" s="1298" t="s">
        <v>423</v>
      </c>
      <c r="AB106" s="1298"/>
      <c r="AC106" s="811">
        <f>90+1.2*30</f>
        <v>126</v>
      </c>
      <c r="AD106" s="811">
        <v>40</v>
      </c>
      <c r="AE106" s="811"/>
      <c r="AF106" s="817"/>
      <c r="AG106" s="817"/>
      <c r="AH106" s="817"/>
    </row>
    <row r="107" spans="3:34" s="779" customFormat="1" ht="21" customHeight="1" thickBot="1">
      <c r="C107" s="1307" t="str">
        <f>IF(E20&lt;&gt;0,'commentaire sol'!D24,"")</f>
        <v>*Sol lourd, attention aux excès d'eau sur ce type de sol, risque d'asphyxie racinaire</v>
      </c>
      <c r="D107" s="1307"/>
      <c r="E107" s="1307"/>
      <c r="F107" s="1307"/>
      <c r="G107" s="1307"/>
      <c r="H107" s="1307"/>
      <c r="I107" s="1307"/>
      <c r="J107" s="1307"/>
      <c r="K107" s="1307"/>
      <c r="L107" s="1307"/>
      <c r="M107" s="1307"/>
      <c r="AA107" s="1298" t="s">
        <v>427</v>
      </c>
      <c r="AB107" s="1298"/>
      <c r="AC107" s="1308" t="e">
        <f>90+1.3*#REF!</f>
        <v>#REF!</v>
      </c>
      <c r="AD107" s="1308">
        <v>40</v>
      </c>
      <c r="AE107" s="1308"/>
      <c r="AF107" s="1295"/>
      <c r="AG107" s="1295"/>
      <c r="AH107" s="1295"/>
    </row>
    <row r="108" spans="3:34" s="779" customFormat="1" ht="24.75" customHeight="1" thickBot="1">
      <c r="C108" s="1307"/>
      <c r="D108" s="1307"/>
      <c r="E108" s="1307"/>
      <c r="F108" s="1307"/>
      <c r="G108" s="1307"/>
      <c r="H108" s="1307"/>
      <c r="I108" s="1307"/>
      <c r="J108" s="1307"/>
      <c r="K108" s="1307"/>
      <c r="L108" s="1307"/>
      <c r="M108" s="1307"/>
      <c r="AA108" s="1298"/>
      <c r="AB108" s="1298"/>
      <c r="AC108" s="1309"/>
      <c r="AD108" s="1309"/>
      <c r="AE108" s="1309"/>
      <c r="AF108" s="1296"/>
      <c r="AG108" s="1296"/>
      <c r="AH108" s="1296"/>
    </row>
    <row r="109" spans="3:34" s="779" customFormat="1" ht="42" customHeight="1" thickBot="1">
      <c r="C109" s="1297" t="str">
        <f>IF(E20&lt;&gt;0,'commentaire sol'!D43,"")</f>
        <v>*Mise en route souvent difficile du système racinaire au printemps, veuiller à bien soutenir le végétal au démarage. Eviter aussi dfe travailler ce sol en condition humide.</v>
      </c>
      <c r="D109" s="1297"/>
      <c r="E109" s="1297"/>
      <c r="F109" s="1297"/>
      <c r="G109" s="1297"/>
      <c r="H109" s="1297"/>
      <c r="I109" s="1297"/>
      <c r="J109" s="1297"/>
      <c r="K109" s="1297"/>
      <c r="L109" s="1297"/>
      <c r="M109" s="1297"/>
      <c r="O109" s="818"/>
      <c r="AA109" s="817"/>
      <c r="AB109" s="817"/>
      <c r="AC109" s="817"/>
      <c r="AD109" s="817"/>
      <c r="AE109" s="817"/>
      <c r="AF109" s="817"/>
      <c r="AG109" s="817"/>
      <c r="AH109" s="817"/>
    </row>
    <row r="110" spans="3:34" ht="15" customHeight="1" thickBot="1">
      <c r="C110" s="798"/>
      <c r="D110" s="798"/>
      <c r="E110" s="798"/>
      <c r="F110" s="798"/>
      <c r="G110" s="798"/>
      <c r="H110" s="798"/>
      <c r="I110" s="798"/>
      <c r="O110" s="819"/>
      <c r="AA110" s="1298" t="s">
        <v>1150</v>
      </c>
      <c r="AB110" s="1298"/>
      <c r="AC110" s="811">
        <f>1.77 *50+ 49</f>
        <v>137.5</v>
      </c>
      <c r="AD110" s="711" t="e">
        <f xml:space="preserve"> 0.41 *#REF! + 8</f>
        <v>#REF!</v>
      </c>
      <c r="AE110" s="711" t="e">
        <f xml:space="preserve"> 2.33 *#REF! + 37.5</f>
        <v>#REF!</v>
      </c>
      <c r="AF110" s="711"/>
      <c r="AG110" s="711"/>
      <c r="AH110" s="711"/>
    </row>
    <row r="111" spans="3:34" ht="5.25" customHeight="1" thickBot="1">
      <c r="D111" s="820"/>
      <c r="G111" s="821"/>
      <c r="H111" s="821"/>
      <c r="I111" s="821"/>
      <c r="AA111" s="1299" t="s">
        <v>435</v>
      </c>
      <c r="AB111" s="1299"/>
      <c r="AC111" s="1300">
        <v>53</v>
      </c>
      <c r="AD111" s="1302">
        <v>12</v>
      </c>
      <c r="AE111" s="1302">
        <v>37</v>
      </c>
      <c r="AF111" s="1263"/>
      <c r="AG111" s="1263"/>
      <c r="AH111" s="1263"/>
    </row>
    <row r="112" spans="3:34" ht="19.5" customHeight="1" thickBot="1">
      <c r="C112" s="816" t="s">
        <v>1151</v>
      </c>
      <c r="G112" s="1257"/>
      <c r="H112" s="1257"/>
      <c r="I112" s="1257"/>
      <c r="AA112" s="1299"/>
      <c r="AB112" s="1299"/>
      <c r="AC112" s="1301"/>
      <c r="AD112" s="1303"/>
      <c r="AE112" s="1303"/>
      <c r="AF112" s="1265"/>
      <c r="AG112" s="1265"/>
      <c r="AH112" s="1265"/>
    </row>
    <row r="113" spans="3:34" ht="28.5" customHeight="1" thickBot="1">
      <c r="C113" s="1287" t="str">
        <f>commentairecalcaires</f>
        <v>*Sol fortement calcaire, tout risque de chlorose n'est pas à exclure ici</v>
      </c>
      <c r="D113" s="1288"/>
      <c r="E113" s="1288"/>
      <c r="F113" s="1288"/>
      <c r="G113" s="1288"/>
      <c r="H113" s="1288"/>
      <c r="I113" s="1288"/>
      <c r="J113" s="1288"/>
      <c r="K113" s="1288"/>
      <c r="L113" s="1288"/>
      <c r="M113" s="1289"/>
      <c r="AA113" s="1290">
        <v>4</v>
      </c>
      <c r="AB113" s="1291"/>
      <c r="AC113" s="822">
        <f>5.22*AA113</f>
        <v>20.88</v>
      </c>
      <c r="AD113" s="822">
        <f>2.13*AA113</f>
        <v>8.52</v>
      </c>
      <c r="AE113" s="822">
        <f>17.35*AA113</f>
        <v>69.400000000000006</v>
      </c>
      <c r="AF113" s="711"/>
      <c r="AG113" s="711"/>
      <c r="AH113" s="711"/>
    </row>
    <row r="114" spans="3:34" ht="21" customHeight="1" thickBot="1">
      <c r="C114" s="1292" t="str">
        <f>commentairepHs</f>
        <v>*pH très basique</v>
      </c>
      <c r="D114" s="1293"/>
      <c r="E114" s="1293"/>
      <c r="F114" s="1293"/>
      <c r="G114" s="1293"/>
      <c r="H114" s="1293"/>
      <c r="I114" s="1293"/>
      <c r="J114" s="1293"/>
      <c r="K114" s="1293"/>
      <c r="L114" s="1293"/>
      <c r="M114" s="1294"/>
      <c r="AA114" s="1290"/>
      <c r="AB114" s="1291"/>
      <c r="AC114" s="822">
        <f>AS59</f>
        <v>10.157484327897601</v>
      </c>
      <c r="AD114" s="822"/>
      <c r="AE114" s="822"/>
      <c r="AF114" s="711"/>
      <c r="AG114" s="711"/>
      <c r="AH114" s="711"/>
    </row>
    <row r="115" spans="3:34" ht="18" customHeight="1" thickBot="1">
      <c r="C115" s="823" t="str">
        <f>IF(F92&lt;0.5,"*Acidité de réserve Faible",IF(F92&lt;1,"*Acidité de réserve moyenne","*Acidité de réserve élevée"))</f>
        <v>*Acidité de réserve Faible</v>
      </c>
      <c r="D115" s="824"/>
      <c r="E115" s="824"/>
      <c r="F115" s="824"/>
      <c r="G115" s="824"/>
      <c r="H115" s="824"/>
      <c r="I115" s="824"/>
      <c r="J115" s="824"/>
      <c r="K115" s="824"/>
      <c r="L115" s="824"/>
      <c r="M115" s="825"/>
      <c r="AA115" s="826"/>
      <c r="AB115" s="827"/>
      <c r="AC115" s="822"/>
      <c r="AD115" s="822"/>
      <c r="AE115" s="822"/>
      <c r="AF115" s="711"/>
      <c r="AG115" s="711"/>
      <c r="AH115" s="711"/>
    </row>
    <row r="116" spans="3:34" ht="47.1" customHeight="1" thickBot="1">
      <c r="C116" s="1239" t="str">
        <f>+'commentaire sol'!D93</f>
        <v>*Risques très élevés de perturbation de la nutrition, il est nécessaire d'adapter le niveau de la fertilisation et le type d'engrais à apporter notament du phosphore et des oligo-éléments</v>
      </c>
      <c r="D116" s="1240"/>
      <c r="E116" s="1240"/>
      <c r="F116" s="1240"/>
      <c r="G116" s="1240"/>
      <c r="H116" s="1240"/>
      <c r="I116" s="1240"/>
      <c r="J116" s="1240"/>
      <c r="K116" s="1240"/>
      <c r="L116" s="1240"/>
      <c r="M116" s="1241"/>
      <c r="O116" s="753"/>
      <c r="AA116" s="826"/>
      <c r="AB116" s="827"/>
      <c r="AC116" s="822">
        <f>(AC111+AC113-AC114)/0.6</f>
        <v>106.20419278683733</v>
      </c>
      <c r="AD116" s="822">
        <f>(AD111+AD113)/0.4</f>
        <v>51.3</v>
      </c>
      <c r="AE116" s="822">
        <f>(AE111+AE113)/0.75</f>
        <v>141.86666666666667</v>
      </c>
      <c r="AF116" s="711"/>
      <c r="AG116" s="711"/>
      <c r="AH116" s="711"/>
    </row>
    <row r="117" spans="3:34" ht="36.9" customHeight="1" thickBot="1">
      <c r="C117" s="1239" t="str">
        <f>Commentaireacidebases</f>
        <v>*Sol saturé en calcium mais avec des risques de faible disponibilité liés au manque d'aération et au déséquilibre vis-à-vis du magnésium</v>
      </c>
      <c r="D117" s="1240"/>
      <c r="E117" s="1240"/>
      <c r="F117" s="1240"/>
      <c r="G117" s="1240"/>
      <c r="H117" s="1240"/>
      <c r="I117" s="1240"/>
      <c r="J117" s="1240"/>
      <c r="K117" s="1240"/>
      <c r="L117" s="1240"/>
      <c r="M117" s="1241"/>
      <c r="AA117" s="828"/>
      <c r="AB117" s="829"/>
      <c r="AC117" s="711"/>
      <c r="AD117" s="711"/>
      <c r="AE117" s="711"/>
      <c r="AF117" s="711"/>
      <c r="AG117" s="711"/>
      <c r="AH117" s="711"/>
    </row>
    <row r="118" spans="3:34" ht="33.9" customHeight="1" thickBot="1">
      <c r="C118" s="1242" t="str">
        <f ca="1">'commentaire sol'!D375</f>
        <v>*Une analyse réguilière par l'extrait aqueux (pâte saturée ou 1/5ème) peut aider à appécier la disponibilité instantanée des éléments minéraux sur ce sol;</v>
      </c>
      <c r="D118" s="1243"/>
      <c r="E118" s="1243"/>
      <c r="F118" s="1243"/>
      <c r="G118" s="1243"/>
      <c r="H118" s="1243"/>
      <c r="I118" s="1243"/>
      <c r="J118" s="1243"/>
      <c r="K118" s="1243"/>
      <c r="L118" s="1243"/>
      <c r="M118" s="1244"/>
      <c r="AA118" s="1268"/>
      <c r="AB118" s="1269"/>
      <c r="AC118" s="711"/>
      <c r="AD118" s="711"/>
      <c r="AE118" s="711"/>
      <c r="AF118" s="711"/>
      <c r="AG118" s="711"/>
      <c r="AH118" s="711"/>
    </row>
    <row r="119" spans="3:34" ht="9.9" customHeight="1">
      <c r="C119" s="651"/>
      <c r="D119" s="651"/>
      <c r="E119" s="651"/>
      <c r="F119" s="651"/>
      <c r="G119" s="798"/>
      <c r="H119" s="798"/>
      <c r="I119" s="798"/>
      <c r="J119" s="651"/>
      <c r="K119" s="651"/>
      <c r="L119" s="651"/>
      <c r="M119" s="651"/>
      <c r="AA119" s="1270"/>
      <c r="AB119" s="1271"/>
      <c r="AC119" s="1263"/>
      <c r="AD119" s="1263"/>
      <c r="AE119" s="1263"/>
      <c r="AF119" s="1263"/>
      <c r="AG119" s="1263"/>
      <c r="AH119" s="1263"/>
    </row>
    <row r="120" spans="3:34" ht="21" customHeight="1" thickBot="1">
      <c r="C120" s="816" t="s">
        <v>1152</v>
      </c>
      <c r="G120" s="1257"/>
      <c r="H120" s="1257"/>
      <c r="I120" s="1257"/>
      <c r="AA120" s="1274"/>
      <c r="AB120" s="1275"/>
      <c r="AC120" s="1265"/>
      <c r="AD120" s="1265"/>
      <c r="AE120" s="1265"/>
      <c r="AF120" s="1265"/>
      <c r="AG120" s="1265"/>
      <c r="AH120" s="1265"/>
    </row>
    <row r="121" spans="3:34" ht="33" customHeight="1" thickBot="1">
      <c r="C121" s="1276" t="str">
        <f xml:space="preserve"> commentairesalinités</f>
        <v>*Pas de risque de salinité</v>
      </c>
      <c r="D121" s="1277"/>
      <c r="E121" s="1277"/>
      <c r="F121" s="1277"/>
      <c r="G121" s="1277"/>
      <c r="H121" s="1277"/>
      <c r="I121" s="1277"/>
      <c r="J121" s="1277"/>
      <c r="K121" s="1277"/>
      <c r="L121" s="1277"/>
      <c r="M121" s="1278"/>
      <c r="P121" s="557" t="s">
        <v>1153</v>
      </c>
      <c r="T121" s="801"/>
      <c r="AA121" s="1268"/>
      <c r="AB121" s="1269"/>
      <c r="AC121" s="711"/>
      <c r="AD121" s="711"/>
      <c r="AE121" s="711"/>
      <c r="AF121" s="711"/>
      <c r="AG121" s="711"/>
      <c r="AH121" s="711"/>
    </row>
    <row r="122" spans="3:34" ht="5.25" hidden="1" customHeight="1">
      <c r="C122" s="651"/>
      <c r="D122" s="1252"/>
      <c r="E122" s="1252"/>
      <c r="F122" s="1252"/>
      <c r="G122" s="1252"/>
      <c r="H122" s="1252"/>
      <c r="I122" s="1252"/>
      <c r="J122" s="1252"/>
      <c r="K122" s="1252"/>
      <c r="L122" s="1252"/>
      <c r="M122" s="1252"/>
      <c r="AA122" s="1268"/>
      <c r="AB122" s="1269"/>
      <c r="AC122" s="711"/>
      <c r="AD122" s="711"/>
      <c r="AE122" s="711"/>
      <c r="AF122" s="711"/>
      <c r="AG122" s="711"/>
      <c r="AH122" s="711"/>
    </row>
    <row r="123" spans="3:34" ht="0.75" customHeight="1" thickBot="1">
      <c r="C123" s="651"/>
      <c r="D123" s="1255"/>
      <c r="E123" s="1255"/>
      <c r="F123" s="1255"/>
      <c r="G123" s="1255"/>
      <c r="H123" s="1255"/>
      <c r="I123" s="1255"/>
      <c r="J123" s="1255"/>
      <c r="K123" s="1255"/>
      <c r="L123" s="1255"/>
      <c r="M123" s="1255"/>
      <c r="AA123" s="711"/>
      <c r="AB123" s="711"/>
      <c r="AC123" s="711"/>
      <c r="AD123" s="711"/>
      <c r="AE123" s="711"/>
      <c r="AF123" s="711"/>
      <c r="AG123" s="711"/>
      <c r="AH123" s="711"/>
    </row>
    <row r="124" spans="3:34" ht="11.25" customHeight="1" thickBot="1">
      <c r="C124" s="651"/>
      <c r="D124" s="651"/>
      <c r="E124" s="651"/>
      <c r="F124" s="651"/>
      <c r="G124" s="830"/>
      <c r="H124" s="830"/>
      <c r="I124" s="830"/>
      <c r="J124" s="651"/>
      <c r="K124" s="651"/>
      <c r="L124" s="651"/>
      <c r="M124" s="651"/>
      <c r="AA124" s="711"/>
      <c r="AB124" s="711"/>
      <c r="AC124" s="711"/>
      <c r="AD124" s="711"/>
      <c r="AE124" s="711"/>
      <c r="AF124" s="711"/>
      <c r="AG124" s="711"/>
      <c r="AH124" s="711"/>
    </row>
    <row r="125" spans="3:34" ht="21.9" customHeight="1" thickBot="1">
      <c r="C125" s="816" t="s">
        <v>1154</v>
      </c>
      <c r="D125" s="651"/>
      <c r="E125" s="651"/>
      <c r="F125" s="651"/>
      <c r="G125" s="830"/>
      <c r="H125" s="830"/>
      <c r="I125" s="830"/>
      <c r="J125" s="651"/>
      <c r="K125" s="651"/>
      <c r="L125" s="651"/>
      <c r="M125" s="651"/>
      <c r="AA125" s="831"/>
      <c r="AB125" s="712"/>
      <c r="AC125" s="711"/>
      <c r="AD125" s="711"/>
      <c r="AE125" s="711"/>
      <c r="AF125" s="711"/>
      <c r="AG125" s="711"/>
      <c r="AH125" s="711"/>
    </row>
    <row r="126" spans="3:34" ht="13.5" customHeight="1" thickBot="1">
      <c r="C126" s="1279" t="str">
        <f>commentaireazoteMOs</f>
        <v>*Potentiel moyen de participation du sol (azote organique) à la nutrition azotée</v>
      </c>
      <c r="D126" s="1280"/>
      <c r="E126" s="1280"/>
      <c r="F126" s="1280"/>
      <c r="G126" s="1280"/>
      <c r="H126" s="1280"/>
      <c r="I126" s="1280"/>
      <c r="J126" s="1280"/>
      <c r="K126" s="1280"/>
      <c r="L126" s="1280"/>
      <c r="M126" s="1281"/>
      <c r="O126" s="557">
        <v>0</v>
      </c>
      <c r="Q126" s="1285"/>
      <c r="R126" s="1286"/>
      <c r="S126" s="1286"/>
      <c r="T126" s="1286"/>
      <c r="U126" s="1286"/>
      <c r="V126" s="1286"/>
      <c r="W126" s="1286"/>
      <c r="X126" s="1286"/>
      <c r="AA126" s="1268"/>
      <c r="AB126" s="1269"/>
      <c r="AC126" s="711"/>
      <c r="AD126" s="711"/>
      <c r="AE126" s="711"/>
      <c r="AF126" s="711"/>
      <c r="AG126" s="711"/>
      <c r="AH126" s="711"/>
    </row>
    <row r="127" spans="3:34" ht="13.5" customHeight="1" thickBot="1">
      <c r="C127" s="1282"/>
      <c r="D127" s="1283"/>
      <c r="E127" s="1283"/>
      <c r="F127" s="1283"/>
      <c r="G127" s="1283"/>
      <c r="H127" s="1283"/>
      <c r="I127" s="1283"/>
      <c r="J127" s="1283"/>
      <c r="K127" s="1283"/>
      <c r="L127" s="1283"/>
      <c r="M127" s="1284"/>
      <c r="Q127" s="1285"/>
      <c r="R127" s="1286"/>
      <c r="S127" s="1286"/>
      <c r="T127" s="1286"/>
      <c r="U127" s="1286"/>
      <c r="V127" s="1286"/>
      <c r="W127" s="1286"/>
      <c r="X127" s="1286"/>
      <c r="AA127" s="1268"/>
      <c r="AB127" s="1269"/>
      <c r="AC127" s="711"/>
      <c r="AD127" s="711"/>
      <c r="AE127" s="711"/>
      <c r="AF127" s="711"/>
      <c r="AG127" s="711"/>
      <c r="AH127" s="711"/>
    </row>
    <row r="128" spans="3:34" ht="0.75" customHeight="1" thickBot="1">
      <c r="C128" s="832"/>
      <c r="D128" s="651"/>
      <c r="E128" s="651"/>
      <c r="F128" s="651"/>
      <c r="G128" s="833"/>
      <c r="H128" s="798"/>
      <c r="I128" s="798"/>
      <c r="J128" s="798"/>
      <c r="K128" s="798"/>
      <c r="L128" s="798"/>
      <c r="M128" s="834"/>
      <c r="Q128" s="1285"/>
      <c r="R128" s="1286"/>
      <c r="S128" s="1286"/>
      <c r="T128" s="1286"/>
      <c r="U128" s="1286"/>
      <c r="V128" s="1286"/>
      <c r="W128" s="1286"/>
      <c r="X128" s="1286"/>
      <c r="AA128" s="828"/>
      <c r="AB128" s="829"/>
      <c r="AC128" s="711"/>
      <c r="AD128" s="711"/>
      <c r="AE128" s="711"/>
      <c r="AF128" s="711"/>
      <c r="AG128" s="711"/>
      <c r="AH128" s="711"/>
    </row>
    <row r="129" spans="3:34" ht="39.75" hidden="1" customHeight="1">
      <c r="C129" s="832"/>
      <c r="D129" s="651"/>
      <c r="E129" s="651"/>
      <c r="F129" s="651"/>
      <c r="G129" s="833"/>
      <c r="H129" s="798"/>
      <c r="I129" s="798"/>
      <c r="J129" s="798"/>
      <c r="K129" s="798"/>
      <c r="L129" s="798"/>
      <c r="M129" s="834"/>
      <c r="P129" s="557" t="s">
        <v>1155</v>
      </c>
      <c r="Q129" s="1285"/>
      <c r="R129" s="1286"/>
      <c r="S129" s="1286"/>
      <c r="T129" s="1286"/>
      <c r="U129" s="1286"/>
      <c r="V129" s="1286"/>
      <c r="W129" s="1286"/>
      <c r="X129" s="1286"/>
      <c r="AA129" s="828"/>
      <c r="AB129" s="829"/>
      <c r="AC129" s="711"/>
      <c r="AD129" s="711"/>
      <c r="AE129" s="711"/>
      <c r="AF129" s="711"/>
      <c r="AG129" s="711"/>
      <c r="AH129" s="711"/>
    </row>
    <row r="130" spans="3:34" ht="57.9" customHeight="1" thickBot="1">
      <c r="C130" s="1242" t="s">
        <v>1156</v>
      </c>
      <c r="D130" s="1243"/>
      <c r="E130" s="1243"/>
      <c r="F130" s="1243"/>
      <c r="G130" s="1243"/>
      <c r="H130" s="1243"/>
      <c r="I130" s="1243"/>
      <c r="J130" s="1243"/>
      <c r="K130" s="1243"/>
      <c r="L130" s="1243"/>
      <c r="M130" s="1244"/>
      <c r="Q130" s="1286"/>
      <c r="R130" s="1286"/>
      <c r="S130" s="1286"/>
      <c r="T130" s="1286"/>
      <c r="U130" s="1286"/>
      <c r="V130" s="1286"/>
      <c r="W130" s="1286"/>
      <c r="X130" s="1286"/>
      <c r="AA130" s="1268"/>
      <c r="AB130" s="1269"/>
      <c r="AC130" s="711"/>
      <c r="AD130" s="711"/>
      <c r="AE130" s="711"/>
      <c r="AF130" s="711"/>
      <c r="AG130" s="711"/>
      <c r="AH130" s="711"/>
    </row>
    <row r="131" spans="3:34" ht="12.9" customHeight="1">
      <c r="C131" s="651"/>
      <c r="D131" s="651"/>
      <c r="E131" s="651"/>
      <c r="F131" s="651"/>
      <c r="G131" s="798"/>
      <c r="H131" s="798"/>
      <c r="I131" s="798"/>
      <c r="J131" s="830"/>
      <c r="K131" s="651"/>
      <c r="L131" s="651"/>
      <c r="M131" s="651"/>
      <c r="AA131" s="1270"/>
      <c r="AB131" s="1271"/>
      <c r="AC131" s="1263"/>
      <c r="AD131" s="1263"/>
      <c r="AE131" s="1263"/>
      <c r="AF131" s="1263"/>
      <c r="AG131" s="1263"/>
      <c r="AH131" s="1263"/>
    </row>
    <row r="132" spans="3:34" ht="21.9" customHeight="1">
      <c r="C132" s="816" t="s">
        <v>1157</v>
      </c>
      <c r="D132" s="651"/>
      <c r="E132" s="651"/>
      <c r="F132" s="651"/>
      <c r="G132" s="798"/>
      <c r="H132" s="798"/>
      <c r="I132" s="798"/>
      <c r="J132" s="830"/>
      <c r="K132" s="651"/>
      <c r="L132" s="651"/>
      <c r="M132" s="651"/>
      <c r="AA132" s="1272"/>
      <c r="AB132" s="1273"/>
      <c r="AC132" s="1264"/>
      <c r="AD132" s="1264"/>
      <c r="AE132" s="1264"/>
      <c r="AF132" s="1264"/>
      <c r="AG132" s="1264"/>
      <c r="AH132" s="1264"/>
    </row>
    <row r="133" spans="3:34" ht="24" customHeight="1" thickBot="1">
      <c r="C133" s="1245" t="str">
        <f>commentaireResvs</f>
        <v>Les très fortes réserves en phosphore indiquent un problème de fonctionnement du sol ou une surfertilisation en cet élément</v>
      </c>
      <c r="D133" s="1246"/>
      <c r="E133" s="1246"/>
      <c r="F133" s="1246"/>
      <c r="G133" s="1246"/>
      <c r="H133" s="1246"/>
      <c r="I133" s="1246"/>
      <c r="J133" s="1246"/>
      <c r="K133" s="1246"/>
      <c r="L133" s="1246"/>
      <c r="M133" s="1247"/>
      <c r="AA133" s="1274"/>
      <c r="AB133" s="1275"/>
      <c r="AC133" s="1265"/>
      <c r="AD133" s="1265"/>
      <c r="AE133" s="1265"/>
      <c r="AF133" s="1265"/>
      <c r="AG133" s="1265"/>
      <c r="AH133" s="1265"/>
    </row>
    <row r="134" spans="3:34" ht="12.9" customHeight="1">
      <c r="C134" s="1239"/>
      <c r="D134" s="1240"/>
      <c r="E134" s="1240"/>
      <c r="F134" s="1240"/>
      <c r="G134" s="1240"/>
      <c r="H134" s="1240"/>
      <c r="I134" s="1240"/>
      <c r="J134" s="1240"/>
      <c r="K134" s="1240"/>
      <c r="L134" s="1240"/>
      <c r="M134" s="1241"/>
      <c r="O134" s="753"/>
    </row>
    <row r="135" spans="3:34" ht="33.75" hidden="1" customHeight="1">
      <c r="C135" s="1239" t="s">
        <v>1158</v>
      </c>
      <c r="D135" s="1240"/>
      <c r="E135" s="824"/>
      <c r="F135" s="1266">
        <f>IF(N5&gt;15,15,N5)</f>
        <v>6.0035714285714281</v>
      </c>
      <c r="G135" s="1267" t="s">
        <v>1159</v>
      </c>
      <c r="H135" s="1240"/>
      <c r="I135" s="1240"/>
      <c r="J135" s="1240"/>
      <c r="K135" s="1240"/>
      <c r="L135" s="1240"/>
      <c r="M135" s="1241"/>
      <c r="O135" s="753"/>
    </row>
    <row r="136" spans="3:34" ht="0.75" customHeight="1">
      <c r="C136" s="1239"/>
      <c r="D136" s="1240"/>
      <c r="E136" s="824"/>
      <c r="F136" s="1266"/>
      <c r="G136" s="835"/>
      <c r="H136" s="836"/>
      <c r="I136" s="836"/>
      <c r="J136" s="836"/>
      <c r="K136" s="836"/>
      <c r="L136" s="836"/>
      <c r="M136" s="837"/>
      <c r="O136" s="753">
        <f>commfractPs</f>
        <v>0</v>
      </c>
    </row>
    <row r="137" spans="3:34" ht="41.25" customHeight="1">
      <c r="C137" s="1242" t="str">
        <f>CommentaireblocPs</f>
        <v>Risque très significatif de blocage du phosphore dans le sol. Il est  nécessaire d'adapter le niveau et les équilibres de la fertilisation.</v>
      </c>
      <c r="D137" s="1243"/>
      <c r="E137" s="1243"/>
      <c r="F137" s="1243"/>
      <c r="G137" s="1243"/>
      <c r="H137" s="1243"/>
      <c r="I137" s="1243"/>
      <c r="J137" s="1243"/>
      <c r="K137" s="1243"/>
      <c r="L137" s="1243"/>
      <c r="M137" s="1244"/>
      <c r="O137" s="1259"/>
      <c r="P137" s="1260"/>
    </row>
    <row r="138" spans="3:34" ht="9" customHeight="1">
      <c r="C138" s="800"/>
      <c r="D138" s="800"/>
      <c r="E138" s="800"/>
      <c r="F138" s="800"/>
      <c r="G138" s="800"/>
      <c r="H138" s="800"/>
      <c r="I138" s="800"/>
      <c r="J138" s="800"/>
      <c r="K138" s="800"/>
      <c r="L138" s="800"/>
      <c r="M138" s="800"/>
      <c r="O138" s="838"/>
      <c r="P138" s="838"/>
    </row>
    <row r="139" spans="3:34" ht="23.1" customHeight="1">
      <c r="C139" s="816" t="s">
        <v>1160</v>
      </c>
      <c r="D139" s="651"/>
      <c r="E139" s="651"/>
      <c r="F139" s="651"/>
      <c r="G139" s="798"/>
      <c r="H139" s="798"/>
      <c r="I139" s="798"/>
      <c r="J139" s="830" t="s">
        <v>59</v>
      </c>
      <c r="K139" s="651"/>
      <c r="L139" s="651"/>
      <c r="M139" s="651"/>
    </row>
    <row r="140" spans="3:34" ht="24" customHeight="1">
      <c r="C140" s="1245" t="str">
        <f>CommentaireResrvKs</f>
        <v>Réserves élevées en potassium ne pas augmenter les apports en cet élément</v>
      </c>
      <c r="D140" s="1246"/>
      <c r="E140" s="1246"/>
      <c r="F140" s="1246"/>
      <c r="G140" s="1246"/>
      <c r="H140" s="1246"/>
      <c r="I140" s="1246"/>
      <c r="J140" s="1246"/>
      <c r="K140" s="1246"/>
      <c r="L140" s="1246"/>
      <c r="M140" s="1247"/>
      <c r="O140" s="753"/>
      <c r="R140" s="839">
        <f>IF(P142&gt;0,IF(R63&gt;0.35, IF(AG66&gt;25,"risque de blocage par l'excès de calcium et de magnésium. Assurer un fractionnement important de la fertilisation. Bien soutenir les arbres durant la période de grossissement du fruit", "risque de blocage par l'excès de magnésium. Assurer un fractionnement important de la fertilisation. Bien soutenir les arbres durant la période de grossissement du fruit"),IF(AG66&gt;25,"risque de blocage par l'excès de calcium. Assurer un fractionnement important de la fertilisation. Bien soutenir les arbres durant la période de grossissement du fruit", "Assurer un fractionnement important de la fertilisation. Bien soutenir les arbres durant la période de grossissement du fruit")),)</f>
        <v>0</v>
      </c>
    </row>
    <row r="141" spans="3:34" ht="24" customHeight="1">
      <c r="C141" s="1239"/>
      <c r="D141" s="1240"/>
      <c r="E141" s="1240"/>
      <c r="F141" s="1240"/>
      <c r="G141" s="1240"/>
      <c r="H141" s="1240"/>
      <c r="I141" s="1240"/>
      <c r="J141" s="1240"/>
      <c r="K141" s="1240"/>
      <c r="L141" s="1240"/>
      <c r="M141" s="1241"/>
      <c r="O141" s="753"/>
    </row>
    <row r="142" spans="3:34" ht="33" hidden="1" customHeight="1">
      <c r="C142" s="1261"/>
      <c r="D142" s="1262"/>
      <c r="E142" s="1262"/>
      <c r="F142" s="840">
        <f>IF(+N6&gt;14,14,N6)</f>
        <v>8.3075211255411254</v>
      </c>
      <c r="G142" s="835"/>
      <c r="H142" s="836"/>
      <c r="I142" s="836"/>
      <c r="J142" s="836"/>
      <c r="K142" s="836"/>
      <c r="L142" s="836"/>
      <c r="M142" s="837"/>
    </row>
    <row r="143" spans="3:34" ht="42" customHeight="1">
      <c r="C143" s="1242" t="str">
        <f>Commaentaireblocks</f>
        <v xml:space="preserve">Risque très important de blocage du  potassium de ce sol, obligeant à adapter la fertilisation (Niveau, fractionnement, nature de produit,…etc) </v>
      </c>
      <c r="D143" s="1243"/>
      <c r="E143" s="1243"/>
      <c r="F143" s="1243"/>
      <c r="G143" s="1243"/>
      <c r="H143" s="1243"/>
      <c r="I143" s="1243"/>
      <c r="J143" s="1243"/>
      <c r="K143" s="1243"/>
      <c r="L143" s="1243"/>
      <c r="M143" s="1244"/>
    </row>
    <row r="144" spans="3:34" ht="12" customHeight="1">
      <c r="C144" s="651"/>
      <c r="D144" s="651"/>
      <c r="E144" s="651"/>
      <c r="F144" s="651"/>
      <c r="G144" s="798"/>
      <c r="H144" s="798"/>
      <c r="I144" s="798"/>
      <c r="J144" s="651"/>
      <c r="K144" s="651"/>
      <c r="L144" s="651"/>
      <c r="M144" s="651"/>
    </row>
    <row r="145" spans="3:16" ht="21.9" customHeight="1">
      <c r="C145" s="816" t="s">
        <v>1161</v>
      </c>
      <c r="D145" s="651"/>
      <c r="E145" s="651"/>
      <c r="F145" s="651"/>
      <c r="G145" s="798"/>
      <c r="H145" s="798"/>
      <c r="I145" s="798"/>
      <c r="J145" s="651"/>
      <c r="K145" s="651"/>
      <c r="L145" s="651"/>
      <c r="M145" s="651"/>
    </row>
    <row r="146" spans="3:16" ht="18.75" customHeight="1">
      <c r="C146" s="1245" t="str">
        <f>'commentaire sol'!D270</f>
        <v>Réserves excessives en magnésium,éviter impérativement tout apport au sol.</v>
      </c>
      <c r="D146" s="1246"/>
      <c r="E146" s="1246"/>
      <c r="F146" s="1246"/>
      <c r="G146" s="1246"/>
      <c r="H146" s="1246"/>
      <c r="I146" s="1246"/>
      <c r="J146" s="1246"/>
      <c r="K146" s="1246"/>
      <c r="L146" s="1246"/>
      <c r="M146" s="1247"/>
    </row>
    <row r="147" spans="3:16" ht="20.100000000000001" customHeight="1">
      <c r="C147" s="1239"/>
      <c r="D147" s="1240"/>
      <c r="E147" s="1240"/>
      <c r="F147" s="1240"/>
      <c r="G147" s="1240"/>
      <c r="H147" s="1240"/>
      <c r="I147" s="1240"/>
      <c r="J147" s="1240"/>
      <c r="K147" s="1240"/>
      <c r="L147" s="1240"/>
      <c r="M147" s="1241"/>
    </row>
    <row r="148" spans="3:16" ht="26.1" customHeight="1">
      <c r="C148" s="1239" t="str">
        <f>'commentaire sol'!D288</f>
        <v>Les conditions de sol sont favorables pour la bonne assimilation du magnésium</v>
      </c>
      <c r="D148" s="1240"/>
      <c r="E148" s="1240"/>
      <c r="F148" s="1240"/>
      <c r="G148" s="1240"/>
      <c r="H148" s="1240"/>
      <c r="I148" s="1240"/>
      <c r="J148" s="1240"/>
      <c r="K148" s="1240"/>
      <c r="L148" s="1240"/>
      <c r="M148" s="1241"/>
    </row>
    <row r="149" spans="3:16" ht="12" customHeight="1">
      <c r="C149" s="1242"/>
      <c r="D149" s="1243"/>
      <c r="E149" s="1243"/>
      <c r="F149" s="1243"/>
      <c r="G149" s="1243"/>
      <c r="H149" s="1243"/>
      <c r="I149" s="1243"/>
      <c r="J149" s="1243"/>
      <c r="K149" s="1243"/>
      <c r="L149" s="1243"/>
      <c r="M149" s="1244"/>
    </row>
    <row r="150" spans="3:16" ht="14.1" customHeight="1">
      <c r="C150" s="651"/>
      <c r="D150" s="651"/>
      <c r="E150" s="651"/>
      <c r="F150" s="651"/>
      <c r="G150" s="798"/>
      <c r="H150" s="798"/>
      <c r="I150" s="798"/>
      <c r="J150" s="651"/>
      <c r="K150" s="651"/>
      <c r="L150" s="651"/>
      <c r="M150" s="651"/>
    </row>
    <row r="151" spans="3:16" ht="21.9" customHeight="1">
      <c r="C151" s="816" t="s">
        <v>1162</v>
      </c>
      <c r="D151" s="651"/>
      <c r="E151" s="651"/>
      <c r="F151" s="651"/>
      <c r="G151" s="798"/>
      <c r="H151" s="798"/>
      <c r="I151" s="798"/>
      <c r="J151" s="651"/>
      <c r="K151" s="651"/>
      <c r="L151" s="651"/>
      <c r="M151" s="651"/>
    </row>
    <row r="152" spans="3:16" ht="18" customHeight="1">
      <c r="C152" s="1245" t="str">
        <f>'commentaire sol'!D302</f>
        <v>Niveau correct en matière organique par rapport à la texture de sol, un apport de correction n'est pas nécessaire. Entretenir ce potentiel par des apports réguliers</v>
      </c>
      <c r="D152" s="1246"/>
      <c r="E152" s="1246"/>
      <c r="F152" s="1246"/>
      <c r="G152" s="1246"/>
      <c r="H152" s="1246"/>
      <c r="I152" s="1246"/>
      <c r="J152" s="1246"/>
      <c r="K152" s="1246"/>
      <c r="L152" s="1246"/>
      <c r="M152" s="1247"/>
    </row>
    <row r="153" spans="3:16" ht="21.9" customHeight="1">
      <c r="C153" s="1239"/>
      <c r="D153" s="1240"/>
      <c r="E153" s="1240"/>
      <c r="F153" s="1240"/>
      <c r="G153" s="1240"/>
      <c r="H153" s="1240"/>
      <c r="I153" s="1240"/>
      <c r="J153" s="1240"/>
      <c r="K153" s="1240"/>
      <c r="L153" s="1240"/>
      <c r="M153" s="1241"/>
    </row>
    <row r="154" spans="3:16" ht="19.5" customHeight="1">
      <c r="C154" s="1239" t="str">
        <f>+'commentaire sol'!D311</f>
        <v>Rapport C/N correct à la fois pour la nutrition du végétal et pour l'effet positif de la MO sur l'état du sol;</v>
      </c>
      <c r="D154" s="1240"/>
      <c r="E154" s="1240"/>
      <c r="F154" s="1240"/>
      <c r="G154" s="1240"/>
      <c r="H154" s="1240"/>
      <c r="I154" s="1240"/>
      <c r="J154" s="1240"/>
      <c r="K154" s="1240"/>
      <c r="L154" s="1240"/>
      <c r="M154" s="1241"/>
      <c r="O154" s="557">
        <f>(F154+F155)*10</f>
        <v>0</v>
      </c>
    </row>
    <row r="155" spans="3:16">
      <c r="C155" s="1242"/>
      <c r="D155" s="1243"/>
      <c r="E155" s="1243"/>
      <c r="F155" s="1243"/>
      <c r="G155" s="1243"/>
      <c r="H155" s="1243"/>
      <c r="I155" s="1243"/>
      <c r="J155" s="1243"/>
      <c r="K155" s="1243"/>
      <c r="L155" s="1243"/>
      <c r="M155" s="1244"/>
      <c r="O155" s="557">
        <f>(O33-T34)*3.9</f>
        <v>-44.890560000000001</v>
      </c>
    </row>
    <row r="156" spans="3:16">
      <c r="C156" s="651"/>
      <c r="D156" s="651"/>
      <c r="E156" s="651"/>
      <c r="F156" s="651"/>
      <c r="G156" s="798"/>
      <c r="H156" s="798"/>
      <c r="I156" s="798"/>
      <c r="J156" s="651"/>
      <c r="K156" s="651"/>
      <c r="L156" s="651"/>
      <c r="M156" s="651"/>
    </row>
    <row r="157" spans="3:16" ht="26.1" customHeight="1">
      <c r="C157" s="816" t="s">
        <v>1163</v>
      </c>
      <c r="D157" s="651"/>
      <c r="E157" s="651"/>
      <c r="F157" s="651"/>
      <c r="G157" s="798"/>
      <c r="H157" s="798"/>
      <c r="I157" s="798"/>
      <c r="J157" s="651"/>
      <c r="K157" s="651"/>
      <c r="L157" s="651"/>
      <c r="M157" s="651"/>
    </row>
    <row r="158" spans="3:16" ht="14.25" customHeight="1">
      <c r="C158" s="1248" t="str">
        <f>commentaireblocoligos</f>
        <v>Risques de blocage très élevés de l'assimilation des oligo-éléments de sol . Des apports sont à prévoir (Au sol : fertigation ou par voie foliaire)</v>
      </c>
      <c r="D158" s="1249"/>
      <c r="E158" s="1249"/>
      <c r="F158" s="1249"/>
      <c r="G158" s="1249"/>
      <c r="H158" s="1249"/>
      <c r="I158" s="1249"/>
      <c r="J158" s="1249"/>
      <c r="K158" s="1249"/>
      <c r="L158" s="1249"/>
      <c r="M158" s="1250"/>
    </row>
    <row r="159" spans="3:16" ht="12" customHeight="1">
      <c r="C159" s="1251"/>
      <c r="D159" s="1252"/>
      <c r="E159" s="1252"/>
      <c r="F159" s="1252"/>
      <c r="G159" s="1252"/>
      <c r="H159" s="1252"/>
      <c r="I159" s="1252"/>
      <c r="J159" s="1252"/>
      <c r="K159" s="1252"/>
      <c r="L159" s="1252"/>
      <c r="M159" s="1253"/>
      <c r="P159" s="595"/>
    </row>
    <row r="160" spans="3:16" ht="12" customHeight="1">
      <c r="C160" s="1254"/>
      <c r="D160" s="1255"/>
      <c r="E160" s="1255"/>
      <c r="F160" s="1255"/>
      <c r="G160" s="1255"/>
      <c r="H160" s="1255"/>
      <c r="I160" s="1255"/>
      <c r="J160" s="1255"/>
      <c r="K160" s="1255"/>
      <c r="L160" s="1255"/>
      <c r="M160" s="1256"/>
    </row>
    <row r="161" spans="3:13" ht="6.75" customHeight="1">
      <c r="C161" s="1257"/>
      <c r="D161" s="1257"/>
      <c r="E161" s="1257"/>
      <c r="F161" s="1257"/>
      <c r="G161" s="1257"/>
      <c r="H161" s="1257"/>
      <c r="I161" s="1257"/>
      <c r="J161" s="1257"/>
      <c r="K161" s="1257"/>
      <c r="L161" s="1257"/>
      <c r="M161" s="1257"/>
    </row>
    <row r="162" spans="3:13" ht="19.5" customHeight="1">
      <c r="C162" s="1258" t="s">
        <v>1164</v>
      </c>
      <c r="D162" s="1258"/>
      <c r="E162" s="1258"/>
      <c r="F162" s="1258"/>
      <c r="G162" s="1258"/>
      <c r="H162" s="1258"/>
      <c r="I162" s="1258"/>
      <c r="J162" s="1258"/>
      <c r="K162" s="1258"/>
      <c r="L162" s="1258"/>
      <c r="M162" s="1258"/>
    </row>
    <row r="163" spans="3:13" ht="1.5" customHeight="1">
      <c r="C163" s="841"/>
      <c r="D163" s="841"/>
      <c r="E163" s="841"/>
      <c r="F163" s="841"/>
      <c r="G163" s="841"/>
      <c r="H163" s="841"/>
      <c r="I163" s="841"/>
      <c r="J163" s="841"/>
      <c r="K163" s="841"/>
      <c r="L163" s="841"/>
      <c r="M163" s="841"/>
    </row>
    <row r="164" spans="3:13" ht="0.75" customHeight="1">
      <c r="C164" s="841"/>
      <c r="D164" s="841"/>
      <c r="E164" s="841"/>
      <c r="F164" s="841"/>
      <c r="G164" s="841"/>
      <c r="H164" s="841"/>
      <c r="I164" s="841"/>
      <c r="J164" s="841"/>
      <c r="K164" s="841"/>
      <c r="L164" s="841"/>
      <c r="M164" s="841"/>
    </row>
    <row r="165" spans="3:13" ht="1.5" customHeight="1">
      <c r="C165" s="841"/>
      <c r="D165" s="841"/>
      <c r="E165" s="841"/>
      <c r="F165" s="841"/>
      <c r="G165" s="841"/>
      <c r="H165" s="841"/>
      <c r="I165" s="841"/>
      <c r="J165" s="841"/>
      <c r="K165" s="841"/>
      <c r="L165" s="841"/>
      <c r="M165" s="841"/>
    </row>
    <row r="166" spans="3:13" s="595" customFormat="1" ht="27.9" customHeight="1">
      <c r="C166" s="841"/>
      <c r="D166" s="841"/>
      <c r="E166" s="841"/>
      <c r="F166" s="841"/>
      <c r="G166" s="841"/>
      <c r="H166" s="841"/>
      <c r="I166" s="841"/>
      <c r="J166" s="841"/>
      <c r="K166" s="841"/>
      <c r="L166" s="841"/>
      <c r="M166" s="841"/>
    </row>
    <row r="167" spans="3:13" s="595" customFormat="1">
      <c r="C167" s="626"/>
      <c r="D167" s="626"/>
      <c r="E167" s="626"/>
      <c r="F167" s="626"/>
      <c r="G167" s="626"/>
      <c r="H167" s="626"/>
      <c r="I167" s="626"/>
      <c r="J167" s="626"/>
      <c r="K167" s="626"/>
      <c r="L167" s="626"/>
      <c r="M167" s="626"/>
    </row>
    <row r="168" spans="3:13">
      <c r="C168" s="842"/>
      <c r="D168" s="842"/>
      <c r="E168" s="842"/>
      <c r="F168" s="842"/>
      <c r="G168" s="842"/>
      <c r="H168" s="842"/>
      <c r="I168" s="842"/>
      <c r="J168" s="842"/>
      <c r="K168" s="842"/>
      <c r="L168" s="842"/>
      <c r="M168" s="842"/>
    </row>
    <row r="169" spans="3:13">
      <c r="C169" s="842"/>
      <c r="D169" s="842"/>
      <c r="E169" s="842"/>
      <c r="F169" s="842"/>
      <c r="G169" s="842"/>
      <c r="H169" s="842"/>
      <c r="I169" s="842"/>
      <c r="J169" s="842"/>
      <c r="K169" s="842"/>
      <c r="L169" s="842"/>
      <c r="M169" s="842"/>
    </row>
    <row r="170" spans="3:13">
      <c r="C170" s="842"/>
      <c r="D170" s="842"/>
      <c r="E170" s="842"/>
      <c r="F170" s="842"/>
      <c r="G170" s="842"/>
      <c r="H170" s="842"/>
      <c r="I170" s="842"/>
      <c r="J170" s="842"/>
      <c r="K170" s="842"/>
      <c r="L170" s="842"/>
      <c r="M170" s="842"/>
    </row>
    <row r="171" spans="3:13">
      <c r="C171" s="842"/>
      <c r="D171" s="842"/>
      <c r="E171" s="842"/>
      <c r="F171" s="842"/>
      <c r="G171" s="842"/>
      <c r="H171" s="842"/>
      <c r="I171" s="842"/>
      <c r="J171" s="842"/>
      <c r="K171" s="842"/>
      <c r="L171" s="842"/>
      <c r="M171" s="842"/>
    </row>
    <row r="172" spans="3:13">
      <c r="C172" s="1238"/>
      <c r="D172" s="1238"/>
      <c r="E172" s="1238"/>
      <c r="F172" s="1238"/>
      <c r="G172" s="1238"/>
      <c r="H172" s="1238"/>
      <c r="I172" s="1238"/>
      <c r="J172" s="1238"/>
      <c r="K172" s="1238"/>
      <c r="L172" s="1238"/>
      <c r="M172" s="1238"/>
    </row>
    <row r="177" spans="3:3">
      <c r="C177" s="843"/>
    </row>
    <row r="178" spans="3:3">
      <c r="C178" s="844"/>
    </row>
    <row r="179" spans="3:3">
      <c r="C179" s="845"/>
    </row>
    <row r="180" spans="3:3">
      <c r="C180" s="846"/>
    </row>
    <row r="181" spans="3:3">
      <c r="C181" s="793"/>
    </row>
    <row r="182" spans="3:3">
      <c r="C182" s="793"/>
    </row>
    <row r="200" spans="3:3">
      <c r="C200" s="559" t="str">
        <f>"D:\Résultats\OneDrive\SOL\Commentaires\"&amp;A9&amp;"_"&amp;C3&amp;"     - Commentaire - "&amp;C182&amp;C181</f>
        <v xml:space="preserve">D:\Résultats\OneDrive\SOL\Commentaires\802970_SAID HAMOUCHI      - Commentaire - </v>
      </c>
    </row>
    <row r="240" spans="1:25" s="848" customFormat="1" ht="12.75" customHeight="1">
      <c r="A240" s="847" t="s">
        <v>1165</v>
      </c>
      <c r="B240" s="848" t="s">
        <v>1166</v>
      </c>
      <c r="C240" s="849" t="s">
        <v>1167</v>
      </c>
      <c r="D240" s="849" t="s">
        <v>1168</v>
      </c>
      <c r="E240" s="849" t="s">
        <v>1169</v>
      </c>
      <c r="F240" s="850" t="s">
        <v>1170</v>
      </c>
      <c r="G240" s="851" t="s">
        <v>1171</v>
      </c>
      <c r="H240" s="851" t="s">
        <v>1172</v>
      </c>
      <c r="I240" s="852" t="s">
        <v>1173</v>
      </c>
      <c r="J240" s="849" t="s">
        <v>220</v>
      </c>
      <c r="K240" s="849" t="s">
        <v>221</v>
      </c>
      <c r="L240" s="849" t="s">
        <v>1174</v>
      </c>
      <c r="M240" s="849" t="s">
        <v>1175</v>
      </c>
      <c r="N240" s="848" t="s">
        <v>1176</v>
      </c>
      <c r="O240" s="848" t="s">
        <v>1177</v>
      </c>
      <c r="P240" s="848" t="s">
        <v>1178</v>
      </c>
      <c r="Q240" s="848" t="s">
        <v>1</v>
      </c>
      <c r="R240" s="848" t="s">
        <v>455</v>
      </c>
      <c r="S240" s="848" t="s">
        <v>1179</v>
      </c>
      <c r="T240" s="848" t="s">
        <v>1180</v>
      </c>
      <c r="U240" s="853" t="s">
        <v>1181</v>
      </c>
      <c r="V240" s="854" t="s">
        <v>229</v>
      </c>
      <c r="W240" s="848" t="s">
        <v>1182</v>
      </c>
      <c r="X240" s="848" t="s">
        <v>1183</v>
      </c>
      <c r="Y240" s="848" t="s">
        <v>1016</v>
      </c>
    </row>
  </sheetData>
  <mergeCells count="196">
    <mergeCell ref="C7:E7"/>
    <mergeCell ref="K7:M7"/>
    <mergeCell ref="K8:M8"/>
    <mergeCell ref="J13:K13"/>
    <mergeCell ref="D16:E16"/>
    <mergeCell ref="C17:G17"/>
    <mergeCell ref="K17:M17"/>
    <mergeCell ref="C1:M1"/>
    <mergeCell ref="C2:F2"/>
    <mergeCell ref="G2:I2"/>
    <mergeCell ref="C3:F3"/>
    <mergeCell ref="G3:I6"/>
    <mergeCell ref="L3:M3"/>
    <mergeCell ref="C4:F4"/>
    <mergeCell ref="L4:M4"/>
    <mergeCell ref="C5:F5"/>
    <mergeCell ref="C6:F6"/>
    <mergeCell ref="K18:M20"/>
    <mergeCell ref="N22:P22"/>
    <mergeCell ref="M26:M29"/>
    <mergeCell ref="C31:G31"/>
    <mergeCell ref="AV32:AV33"/>
    <mergeCell ref="D33:D34"/>
    <mergeCell ref="E33:F34"/>
    <mergeCell ref="G33:G34"/>
    <mergeCell ref="W33:W34"/>
    <mergeCell ref="N34:O34"/>
    <mergeCell ref="C42:G42"/>
    <mergeCell ref="I43:I46"/>
    <mergeCell ref="J43:J46"/>
    <mergeCell ref="K43:L46"/>
    <mergeCell ref="M43:M46"/>
    <mergeCell ref="AI46:AL46"/>
    <mergeCell ref="T34:T35"/>
    <mergeCell ref="E35:G37"/>
    <mergeCell ref="I37:J38"/>
    <mergeCell ref="C39:C40"/>
    <mergeCell ref="D39:D40"/>
    <mergeCell ref="E39:F40"/>
    <mergeCell ref="G39:G40"/>
    <mergeCell ref="K39:M39"/>
    <mergeCell ref="K40:M40"/>
    <mergeCell ref="AZ52:AZ54"/>
    <mergeCell ref="C56:G56"/>
    <mergeCell ref="I56:I58"/>
    <mergeCell ref="J56:J58"/>
    <mergeCell ref="K56:K58"/>
    <mergeCell ref="L56:L58"/>
    <mergeCell ref="M56:M58"/>
    <mergeCell ref="C57:G57"/>
    <mergeCell ref="I48:I49"/>
    <mergeCell ref="J48:J49"/>
    <mergeCell ref="K48:L49"/>
    <mergeCell ref="M48:M49"/>
    <mergeCell ref="I52:I54"/>
    <mergeCell ref="J52:J54"/>
    <mergeCell ref="K52:L54"/>
    <mergeCell ref="M52:M54"/>
    <mergeCell ref="AX61:AX63"/>
    <mergeCell ref="AY61:AY63"/>
    <mergeCell ref="C65:G65"/>
    <mergeCell ref="I65:M65"/>
    <mergeCell ref="C67:C68"/>
    <mergeCell ref="D67:D68"/>
    <mergeCell ref="E67:F68"/>
    <mergeCell ref="G67:G68"/>
    <mergeCell ref="I67:I68"/>
    <mergeCell ref="J67:J68"/>
    <mergeCell ref="K67:L68"/>
    <mergeCell ref="M67:M68"/>
    <mergeCell ref="Y67:Z67"/>
    <mergeCell ref="C69:C70"/>
    <mergeCell ref="D69:D70"/>
    <mergeCell ref="E69:F70"/>
    <mergeCell ref="G69:G70"/>
    <mergeCell ref="I69:I72"/>
    <mergeCell ref="J69:J71"/>
    <mergeCell ref="K69:L71"/>
    <mergeCell ref="M69:M71"/>
    <mergeCell ref="C71:C72"/>
    <mergeCell ref="D71:D72"/>
    <mergeCell ref="E71:F72"/>
    <mergeCell ref="G71:G72"/>
    <mergeCell ref="G93:M93"/>
    <mergeCell ref="D95:H95"/>
    <mergeCell ref="I95:J95"/>
    <mergeCell ref="K95:M95"/>
    <mergeCell ref="J73:J74"/>
    <mergeCell ref="K73:L74"/>
    <mergeCell ref="M73:M74"/>
    <mergeCell ref="C77:M78"/>
    <mergeCell ref="J80:M80"/>
    <mergeCell ref="C81:I83"/>
    <mergeCell ref="J81:M81"/>
    <mergeCell ref="C73:C74"/>
    <mergeCell ref="D73:D74"/>
    <mergeCell ref="E73:F74"/>
    <mergeCell ref="G73:G74"/>
    <mergeCell ref="I73:I74"/>
    <mergeCell ref="C85:M85"/>
    <mergeCell ref="C87:M87"/>
    <mergeCell ref="C88:M88"/>
    <mergeCell ref="G91:M91"/>
    <mergeCell ref="L98:M98"/>
    <mergeCell ref="AA99:AB99"/>
    <mergeCell ref="L101:M103"/>
    <mergeCell ref="Q101:S101"/>
    <mergeCell ref="AA101:AB101"/>
    <mergeCell ref="AA102:AB102"/>
    <mergeCell ref="AA103:AB103"/>
    <mergeCell ref="D96:H96"/>
    <mergeCell ref="I96:J96"/>
    <mergeCell ref="K96:M96"/>
    <mergeCell ref="D97:H97"/>
    <mergeCell ref="I97:J97"/>
    <mergeCell ref="K97:M97"/>
    <mergeCell ref="AH104:AH105"/>
    <mergeCell ref="Q105:R105"/>
    <mergeCell ref="C106:M106"/>
    <mergeCell ref="Q106:R106"/>
    <mergeCell ref="AA106:AB106"/>
    <mergeCell ref="C107:M108"/>
    <mergeCell ref="AA107:AB108"/>
    <mergeCell ref="AC107:AC108"/>
    <mergeCell ref="AD107:AD108"/>
    <mergeCell ref="AE107:AE108"/>
    <mergeCell ref="AA104:AB105"/>
    <mergeCell ref="AC104:AC105"/>
    <mergeCell ref="AD104:AD105"/>
    <mergeCell ref="AE104:AE105"/>
    <mergeCell ref="AF104:AF105"/>
    <mergeCell ref="AG104:AG105"/>
    <mergeCell ref="AG111:AG112"/>
    <mergeCell ref="AH111:AH112"/>
    <mergeCell ref="G112:I112"/>
    <mergeCell ref="C113:M113"/>
    <mergeCell ref="AA113:AB113"/>
    <mergeCell ref="C114:M114"/>
    <mergeCell ref="AA114:AB114"/>
    <mergeCell ref="AF107:AF108"/>
    <mergeCell ref="AG107:AG108"/>
    <mergeCell ref="AH107:AH108"/>
    <mergeCell ref="C109:M109"/>
    <mergeCell ref="AA110:AB110"/>
    <mergeCell ref="AA111:AB112"/>
    <mergeCell ref="AC111:AC112"/>
    <mergeCell ref="AD111:AD112"/>
    <mergeCell ref="AE111:AE112"/>
    <mergeCell ref="AF111:AF112"/>
    <mergeCell ref="AD119:AD120"/>
    <mergeCell ref="AE119:AE120"/>
    <mergeCell ref="AF119:AF120"/>
    <mergeCell ref="AG119:AG120"/>
    <mergeCell ref="AH119:AH120"/>
    <mergeCell ref="G120:I120"/>
    <mergeCell ref="C116:M116"/>
    <mergeCell ref="C117:M117"/>
    <mergeCell ref="C118:M118"/>
    <mergeCell ref="AA118:AB118"/>
    <mergeCell ref="AA119:AB120"/>
    <mergeCell ref="AC119:AC120"/>
    <mergeCell ref="C121:M121"/>
    <mergeCell ref="AA121:AB121"/>
    <mergeCell ref="D122:M122"/>
    <mergeCell ref="AA122:AB122"/>
    <mergeCell ref="D123:M123"/>
    <mergeCell ref="C126:M127"/>
    <mergeCell ref="Q126:X130"/>
    <mergeCell ref="AA126:AB126"/>
    <mergeCell ref="AA127:AB127"/>
    <mergeCell ref="C130:M130"/>
    <mergeCell ref="AG131:AG133"/>
    <mergeCell ref="AH131:AH133"/>
    <mergeCell ref="C133:M134"/>
    <mergeCell ref="C135:D136"/>
    <mergeCell ref="F135:F136"/>
    <mergeCell ref="G135:M135"/>
    <mergeCell ref="AA130:AB130"/>
    <mergeCell ref="AA131:AB133"/>
    <mergeCell ref="AC131:AC133"/>
    <mergeCell ref="AD131:AD133"/>
    <mergeCell ref="AE131:AE133"/>
    <mergeCell ref="AF131:AF133"/>
    <mergeCell ref="C172:M172"/>
    <mergeCell ref="C148:M149"/>
    <mergeCell ref="C152:M153"/>
    <mergeCell ref="C154:M155"/>
    <mergeCell ref="C158:M160"/>
    <mergeCell ref="C161:M161"/>
    <mergeCell ref="C162:M162"/>
    <mergeCell ref="C137:M137"/>
    <mergeCell ref="O137:P137"/>
    <mergeCell ref="C140:M141"/>
    <mergeCell ref="C142:E142"/>
    <mergeCell ref="C143:M143"/>
    <mergeCell ref="C146:M147"/>
  </mergeCells>
  <phoneticPr fontId="36" type="noConversion"/>
  <conditionalFormatting sqref="A10:CQ10">
    <cfRule type="duplicateValues" dxfId="64" priority="5" stopIfTrue="1"/>
  </conditionalFormatting>
  <conditionalFormatting sqref="A10:CQ10">
    <cfRule type="duplicateValues" dxfId="63" priority="4" stopIfTrue="1"/>
  </conditionalFormatting>
  <conditionalFormatting sqref="A9">
    <cfRule type="duplicateValues" dxfId="62" priority="2" stopIfTrue="1"/>
    <cfRule type="duplicateValues" dxfId="61" priority="3" stopIfTrue="1"/>
  </conditionalFormatting>
  <conditionalFormatting sqref="A9">
    <cfRule type="duplicateValues" dxfId="60" priority="1" stopIfTrue="1"/>
  </conditionalFormatting>
  <printOptions horizontalCentered="1" verticalCentered="1"/>
  <pageMargins left="0.25" right="0.25" top="0.75000000000000011" bottom="1.3597222222222223" header="0.30000000000000004" footer="0.16625000000000001"/>
  <pageSetup paperSize="9" scale="53" firstPageNumber="3" orientation="portrait" useFirstPageNumber="1" r:id="rId1"/>
  <headerFooter alignWithMargins="0">
    <oddFooter xml:space="preserve">&amp;C&amp;"System Font,Normal"&amp;K000000FIN DE PAGE
------------------------------
AGROPOLIS-GI5 GI6, Commune de Mejjate, Meknes, Maroc
Tél:+212 538 00 49 20/ www.elephantvert.ch / contactmaroc@elephantvert.ch&amp;R&amp;8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4]!MACRO_LOT">
                <anchor moveWithCells="1" sizeWithCells="1">
                  <from>
                    <xdr:col>13</xdr:col>
                    <xdr:colOff>0</xdr:colOff>
                    <xdr:row>0</xdr:row>
                    <xdr:rowOff>0</xdr:rowOff>
                  </from>
                  <to>
                    <xdr:col>13</xdr:col>
                    <xdr:colOff>0</xdr:colOff>
                    <xdr:row>0</xdr:row>
                    <xdr:rowOff>0</xdr:rowOff>
                  </to>
                </anchor>
              </controlPr>
            </control>
          </mc:Choice>
        </mc:AlternateContent>
        <mc:AlternateContent xmlns:mc="http://schemas.openxmlformats.org/markup-compatibility/2006">
          <mc:Choice Requires="x14">
            <control shapeId="31746" r:id="rId5" name="Button 2">
              <controlPr defaultSize="0" print="0" autoFill="0" autoPict="0" macro="[4]!BULETTIN_MONO">
                <anchor moveWithCells="1" sizeWithCells="1">
                  <from>
                    <xdr:col>13</xdr:col>
                    <xdr:colOff>0</xdr:colOff>
                    <xdr:row>0</xdr:row>
                    <xdr:rowOff>0</xdr:rowOff>
                  </from>
                  <to>
                    <xdr:col>13</xdr:col>
                    <xdr:colOff>0</xdr:colOff>
                    <xdr:row>0</xdr:row>
                    <xdr:rowOff>0</xdr:rowOff>
                  </to>
                </anchor>
              </controlPr>
            </control>
          </mc:Choice>
        </mc:AlternateContent>
        <mc:AlternateContent xmlns:mc="http://schemas.openxmlformats.org/markup-compatibility/2006">
          <mc:Choice Requires="x14">
            <control shapeId="31747" r:id="rId6" name="Button 3">
              <controlPr defaultSize="0" print="0" autoFill="0" autoPict="0" macro="[0]!LOT_SOLCOM">
                <anchor moveWithCells="1" sizeWithCells="1">
                  <from>
                    <xdr:col>0</xdr:col>
                    <xdr:colOff>312420</xdr:colOff>
                    <xdr:row>89</xdr:row>
                    <xdr:rowOff>220980</xdr:rowOff>
                  </from>
                  <to>
                    <xdr:col>1</xdr:col>
                    <xdr:colOff>533400</xdr:colOff>
                    <xdr:row>92</xdr:row>
                    <xdr:rowOff>121920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8"/>
  <dimension ref="A1:BF10"/>
  <sheetViews>
    <sheetView workbookViewId="0">
      <selection activeCell="A6" sqref="A6:XFD6"/>
    </sheetView>
  </sheetViews>
  <sheetFormatPr baseColWidth="10" defaultColWidth="10.8984375" defaultRowHeight="13.2"/>
  <cols>
    <col min="1" max="16384" width="10.8984375" style="864"/>
  </cols>
  <sheetData>
    <row r="1" spans="1:58" s="855" customFormat="1" ht="27" customHeight="1">
      <c r="A1" s="855" t="s">
        <v>642</v>
      </c>
      <c r="B1" s="855" t="s">
        <v>604</v>
      </c>
      <c r="C1" s="855" t="s">
        <v>607</v>
      </c>
      <c r="D1" s="855" t="s">
        <v>252</v>
      </c>
      <c r="E1" s="855" t="s">
        <v>1184</v>
      </c>
      <c r="H1" s="855" t="s">
        <v>9</v>
      </c>
      <c r="I1" s="855" t="s">
        <v>258</v>
      </c>
      <c r="J1" s="855" t="s">
        <v>334</v>
      </c>
      <c r="K1" s="855" t="s">
        <v>335</v>
      </c>
      <c r="L1" s="855" t="s">
        <v>338</v>
      </c>
      <c r="M1" s="855" t="s">
        <v>337</v>
      </c>
      <c r="N1" s="855" t="s">
        <v>336</v>
      </c>
      <c r="O1" s="855" t="s">
        <v>1185</v>
      </c>
      <c r="P1" s="855" t="s">
        <v>1186</v>
      </c>
      <c r="Q1" s="855" t="s">
        <v>638</v>
      </c>
      <c r="X1" s="855" t="s">
        <v>19</v>
      </c>
      <c r="Y1" s="855" t="s">
        <v>635</v>
      </c>
      <c r="Z1" s="855" t="s">
        <v>636</v>
      </c>
      <c r="AA1" s="855" t="s">
        <v>637</v>
      </c>
      <c r="AI1" s="855" t="s">
        <v>1017</v>
      </c>
      <c r="AJ1" s="855" t="s">
        <v>730</v>
      </c>
      <c r="AK1" s="855" t="s">
        <v>731</v>
      </c>
      <c r="AL1" s="855" t="s">
        <v>732</v>
      </c>
      <c r="AM1" s="855" t="s">
        <v>733</v>
      </c>
      <c r="AN1" s="855" t="s">
        <v>695</v>
      </c>
      <c r="BF1" s="855" t="s">
        <v>734</v>
      </c>
    </row>
    <row r="2" spans="1:58" s="587" customFormat="1" ht="16.2">
      <c r="A2" s="856">
        <f>A6</f>
        <v>905128</v>
      </c>
      <c r="B2" s="857">
        <f>B6*10</f>
        <v>204</v>
      </c>
      <c r="C2" s="857">
        <f>C6*10</f>
        <v>43.7</v>
      </c>
      <c r="D2" s="858">
        <f>+D6</f>
        <v>8.44</v>
      </c>
      <c r="E2" s="858">
        <f>+E6</f>
        <v>0.218</v>
      </c>
      <c r="H2" s="859">
        <f>+F6</f>
        <v>239.8</v>
      </c>
      <c r="I2" s="859">
        <f>+G6</f>
        <v>0</v>
      </c>
      <c r="J2" s="860">
        <f>+H6/1000</f>
        <v>0.33465</v>
      </c>
      <c r="K2" s="860">
        <f>+I6/1000</f>
        <v>0.77</v>
      </c>
      <c r="L2" s="860">
        <f>+L6/1000</f>
        <v>1.905</v>
      </c>
      <c r="M2" s="860">
        <f>+K6</f>
        <v>12.24</v>
      </c>
      <c r="N2" s="860">
        <f>+J6</f>
        <v>0.19800000000000001</v>
      </c>
      <c r="O2" s="859">
        <f>+S6</f>
        <v>18.32</v>
      </c>
      <c r="P2" s="861">
        <f>+R6</f>
        <v>1.8516363200000001</v>
      </c>
      <c r="Q2" s="859">
        <f>+P6</f>
        <v>3.17</v>
      </c>
      <c r="Y2" s="859">
        <f>+M6</f>
        <v>3.17</v>
      </c>
      <c r="Z2" s="859">
        <f>+N6</f>
        <v>0.75</v>
      </c>
      <c r="AA2" s="859">
        <f>+P6</f>
        <v>3.17</v>
      </c>
      <c r="AC2" s="862"/>
      <c r="AD2" s="862"/>
      <c r="AE2" s="862"/>
      <c r="AF2" s="862"/>
      <c r="AG2" s="862"/>
      <c r="AI2" s="857">
        <f>+AD6</f>
        <v>560</v>
      </c>
      <c r="AJ2" s="857">
        <f>AE6</f>
        <v>300</v>
      </c>
      <c r="AK2" s="857"/>
      <c r="AL2" s="857">
        <f>+AF6</f>
        <v>140</v>
      </c>
      <c r="AM2" s="857"/>
      <c r="AN2" s="858">
        <f>+Y6</f>
        <v>33.200000000000003</v>
      </c>
      <c r="AO2" s="863"/>
      <c r="AP2" s="859"/>
      <c r="AQ2" s="859"/>
      <c r="AR2" s="859"/>
      <c r="AS2" s="859"/>
      <c r="AT2" s="859"/>
    </row>
    <row r="4" spans="1:58" s="869" customFormat="1" ht="15.6">
      <c r="A4" s="864"/>
      <c r="B4" s="865" t="s">
        <v>351</v>
      </c>
      <c r="C4" s="865" t="s">
        <v>351</v>
      </c>
      <c r="D4" s="865" t="s">
        <v>261</v>
      </c>
      <c r="E4" s="865" t="s">
        <v>262</v>
      </c>
      <c r="F4" s="866" t="s">
        <v>353</v>
      </c>
      <c r="G4" s="865" t="s">
        <v>353</v>
      </c>
      <c r="H4" s="865" t="s">
        <v>353</v>
      </c>
      <c r="I4" s="865" t="s">
        <v>353</v>
      </c>
      <c r="J4" s="865" t="s">
        <v>354</v>
      </c>
      <c r="K4" s="865" t="s">
        <v>354</v>
      </c>
      <c r="L4" s="865" t="s">
        <v>353</v>
      </c>
      <c r="M4" s="865" t="s">
        <v>353</v>
      </c>
      <c r="N4" s="865" t="s">
        <v>353</v>
      </c>
      <c r="O4" s="865" t="s">
        <v>353</v>
      </c>
      <c r="P4" s="865" t="s">
        <v>353</v>
      </c>
      <c r="Q4" s="865" t="s">
        <v>353</v>
      </c>
      <c r="R4" s="865" t="s">
        <v>640</v>
      </c>
      <c r="S4" s="865" t="s">
        <v>354</v>
      </c>
      <c r="T4" s="865" t="s">
        <v>640</v>
      </c>
      <c r="U4" s="865" t="s">
        <v>640</v>
      </c>
      <c r="V4" s="865" t="s">
        <v>640</v>
      </c>
      <c r="W4" s="865" t="s">
        <v>640</v>
      </c>
      <c r="X4" s="865" t="s">
        <v>640</v>
      </c>
      <c r="Y4" s="865" t="s">
        <v>737</v>
      </c>
      <c r="Z4" s="865" t="s">
        <v>261</v>
      </c>
      <c r="AA4" s="867" t="s">
        <v>353</v>
      </c>
      <c r="AB4" s="867" t="s">
        <v>353</v>
      </c>
      <c r="AC4" s="865" t="s">
        <v>351</v>
      </c>
      <c r="AD4" s="868" t="s">
        <v>640</v>
      </c>
      <c r="AE4" s="865" t="s">
        <v>640</v>
      </c>
      <c r="AF4" s="865" t="s">
        <v>640</v>
      </c>
    </row>
    <row r="5" spans="1:58" s="869" customFormat="1" ht="15.6">
      <c r="A5" s="870" t="s">
        <v>217</v>
      </c>
      <c r="B5" s="870" t="s">
        <v>604</v>
      </c>
      <c r="C5" s="870" t="s">
        <v>607</v>
      </c>
      <c r="D5" s="871" t="s">
        <v>252</v>
      </c>
      <c r="E5" s="871" t="s">
        <v>253</v>
      </c>
      <c r="F5" s="872" t="s">
        <v>9</v>
      </c>
      <c r="G5" s="871" t="s">
        <v>258</v>
      </c>
      <c r="H5" s="871" t="s">
        <v>334</v>
      </c>
      <c r="I5" s="871" t="s">
        <v>335</v>
      </c>
      <c r="J5" s="871" t="s">
        <v>336</v>
      </c>
      <c r="K5" s="871" t="s">
        <v>337</v>
      </c>
      <c r="L5" s="871" t="s">
        <v>338</v>
      </c>
      <c r="M5" s="871" t="s">
        <v>635</v>
      </c>
      <c r="N5" s="871" t="s">
        <v>636</v>
      </c>
      <c r="O5" s="871" t="s">
        <v>637</v>
      </c>
      <c r="P5" s="871" t="s">
        <v>638</v>
      </c>
      <c r="Q5" s="871" t="s">
        <v>20</v>
      </c>
      <c r="R5" s="871" t="s">
        <v>639</v>
      </c>
      <c r="S5" s="871" t="s">
        <v>610</v>
      </c>
      <c r="T5" s="871" t="s">
        <v>729</v>
      </c>
      <c r="U5" s="871" t="s">
        <v>730</v>
      </c>
      <c r="V5" s="871" t="s">
        <v>731</v>
      </c>
      <c r="W5" s="871" t="s">
        <v>732</v>
      </c>
      <c r="X5" s="871" t="s">
        <v>733</v>
      </c>
      <c r="Y5" s="871" t="s">
        <v>695</v>
      </c>
      <c r="Z5" s="871" t="s">
        <v>734</v>
      </c>
      <c r="AA5" s="873" t="s">
        <v>341</v>
      </c>
      <c r="AB5" s="873" t="s">
        <v>340</v>
      </c>
      <c r="AC5" s="871" t="s">
        <v>355</v>
      </c>
      <c r="AD5" s="874" t="s">
        <v>729</v>
      </c>
      <c r="AE5" s="871" t="s">
        <v>735</v>
      </c>
      <c r="AF5" s="871" t="s">
        <v>736</v>
      </c>
    </row>
    <row r="6" spans="1:58" s="902" customFormat="1" ht="18">
      <c r="A6" s="902">
        <v>905128</v>
      </c>
      <c r="B6" s="903">
        <v>20.399999999999999</v>
      </c>
      <c r="C6" s="903">
        <v>4.37</v>
      </c>
      <c r="D6" s="904">
        <v>8.44</v>
      </c>
      <c r="E6" s="902">
        <v>0.218</v>
      </c>
      <c r="F6" s="905">
        <v>239.8</v>
      </c>
      <c r="H6" s="905">
        <v>334.65</v>
      </c>
      <c r="I6" s="905">
        <v>770</v>
      </c>
      <c r="J6" s="906">
        <v>0.19800000000000001</v>
      </c>
      <c r="K6" s="903">
        <v>12.24</v>
      </c>
      <c r="L6" s="902">
        <v>1905</v>
      </c>
      <c r="M6" s="902">
        <v>3.17</v>
      </c>
      <c r="N6" s="902">
        <v>0.75</v>
      </c>
      <c r="O6" s="902">
        <v>10.02</v>
      </c>
      <c r="P6" s="902">
        <v>3.17</v>
      </c>
      <c r="R6" s="904">
        <v>1.8516363200000001</v>
      </c>
      <c r="S6" s="903">
        <v>18.32</v>
      </c>
      <c r="Y6" s="903">
        <v>33.200000000000003</v>
      </c>
      <c r="AA6" s="904">
        <v>4.96</v>
      </c>
      <c r="AB6" s="904">
        <v>0.70799999999999996</v>
      </c>
      <c r="AC6" s="903">
        <v>8.1</v>
      </c>
      <c r="AD6" s="907">
        <v>560</v>
      </c>
      <c r="AE6" s="907">
        <v>300</v>
      </c>
      <c r="AF6" s="907">
        <v>140</v>
      </c>
      <c r="AG6" s="905">
        <f t="shared" ref="AG6" si="0">+K6*3.54*100/Y6</f>
        <v>130.51084337349397</v>
      </c>
    </row>
    <row r="9" spans="1:58" s="881" customFormat="1" ht="23.1" customHeight="1">
      <c r="A9" s="875" t="s">
        <v>217</v>
      </c>
      <c r="B9" s="876" t="s">
        <v>218</v>
      </c>
      <c r="C9" s="876" t="s">
        <v>0</v>
      </c>
      <c r="D9" s="876" t="s">
        <v>243</v>
      </c>
      <c r="E9" s="877" t="s">
        <v>219</v>
      </c>
      <c r="F9" s="876" t="s">
        <v>220</v>
      </c>
      <c r="G9" s="876" t="s">
        <v>221</v>
      </c>
      <c r="H9" s="876" t="s">
        <v>222</v>
      </c>
      <c r="I9" s="878" t="s">
        <v>223</v>
      </c>
      <c r="J9" s="879" t="s">
        <v>224</v>
      </c>
      <c r="K9" s="876" t="s">
        <v>225</v>
      </c>
      <c r="L9" s="879" t="s">
        <v>1</v>
      </c>
      <c r="M9" s="879" t="s">
        <v>226</v>
      </c>
      <c r="N9" s="876" t="s">
        <v>227</v>
      </c>
      <c r="O9" s="877" t="s">
        <v>228</v>
      </c>
      <c r="P9" s="876" t="s">
        <v>229</v>
      </c>
      <c r="Q9" s="876" t="s">
        <v>230</v>
      </c>
      <c r="R9" s="876" t="s">
        <v>231</v>
      </c>
      <c r="S9" s="877" t="s">
        <v>232</v>
      </c>
      <c r="T9" s="877" t="s">
        <v>233</v>
      </c>
      <c r="U9" s="880" t="s">
        <v>234</v>
      </c>
      <c r="V9" s="876" t="s">
        <v>235</v>
      </c>
      <c r="W9" s="876" t="s">
        <v>236</v>
      </c>
      <c r="X9" s="876" t="s">
        <v>237</v>
      </c>
      <c r="Y9" s="876" t="s">
        <v>238</v>
      </c>
      <c r="Z9" s="876" t="s">
        <v>239</v>
      </c>
      <c r="AA9" s="876" t="s">
        <v>240</v>
      </c>
      <c r="AB9" s="876" t="s">
        <v>241</v>
      </c>
      <c r="AC9" s="876" t="s">
        <v>277</v>
      </c>
      <c r="AD9" s="876" t="s">
        <v>530</v>
      </c>
    </row>
    <row r="10" spans="1:58" customFormat="1" ht="15.6">
      <c r="A10" s="897">
        <v>905128</v>
      </c>
      <c r="B10" t="s">
        <v>1198</v>
      </c>
      <c r="C10" t="s">
        <v>1199</v>
      </c>
      <c r="D10" t="s">
        <v>1200</v>
      </c>
      <c r="E10" s="99">
        <v>43783</v>
      </c>
      <c r="F10" s="100">
        <v>11</v>
      </c>
      <c r="G10" s="100">
        <v>2019</v>
      </c>
      <c r="H10" s="100">
        <v>1</v>
      </c>
      <c r="I10" s="100" t="s">
        <v>642</v>
      </c>
      <c r="J10" t="s">
        <v>641</v>
      </c>
      <c r="K10" t="s">
        <v>1203</v>
      </c>
      <c r="L10" t="s">
        <v>1201</v>
      </c>
      <c r="M10" t="s">
        <v>1202</v>
      </c>
      <c r="N10" t="s">
        <v>1189</v>
      </c>
      <c r="O10" s="101">
        <v>43781</v>
      </c>
      <c r="P10" t="s">
        <v>1190</v>
      </c>
      <c r="Q10" t="e">
        <f>VLOOKUP([10]!Tableau1[[#This Row],[Commercial]],[10]!Tableau2[#All],2,FALSE)</f>
        <v>#REF!</v>
      </c>
      <c r="R10" s="100"/>
      <c r="S10" s="99"/>
      <c r="T10" s="99">
        <v>43795.595092592594</v>
      </c>
      <c r="V10">
        <v>0</v>
      </c>
      <c r="W10">
        <v>50</v>
      </c>
      <c r="X10" t="s">
        <v>1204</v>
      </c>
      <c r="Y10" t="s">
        <v>1205</v>
      </c>
      <c r="AE10" t="s">
        <v>312</v>
      </c>
      <c r="AG10" t="s">
        <v>313</v>
      </c>
      <c r="AH10" t="s">
        <v>312</v>
      </c>
    </row>
  </sheetData>
  <conditionalFormatting sqref="AC2:AG2">
    <cfRule type="cellIs" dxfId="59" priority="735" operator="lessThan">
      <formula>0</formula>
    </cfRule>
  </conditionalFormatting>
  <conditionalFormatting sqref="A2">
    <cfRule type="duplicateValues" dxfId="58" priority="734" stopIfTrue="1"/>
  </conditionalFormatting>
  <conditionalFormatting sqref="A2">
    <cfRule type="duplicateValues" dxfId="57" priority="733" stopIfTrue="1"/>
  </conditionalFormatting>
  <conditionalFormatting sqref="AJ10">
    <cfRule type="cellIs" dxfId="56" priority="732" operator="equal">
      <formula>"non"</formula>
    </cfRule>
  </conditionalFormatting>
  <conditionalFormatting sqref="D6">
    <cfRule type="cellIs" dxfId="55" priority="3" operator="greaterThan">
      <formula>8.5</formula>
    </cfRule>
  </conditionalFormatting>
  <conditionalFormatting sqref="D6">
    <cfRule type="cellIs" dxfId="54" priority="2" operator="lessThan">
      <formula>7</formula>
    </cfRule>
  </conditionalFormatting>
  <conditionalFormatting sqref="AG6">
    <cfRule type="cellIs" dxfId="53" priority="1" operator="lessThan">
      <formula>85</formula>
    </cfRule>
  </conditionalFormatting>
  <conditionalFormatting sqref="A6">
    <cfRule type="duplicateValues" dxfId="52" priority="4"/>
  </conditionalFormatting>
  <conditionalFormatting sqref="A6">
    <cfRule type="duplicateValues" dxfId="51" priority="5"/>
  </conditionalFormatting>
  <conditionalFormatting sqref="A6">
    <cfRule type="duplicateValues" dxfId="50" priority="6"/>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0000000}">
          <x14:formula1>
            <xm:f>'C:\Users\rachakzouhair\Desktop\DATA LACQ\Gestion du LACQ\[BD1_LACQ2.xlsx]DATA'!#REF!</xm:f>
          </x14:formula1>
          <xm:sqref>AJ10 AE10 AG10:AH10</xm:sqref>
        </x14:dataValidation>
        <x14:dataValidation type="list" allowBlank="1" showInputMessage="1" showErrorMessage="1" xr:uid="{00000000-0002-0000-0A00-000001000000}">
          <x14:formula1>
            <xm:f>'C:\Users\rachakzouhair\Desktop\DATA LACQ\Gestion du LACQ\[BD1_LACQ2.xlsx]DATA'!#REF!</xm:f>
          </x14:formula1>
          <xm:sqref>P10</xm:sqref>
        </x14:dataValidation>
      </x14:dataValidation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9"/>
  <dimension ref="A1:Y33"/>
  <sheetViews>
    <sheetView workbookViewId="0">
      <selection activeCell="E24" sqref="E24"/>
    </sheetView>
  </sheetViews>
  <sheetFormatPr baseColWidth="10" defaultColWidth="10.8984375" defaultRowHeight="15.6"/>
  <cols>
    <col min="1" max="1" width="10.8984375" style="882"/>
    <col min="2" max="16384" width="10.8984375" style="883"/>
  </cols>
  <sheetData>
    <row r="1" spans="1:25">
      <c r="A1" s="882">
        <f>[8]Rapport!B17*10</f>
        <v>360</v>
      </c>
      <c r="B1" s="883" t="s">
        <v>692</v>
      </c>
      <c r="C1" s="883" t="e">
        <f>A1*100/A7</f>
        <v>#REF!</v>
      </c>
      <c r="E1" s="514">
        <v>1E-4</v>
      </c>
      <c r="F1" s="514">
        <v>100</v>
      </c>
      <c r="G1" s="514">
        <v>45</v>
      </c>
      <c r="H1" s="514">
        <v>0.01</v>
      </c>
      <c r="I1" s="514">
        <v>0.01</v>
      </c>
      <c r="J1" s="514">
        <v>60</v>
      </c>
      <c r="K1" s="514">
        <v>81</v>
      </c>
      <c r="L1" s="514">
        <v>0.01</v>
      </c>
      <c r="M1" s="514">
        <v>0.01</v>
      </c>
      <c r="N1" s="514">
        <v>92</v>
      </c>
      <c r="O1" s="514">
        <v>100</v>
      </c>
      <c r="P1" s="514">
        <v>75</v>
      </c>
      <c r="Q1" s="515">
        <v>45</v>
      </c>
      <c r="R1" s="515">
        <v>20</v>
      </c>
      <c r="S1" s="515">
        <v>25</v>
      </c>
      <c r="T1" s="515">
        <v>25</v>
      </c>
      <c r="U1" s="515">
        <v>45</v>
      </c>
      <c r="V1" s="515">
        <v>35</v>
      </c>
      <c r="W1" s="515">
        <v>25</v>
      </c>
      <c r="X1" s="515">
        <v>25</v>
      </c>
      <c r="Y1" s="515">
        <v>73</v>
      </c>
    </row>
    <row r="2" spans="1:25">
      <c r="A2" s="882">
        <f>'BD2'!AJ2</f>
        <v>300</v>
      </c>
      <c r="B2" s="883" t="s">
        <v>693</v>
      </c>
      <c r="C2" s="883" t="e">
        <f>(A2+A3)*100/A7</f>
        <v>#REF!</v>
      </c>
      <c r="E2" s="516">
        <v>100</v>
      </c>
      <c r="F2" s="516">
        <v>0.01</v>
      </c>
      <c r="G2" s="516">
        <v>55</v>
      </c>
      <c r="H2" s="516">
        <v>60</v>
      </c>
      <c r="I2" s="516">
        <v>46</v>
      </c>
      <c r="J2" s="516">
        <v>38</v>
      </c>
      <c r="K2" s="516">
        <v>19</v>
      </c>
      <c r="L2" s="516">
        <v>22</v>
      </c>
      <c r="M2" s="516">
        <v>12</v>
      </c>
      <c r="N2" s="516">
        <v>7</v>
      </c>
      <c r="O2" s="516">
        <v>0.01</v>
      </c>
      <c r="P2" s="516">
        <v>0.01</v>
      </c>
      <c r="Q2" s="517">
        <v>40</v>
      </c>
      <c r="R2" s="517">
        <v>43</v>
      </c>
      <c r="S2" s="517">
        <v>30</v>
      </c>
      <c r="T2" s="517">
        <v>0.01</v>
      </c>
      <c r="U2" s="517">
        <v>0.01</v>
      </c>
      <c r="V2" s="517">
        <v>20</v>
      </c>
      <c r="W2" s="517">
        <v>21</v>
      </c>
      <c r="X2" s="517">
        <v>30</v>
      </c>
      <c r="Y2" s="517">
        <v>27</v>
      </c>
    </row>
    <row r="3" spans="1:25">
      <c r="A3" s="882">
        <f>+'BD2'!AL2</f>
        <v>140</v>
      </c>
    </row>
    <row r="4" spans="1:25">
      <c r="A4" s="882" t="e">
        <f>[8]Rapport!B23*10</f>
        <v>#REF!</v>
      </c>
    </row>
    <row r="5" spans="1:25">
      <c r="A5" s="882" t="e">
        <f>[8]Rapport!B25*10</f>
        <v>#REF!</v>
      </c>
    </row>
    <row r="6" spans="1:25">
      <c r="A6" s="882">
        <f>+'BD2'!O2</f>
        <v>18.32</v>
      </c>
      <c r="B6" s="883">
        <f>A6*1.72</f>
        <v>31.510400000000001</v>
      </c>
      <c r="C6" s="518" t="s">
        <v>693</v>
      </c>
      <c r="D6" s="519">
        <f>+A2</f>
        <v>300</v>
      </c>
      <c r="E6" s="518"/>
      <c r="F6" s="518"/>
    </row>
    <row r="7" spans="1:25">
      <c r="A7" s="882" t="e">
        <f>SUM(A1:A5)</f>
        <v>#REF!</v>
      </c>
      <c r="C7" s="518" t="s">
        <v>694</v>
      </c>
      <c r="D7" s="519">
        <f>+'BD2'!AI2</f>
        <v>560</v>
      </c>
      <c r="E7" s="518"/>
      <c r="F7" s="518"/>
    </row>
    <row r="8" spans="1:25">
      <c r="C8" s="518"/>
      <c r="D8" s="518"/>
      <c r="E8" s="518"/>
      <c r="F8" s="518"/>
      <c r="I8" s="883">
        <f>IF(A1=0,"",(((1.5*A2+0.75*A3)/(A1+10*B6))-I9))</f>
        <v>0.46209555861022872</v>
      </c>
    </row>
    <row r="9" spans="1:25">
      <c r="C9" s="518">
        <v>1</v>
      </c>
      <c r="D9" s="518">
        <f xml:space="preserve"> -0.0324*D6 + 120</f>
        <v>110.28</v>
      </c>
      <c r="E9" s="518">
        <v>6</v>
      </c>
      <c r="F9" s="518">
        <f xml:space="preserve"> -0.0984*D7 + 450</f>
        <v>394.89600000000002</v>
      </c>
      <c r="I9" s="884">
        <f>IF([8]Rapport!B45&gt;7,(0.2*([8]Rapport!B45-7)),0)</f>
        <v>0.36000000000000015</v>
      </c>
    </row>
    <row r="10" spans="1:25">
      <c r="C10" s="518">
        <v>4</v>
      </c>
      <c r="D10" s="518">
        <f xml:space="preserve"> - 0.0361*D6 + 220</f>
        <v>209.17</v>
      </c>
      <c r="E10" s="518">
        <v>3</v>
      </c>
      <c r="F10" s="518">
        <f xml:space="preserve"> (1066.9-D7)/1.4038</f>
        <v>361.09132355036337</v>
      </c>
    </row>
    <row r="11" spans="1:25">
      <c r="C11" s="518">
        <v>2</v>
      </c>
      <c r="D11" s="518">
        <f xml:space="preserve"> -0.4545*D7 + 455</f>
        <v>200.48</v>
      </c>
      <c r="E11" s="518">
        <v>5</v>
      </c>
      <c r="F11" s="518">
        <f>-0.0411*D6 + 320</f>
        <v>307.67</v>
      </c>
    </row>
    <row r="12" spans="1:25">
      <c r="C12" s="518">
        <v>7</v>
      </c>
      <c r="D12" s="518">
        <f xml:space="preserve"> -0.2562*D7 + 317.41</f>
        <v>173.93800000000005</v>
      </c>
      <c r="E12" s="518"/>
      <c r="F12" s="518"/>
    </row>
    <row r="13" spans="1:25">
      <c r="C13" s="518" t="str">
        <f>IF(D6&lt;=D11,IF(D7&lt;=D9,"Texture grossière sableuse",IF(D7&lt;=D10,"Texture moyenne sableuse",$E$13)),IF(D6&lt;=F10,IF(D7&lt;D9,"Texture grossière de limon sableux",IF(D7&lt;D10,"Texture moyenne de limon sablo-argileux",IF(D7&lt;F11,"Texture fine limono-argilo-sableuse",IF(D7&lt;F9,"Texture fine d'argile limono-sableuse","Texture très fine argileuse")))), IF(D7&lt;D10,"Texture moyenne limoneuse",IF(D7&lt;F9,"Texture fine de limon argileux", "Texture très fine argileuse"))))</f>
        <v>Texture très fine argileuse</v>
      </c>
      <c r="D13" s="518"/>
      <c r="E13" s="526" t="str">
        <f>IF(D6&lt;=D12,IF(D7&lt;F9,"Texture fine argilo-sableuse","Texture très fine argileuse"),IF(D7&lt;F11,"Texture fine limono-argilo-sableuse",IF(D7&lt;F9,"Texture fine d'argile limono sableuse","Texture très fine argileuse")))</f>
        <v>Texture très fine argileuse</v>
      </c>
      <c r="F13" s="518"/>
    </row>
    <row r="14" spans="1:25">
      <c r="C14" s="883" t="str">
        <f>+IF(D7=0,"",textures)</f>
        <v>Texture très fine argileuse</v>
      </c>
    </row>
    <row r="16" spans="1:25">
      <c r="A16" s="885" t="s">
        <v>695</v>
      </c>
    </row>
    <row r="17" spans="1:14">
      <c r="A17" s="885">
        <f>IF(A1&lt;&gt;"", SQRT(A1+5*A6*1.72),"")</f>
        <v>22.749769229598794</v>
      </c>
      <c r="I17" s="522" t="b">
        <f>textures=J17</f>
        <v>0</v>
      </c>
      <c r="J17" s="522" t="s">
        <v>696</v>
      </c>
      <c r="K17" s="522"/>
      <c r="L17" s="522"/>
      <c r="M17" s="522" t="s">
        <v>697</v>
      </c>
      <c r="N17" s="522"/>
    </row>
    <row r="18" spans="1:14">
      <c r="I18" s="522" t="b">
        <f t="shared" ref="I18:I29" si="0">textures=J18</f>
        <v>0</v>
      </c>
      <c r="J18" s="522"/>
      <c r="K18" s="522"/>
      <c r="L18" s="522"/>
      <c r="M18" s="522"/>
      <c r="N18" s="522"/>
    </row>
    <row r="19" spans="1:14">
      <c r="I19" s="522" t="b">
        <f t="shared" si="0"/>
        <v>0</v>
      </c>
      <c r="J19" s="522" t="s">
        <v>698</v>
      </c>
      <c r="K19" s="522"/>
      <c r="L19" s="522"/>
      <c r="M19" s="522" t="s">
        <v>699</v>
      </c>
      <c r="N19" s="522"/>
    </row>
    <row r="20" spans="1:14">
      <c r="I20" s="522" t="b">
        <f t="shared" si="0"/>
        <v>0</v>
      </c>
      <c r="J20" s="522"/>
      <c r="K20" s="522"/>
      <c r="L20" s="522"/>
      <c r="M20" s="522"/>
      <c r="N20" s="522"/>
    </row>
    <row r="21" spans="1:14">
      <c r="I21" s="522" t="b">
        <f t="shared" si="0"/>
        <v>0</v>
      </c>
      <c r="J21" s="518" t="s">
        <v>700</v>
      </c>
      <c r="K21" s="518"/>
      <c r="L21" s="518"/>
      <c r="M21" s="518" t="s">
        <v>701</v>
      </c>
      <c r="N21" s="518"/>
    </row>
    <row r="22" spans="1:14">
      <c r="I22" s="522" t="b">
        <f t="shared" si="0"/>
        <v>0</v>
      </c>
      <c r="J22" s="522"/>
      <c r="K22" s="522"/>
      <c r="L22" s="522"/>
      <c r="M22" s="522"/>
      <c r="N22" s="522"/>
    </row>
    <row r="23" spans="1:14">
      <c r="I23" s="522" t="b">
        <f t="shared" si="0"/>
        <v>0</v>
      </c>
      <c r="J23" s="522" t="s">
        <v>702</v>
      </c>
      <c r="K23" s="522"/>
      <c r="L23" s="522"/>
      <c r="M23" s="522" t="s">
        <v>703</v>
      </c>
      <c r="N23" s="522"/>
    </row>
    <row r="24" spans="1:14">
      <c r="I24" s="522" t="b">
        <f t="shared" si="0"/>
        <v>0</v>
      </c>
      <c r="J24" s="522" t="s">
        <v>704</v>
      </c>
      <c r="K24" s="522"/>
      <c r="L24" s="522"/>
      <c r="M24" s="522" t="s">
        <v>705</v>
      </c>
      <c r="N24" s="522"/>
    </row>
    <row r="25" spans="1:14">
      <c r="I25" s="522" t="b">
        <f>textures=J25</f>
        <v>0</v>
      </c>
      <c r="J25" s="522" t="s">
        <v>706</v>
      </c>
      <c r="K25" s="522"/>
      <c r="L25" s="522"/>
      <c r="M25" s="522" t="s">
        <v>707</v>
      </c>
      <c r="N25" s="522"/>
    </row>
    <row r="26" spans="1:14">
      <c r="I26" s="522" t="b">
        <f t="shared" si="0"/>
        <v>0</v>
      </c>
      <c r="J26" s="524" t="s">
        <v>708</v>
      </c>
      <c r="K26" s="525"/>
      <c r="L26" s="525"/>
      <c r="M26" s="524" t="s">
        <v>709</v>
      </c>
      <c r="N26" s="525"/>
    </row>
    <row r="27" spans="1:14">
      <c r="I27" s="522" t="b">
        <f t="shared" si="0"/>
        <v>0</v>
      </c>
      <c r="J27" s="522" t="s">
        <v>710</v>
      </c>
      <c r="K27" s="522"/>
      <c r="L27" s="522"/>
      <c r="M27" s="522" t="s">
        <v>711</v>
      </c>
      <c r="N27" s="522"/>
    </row>
    <row r="28" spans="1:14">
      <c r="I28" s="522" t="b">
        <f t="shared" si="0"/>
        <v>1</v>
      </c>
      <c r="J28" s="522" t="s">
        <v>712</v>
      </c>
      <c r="K28" s="522"/>
      <c r="L28" s="522"/>
      <c r="M28" s="522" t="s">
        <v>713</v>
      </c>
      <c r="N28" s="522"/>
    </row>
    <row r="29" spans="1:14">
      <c r="I29" s="522" t="b">
        <f t="shared" si="0"/>
        <v>0</v>
      </c>
      <c r="J29" s="522" t="s">
        <v>714</v>
      </c>
      <c r="K29" s="522"/>
      <c r="L29" s="522"/>
      <c r="M29" s="522" t="s">
        <v>713</v>
      </c>
      <c r="N29" s="522"/>
    </row>
    <row r="30" spans="1:14">
      <c r="I30" s="522"/>
      <c r="J30" s="522"/>
      <c r="K30" s="522"/>
      <c r="L30" s="522"/>
      <c r="M30" s="522"/>
      <c r="N30" s="522"/>
    </row>
    <row r="31" spans="1:14">
      <c r="I31" s="522" t="b">
        <v>1</v>
      </c>
      <c r="J31" s="522"/>
      <c r="K31" s="522"/>
      <c r="L31" s="522"/>
      <c r="M31" s="522"/>
      <c r="N31" s="522"/>
    </row>
    <row r="32" spans="1:14">
      <c r="I32" s="522"/>
      <c r="J32" s="522"/>
      <c r="K32" s="522"/>
      <c r="L32" s="522"/>
      <c r="M32" s="522"/>
      <c r="N32" s="522"/>
    </row>
    <row r="33" spans="9:14">
      <c r="I33" s="522" t="str">
        <f>VLOOKUP(TRUE,I17:P31,1+4,0)</f>
        <v>1,7 mm d'eau /cm de sol</v>
      </c>
      <c r="J33" s="522"/>
      <c r="K33" s="522"/>
      <c r="L33" s="522"/>
      <c r="M33" s="522"/>
      <c r="N33" s="52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Y33"/>
  <sheetViews>
    <sheetView topLeftCell="A2" workbookViewId="0">
      <selection activeCell="J10" sqref="J10"/>
    </sheetView>
  </sheetViews>
  <sheetFormatPr baseColWidth="10" defaultColWidth="10.8984375" defaultRowHeight="15.6"/>
  <cols>
    <col min="1" max="1" width="10.8984375" style="513"/>
    <col min="4" max="4" width="8.09765625" bestFit="1" customWidth="1"/>
  </cols>
  <sheetData>
    <row r="1" spans="1:25">
      <c r="A1" s="513">
        <f>SOL!B18*10</f>
        <v>4120</v>
      </c>
      <c r="B1" t="s">
        <v>692</v>
      </c>
      <c r="C1">
        <f>A1*100/A7</f>
        <v>41.2</v>
      </c>
      <c r="E1" s="514">
        <v>1E-4</v>
      </c>
      <c r="F1" s="514">
        <v>100</v>
      </c>
      <c r="G1" s="514">
        <v>45</v>
      </c>
      <c r="H1" s="514">
        <v>0.01</v>
      </c>
      <c r="I1" s="514">
        <v>0.01</v>
      </c>
      <c r="J1" s="514">
        <v>60</v>
      </c>
      <c r="K1" s="514">
        <v>81</v>
      </c>
      <c r="L1" s="514">
        <v>0.01</v>
      </c>
      <c r="M1" s="514">
        <v>0.01</v>
      </c>
      <c r="N1" s="514">
        <v>92</v>
      </c>
      <c r="O1" s="514">
        <v>100</v>
      </c>
      <c r="P1" s="514">
        <v>75</v>
      </c>
      <c r="Q1" s="515">
        <v>45</v>
      </c>
      <c r="R1" s="515">
        <v>20</v>
      </c>
      <c r="S1" s="515">
        <v>25</v>
      </c>
      <c r="T1" s="515">
        <v>25</v>
      </c>
      <c r="U1" s="515">
        <v>45</v>
      </c>
      <c r="V1" s="515">
        <v>35</v>
      </c>
      <c r="W1" s="515">
        <v>25</v>
      </c>
      <c r="X1" s="515">
        <v>25</v>
      </c>
      <c r="Y1" s="515">
        <v>73</v>
      </c>
    </row>
    <row r="2" spans="1:25">
      <c r="A2" s="513">
        <f>SOL!B20*10</f>
        <v>2620</v>
      </c>
      <c r="B2" t="s">
        <v>693</v>
      </c>
      <c r="C2">
        <f>(A2+A3)*100/A7</f>
        <v>58.8</v>
      </c>
      <c r="E2" s="516">
        <v>100</v>
      </c>
      <c r="F2" s="516">
        <v>0.01</v>
      </c>
      <c r="G2" s="516">
        <v>55</v>
      </c>
      <c r="H2" s="516">
        <v>60</v>
      </c>
      <c r="I2" s="516">
        <v>46</v>
      </c>
      <c r="J2" s="516">
        <v>38</v>
      </c>
      <c r="K2" s="516">
        <v>19</v>
      </c>
      <c r="L2" s="516">
        <v>22</v>
      </c>
      <c r="M2" s="516">
        <v>12</v>
      </c>
      <c r="N2" s="516">
        <v>7</v>
      </c>
      <c r="O2" s="516">
        <v>0.01</v>
      </c>
      <c r="P2" s="516">
        <v>0.01</v>
      </c>
      <c r="Q2" s="517">
        <v>40</v>
      </c>
      <c r="R2" s="517">
        <v>43</v>
      </c>
      <c r="S2" s="517">
        <v>30</v>
      </c>
      <c r="T2" s="517">
        <v>0.01</v>
      </c>
      <c r="U2" s="517">
        <v>0.01</v>
      </c>
      <c r="V2" s="517">
        <v>20</v>
      </c>
      <c r="W2" s="517">
        <v>21</v>
      </c>
      <c r="X2" s="517">
        <v>30</v>
      </c>
      <c r="Y2" s="517">
        <v>27</v>
      </c>
    </row>
    <row r="3" spans="1:25">
      <c r="A3" s="513">
        <f>SOL!B22*10</f>
        <v>3260</v>
      </c>
    </row>
    <row r="4" spans="1:25">
      <c r="A4" s="513">
        <f>SOL!B24*10</f>
        <v>0</v>
      </c>
    </row>
    <row r="5" spans="1:25">
      <c r="A5" s="513">
        <f>SOL!B26*10</f>
        <v>0</v>
      </c>
    </row>
    <row r="6" spans="1:25">
      <c r="A6" s="513">
        <f>SOL!B33/1.72</f>
        <v>14.4</v>
      </c>
      <c r="B6">
        <f>A6*1.72</f>
        <v>24.768000000000001</v>
      </c>
      <c r="C6" s="518" t="s">
        <v>693</v>
      </c>
      <c r="D6" s="519">
        <f>VBA_SOL!AE7</f>
        <v>262</v>
      </c>
      <c r="E6" s="518"/>
      <c r="F6" s="518"/>
    </row>
    <row r="7" spans="1:25">
      <c r="A7" s="513">
        <f>SUM(A1:A5)</f>
        <v>10000</v>
      </c>
      <c r="C7" s="518" t="s">
        <v>694</v>
      </c>
      <c r="D7" s="519">
        <f>VBA_SOL!AD7</f>
        <v>412</v>
      </c>
      <c r="E7" s="518"/>
      <c r="F7" s="518"/>
    </row>
    <row r="8" spans="1:25">
      <c r="C8" s="518"/>
      <c r="D8" s="518"/>
      <c r="E8" s="518"/>
      <c r="F8" s="518"/>
      <c r="I8">
        <f>IF(A1=0,"",(((1.5*A2+0.75*A3)/(A1+10*B6))-I9))</f>
        <v>1.2995849512784816</v>
      </c>
    </row>
    <row r="9" spans="1:25">
      <c r="C9" s="518">
        <v>1</v>
      </c>
      <c r="D9" s="518">
        <f xml:space="preserve"> -0.0324*D6 + 120</f>
        <v>111.5112</v>
      </c>
      <c r="E9" s="518">
        <v>6</v>
      </c>
      <c r="F9" s="518">
        <f xml:space="preserve"> -0.0984*D7 + 450</f>
        <v>409.45920000000001</v>
      </c>
      <c r="I9" s="520">
        <f>IF(SOL!B46&gt;7,(0.2*(SOL!B46-7)),0)</f>
        <v>0.16000000000000014</v>
      </c>
    </row>
    <row r="10" spans="1:25">
      <c r="C10" s="518">
        <v>4</v>
      </c>
      <c r="D10" s="518">
        <f xml:space="preserve"> - 0.0361*D6 + 220</f>
        <v>210.54179999999999</v>
      </c>
      <c r="E10" s="518">
        <v>3</v>
      </c>
      <c r="F10" s="518">
        <f xml:space="preserve"> (1066.9-D7)/1.4038</f>
        <v>466.51944721470301</v>
      </c>
    </row>
    <row r="11" spans="1:25">
      <c r="C11" s="518">
        <v>2</v>
      </c>
      <c r="D11" s="518">
        <f xml:space="preserve"> -0.4545*D7 + 455</f>
        <v>267.74599999999998</v>
      </c>
      <c r="E11" s="518">
        <v>5</v>
      </c>
      <c r="F11" s="518">
        <f>-0.0411*D6 + 320</f>
        <v>309.23180000000002</v>
      </c>
    </row>
    <row r="12" spans="1:25">
      <c r="C12" s="518">
        <v>7</v>
      </c>
      <c r="D12" s="518">
        <f xml:space="preserve"> -0.2562*D7 + 317.41</f>
        <v>211.85560000000004</v>
      </c>
      <c r="E12" s="518"/>
      <c r="F12" s="518"/>
    </row>
    <row r="13" spans="1:25">
      <c r="C13" s="518" t="str">
        <f>IF(D6&lt;=D11,IF(D7&lt;=D9,"Texture grossière sableuse",IF(D7&lt;=D10,"Texture moyenne sableuse",$C$30)),IF(D6&lt;=F10,IF(D7&lt;D9,"Texture grossière de limon sableux",IF(D7&lt;D10,"Texture moyenne de limon sablo-argileux",IF(D7&lt;F11,"Texture fine limono-argilo-sableuse",IF(D7&lt;F9,"Texture fine d'argile limono-sableuse","Texture très fine argileuse")))), IF(D7&lt;D10,"Texture moyenne limoneuse",IF(D7&lt;F9,"Texture fine de limon argileux", "Texture très fine argileuse"))))</f>
        <v>Texture très fine argileuse</v>
      </c>
      <c r="D13" s="518"/>
      <c r="F13" s="518"/>
    </row>
    <row r="14" spans="1:25">
      <c r="C14" t="str">
        <f>+IF(D7=0,"",textures)</f>
        <v>Texture très fine argileuse</v>
      </c>
    </row>
    <row r="16" spans="1:25">
      <c r="A16" s="521" t="s">
        <v>695</v>
      </c>
    </row>
    <row r="17" spans="1:14">
      <c r="A17" s="521">
        <f>IF(A1&lt;&gt;"", SQRT(A1+5*A6*1.72),"")</f>
        <v>65.144761876915325</v>
      </c>
      <c r="I17" s="522" t="b">
        <f>$C$14=J17</f>
        <v>0</v>
      </c>
      <c r="J17" s="522" t="s">
        <v>696</v>
      </c>
      <c r="K17" s="522"/>
      <c r="L17" s="522"/>
      <c r="M17" s="522" t="s">
        <v>697</v>
      </c>
      <c r="N17" s="522"/>
    </row>
    <row r="18" spans="1:14">
      <c r="I18" s="522" t="b">
        <f>$C$14=J18</f>
        <v>0</v>
      </c>
      <c r="J18" s="522"/>
      <c r="K18" s="522"/>
      <c r="L18" s="522"/>
      <c r="M18" s="522"/>
      <c r="N18" s="522"/>
    </row>
    <row r="19" spans="1:14">
      <c r="I19" s="522" t="b">
        <f>$C$14=J19</f>
        <v>0</v>
      </c>
      <c r="J19" s="522" t="s">
        <v>698</v>
      </c>
      <c r="K19" s="522"/>
      <c r="L19" s="522"/>
      <c r="M19" s="522" t="s">
        <v>699</v>
      </c>
      <c r="N19" s="522"/>
    </row>
    <row r="20" spans="1:14">
      <c r="I20" s="522" t="b">
        <f t="shared" ref="I20:I29" si="0">$C$14=J20</f>
        <v>0</v>
      </c>
      <c r="J20" s="522"/>
      <c r="K20" s="522"/>
      <c r="L20" s="522"/>
      <c r="M20" s="522"/>
      <c r="N20" s="522"/>
    </row>
    <row r="21" spans="1:14">
      <c r="I21" s="522" t="b">
        <f t="shared" si="0"/>
        <v>0</v>
      </c>
      <c r="J21" s="518" t="s">
        <v>700</v>
      </c>
      <c r="K21" s="518"/>
      <c r="L21" s="518"/>
      <c r="M21" s="518" t="s">
        <v>701</v>
      </c>
      <c r="N21" s="518"/>
    </row>
    <row r="22" spans="1:14">
      <c r="I22" s="522" t="b">
        <f t="shared" si="0"/>
        <v>0</v>
      </c>
      <c r="J22" s="522"/>
      <c r="K22" s="522"/>
      <c r="L22" s="522"/>
      <c r="M22" s="522"/>
      <c r="N22" s="522"/>
    </row>
    <row r="23" spans="1:14">
      <c r="I23" s="522" t="b">
        <f t="shared" si="0"/>
        <v>0</v>
      </c>
      <c r="J23" s="522" t="s">
        <v>702</v>
      </c>
      <c r="K23" s="522"/>
      <c r="L23" s="522"/>
      <c r="M23" s="522" t="s">
        <v>703</v>
      </c>
      <c r="N23" s="522"/>
    </row>
    <row r="24" spans="1:14">
      <c r="I24" s="522" t="b">
        <f>$C$14=J24</f>
        <v>0</v>
      </c>
      <c r="J24" s="523" t="s">
        <v>704</v>
      </c>
      <c r="K24" s="522"/>
      <c r="L24" s="522"/>
      <c r="M24" s="522" t="s">
        <v>705</v>
      </c>
      <c r="N24" s="522"/>
    </row>
    <row r="25" spans="1:14">
      <c r="I25" s="522" t="b">
        <f t="shared" si="0"/>
        <v>0</v>
      </c>
      <c r="J25" s="522" t="s">
        <v>706</v>
      </c>
      <c r="K25" s="522"/>
      <c r="L25" s="522"/>
      <c r="M25" s="522" t="s">
        <v>707</v>
      </c>
      <c r="N25" s="522"/>
    </row>
    <row r="26" spans="1:14">
      <c r="I26" s="522" t="b">
        <f t="shared" si="0"/>
        <v>0</v>
      </c>
      <c r="J26" s="524" t="s">
        <v>708</v>
      </c>
      <c r="K26" s="525"/>
      <c r="L26" s="525"/>
      <c r="M26" s="524" t="s">
        <v>709</v>
      </c>
      <c r="N26" s="525"/>
    </row>
    <row r="27" spans="1:14">
      <c r="I27" s="522" t="b">
        <f t="shared" si="0"/>
        <v>0</v>
      </c>
      <c r="J27" s="522" t="s">
        <v>710</v>
      </c>
      <c r="K27" s="522"/>
      <c r="L27" s="522"/>
      <c r="M27" s="522" t="s">
        <v>711</v>
      </c>
      <c r="N27" s="522"/>
    </row>
    <row r="28" spans="1:14">
      <c r="I28" s="522" t="b">
        <f t="shared" si="0"/>
        <v>1</v>
      </c>
      <c r="J28" s="522" t="s">
        <v>712</v>
      </c>
      <c r="K28" s="522"/>
      <c r="L28" s="522"/>
      <c r="M28" s="522" t="s">
        <v>713</v>
      </c>
      <c r="N28" s="522"/>
    </row>
    <row r="29" spans="1:14">
      <c r="I29" s="522" t="b">
        <f t="shared" si="0"/>
        <v>0</v>
      </c>
      <c r="J29" s="522" t="s">
        <v>714</v>
      </c>
      <c r="K29" s="522"/>
      <c r="L29" s="522"/>
      <c r="M29" s="522" t="s">
        <v>713</v>
      </c>
      <c r="N29" s="522"/>
    </row>
    <row r="30" spans="1:14">
      <c r="C30" s="526" t="str">
        <f>IF(D6&lt;=D12,IF(D7&lt;F9,"Texture fine argilo-sableuse","Texture très fine argileuse"),IF(D7&lt;F11,"Texture fine limono-argilo-sableuse",IF(D7&lt;F9,"Texture fine d'argile limono-sableuse","Texture très fine argileuse")))</f>
        <v>Texture très fine argileuse</v>
      </c>
      <c r="I30" s="522"/>
      <c r="J30" s="522"/>
      <c r="K30" s="522"/>
      <c r="L30" s="522"/>
      <c r="M30" s="522"/>
      <c r="N30" s="522"/>
    </row>
    <row r="31" spans="1:14">
      <c r="I31" s="522" t="b">
        <v>1</v>
      </c>
      <c r="J31" s="522"/>
      <c r="K31" s="522"/>
      <c r="L31" s="522"/>
      <c r="M31" s="522"/>
      <c r="N31" s="522"/>
    </row>
    <row r="32" spans="1:14">
      <c r="I32" s="522"/>
      <c r="J32" s="522"/>
      <c r="K32" s="522"/>
      <c r="L32" s="522"/>
      <c r="M32" s="522"/>
      <c r="N32" s="522"/>
    </row>
    <row r="33" spans="9:14">
      <c r="I33" s="522" t="str">
        <f>VLOOKUP(TRUE,I17:P31,1+4,0)</f>
        <v>1,7 mm d'eau /cm de sol</v>
      </c>
      <c r="J33" s="522"/>
      <c r="K33" s="522"/>
      <c r="L33" s="522"/>
      <c r="M33" s="522"/>
      <c r="N33" s="52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J7"/>
  <sheetViews>
    <sheetView workbookViewId="0">
      <selection activeCell="A7" sqref="A7:XFD7"/>
    </sheetView>
  </sheetViews>
  <sheetFormatPr baseColWidth="10" defaultColWidth="10.8984375" defaultRowHeight="15.6"/>
  <cols>
    <col min="2" max="2" width="10.8984375" customWidth="1"/>
    <col min="24" max="24" width="12.09765625" bestFit="1" customWidth="1"/>
    <col min="25" max="25" width="11.09765625" bestFit="1" customWidth="1"/>
  </cols>
  <sheetData>
    <row r="1" spans="1:36" s="536" customFormat="1" ht="42.9" customHeight="1">
      <c r="A1" s="527" t="s">
        <v>715</v>
      </c>
      <c r="B1" s="528" t="s">
        <v>218</v>
      </c>
      <c r="C1" s="528" t="s">
        <v>0</v>
      </c>
      <c r="D1" s="528" t="s">
        <v>243</v>
      </c>
      <c r="E1" s="529" t="s">
        <v>716</v>
      </c>
      <c r="F1" s="528" t="s">
        <v>220</v>
      </c>
      <c r="G1" s="528" t="s">
        <v>221</v>
      </c>
      <c r="H1" s="528" t="s">
        <v>222</v>
      </c>
      <c r="I1" s="530" t="s">
        <v>223</v>
      </c>
      <c r="J1" s="531" t="s">
        <v>224</v>
      </c>
      <c r="K1" s="528" t="s">
        <v>457</v>
      </c>
      <c r="L1" s="531" t="s">
        <v>1</v>
      </c>
      <c r="M1" s="531" t="s">
        <v>226</v>
      </c>
      <c r="N1" s="528" t="s">
        <v>227</v>
      </c>
      <c r="O1" s="532" t="s">
        <v>453</v>
      </c>
      <c r="P1" s="528" t="s">
        <v>229</v>
      </c>
      <c r="Q1" s="528" t="s">
        <v>230</v>
      </c>
      <c r="R1" s="531" t="s">
        <v>717</v>
      </c>
      <c r="S1" s="532" t="s">
        <v>718</v>
      </c>
      <c r="T1" s="532" t="s">
        <v>719</v>
      </c>
      <c r="U1" s="533" t="s">
        <v>234</v>
      </c>
      <c r="V1" s="528" t="s">
        <v>235</v>
      </c>
      <c r="W1" s="528" t="s">
        <v>236</v>
      </c>
      <c r="X1" s="528" t="s">
        <v>237</v>
      </c>
      <c r="Y1" s="528" t="s">
        <v>238</v>
      </c>
      <c r="Z1" s="528" t="s">
        <v>239</v>
      </c>
      <c r="AA1" s="528" t="s">
        <v>240</v>
      </c>
      <c r="AB1" s="528" t="s">
        <v>241</v>
      </c>
      <c r="AC1" s="528" t="s">
        <v>277</v>
      </c>
      <c r="AD1" s="531" t="s">
        <v>720</v>
      </c>
      <c r="AE1" s="534" t="s">
        <v>721</v>
      </c>
      <c r="AF1" s="534" t="s">
        <v>722</v>
      </c>
      <c r="AG1" s="534" t="s">
        <v>723</v>
      </c>
      <c r="AH1" s="534" t="s">
        <v>724</v>
      </c>
      <c r="AI1" s="535" t="s">
        <v>725</v>
      </c>
      <c r="AJ1" s="536" t="s">
        <v>726</v>
      </c>
    </row>
    <row r="2" spans="1:36" s="917" customFormat="1" ht="126">
      <c r="A2" s="920">
        <v>103233</v>
      </c>
      <c r="B2" s="959" t="s">
        <v>1293</v>
      </c>
      <c r="C2" s="917" t="s">
        <v>1294</v>
      </c>
      <c r="D2" s="937" t="s">
        <v>1295</v>
      </c>
      <c r="E2" s="922">
        <v>44327</v>
      </c>
      <c r="F2" s="923">
        <f>MONTH([12]!Tableau1[[#This Row],[Date de réception ]])</f>
        <v>1</v>
      </c>
      <c r="G2" s="923">
        <f>YEAR([12]!Tableau1[[#This Row],[Date de réception ]])</f>
        <v>2021</v>
      </c>
      <c r="H2" s="923">
        <f>1</f>
        <v>1</v>
      </c>
      <c r="I2" s="960" t="s">
        <v>642</v>
      </c>
      <c r="J2" s="960" t="s">
        <v>641</v>
      </c>
      <c r="K2" s="953" t="s">
        <v>1296</v>
      </c>
      <c r="L2" s="960" t="s">
        <v>426</v>
      </c>
      <c r="M2" s="961" t="s">
        <v>1297</v>
      </c>
      <c r="N2" s="924" t="s">
        <v>1189</v>
      </c>
      <c r="O2" s="922">
        <v>44327</v>
      </c>
      <c r="P2" s="917" t="s">
        <v>1274</v>
      </c>
      <c r="Q2" s="962" t="str">
        <f>VLOOKUP([12]!Tableau1[[#This Row],[Commercial]],[12]DATA!B:C,2,FALSE)</f>
        <v>EV MAROC</v>
      </c>
      <c r="R2" s="926">
        <f>VLOOKUP([12]!Tableau1[[#This Row],[Menu]],[12]!Tableau3[#All],2,FALSE)</f>
        <v>418.33333333333337</v>
      </c>
      <c r="S2" s="927"/>
      <c r="T2" s="926" t="e">
        <f ca="1">IF([12]!Tableau1[[#This Row],[Date d''édition]]="","En cours ("&amp;NETWORKDAYS([12]!Tableau1[[#This Row],[Date de réception ]],TODAY())&amp;")",NETWORKDAYS([12]!Tableau1[[#This Row],[Date de réception ]],[12]!Tableau1[[#This Row],[Date d''édition]]-1))</f>
        <v>#REF!</v>
      </c>
      <c r="U2" s="928"/>
      <c r="V2" s="917">
        <v>0</v>
      </c>
      <c r="W2" s="917">
        <v>30</v>
      </c>
      <c r="X2" s="917" t="s">
        <v>1298</v>
      </c>
      <c r="Y2" s="917" t="s">
        <v>1299</v>
      </c>
      <c r="Z2" s="936"/>
      <c r="AC2" s="929" t="e">
        <f ca="1">IF([12]!Tableau1[[#This Row],[Matrice]]="Eau",RANDBETWEEN(40,70)/10,"")</f>
        <v>#REF!</v>
      </c>
      <c r="AD2" s="920">
        <f>VLOOKUP([12]!Tableau1[[#This Row],[Menu]],[12]!Tableau3[#All],3,FALSE)</f>
        <v>0</v>
      </c>
      <c r="AE2" s="938">
        <f>+[12]!Tableau1[[#This Row],[Subv]]+[12]!Tableau1[[#This Row],[CA (MAD HT)]]</f>
        <v>418.33333333333337</v>
      </c>
      <c r="AF2" s="920"/>
      <c r="AG2" s="920" t="s">
        <v>1300</v>
      </c>
    </row>
    <row r="3" spans="1:36">
      <c r="E3" s="99"/>
      <c r="F3" s="100"/>
      <c r="G3" s="100"/>
      <c r="H3" s="100"/>
      <c r="I3" s="100"/>
      <c r="O3" s="101"/>
      <c r="R3" s="100"/>
      <c r="S3" s="99"/>
      <c r="T3" s="99"/>
    </row>
    <row r="4" spans="1:36">
      <c r="A4" s="537"/>
      <c r="B4" s="537"/>
      <c r="C4" s="537"/>
      <c r="D4" s="537"/>
      <c r="E4" s="537"/>
      <c r="F4" s="537"/>
      <c r="G4" s="537"/>
      <c r="H4" s="537"/>
      <c r="I4" s="537"/>
      <c r="J4" s="537"/>
      <c r="K4" s="537"/>
      <c r="L4" s="537"/>
      <c r="M4" s="537"/>
      <c r="N4" s="537"/>
      <c r="O4" s="537"/>
      <c r="P4" s="537"/>
      <c r="Q4" s="537"/>
      <c r="R4" s="537"/>
      <c r="S4" s="537"/>
      <c r="T4" s="1485" t="s">
        <v>727</v>
      </c>
      <c r="U4" s="1485"/>
      <c r="V4" s="1485"/>
      <c r="W4" s="1485"/>
      <c r="X4" s="1485"/>
      <c r="Y4" s="537"/>
      <c r="Z4" s="537"/>
      <c r="AA4" s="538"/>
      <c r="AB4" s="538"/>
      <c r="AC4" s="537"/>
      <c r="AD4" s="1485" t="s">
        <v>728</v>
      </c>
      <c r="AE4" s="1485"/>
      <c r="AF4" s="1485"/>
    </row>
    <row r="5" spans="1:36" s="543" customFormat="1">
      <c r="A5" s="1486" t="s">
        <v>217</v>
      </c>
      <c r="B5" s="539" t="s">
        <v>604</v>
      </c>
      <c r="C5" s="539" t="s">
        <v>607</v>
      </c>
      <c r="D5" s="540" t="s">
        <v>252</v>
      </c>
      <c r="E5" s="540" t="s">
        <v>253</v>
      </c>
      <c r="F5" s="541" t="s">
        <v>9</v>
      </c>
      <c r="G5" s="540" t="s">
        <v>258</v>
      </c>
      <c r="H5" s="540" t="s">
        <v>334</v>
      </c>
      <c r="I5" s="540" t="s">
        <v>335</v>
      </c>
      <c r="J5" s="540" t="s">
        <v>336</v>
      </c>
      <c r="K5" s="540" t="s">
        <v>337</v>
      </c>
      <c r="L5" s="540" t="s">
        <v>338</v>
      </c>
      <c r="M5" s="540" t="s">
        <v>635</v>
      </c>
      <c r="N5" s="540" t="s">
        <v>636</v>
      </c>
      <c r="O5" s="540" t="s">
        <v>637</v>
      </c>
      <c r="P5" s="540" t="s">
        <v>638</v>
      </c>
      <c r="Q5" s="540" t="s">
        <v>20</v>
      </c>
      <c r="R5" s="540" t="s">
        <v>639</v>
      </c>
      <c r="S5" s="540" t="s">
        <v>610</v>
      </c>
      <c r="T5" s="540" t="s">
        <v>729</v>
      </c>
      <c r="U5" s="540" t="s">
        <v>730</v>
      </c>
      <c r="V5" s="540" t="s">
        <v>731</v>
      </c>
      <c r="W5" s="540" t="s">
        <v>732</v>
      </c>
      <c r="X5" s="540" t="s">
        <v>733</v>
      </c>
      <c r="Y5" s="540" t="s">
        <v>695</v>
      </c>
      <c r="Z5" s="540" t="s">
        <v>734</v>
      </c>
      <c r="AA5" s="542" t="s">
        <v>341</v>
      </c>
      <c r="AB5" s="542" t="s">
        <v>340</v>
      </c>
      <c r="AC5" s="540" t="s">
        <v>355</v>
      </c>
      <c r="AD5" s="540" t="s">
        <v>729</v>
      </c>
      <c r="AE5" s="540" t="s">
        <v>735</v>
      </c>
      <c r="AF5" s="540" t="s">
        <v>736</v>
      </c>
      <c r="AI5" s="544"/>
    </row>
    <row r="6" spans="1:36" s="543" customFormat="1">
      <c r="A6" s="1486"/>
      <c r="B6" s="540" t="s">
        <v>351</v>
      </c>
      <c r="C6" s="540" t="s">
        <v>351</v>
      </c>
      <c r="D6" s="540" t="s">
        <v>261</v>
      </c>
      <c r="E6" s="540" t="s">
        <v>262</v>
      </c>
      <c r="F6" s="541" t="s">
        <v>353</v>
      </c>
      <c r="G6" s="540" t="s">
        <v>353</v>
      </c>
      <c r="H6" s="540" t="s">
        <v>353</v>
      </c>
      <c r="I6" s="540" t="s">
        <v>353</v>
      </c>
      <c r="J6" s="540" t="s">
        <v>354</v>
      </c>
      <c r="K6" s="540" t="s">
        <v>354</v>
      </c>
      <c r="L6" s="540" t="s">
        <v>353</v>
      </c>
      <c r="M6" s="540" t="s">
        <v>353</v>
      </c>
      <c r="N6" s="540" t="s">
        <v>353</v>
      </c>
      <c r="O6" s="540" t="s">
        <v>353</v>
      </c>
      <c r="P6" s="540" t="s">
        <v>353</v>
      </c>
      <c r="Q6" s="540" t="s">
        <v>353</v>
      </c>
      <c r="R6" s="540" t="s">
        <v>640</v>
      </c>
      <c r="S6" s="540" t="s">
        <v>354</v>
      </c>
      <c r="T6" s="540" t="s">
        <v>640</v>
      </c>
      <c r="U6" s="540" t="s">
        <v>640</v>
      </c>
      <c r="V6" s="540" t="s">
        <v>640</v>
      </c>
      <c r="W6" s="540" t="s">
        <v>640</v>
      </c>
      <c r="X6" s="540" t="s">
        <v>640</v>
      </c>
      <c r="Y6" s="540" t="s">
        <v>737</v>
      </c>
      <c r="Z6" s="540" t="s">
        <v>261</v>
      </c>
      <c r="AA6" s="542" t="s">
        <v>353</v>
      </c>
      <c r="AB6" s="542" t="s">
        <v>353</v>
      </c>
      <c r="AC6" s="540" t="s">
        <v>351</v>
      </c>
      <c r="AD6" s="540" t="s">
        <v>640</v>
      </c>
      <c r="AE6" s="540" t="s">
        <v>640</v>
      </c>
      <c r="AF6" s="540" t="s">
        <v>640</v>
      </c>
      <c r="AI6" s="544"/>
    </row>
    <row r="7" spans="1:36" s="973" customFormat="1" ht="18">
      <c r="A7" s="970">
        <v>103233</v>
      </c>
      <c r="B7" s="971">
        <v>0.5</v>
      </c>
      <c r="C7" s="971"/>
      <c r="D7" s="972">
        <v>7.77</v>
      </c>
      <c r="E7" s="973">
        <v>0.2</v>
      </c>
      <c r="F7" s="974">
        <v>191</v>
      </c>
      <c r="H7" s="975">
        <v>560</v>
      </c>
      <c r="I7" s="975">
        <v>520</v>
      </c>
      <c r="J7" s="976">
        <v>7.0000000000000007E-2</v>
      </c>
      <c r="K7" s="971">
        <v>3.03</v>
      </c>
      <c r="L7" s="973">
        <v>660</v>
      </c>
      <c r="M7" s="973">
        <v>6.63</v>
      </c>
      <c r="N7" s="973">
        <v>1.31</v>
      </c>
      <c r="O7" s="973">
        <v>4.8499999999999996</v>
      </c>
      <c r="P7" s="973">
        <v>31.29</v>
      </c>
      <c r="R7" s="972">
        <v>1.73</v>
      </c>
      <c r="S7" s="971">
        <v>14.4</v>
      </c>
      <c r="Y7" s="977">
        <v>22.4</v>
      </c>
      <c r="AA7" s="972">
        <v>4.74</v>
      </c>
      <c r="AB7" s="972">
        <v>0.65900000000000003</v>
      </c>
      <c r="AC7" s="973">
        <v>11.4</v>
      </c>
      <c r="AD7" s="970">
        <v>412</v>
      </c>
      <c r="AE7" s="970">
        <v>262</v>
      </c>
      <c r="AF7" s="970">
        <v>326</v>
      </c>
      <c r="AG7" s="978">
        <f>+K7*3.54*100/Y7</f>
        <v>47.884821428571428</v>
      </c>
      <c r="AI7" s="973">
        <f t="shared" ref="AI7" si="0">1000-AD7-AF7</f>
        <v>262</v>
      </c>
    </row>
  </sheetData>
  <mergeCells count="3">
    <mergeCell ref="T4:X4"/>
    <mergeCell ref="AD4:AF4"/>
    <mergeCell ref="A5:A6"/>
  </mergeCells>
  <conditionalFormatting sqref="AE3">
    <cfRule type="cellIs" dxfId="49" priority="4611" operator="lessThan">
      <formula>85</formula>
    </cfRule>
  </conditionalFormatting>
  <conditionalFormatting sqref="A2">
    <cfRule type="expression" dxfId="48" priority="16">
      <formula>$S2&gt;0</formula>
    </cfRule>
    <cfRule type="duplicateValues" dxfId="47" priority="17"/>
  </conditionalFormatting>
  <conditionalFormatting sqref="D7">
    <cfRule type="cellIs" dxfId="46" priority="4" operator="greaterThan">
      <formula>8.5</formula>
    </cfRule>
  </conditionalFormatting>
  <conditionalFormatting sqref="D7">
    <cfRule type="cellIs" dxfId="45" priority="3" operator="lessThan">
      <formula>7</formula>
    </cfRule>
  </conditionalFormatting>
  <conditionalFormatting sqref="AG7">
    <cfRule type="cellIs" dxfId="44" priority="2" operator="lessThan">
      <formula>85</formula>
    </cfRule>
  </conditionalFormatting>
  <conditionalFormatting sqref="F7">
    <cfRule type="cellIs" dxfId="43" priority="1" operator="greaterThan">
      <formula>4000</formula>
    </cfRule>
  </conditionalFormatting>
  <conditionalFormatting sqref="A7">
    <cfRule type="duplicateValues" dxfId="42" priority="5"/>
  </conditionalFormatting>
  <conditionalFormatting sqref="A7">
    <cfRule type="duplicateValues" dxfId="41" priority="6"/>
  </conditionalFormatting>
  <conditionalFormatting sqref="A7">
    <cfRule type="duplicateValues" dxfId="40" priority="7"/>
  </conditionalFormatting>
  <pageMargins left="0.75" right="0.75" top="1" bottom="1" header="0.5" footer="0.5"/>
  <pageSetup paperSize="9" orientation="portrait" horizontalDpi="4294967292" verticalDpi="4294967292"/>
  <extLst>
    <ext xmlns:x14="http://schemas.microsoft.com/office/spreadsheetml/2009/9/main" uri="{78C0D931-6437-407d-A8EE-F0AAD7539E65}">
      <x14:conditionalFormattings>
        <x14:conditionalFormatting xmlns:xm="http://schemas.microsoft.com/office/excel/2006/main">
          <x14:cfRule type="expression" priority="15" id="{F5F2325A-2F95-4E08-B59F-A883D7492588}">
            <xm:f>AND($U2&lt;'\Users\Amine Bouslamti\Documents\mes docs\GESTION LAB\[BD1.xlsx]DATA'!#REF!,$U2&lt;&gt;"")</xm:f>
            <x14:dxf>
              <font>
                <b/>
                <i val="0"/>
                <color theme="1"/>
              </font>
              <fill>
                <patternFill>
                  <bgColor theme="7"/>
                </patternFill>
              </fill>
            </x14:dxf>
          </x14:cfRule>
          <xm:sqref>AA2:AE2 A2:B2 E2:Y2</xm:sqref>
        </x14:conditionalFormatting>
        <x14:conditionalFormatting xmlns:xm="http://schemas.microsoft.com/office/excel/2006/main">
          <x14:cfRule type="expression" priority="14" id="{77D8A114-1434-4635-9754-C7BABBA5576C}">
            <xm:f>AND($U2&lt;'Macintosh HD:/Users/mac/Library/Containers/com.microsoft.Excel/Data/Documents/Macintosh HD:Users:fzarrouk:Desktop:FATIMAZ:[BD1_LACQ2020xlsx.xlsx]DATA'!#REF!,$U2&lt;&gt;"")</xm:f>
            <x14:dxf>
              <font>
                <b/>
                <i val="0"/>
                <color theme="1"/>
              </font>
              <fill>
                <patternFill>
                  <bgColor theme="7"/>
                </patternFill>
              </fill>
            </x14:dxf>
          </x14:cfRule>
          <xm:sqref>C2</xm:sqref>
        </x14:conditionalFormatting>
        <x14:conditionalFormatting xmlns:xm="http://schemas.microsoft.com/office/excel/2006/main">
          <x14:cfRule type="expression" priority="13" id="{69494C57-244B-4E4A-9172-A9E30F4ACE13}">
            <xm:f>AND($U2&lt;'Macintosh HD:/Users/mac/Library/Containers/com.microsoft.Excel/Data/Documents/Macintosh HD:Users:rachakzouhair:Library:Containers:com.microsoft.Excel:Data:Documents:Macintosh HD:Users:asmaabenhida:Downloads:[BD1_LACQ2 (11).xlsx]DATA'!#REF!,$U2&lt;&gt;"")</xm:f>
            <x14:dxf>
              <font>
                <b/>
                <i val="0"/>
                <color theme="1"/>
              </font>
              <fill>
                <patternFill>
                  <bgColor theme="7"/>
                </patternFill>
              </fill>
            </x14:dxf>
          </x14:cfRule>
          <xm:sqref>C2</xm:sqref>
        </x14:conditionalFormatting>
        <x14:conditionalFormatting xmlns:xm="http://schemas.microsoft.com/office/excel/2006/main">
          <x14:cfRule type="expression" priority="12" id="{6A287FAB-C0E7-4BD7-AD4A-B8B2E164F4C9}">
            <xm:f>AND($U2&lt;'Macintosh HD:/Users/mac/Library/Containers/com.microsoft.Excel/Data/Documents/Macintosh HD:Users:rachakzouhair:Library:Containers:com.microsoft.Excel:Data:Documents:Macintosh HD:Users:fzarrouk:Desktop:[BD1_LACQ2 .xlsx]DATA'!#REF!,$U2&lt;&gt;"")</xm:f>
            <x14:dxf>
              <font>
                <b/>
                <i val="0"/>
                <color theme="1"/>
              </font>
              <fill>
                <patternFill>
                  <bgColor theme="7"/>
                </patternFill>
              </fill>
            </x14:dxf>
          </x14:cfRule>
          <xm:sqref>C2</xm:sqref>
        </x14:conditionalFormatting>
        <x14:conditionalFormatting xmlns:xm="http://schemas.microsoft.com/office/excel/2006/main">
          <x14:cfRule type="expression" priority="11" id="{3C7E5992-359F-437C-B737-99274093314C}">
            <xm:f>AND($U2&lt;'Macintosh HD:Users:fzarrouk:Library:Application Support:Microsoft:Office:Office 2011 AutoRecovery:[BD1_2020.xlsx]DATA'!#REF!,$U2&lt;&gt;"")</xm:f>
            <x14:dxf>
              <font>
                <b/>
                <i val="0"/>
                <color theme="1"/>
              </font>
              <fill>
                <patternFill>
                  <bgColor theme="7"/>
                </patternFill>
              </fill>
            </x14:dxf>
          </x14:cfRule>
          <xm:sqref>L2</xm:sqref>
        </x14:conditionalFormatting>
        <x14:conditionalFormatting xmlns:xm="http://schemas.microsoft.com/office/excel/2006/main">
          <x14:cfRule type="expression" priority="10" id="{9127A229-D28F-451F-A221-BF8004E7C130}">
            <xm:f>AND($U2&lt;'Macintosh HD:Users:rachakzouhair:Library:Containers:com.microsoft.Excel:Data:Documents:Macintosh HD:Users:asmaabenhida:Downloads:[BD1_LACQ2 (11).xlsx]DATA'!#REF!,$U2&lt;&gt;"")</xm:f>
            <x14:dxf>
              <font>
                <b/>
                <i val="0"/>
                <color theme="1"/>
              </font>
              <fill>
                <patternFill>
                  <bgColor theme="7"/>
                </patternFill>
              </fill>
            </x14:dxf>
          </x14:cfRule>
          <xm:sqref>L2</xm:sqref>
        </x14:conditionalFormatting>
        <x14:conditionalFormatting xmlns:xm="http://schemas.microsoft.com/office/excel/2006/main">
          <x14:cfRule type="expression" priority="9" id="{30D6F343-139E-46BB-99D8-0FDDE49F724D}">
            <xm:f>AND($U2&lt;'Macintosh HD:Users:fzarrouk:Library:Application Support:Microsoft:Office:Office 2011 AutoRecovery:[BD1_2020.xlsx]DATA'!#REF!,$U2&lt;&gt;"")</xm:f>
            <x14:dxf>
              <font>
                <b/>
                <i val="0"/>
                <color theme="1"/>
              </font>
              <fill>
                <patternFill>
                  <bgColor theme="7"/>
                </patternFill>
              </fill>
            </x14:dxf>
          </x14:cfRule>
          <xm:sqref>M2</xm:sqref>
        </x14:conditionalFormatting>
        <x14:conditionalFormatting xmlns:xm="http://schemas.microsoft.com/office/excel/2006/main">
          <x14:cfRule type="expression" priority="8" id="{7648447E-DCFF-40A5-AA87-22CA1C3D7088}">
            <xm:f>AND($U2&lt;'Macintosh HD:Users:rachakzouhair:Library:Containers:com.microsoft.Excel:Data:Documents:Macintosh HD:Users:asmaabenhida:Downloads:[BD1_LACQ2 (11).xlsx]DATA'!#REF!,$U2&lt;&gt;"")</xm:f>
            <x14:dxf>
              <font>
                <b/>
                <i val="0"/>
                <color theme="1"/>
              </font>
              <fill>
                <patternFill>
                  <bgColor theme="7"/>
                </patternFill>
              </fill>
            </x14:dxf>
          </x14:cfRule>
          <xm:sqref>M2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0000000}">
          <x14:formula1>
            <xm:f>'C:\Users\rachakzouhair\Desktop\DATA LACQ\Gestion du LACQ\[BD1_LACQ.xlsx]DATA'!#REF!</xm:f>
          </x14:formula1>
          <xm:sqref>AE5:AE6 AG6:AH6 AG5</xm:sqref>
        </x14:dataValidation>
        <x14:dataValidation type="list" allowBlank="1" showInputMessage="1" showErrorMessage="1" xr:uid="{00000000-0002-0000-0D00-000001000000}">
          <x14:formula1>
            <xm:f>'C:\Users\rachakzouhair\Desktop\DATA LACQ\Gestion du LACQ\[BD1_LACQ.xlsx]DATA'!#REF!</xm:f>
          </x14:formula1>
          <xm:sqref>AH5</xm:sqref>
        </x14:dataValidation>
        <x14:dataValidation type="list" allowBlank="1" showInputMessage="1" showErrorMessage="1" xr:uid="{50D4C10B-7AD3-4966-9473-4125802F09DF}">
          <x14:formula1>
            <xm:f>'C:\Users\Amine Bouslamti\Documents\mes docs\GESTION LAB\[BD1.xlsx]DATA'!#REF!</xm:f>
          </x14:formula1>
          <xm:sqref>I2 AF2 R2 N2</xm:sqref>
        </x14:dataValidation>
      </x14:dataValidation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2"/>
  <dimension ref="A1:AG10"/>
  <sheetViews>
    <sheetView workbookViewId="0">
      <selection activeCell="A3" sqref="A3:XFD3"/>
    </sheetView>
  </sheetViews>
  <sheetFormatPr baseColWidth="10" defaultRowHeight="15.6"/>
  <sheetData>
    <row r="1" spans="1:33" s="364" customFormat="1">
      <c r="A1" s="1487" t="s">
        <v>217</v>
      </c>
      <c r="B1" s="363" t="s">
        <v>252</v>
      </c>
      <c r="C1" s="363" t="s">
        <v>634</v>
      </c>
      <c r="D1" s="363" t="s">
        <v>253</v>
      </c>
      <c r="E1" s="363" t="s">
        <v>255</v>
      </c>
      <c r="F1" s="363" t="s">
        <v>256</v>
      </c>
      <c r="G1" s="363" t="s">
        <v>257</v>
      </c>
      <c r="H1" s="363" t="s">
        <v>9</v>
      </c>
      <c r="I1" s="363" t="s">
        <v>258</v>
      </c>
      <c r="J1" s="363" t="s">
        <v>504</v>
      </c>
      <c r="K1" s="363" t="s">
        <v>335</v>
      </c>
      <c r="L1" s="363" t="s">
        <v>336</v>
      </c>
      <c r="M1" s="363" t="s">
        <v>337</v>
      </c>
      <c r="N1" s="363" t="s">
        <v>338</v>
      </c>
      <c r="O1" s="363" t="s">
        <v>635</v>
      </c>
      <c r="P1" s="363" t="s">
        <v>636</v>
      </c>
      <c r="Q1" s="363" t="s">
        <v>637</v>
      </c>
      <c r="R1" s="363" t="s">
        <v>638</v>
      </c>
      <c r="S1" s="363" t="s">
        <v>639</v>
      </c>
      <c r="T1" s="363" t="s">
        <v>610</v>
      </c>
      <c r="U1" s="363" t="s">
        <v>259</v>
      </c>
    </row>
    <row r="2" spans="1:33" s="364" customFormat="1">
      <c r="A2" s="1487"/>
      <c r="B2" s="363" t="s">
        <v>261</v>
      </c>
      <c r="C2" s="363" t="s">
        <v>261</v>
      </c>
      <c r="D2" s="363" t="s">
        <v>262</v>
      </c>
      <c r="E2" s="363" t="s">
        <v>395</v>
      </c>
      <c r="F2" s="363" t="s">
        <v>395</v>
      </c>
      <c r="G2" s="363" t="s">
        <v>395</v>
      </c>
      <c r="H2" s="363" t="s">
        <v>395</v>
      </c>
      <c r="I2" s="363" t="s">
        <v>395</v>
      </c>
      <c r="J2" s="363" t="s">
        <v>570</v>
      </c>
      <c r="K2" s="363" t="s">
        <v>570</v>
      </c>
      <c r="L2" s="363" t="s">
        <v>570</v>
      </c>
      <c r="M2" s="363" t="s">
        <v>570</v>
      </c>
      <c r="N2" s="363" t="s">
        <v>570</v>
      </c>
      <c r="O2" s="363" t="s">
        <v>570</v>
      </c>
      <c r="P2" s="363" t="s">
        <v>570</v>
      </c>
      <c r="Q2" s="363" t="s">
        <v>570</v>
      </c>
      <c r="R2" s="363" t="s">
        <v>570</v>
      </c>
      <c r="S2" s="363" t="s">
        <v>640</v>
      </c>
      <c r="T2" s="363" t="s">
        <v>354</v>
      </c>
      <c r="U2" s="363" t="s">
        <v>570</v>
      </c>
    </row>
    <row r="3" spans="1:33" s="967" customFormat="1">
      <c r="A3" s="968">
        <v>113032</v>
      </c>
      <c r="B3" s="934">
        <v>8.35</v>
      </c>
      <c r="D3" s="934">
        <v>0.111</v>
      </c>
      <c r="E3" s="969">
        <v>0.3</v>
      </c>
      <c r="F3" s="934">
        <v>0</v>
      </c>
      <c r="G3" s="934">
        <v>0.1</v>
      </c>
      <c r="H3" s="934">
        <v>23.45</v>
      </c>
      <c r="I3" s="934">
        <v>9.1199999999999992</v>
      </c>
      <c r="J3" s="934">
        <v>1.39</v>
      </c>
      <c r="K3" s="934">
        <v>3.78</v>
      </c>
      <c r="L3" s="934">
        <v>6.36</v>
      </c>
      <c r="M3" s="934">
        <v>6.64</v>
      </c>
      <c r="N3" s="934">
        <v>2.21</v>
      </c>
      <c r="O3" s="934">
        <v>0.23</v>
      </c>
      <c r="P3" s="934">
        <v>0.85</v>
      </c>
      <c r="Q3" s="934">
        <v>1.87</v>
      </c>
      <c r="R3" s="934">
        <v>1.85</v>
      </c>
      <c r="S3" s="969">
        <v>0.42866783201164982</v>
      </c>
      <c r="T3" s="934">
        <v>3.1</v>
      </c>
      <c r="U3" s="934">
        <v>24</v>
      </c>
      <c r="X3" s="952" t="str">
        <f t="shared" ref="X3" si="0">"-"&amp;TEXT((E3/62+F3/46+H3/35.5+I3/48+J3/97+U3/61),"0,00")&amp;"/+"&amp;TEXT((K3/39+L3/23+M3/20+N3/12+G3/14),"0,00")&amp;"  (EC  "&amp;D3*10&amp;")"</f>
        <v>-1,26/+0,90  (EC  1,11)</v>
      </c>
    </row>
    <row r="5" spans="1:33" s="5" customFormat="1" ht="23.1" customHeight="1">
      <c r="A5" s="6" t="s">
        <v>217</v>
      </c>
      <c r="B5" s="1" t="s">
        <v>218</v>
      </c>
      <c r="C5" s="1" t="s">
        <v>0</v>
      </c>
      <c r="D5" s="1" t="s">
        <v>243</v>
      </c>
      <c r="E5" s="2" t="s">
        <v>219</v>
      </c>
      <c r="F5" s="1" t="s">
        <v>220</v>
      </c>
      <c r="G5" s="1" t="s">
        <v>221</v>
      </c>
      <c r="H5" s="1" t="s">
        <v>222</v>
      </c>
      <c r="I5" s="1" t="s">
        <v>223</v>
      </c>
      <c r="J5" s="1" t="s">
        <v>224</v>
      </c>
      <c r="K5" s="1" t="s">
        <v>225</v>
      </c>
      <c r="L5" s="1" t="s">
        <v>1</v>
      </c>
      <c r="M5" s="1" t="s">
        <v>226</v>
      </c>
      <c r="N5" s="3" t="s">
        <v>227</v>
      </c>
      <c r="O5" s="2" t="s">
        <v>228</v>
      </c>
      <c r="P5" s="1" t="s">
        <v>229</v>
      </c>
      <c r="Q5" s="1" t="s">
        <v>230</v>
      </c>
      <c r="R5" s="1" t="s">
        <v>231</v>
      </c>
      <c r="S5" s="4" t="s">
        <v>232</v>
      </c>
      <c r="T5" s="2" t="s">
        <v>233</v>
      </c>
      <c r="U5" s="3" t="s">
        <v>234</v>
      </c>
      <c r="V5" s="1" t="s">
        <v>235</v>
      </c>
      <c r="W5" s="1" t="s">
        <v>236</v>
      </c>
      <c r="X5" s="1" t="s">
        <v>237</v>
      </c>
      <c r="Y5" s="1" t="s">
        <v>238</v>
      </c>
      <c r="Z5" s="1" t="s">
        <v>239</v>
      </c>
      <c r="AA5" s="1" t="s">
        <v>240</v>
      </c>
      <c r="AB5" s="1" t="s">
        <v>241</v>
      </c>
    </row>
    <row r="6" spans="1:33" s="917" customFormat="1" ht="36">
      <c r="A6" s="920">
        <v>113032</v>
      </c>
      <c r="B6" s="959" t="s">
        <v>1288</v>
      </c>
      <c r="C6" s="917" t="s">
        <v>1282</v>
      </c>
      <c r="D6" s="937" t="s">
        <v>1289</v>
      </c>
      <c r="E6" s="922">
        <v>44326</v>
      </c>
      <c r="F6" s="923">
        <f>MONTH([12]!Tableau1[[#This Row],[Date de réception ]])</f>
        <v>1</v>
      </c>
      <c r="G6" s="923">
        <f>YEAR([12]!Tableau1[[#This Row],[Date de réception ]])</f>
        <v>2021</v>
      </c>
      <c r="H6" s="923">
        <f>1</f>
        <v>1</v>
      </c>
      <c r="I6" s="960" t="s">
        <v>1271</v>
      </c>
      <c r="J6" s="960" t="s">
        <v>641</v>
      </c>
      <c r="K6" s="953" t="s">
        <v>1290</v>
      </c>
      <c r="L6" s="960" t="s">
        <v>1287</v>
      </c>
      <c r="M6" s="961" t="s">
        <v>314</v>
      </c>
      <c r="N6" s="924" t="s">
        <v>1226</v>
      </c>
      <c r="O6" s="922">
        <v>44321</v>
      </c>
      <c r="P6" s="917" t="s">
        <v>1283</v>
      </c>
      <c r="Q6" s="962" t="str">
        <f>VLOOKUP([12]!Tableau1[[#This Row],[Commercial]],[12]DATA!B:C,2,FALSE)</f>
        <v>EV MAROC</v>
      </c>
      <c r="R6" s="926">
        <f>VLOOKUP([12]!Tableau1[[#This Row],[Menu]],[12]!Tableau3[#All],2,FALSE)</f>
        <v>200</v>
      </c>
      <c r="S6" s="927"/>
      <c r="T6" s="926" t="e">
        <f ca="1">IF([12]!Tableau1[[#This Row],[Date d''édition]]="","En cours ("&amp;NETWORKDAYS([12]!Tableau1[[#This Row],[Date de réception ]],TODAY())&amp;")",NETWORKDAYS([12]!Tableau1[[#This Row],[Date de réception ]],[12]!Tableau1[[#This Row],[Date d''édition]]-1))</f>
        <v>#REF!</v>
      </c>
      <c r="U6" s="928"/>
      <c r="X6" s="917" t="s">
        <v>1291</v>
      </c>
      <c r="Y6" s="917" t="s">
        <v>1292</v>
      </c>
      <c r="Z6" s="936"/>
      <c r="AC6" s="929" t="e">
        <f ca="1">IF([12]!Tableau1[[#This Row],[Matrice]]="Eau",RANDBETWEEN(40,70)/10,"")</f>
        <v>#REF!</v>
      </c>
      <c r="AD6" s="920">
        <f>VLOOKUP([12]!Tableau1[[#This Row],[Menu]],[12]!Tableau3[#All],3,FALSE)</f>
        <v>0</v>
      </c>
      <c r="AE6" s="938">
        <f>+[12]!Tableau1[[#This Row],[Subv]]+[12]!Tableau1[[#This Row],[CA (MAD HT)]]</f>
        <v>200</v>
      </c>
      <c r="AF6" s="920"/>
      <c r="AG6" s="920"/>
    </row>
    <row r="7" spans="1:33" ht="22.2">
      <c r="L7" s="288" t="s">
        <v>516</v>
      </c>
    </row>
    <row r="8" spans="1:33" ht="23.4">
      <c r="L8" s="289"/>
    </row>
    <row r="9" spans="1:33" ht="23.4">
      <c r="L9" s="289"/>
    </row>
    <row r="10" spans="1:33" ht="23.4">
      <c r="L10" s="289"/>
    </row>
  </sheetData>
  <mergeCells count="1">
    <mergeCell ref="A1:A2"/>
  </mergeCells>
  <conditionalFormatting sqref="A6">
    <cfRule type="expression" dxfId="31" priority="9">
      <formula>$S6&gt;0</formula>
    </cfRule>
    <cfRule type="duplicateValues" dxfId="30" priority="10"/>
  </conditionalFormatting>
  <pageMargins left="0.75" right="0.75" top="1" bottom="1" header="0.5" footer="0.5"/>
  <pageSetup paperSize="9" orientation="portrait" horizontalDpi="4294967292" verticalDpi="4294967292"/>
  <extLst>
    <ext xmlns:x14="http://schemas.microsoft.com/office/spreadsheetml/2009/9/main" uri="{78C0D931-6437-407d-A8EE-F0AAD7539E65}">
      <x14:conditionalFormattings>
        <x14:conditionalFormatting xmlns:xm="http://schemas.microsoft.com/office/excel/2006/main">
          <x14:cfRule type="expression" priority="8" id="{86D3BBC9-936F-4F0B-BF5F-362C06E06040}">
            <xm:f>AND($U6&lt;'\Users\Amine Bouslamti\Documents\mes docs\GESTION LAB\[BD1.xlsx]DATA'!#REF!,$U6&lt;&gt;"")</xm:f>
            <x14:dxf>
              <font>
                <b/>
                <i val="0"/>
                <color theme="1"/>
              </font>
              <fill>
                <patternFill>
                  <bgColor theme="7"/>
                </patternFill>
              </fill>
            </x14:dxf>
          </x14:cfRule>
          <xm:sqref>AA6:AE6 A6:B6 E6:Y6</xm:sqref>
        </x14:conditionalFormatting>
        <x14:conditionalFormatting xmlns:xm="http://schemas.microsoft.com/office/excel/2006/main">
          <x14:cfRule type="expression" priority="7" id="{972C3B5A-5C57-4F0C-AACD-A0A7DAC308CF}">
            <xm:f>AND($U6&lt;'Macintosh HD:/Users/mac/Library/Containers/com.microsoft.Excel/Data/Documents/Macintosh HD:Users:fzarrouk:Desktop:FATIMAZ:[BD1_LACQ2020xlsx.xlsx]DATA'!#REF!,$U6&lt;&gt;"")</xm:f>
            <x14:dxf>
              <font>
                <b/>
                <i val="0"/>
                <color theme="1"/>
              </font>
              <fill>
                <patternFill>
                  <bgColor theme="7"/>
                </patternFill>
              </fill>
            </x14:dxf>
          </x14:cfRule>
          <xm:sqref>C6</xm:sqref>
        </x14:conditionalFormatting>
        <x14:conditionalFormatting xmlns:xm="http://schemas.microsoft.com/office/excel/2006/main">
          <x14:cfRule type="expression" priority="6" id="{4C0E9CD1-3989-4B11-A1C6-ED240E6C3F95}">
            <xm:f>AND($U6&lt;'Macintosh HD:/Users/mac/Library/Containers/com.microsoft.Excel/Data/Documents/Macintosh HD:Users:rachakzouhair:Library:Containers:com.microsoft.Excel:Data:Documents:Macintosh HD:Users:asmaabenhida:Downloads:[BD1_LACQ2 (11).xlsx]DATA'!#REF!,$U6&lt;&gt;"")</xm:f>
            <x14:dxf>
              <font>
                <b/>
                <i val="0"/>
                <color theme="1"/>
              </font>
              <fill>
                <patternFill>
                  <bgColor theme="7"/>
                </patternFill>
              </fill>
            </x14:dxf>
          </x14:cfRule>
          <xm:sqref>C6</xm:sqref>
        </x14:conditionalFormatting>
        <x14:conditionalFormatting xmlns:xm="http://schemas.microsoft.com/office/excel/2006/main">
          <x14:cfRule type="expression" priority="5" id="{F0267C82-1DB7-4D19-A0C4-FC3DB74E0B32}">
            <xm:f>AND($U6&lt;'Macintosh HD:/Users/mac/Library/Containers/com.microsoft.Excel/Data/Documents/Macintosh HD:Users:rachakzouhair:Library:Containers:com.microsoft.Excel:Data:Documents:Macintosh HD:Users:fzarrouk:Desktop:[BD1_LACQ2 .xlsx]DATA'!#REF!,$U6&lt;&gt;"")</xm:f>
            <x14:dxf>
              <font>
                <b/>
                <i val="0"/>
                <color theme="1"/>
              </font>
              <fill>
                <patternFill>
                  <bgColor theme="7"/>
                </patternFill>
              </fill>
            </x14:dxf>
          </x14:cfRule>
          <xm:sqref>C6</xm:sqref>
        </x14:conditionalFormatting>
        <x14:conditionalFormatting xmlns:xm="http://schemas.microsoft.com/office/excel/2006/main">
          <x14:cfRule type="expression" priority="4" id="{698A951D-0F63-471D-A315-6FC8082F137D}">
            <xm:f>AND($U6&lt;'Macintosh HD:Users:fzarrouk:Library:Application Support:Microsoft:Office:Office 2011 AutoRecovery:[BD1_2020.xlsx]DATA'!#REF!,$U6&lt;&gt;"")</xm:f>
            <x14:dxf>
              <font>
                <b/>
                <i val="0"/>
                <color theme="1"/>
              </font>
              <fill>
                <patternFill>
                  <bgColor theme="7"/>
                </patternFill>
              </fill>
            </x14:dxf>
          </x14:cfRule>
          <xm:sqref>L6</xm:sqref>
        </x14:conditionalFormatting>
        <x14:conditionalFormatting xmlns:xm="http://schemas.microsoft.com/office/excel/2006/main">
          <x14:cfRule type="expression" priority="3" id="{7BA44F8F-073E-401C-8EF3-3F944B3D3B10}">
            <xm:f>AND($U6&lt;'Macintosh HD:Users:rachakzouhair:Library:Containers:com.microsoft.Excel:Data:Documents:Macintosh HD:Users:asmaabenhida:Downloads:[BD1_LACQ2 (11).xlsx]DATA'!#REF!,$U6&lt;&gt;"")</xm:f>
            <x14:dxf>
              <font>
                <b/>
                <i val="0"/>
                <color theme="1"/>
              </font>
              <fill>
                <patternFill>
                  <bgColor theme="7"/>
                </patternFill>
              </fill>
            </x14:dxf>
          </x14:cfRule>
          <xm:sqref>L6</xm:sqref>
        </x14:conditionalFormatting>
        <x14:conditionalFormatting xmlns:xm="http://schemas.microsoft.com/office/excel/2006/main">
          <x14:cfRule type="expression" priority="2" id="{180CF578-92F6-4277-AAAD-71C5FA42AC2D}">
            <xm:f>AND($U6&lt;'Macintosh HD:Users:fzarrouk:Library:Application Support:Microsoft:Office:Office 2011 AutoRecovery:[BD1_2020.xlsx]DATA'!#REF!,$U6&lt;&gt;"")</xm:f>
            <x14:dxf>
              <font>
                <b/>
                <i val="0"/>
                <color theme="1"/>
              </font>
              <fill>
                <patternFill>
                  <bgColor theme="7"/>
                </patternFill>
              </fill>
            </x14:dxf>
          </x14:cfRule>
          <xm:sqref>M6</xm:sqref>
        </x14:conditionalFormatting>
        <x14:conditionalFormatting xmlns:xm="http://schemas.microsoft.com/office/excel/2006/main">
          <x14:cfRule type="expression" priority="1" id="{DAF9A795-7F99-4A33-8E0A-DEB99D797113}">
            <xm:f>AND($U6&lt;'Macintosh HD:Users:rachakzouhair:Library:Containers:com.microsoft.Excel:Data:Documents:Macintosh HD:Users:asmaabenhida:Downloads:[BD1_LACQ2 (11).xlsx]DATA'!#REF!,$U6&lt;&gt;"")</xm:f>
            <x14:dxf>
              <font>
                <b/>
                <i val="0"/>
                <color theme="1"/>
              </font>
              <fill>
                <patternFill>
                  <bgColor theme="7"/>
                </patternFill>
              </fill>
            </x14:dxf>
          </x14:cfRule>
          <xm:sqref>M6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9C5E0E-7308-4BE6-B4DD-99C9C77838F7}">
          <x14:formula1>
            <xm:f>'C:\Users\Amine Bouslamti\Documents\mes docs\GESTION LAB\[BD1.xlsx]DATA'!#REF!</xm:f>
          </x14:formula1>
          <xm:sqref>I6</xm:sqref>
        </x14:dataValidation>
        <x14:dataValidation type="list" allowBlank="1" showInputMessage="1" showErrorMessage="1" xr:uid="{7C970D98-C5BF-452C-A605-E4C24D37C8E6}">
          <x14:formula1>
            <xm:f>'C:\Users\Amine Bouslamti\Documents\mes docs\GESTION LAB\[BD1.xlsx]DATA'!#REF!</xm:f>
          </x14:formula1>
          <xm:sqref>N6 AF6 R6</xm:sqref>
        </x14:dataValidation>
      </x14:dataValidations>
    </ex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8"/>
  <dimension ref="A1:O421"/>
  <sheetViews>
    <sheetView tabSelected="1" topLeftCell="A28" workbookViewId="0">
      <selection activeCell="H41" sqref="H41"/>
    </sheetView>
  </sheetViews>
  <sheetFormatPr baseColWidth="10" defaultColWidth="10.8984375" defaultRowHeight="15.6"/>
  <cols>
    <col min="1" max="1" width="24.8984375" customWidth="1"/>
    <col min="2" max="2" width="12.3984375" bestFit="1" customWidth="1"/>
  </cols>
  <sheetData>
    <row r="1" spans="1:15" ht="22.8">
      <c r="A1" s="255"/>
      <c r="B1" s="256" t="s">
        <v>22</v>
      </c>
      <c r="C1" s="257" t="s">
        <v>23</v>
      </c>
      <c r="D1" s="257" t="s">
        <v>24</v>
      </c>
      <c r="E1" s="257" t="s">
        <v>25</v>
      </c>
      <c r="F1" s="257" t="s">
        <v>26</v>
      </c>
      <c r="G1" s="258" t="s">
        <v>27</v>
      </c>
      <c r="H1" s="255"/>
      <c r="I1" s="255"/>
      <c r="J1" s="255"/>
      <c r="K1" s="255"/>
      <c r="L1" s="255"/>
      <c r="M1" s="255"/>
      <c r="N1" s="255"/>
      <c r="O1" s="255"/>
    </row>
    <row r="2" spans="1:15" ht="22.8">
      <c r="A2" s="255"/>
      <c r="B2" s="256"/>
      <c r="C2" s="258"/>
      <c r="D2" s="259"/>
      <c r="E2" s="259"/>
      <c r="F2" s="259"/>
      <c r="G2" s="260"/>
      <c r="H2" s="255"/>
      <c r="I2" s="255"/>
      <c r="J2" s="255"/>
      <c r="K2" s="255"/>
      <c r="L2" s="255"/>
      <c r="M2" s="255"/>
      <c r="N2" s="255"/>
      <c r="O2" s="255"/>
    </row>
    <row r="3" spans="1:15" ht="22.8">
      <c r="A3" s="255"/>
      <c r="B3" s="256" t="s">
        <v>28</v>
      </c>
      <c r="C3" s="256"/>
      <c r="D3" s="259"/>
      <c r="E3" s="259"/>
      <c r="F3" s="259"/>
      <c r="G3" s="260"/>
      <c r="H3" s="255"/>
      <c r="I3" s="255"/>
      <c r="J3" s="255"/>
      <c r="K3" s="255"/>
      <c r="L3" s="255"/>
      <c r="M3" s="255"/>
      <c r="N3" s="255"/>
      <c r="O3" s="255"/>
    </row>
    <row r="4" spans="1:15" ht="22.8">
      <c r="A4" s="255"/>
      <c r="B4" s="256"/>
      <c r="C4" s="258"/>
      <c r="D4" s="259"/>
      <c r="E4" s="259"/>
      <c r="F4" s="259"/>
      <c r="G4" s="261"/>
      <c r="H4" s="262"/>
      <c r="I4" s="255"/>
      <c r="J4" s="255"/>
      <c r="K4" s="255"/>
      <c r="L4" s="255"/>
      <c r="M4" s="255"/>
      <c r="N4" s="255"/>
      <c r="O4" s="255"/>
    </row>
    <row r="5" spans="1:15" ht="22.8">
      <c r="A5" s="255"/>
      <c r="B5" s="256"/>
      <c r="C5" s="258" t="s">
        <v>29</v>
      </c>
      <c r="D5" s="259"/>
      <c r="E5" s="259"/>
      <c r="F5" s="259"/>
      <c r="G5" s="261"/>
      <c r="H5" s="262"/>
      <c r="I5" s="255"/>
      <c r="J5" s="255"/>
      <c r="K5" s="255"/>
      <c r="L5" s="255"/>
      <c r="M5" s="255"/>
      <c r="N5" s="255"/>
      <c r="O5" s="255"/>
    </row>
    <row r="6" spans="1:15" ht="17.399999999999999">
      <c r="A6" s="255" t="str">
        <f>"*"&amp;VLOOKUP(TRUE,B6:G38,1+5,0)</f>
        <v>*Teneur correcte en azote, mais trop élevée par rapport au calcium, montrant des feuilles plus juvéniles que la référence. Ne pas accentuer les apports azotés et vérifier la disponibilité en calcium du sol.</v>
      </c>
      <c r="B6" s="263" t="b">
        <f>AND(VEG!M20="Très faible",VEG!M37="Faible")</f>
        <v>0</v>
      </c>
      <c r="C6" s="255"/>
      <c r="D6" s="259" t="s">
        <v>30</v>
      </c>
      <c r="E6" s="259"/>
      <c r="F6" s="259"/>
      <c r="G6" s="261" t="s">
        <v>31</v>
      </c>
      <c r="H6" s="261"/>
      <c r="I6" s="261"/>
      <c r="J6" s="261"/>
      <c r="K6" s="261"/>
      <c r="L6" s="261"/>
      <c r="M6" s="261"/>
      <c r="N6" s="261"/>
      <c r="O6" s="261"/>
    </row>
    <row r="7" spans="1:15" ht="22.8">
      <c r="A7" s="255"/>
      <c r="B7" s="264"/>
      <c r="C7" s="255"/>
      <c r="D7" s="259"/>
      <c r="E7" s="259"/>
      <c r="F7" s="259"/>
      <c r="G7" s="261"/>
      <c r="H7" s="262"/>
      <c r="I7" s="255"/>
      <c r="J7" s="255"/>
      <c r="K7" s="255"/>
      <c r="L7" s="255"/>
      <c r="M7" s="255"/>
      <c r="N7" s="255"/>
      <c r="O7" s="255"/>
    </row>
    <row r="8" spans="1:15" ht="17.399999999999999">
      <c r="A8" s="255"/>
      <c r="B8" s="263" t="b">
        <f>AND(VEG!M20="Très faible",VEG!M37="correct")</f>
        <v>0</v>
      </c>
      <c r="C8" s="255"/>
      <c r="D8" s="259" t="s">
        <v>32</v>
      </c>
      <c r="E8" s="259"/>
      <c r="F8" s="259"/>
      <c r="G8" s="261" t="s">
        <v>33</v>
      </c>
      <c r="H8" s="261"/>
      <c r="I8" s="261"/>
      <c r="J8" s="261"/>
      <c r="K8" s="261"/>
      <c r="L8" s="261"/>
      <c r="M8" s="255"/>
      <c r="N8" s="255"/>
      <c r="O8" s="255"/>
    </row>
    <row r="9" spans="1:15" ht="22.8">
      <c r="A9" s="255"/>
      <c r="B9" s="264"/>
      <c r="C9" s="255"/>
      <c r="D9" s="259"/>
      <c r="E9" s="259"/>
      <c r="F9" s="259"/>
      <c r="G9" s="261"/>
      <c r="H9" s="262"/>
      <c r="I9" s="255"/>
      <c r="J9" s="255"/>
      <c r="K9" s="255"/>
      <c r="L9" s="255"/>
      <c r="M9" s="255"/>
      <c r="N9" s="255"/>
      <c r="O9" s="255"/>
    </row>
    <row r="10" spans="1:15" ht="17.399999999999999">
      <c r="A10" s="255"/>
      <c r="B10" s="263" t="b">
        <f>AND(VEG!M20="Très faible",VEG!M37="Elevé")</f>
        <v>0</v>
      </c>
      <c r="C10" s="255"/>
      <c r="D10" s="259" t="s">
        <v>34</v>
      </c>
      <c r="E10" s="259"/>
      <c r="F10" s="259"/>
      <c r="G10" s="261" t="s">
        <v>35</v>
      </c>
      <c r="H10" s="261"/>
      <c r="I10" s="261"/>
      <c r="J10" s="261"/>
      <c r="K10" s="261"/>
      <c r="L10" s="261"/>
      <c r="M10" s="261"/>
      <c r="N10" s="261"/>
      <c r="O10" s="261"/>
    </row>
    <row r="11" spans="1:15" ht="22.8">
      <c r="A11" s="255"/>
      <c r="B11" s="264"/>
      <c r="C11" s="258"/>
      <c r="D11" s="259"/>
      <c r="E11" s="259"/>
      <c r="F11" s="259"/>
      <c r="G11" s="261"/>
      <c r="H11" s="255"/>
      <c r="I11" s="255"/>
      <c r="J11" s="255"/>
      <c r="K11" s="255"/>
      <c r="L11" s="255"/>
      <c r="M11" s="255"/>
      <c r="N11" s="255"/>
      <c r="O11" s="255"/>
    </row>
    <row r="12" spans="1:15" ht="22.8">
      <c r="A12" s="255"/>
      <c r="B12" s="264"/>
      <c r="C12" s="258" t="s">
        <v>36</v>
      </c>
      <c r="D12" s="259"/>
      <c r="E12" s="259"/>
      <c r="F12" s="259"/>
      <c r="G12" s="261"/>
      <c r="H12" s="255"/>
      <c r="I12" s="255"/>
      <c r="J12" s="255"/>
      <c r="K12" s="255"/>
      <c r="L12" s="255"/>
      <c r="M12" s="255"/>
      <c r="N12" s="255"/>
      <c r="O12" s="255"/>
    </row>
    <row r="13" spans="1:15" ht="17.399999999999999">
      <c r="A13" s="255"/>
      <c r="B13" s="263" t="b">
        <f>AND(VEG!M20="Faible",VEG!M37="Faible")</f>
        <v>0</v>
      </c>
      <c r="C13" s="255"/>
      <c r="D13" s="259" t="s">
        <v>30</v>
      </c>
      <c r="E13" s="259"/>
      <c r="F13" s="259"/>
      <c r="G13" s="261" t="s">
        <v>37</v>
      </c>
      <c r="H13" s="261"/>
      <c r="I13" s="261"/>
      <c r="J13" s="261"/>
      <c r="K13" s="261"/>
      <c r="L13" s="261"/>
      <c r="M13" s="261"/>
      <c r="N13" s="261"/>
      <c r="O13" s="261"/>
    </row>
    <row r="14" spans="1:15" ht="22.8">
      <c r="A14" s="255"/>
      <c r="B14" s="264"/>
      <c r="C14" s="255"/>
      <c r="D14" s="259"/>
      <c r="E14" s="259"/>
      <c r="F14" s="259"/>
      <c r="G14" s="261"/>
      <c r="H14" s="262"/>
      <c r="I14" s="255"/>
      <c r="J14" s="255"/>
      <c r="K14" s="255"/>
      <c r="L14" s="255"/>
      <c r="M14" s="255"/>
      <c r="N14" s="255"/>
      <c r="O14" s="255"/>
    </row>
    <row r="15" spans="1:15" ht="17.399999999999999">
      <c r="A15" s="255"/>
      <c r="B15" s="263" t="b">
        <f>AND(VEG!M20="Faible",VEG!M24="faible",VEG!M37="correct")</f>
        <v>0</v>
      </c>
      <c r="C15" s="255" t="s">
        <v>38</v>
      </c>
      <c r="D15" s="259" t="s">
        <v>32</v>
      </c>
      <c r="E15" s="259"/>
      <c r="F15" s="259"/>
      <c r="G15" s="261" t="s">
        <v>39</v>
      </c>
      <c r="H15" s="261"/>
      <c r="I15" s="261"/>
      <c r="J15" s="261"/>
      <c r="K15" s="261"/>
      <c r="L15" s="261"/>
      <c r="M15" s="255"/>
      <c r="N15" s="255"/>
      <c r="O15" s="255"/>
    </row>
    <row r="16" spans="1:15" ht="17.399999999999999">
      <c r="A16" s="255"/>
      <c r="B16" s="263" t="b">
        <f>AND(VEG!M20="Faible",VEG!M37="correct")</f>
        <v>0</v>
      </c>
      <c r="C16" s="255"/>
      <c r="D16" s="259"/>
      <c r="E16" s="259"/>
      <c r="F16" s="259"/>
      <c r="G16" s="261" t="s">
        <v>40</v>
      </c>
      <c r="H16" s="261"/>
      <c r="I16" s="261"/>
      <c r="J16" s="255"/>
      <c r="K16" s="255"/>
      <c r="L16" s="255"/>
      <c r="M16" s="255"/>
      <c r="N16" s="255"/>
      <c r="O16" s="255"/>
    </row>
    <row r="17" spans="1:15" ht="17.399999999999999">
      <c r="A17" s="255"/>
      <c r="B17" s="263" t="b">
        <f>AND(VEG!M20="Faible",VEG!M37="Elevé")</f>
        <v>0</v>
      </c>
      <c r="C17" s="255"/>
      <c r="D17" s="259" t="s">
        <v>34</v>
      </c>
      <c r="E17" s="259"/>
      <c r="F17" s="259"/>
      <c r="G17" s="261" t="s">
        <v>41</v>
      </c>
      <c r="H17" s="261"/>
      <c r="I17" s="261"/>
      <c r="J17" s="261"/>
      <c r="K17" s="261"/>
      <c r="L17" s="261"/>
      <c r="M17" s="261"/>
      <c r="N17" s="261"/>
      <c r="O17" s="261"/>
    </row>
    <row r="18" spans="1:15" ht="22.8">
      <c r="A18" s="255"/>
      <c r="B18" s="264"/>
      <c r="C18" s="258"/>
      <c r="D18" s="259"/>
      <c r="E18" s="259"/>
      <c r="F18" s="259"/>
      <c r="G18" s="260"/>
      <c r="H18" s="255"/>
      <c r="I18" s="255"/>
      <c r="J18" s="255"/>
      <c r="K18" s="255"/>
      <c r="L18" s="255"/>
      <c r="M18" s="255"/>
      <c r="N18" s="255"/>
      <c r="O18" s="255"/>
    </row>
    <row r="19" spans="1:15" ht="22.8">
      <c r="A19" s="255"/>
      <c r="B19" s="264"/>
      <c r="C19" s="258" t="s">
        <v>42</v>
      </c>
      <c r="D19" s="259"/>
      <c r="E19" s="259"/>
      <c r="F19" s="259"/>
      <c r="G19" s="261"/>
      <c r="H19" s="262"/>
      <c r="I19" s="255"/>
      <c r="J19" s="255"/>
      <c r="K19" s="255"/>
      <c r="L19" s="255"/>
      <c r="M19" s="255"/>
      <c r="N19" s="255"/>
      <c r="O19" s="255"/>
    </row>
    <row r="20" spans="1:15" ht="17.399999999999999">
      <c r="A20" s="255"/>
      <c r="B20" s="263" t="b">
        <f>AND(VEG!M20="correct",VEG!M37="Faible")</f>
        <v>0</v>
      </c>
      <c r="C20" s="258"/>
      <c r="D20" s="259" t="s">
        <v>30</v>
      </c>
      <c r="E20" s="259"/>
      <c r="F20" s="259"/>
      <c r="G20" s="261" t="s">
        <v>43</v>
      </c>
      <c r="H20" s="261"/>
      <c r="I20" s="261"/>
      <c r="J20" s="261"/>
      <c r="K20" s="261"/>
      <c r="L20" s="261"/>
      <c r="M20" s="255"/>
      <c r="N20" s="255"/>
      <c r="O20" s="255"/>
    </row>
    <row r="21" spans="1:15" ht="22.8">
      <c r="A21" s="255"/>
      <c r="B21" s="264"/>
      <c r="C21" s="258"/>
      <c r="D21" s="259"/>
      <c r="E21" s="259"/>
      <c r="F21" s="259"/>
      <c r="G21" s="261"/>
      <c r="H21" s="262"/>
      <c r="I21" s="255"/>
      <c r="J21" s="255"/>
      <c r="K21" s="255"/>
      <c r="L21" s="255"/>
      <c r="M21" s="255"/>
      <c r="N21" s="255"/>
      <c r="O21" s="255"/>
    </row>
    <row r="22" spans="1:15" ht="17.399999999999999">
      <c r="A22" s="255"/>
      <c r="B22" s="263" t="b">
        <f>AND(VEG!M20="correct",VEG!M37="correct")</f>
        <v>0</v>
      </c>
      <c r="C22" s="258"/>
      <c r="D22" s="259" t="s">
        <v>32</v>
      </c>
      <c r="E22" s="259"/>
      <c r="F22" s="259"/>
      <c r="G22" s="261" t="s">
        <v>44</v>
      </c>
      <c r="H22" s="261"/>
      <c r="I22" s="261"/>
      <c r="J22" s="261"/>
      <c r="K22" s="255"/>
      <c r="L22" s="255"/>
      <c r="M22" s="255"/>
      <c r="N22" s="255"/>
      <c r="O22" s="255"/>
    </row>
    <row r="23" spans="1:15" ht="22.8">
      <c r="A23" s="255"/>
      <c r="B23" s="264"/>
      <c r="C23" s="258"/>
      <c r="D23" s="259"/>
      <c r="E23" s="259"/>
      <c r="F23" s="259"/>
      <c r="G23" s="261"/>
      <c r="H23" s="262"/>
      <c r="I23" s="255"/>
      <c r="J23" s="255"/>
      <c r="K23" s="255"/>
      <c r="L23" s="255"/>
      <c r="M23" s="255"/>
      <c r="N23" s="255"/>
      <c r="O23" s="255"/>
    </row>
    <row r="24" spans="1:15" ht="17.399999999999999">
      <c r="A24" s="255"/>
      <c r="B24" s="263" t="b">
        <f>AND(VEG!M20="correct",VEG!M37="Elevé")</f>
        <v>1</v>
      </c>
      <c r="C24" s="258"/>
      <c r="D24" s="259" t="s">
        <v>34</v>
      </c>
      <c r="E24" s="259"/>
      <c r="F24" s="259"/>
      <c r="G24" s="261" t="s">
        <v>45</v>
      </c>
      <c r="H24" s="261"/>
      <c r="I24" s="261"/>
      <c r="J24" s="261"/>
      <c r="K24" s="261"/>
      <c r="L24" s="261"/>
      <c r="M24" s="261"/>
      <c r="N24" s="261"/>
      <c r="O24" s="261"/>
    </row>
    <row r="25" spans="1:15" ht="22.8">
      <c r="A25" s="255"/>
      <c r="B25" s="264"/>
      <c r="C25" s="258"/>
      <c r="D25" s="259"/>
      <c r="E25" s="259"/>
      <c r="F25" s="259"/>
      <c r="G25" s="261"/>
      <c r="H25" s="262"/>
      <c r="I25" s="255"/>
      <c r="J25" s="255"/>
      <c r="K25" s="255"/>
      <c r="L25" s="255"/>
      <c r="M25" s="255"/>
      <c r="N25" s="255"/>
      <c r="O25" s="255"/>
    </row>
    <row r="26" spans="1:15" ht="22.8">
      <c r="A26" s="255"/>
      <c r="B26" s="264"/>
      <c r="C26" s="258" t="s">
        <v>46</v>
      </c>
      <c r="D26" s="259"/>
      <c r="E26" s="259"/>
      <c r="F26" s="259"/>
      <c r="G26" s="261"/>
      <c r="H26" s="262"/>
      <c r="I26" s="255"/>
      <c r="J26" s="255"/>
      <c r="K26" s="255"/>
      <c r="L26" s="255"/>
      <c r="M26" s="255"/>
      <c r="N26" s="255"/>
      <c r="O26" s="255"/>
    </row>
    <row r="27" spans="1:15" ht="17.399999999999999">
      <c r="A27" s="255"/>
      <c r="B27" s="263" t="b">
        <f>AND(VEG!M20="Elevé",VEG!M37="Faible")</f>
        <v>0</v>
      </c>
      <c r="C27" s="255"/>
      <c r="D27" s="259" t="s">
        <v>30</v>
      </c>
      <c r="E27" s="259"/>
      <c r="F27" s="259"/>
      <c r="G27" s="261" t="s">
        <v>47</v>
      </c>
      <c r="H27" s="261"/>
      <c r="I27" s="261"/>
      <c r="J27" s="261"/>
      <c r="K27" s="261"/>
      <c r="L27" s="261"/>
      <c r="M27" s="261"/>
      <c r="N27" s="255"/>
      <c r="O27" s="255"/>
    </row>
    <row r="28" spans="1:15" ht="22.8">
      <c r="A28" s="255"/>
      <c r="B28" s="264"/>
      <c r="C28" s="255"/>
      <c r="D28" s="259"/>
      <c r="E28" s="259"/>
      <c r="F28" s="259"/>
      <c r="G28" s="261"/>
      <c r="H28" s="262"/>
      <c r="I28" s="255"/>
      <c r="J28" s="255"/>
      <c r="K28" s="255"/>
      <c r="L28" s="255"/>
      <c r="M28" s="255"/>
      <c r="N28" s="255"/>
      <c r="O28" s="255"/>
    </row>
    <row r="29" spans="1:15" ht="17.399999999999999">
      <c r="A29" s="255"/>
      <c r="B29" s="263" t="b">
        <f>AND(VEG!M20="Elevé",VEG!M37="correct")</f>
        <v>0</v>
      </c>
      <c r="C29" s="255"/>
      <c r="D29" s="259" t="s">
        <v>32</v>
      </c>
      <c r="E29" s="259"/>
      <c r="F29" s="259"/>
      <c r="G29" s="261" t="s">
        <v>48</v>
      </c>
      <c r="H29" s="261"/>
      <c r="I29" s="261"/>
      <c r="J29" s="261"/>
      <c r="K29" s="261"/>
      <c r="L29" s="255"/>
      <c r="M29" s="255"/>
      <c r="N29" s="255"/>
      <c r="O29" s="255"/>
    </row>
    <row r="30" spans="1:15" ht="22.8">
      <c r="A30" s="255"/>
      <c r="B30" s="264"/>
      <c r="C30" s="255"/>
      <c r="D30" s="259"/>
      <c r="E30" s="259"/>
      <c r="F30" s="259"/>
      <c r="G30" s="261"/>
      <c r="H30" s="262"/>
      <c r="I30" s="255"/>
      <c r="J30" s="255"/>
      <c r="K30" s="255"/>
      <c r="L30" s="255"/>
      <c r="M30" s="255"/>
      <c r="N30" s="255"/>
      <c r="O30" s="255"/>
    </row>
    <row r="31" spans="1:15" ht="17.399999999999999">
      <c r="A31" s="255"/>
      <c r="B31" s="263" t="b">
        <f>AND(VEG!M20="Elevé",VEG!M37="Elevé")</f>
        <v>0</v>
      </c>
      <c r="C31" s="255"/>
      <c r="D31" s="259" t="s">
        <v>34</v>
      </c>
      <c r="E31" s="259"/>
      <c r="F31" s="259"/>
      <c r="G31" s="261" t="s">
        <v>49</v>
      </c>
      <c r="H31" s="261"/>
      <c r="I31" s="261"/>
      <c r="J31" s="261"/>
      <c r="K31" s="261"/>
      <c r="L31" s="261"/>
      <c r="M31" s="261"/>
      <c r="N31" s="261"/>
      <c r="O31" s="261"/>
    </row>
    <row r="32" spans="1:15" ht="22.8">
      <c r="A32" s="255"/>
      <c r="B32" s="264"/>
      <c r="C32" s="258"/>
      <c r="D32" s="259"/>
      <c r="E32" s="259"/>
      <c r="F32" s="259"/>
      <c r="G32" s="260"/>
      <c r="H32" s="255"/>
      <c r="I32" s="255"/>
      <c r="J32" s="255"/>
      <c r="K32" s="255"/>
      <c r="L32" s="255"/>
      <c r="M32" s="255"/>
      <c r="N32" s="255"/>
      <c r="O32" s="255"/>
    </row>
    <row r="33" spans="1:15" ht="22.8">
      <c r="A33" s="255"/>
      <c r="B33" s="264"/>
      <c r="C33" s="258" t="s">
        <v>50</v>
      </c>
      <c r="D33" s="259"/>
      <c r="E33" s="259"/>
      <c r="F33" s="259"/>
      <c r="G33" s="261"/>
      <c r="H33" s="262"/>
      <c r="I33" s="255"/>
      <c r="J33" s="255"/>
      <c r="K33" s="255"/>
      <c r="L33" s="255"/>
      <c r="M33" s="255"/>
      <c r="N33" s="255"/>
      <c r="O33" s="255"/>
    </row>
    <row r="34" spans="1:15" ht="17.399999999999999">
      <c r="A34" s="255"/>
      <c r="B34" s="263" t="b">
        <f>AND(VEG!M20="Très élevé",VEG!M37="Faible")</f>
        <v>0</v>
      </c>
      <c r="C34" s="258"/>
      <c r="D34" s="259" t="s">
        <v>30</v>
      </c>
      <c r="E34" s="259"/>
      <c r="F34" s="259"/>
      <c r="G34" s="261" t="s">
        <v>51</v>
      </c>
      <c r="H34" s="261"/>
      <c r="I34" s="261"/>
      <c r="J34" s="261"/>
      <c r="K34" s="261"/>
      <c r="L34" s="261"/>
      <c r="M34" s="261"/>
      <c r="N34" s="261"/>
      <c r="O34" s="255"/>
    </row>
    <row r="35" spans="1:15" ht="22.8">
      <c r="A35" s="255"/>
      <c r="B35" s="264"/>
      <c r="C35" s="258"/>
      <c r="D35" s="259"/>
      <c r="E35" s="259"/>
      <c r="F35" s="259"/>
      <c r="G35" s="261"/>
      <c r="H35" s="262"/>
      <c r="I35" s="255"/>
      <c r="J35" s="255"/>
      <c r="K35" s="255"/>
      <c r="L35" s="255"/>
      <c r="M35" s="255"/>
      <c r="N35" s="255"/>
      <c r="O35" s="255"/>
    </row>
    <row r="36" spans="1:15" ht="17.399999999999999">
      <c r="A36" s="255"/>
      <c r="B36" s="263" t="b">
        <f>AND(VEG!M20="Très élevé",VEG!M37="correct")</f>
        <v>0</v>
      </c>
      <c r="C36" s="258"/>
      <c r="D36" s="259" t="s">
        <v>32</v>
      </c>
      <c r="E36" s="259"/>
      <c r="F36" s="259"/>
      <c r="G36" s="261" t="s">
        <v>52</v>
      </c>
      <c r="H36" s="261"/>
      <c r="I36" s="261"/>
      <c r="J36" s="261"/>
      <c r="K36" s="255"/>
      <c r="L36" s="255"/>
      <c r="M36" s="255"/>
      <c r="N36" s="255"/>
      <c r="O36" s="255"/>
    </row>
    <row r="37" spans="1:15" ht="22.8">
      <c r="A37" s="255"/>
      <c r="B37" s="264"/>
      <c r="C37" s="258"/>
      <c r="D37" s="259"/>
      <c r="E37" s="259"/>
      <c r="F37" s="259"/>
      <c r="G37" s="261"/>
      <c r="H37" s="262"/>
      <c r="I37" s="255"/>
      <c r="J37" s="255"/>
      <c r="K37" s="255"/>
      <c r="L37" s="255"/>
      <c r="M37" s="255"/>
      <c r="N37" s="255"/>
      <c r="O37" s="255"/>
    </row>
    <row r="38" spans="1:15" ht="17.399999999999999">
      <c r="A38" s="255"/>
      <c r="B38" s="263" t="b">
        <f>AND(VEG!M20="Très élevé",VEG!M37="Elevé")</f>
        <v>0</v>
      </c>
      <c r="C38" s="258"/>
      <c r="D38" s="259" t="s">
        <v>34</v>
      </c>
      <c r="E38" s="259"/>
      <c r="F38" s="259"/>
      <c r="G38" s="261" t="s">
        <v>53</v>
      </c>
      <c r="H38" s="261"/>
      <c r="I38" s="261"/>
      <c r="J38" s="261"/>
      <c r="K38" s="261"/>
      <c r="L38" s="261"/>
      <c r="M38" s="261"/>
      <c r="N38" s="261"/>
      <c r="O38" s="261"/>
    </row>
    <row r="39" spans="1:15" ht="22.8">
      <c r="A39" s="255"/>
      <c r="B39" s="264"/>
      <c r="C39" s="258"/>
      <c r="D39" s="259"/>
      <c r="E39" s="259"/>
      <c r="F39" s="259"/>
      <c r="G39" s="260"/>
      <c r="H39" s="255"/>
      <c r="I39" s="255"/>
      <c r="J39" s="255"/>
      <c r="K39" s="255"/>
      <c r="L39" s="255"/>
      <c r="M39" s="255"/>
      <c r="N39" s="255"/>
      <c r="O39" s="255"/>
    </row>
    <row r="40" spans="1:15" ht="22.8">
      <c r="A40" s="255"/>
      <c r="B40" s="264"/>
      <c r="C40" s="258"/>
      <c r="D40" s="259"/>
      <c r="E40" s="259"/>
      <c r="F40" s="259"/>
      <c r="G40" s="260"/>
      <c r="H40" s="255"/>
      <c r="I40" s="255"/>
      <c r="J40" s="255"/>
      <c r="K40" s="255"/>
      <c r="L40" s="255"/>
      <c r="M40" s="255"/>
      <c r="N40" s="255"/>
      <c r="O40" s="255"/>
    </row>
    <row r="41" spans="1:15" ht="22.8">
      <c r="A41" s="255"/>
      <c r="B41" s="264"/>
      <c r="C41" s="258"/>
      <c r="D41" s="259"/>
      <c r="E41" s="259"/>
      <c r="F41" s="259"/>
      <c r="G41" s="260"/>
      <c r="H41" s="255"/>
      <c r="I41" s="255"/>
      <c r="J41" s="255"/>
      <c r="K41" s="255"/>
      <c r="L41" s="255"/>
      <c r="M41" s="255"/>
      <c r="N41" s="255"/>
      <c r="O41" s="255"/>
    </row>
    <row r="42" spans="1:15" ht="22.8">
      <c r="A42" s="255"/>
      <c r="B42" s="264"/>
      <c r="C42" s="258"/>
      <c r="D42" s="259"/>
      <c r="E42" s="259"/>
      <c r="F42" s="259"/>
      <c r="G42" s="260"/>
      <c r="H42" s="255"/>
      <c r="I42" s="255"/>
      <c r="J42" s="255"/>
      <c r="K42" s="255"/>
      <c r="L42" s="255"/>
      <c r="M42" s="255"/>
      <c r="N42" s="255"/>
      <c r="O42" s="255"/>
    </row>
    <row r="43" spans="1:15" ht="22.8">
      <c r="A43" s="255"/>
      <c r="B43" s="264" t="s">
        <v>54</v>
      </c>
      <c r="C43" s="256"/>
      <c r="D43" s="259"/>
      <c r="E43" s="259"/>
      <c r="F43" s="259"/>
      <c r="G43" s="260"/>
      <c r="H43" s="255"/>
      <c r="I43" s="255"/>
      <c r="J43" s="255"/>
      <c r="K43" s="255"/>
      <c r="L43" s="255"/>
      <c r="M43" s="255"/>
      <c r="N43" s="255"/>
      <c r="O43" s="255"/>
    </row>
    <row r="44" spans="1:15" ht="22.8">
      <c r="A44" s="255"/>
      <c r="B44" s="264"/>
      <c r="C44" s="258"/>
      <c r="D44" s="259"/>
      <c r="E44" s="259"/>
      <c r="F44" s="259"/>
      <c r="G44" s="261"/>
      <c r="H44" s="262"/>
      <c r="I44" s="255"/>
      <c r="J44" s="255"/>
      <c r="K44" s="255"/>
      <c r="L44" s="255"/>
      <c r="M44" s="255"/>
      <c r="N44" s="255"/>
      <c r="O44" s="255"/>
    </row>
    <row r="45" spans="1:15" ht="22.8">
      <c r="A45" s="255"/>
      <c r="B45" s="264"/>
      <c r="C45" s="258" t="s">
        <v>55</v>
      </c>
      <c r="D45" s="259"/>
      <c r="E45" s="259"/>
      <c r="F45" s="259"/>
      <c r="G45" s="261"/>
      <c r="H45" s="262"/>
      <c r="I45" s="255"/>
      <c r="J45" s="255"/>
      <c r="K45" s="255"/>
      <c r="L45" s="255"/>
      <c r="M45" s="255"/>
      <c r="N45" s="255"/>
      <c r="O45" s="255"/>
    </row>
    <row r="46" spans="1:15" ht="17.399999999999999">
      <c r="A46" s="255" t="str">
        <f>"*"&amp;VLOOKUP(TRUE,B46:G90,1+5,0)</f>
        <v>*Niveau correct en phosphore.  Il est inutile d'augmenter ici les apports en cet élément.</v>
      </c>
      <c r="B46" s="263" t="b">
        <f>AND(VEG!M21="Très faible",VEG!M35="Faible")</f>
        <v>0</v>
      </c>
      <c r="C46" s="255"/>
      <c r="D46" s="259" t="s">
        <v>56</v>
      </c>
      <c r="E46" s="259"/>
      <c r="F46" s="259"/>
      <c r="G46" s="260" t="s">
        <v>57</v>
      </c>
      <c r="H46" s="260"/>
      <c r="I46" s="260"/>
      <c r="J46" s="260"/>
      <c r="K46" s="260"/>
      <c r="L46" s="260"/>
      <c r="M46" s="260"/>
      <c r="N46" s="260"/>
      <c r="O46" s="255"/>
    </row>
    <row r="47" spans="1:15" ht="22.8">
      <c r="A47" s="255"/>
      <c r="B47" s="264"/>
      <c r="C47" s="255"/>
      <c r="D47" s="259"/>
      <c r="E47" s="259"/>
      <c r="F47" s="259"/>
      <c r="G47" s="260"/>
      <c r="H47" s="262"/>
      <c r="I47" s="262"/>
      <c r="J47" s="255"/>
      <c r="K47" s="255"/>
      <c r="L47" s="255"/>
      <c r="M47" s="255"/>
      <c r="N47" s="255"/>
      <c r="O47" s="255"/>
    </row>
    <row r="48" spans="1:15" ht="22.8">
      <c r="A48" s="255"/>
      <c r="B48" s="264"/>
      <c r="C48" s="255"/>
      <c r="D48" s="259" t="s">
        <v>58</v>
      </c>
      <c r="E48" s="259"/>
      <c r="F48" s="259"/>
      <c r="G48" s="260"/>
      <c r="H48" s="262"/>
      <c r="I48" s="262"/>
      <c r="J48" s="255"/>
      <c r="K48" s="255"/>
      <c r="L48" s="255"/>
      <c r="M48" s="255"/>
      <c r="N48" s="255"/>
      <c r="O48" s="255"/>
    </row>
    <row r="49" spans="1:15" ht="17.399999999999999">
      <c r="A49" s="255"/>
      <c r="B49" s="263" t="b">
        <f>AND(VEG!M21="Très faible",VEG!M35="correct",VEG!M37="Faible")</f>
        <v>0</v>
      </c>
      <c r="C49" s="255"/>
      <c r="D49" s="265" t="s">
        <v>59</v>
      </c>
      <c r="E49" s="259" t="s">
        <v>30</v>
      </c>
      <c r="F49" s="259"/>
      <c r="G49" s="260" t="s">
        <v>60</v>
      </c>
      <c r="H49" s="260"/>
      <c r="I49" s="260"/>
      <c r="J49" s="260"/>
      <c r="K49" s="260"/>
      <c r="L49" s="255"/>
      <c r="M49" s="255"/>
      <c r="N49" s="255"/>
      <c r="O49" s="255"/>
    </row>
    <row r="50" spans="1:15" ht="17.399999999999999">
      <c r="A50" s="255"/>
      <c r="B50" s="263" t="b">
        <f>AND(VEG!M21="Très faible",VEG!M35="correct",VEG!M37="correct")</f>
        <v>0</v>
      </c>
      <c r="C50" s="255"/>
      <c r="D50" s="265" t="s">
        <v>59</v>
      </c>
      <c r="E50" s="259" t="s">
        <v>32</v>
      </c>
      <c r="F50" s="259"/>
      <c r="G50" s="260" t="s">
        <v>61</v>
      </c>
      <c r="H50" s="260"/>
      <c r="I50" s="260"/>
      <c r="J50" s="260"/>
      <c r="K50" s="260"/>
      <c r="L50" s="255"/>
      <c r="M50" s="255"/>
      <c r="N50" s="255"/>
      <c r="O50" s="255"/>
    </row>
    <row r="51" spans="1:15" ht="17.399999999999999">
      <c r="A51" s="255"/>
      <c r="B51" s="263" t="b">
        <f>AND(VEG!M21="Très faible",VEG!M35="correct",VEG!M37="Elevé")</f>
        <v>0</v>
      </c>
      <c r="C51" s="255"/>
      <c r="D51" s="259"/>
      <c r="E51" s="259" t="s">
        <v>34</v>
      </c>
      <c r="F51" s="259"/>
      <c r="G51" s="260" t="s">
        <v>62</v>
      </c>
      <c r="H51" s="260"/>
      <c r="I51" s="260"/>
      <c r="J51" s="260"/>
      <c r="K51" s="260"/>
      <c r="L51" s="260"/>
      <c r="M51" s="260"/>
      <c r="N51" s="255"/>
      <c r="O51" s="255"/>
    </row>
    <row r="52" spans="1:15" ht="22.8">
      <c r="A52" s="255"/>
      <c r="B52" s="264"/>
      <c r="C52" s="255"/>
      <c r="D52" s="259"/>
      <c r="E52" s="259"/>
      <c r="F52" s="259"/>
      <c r="G52" s="260"/>
      <c r="H52" s="262"/>
      <c r="I52" s="262"/>
      <c r="J52" s="255"/>
      <c r="K52" s="255"/>
      <c r="L52" s="255"/>
      <c r="M52" s="255"/>
      <c r="N52" s="255"/>
      <c r="O52" s="255"/>
    </row>
    <row r="53" spans="1:15" ht="17.399999999999999">
      <c r="A53" s="255"/>
      <c r="B53" s="263" t="b">
        <f>AND(VEG!M21="Très faible",VEG!M35="Elevé")</f>
        <v>0</v>
      </c>
      <c r="C53" s="255"/>
      <c r="D53" s="259" t="s">
        <v>63</v>
      </c>
      <c r="E53" s="259"/>
      <c r="F53" s="259"/>
      <c r="G53" s="260" t="s">
        <v>64</v>
      </c>
      <c r="H53" s="260"/>
      <c r="I53" s="260"/>
      <c r="J53" s="260"/>
      <c r="K53" s="260"/>
      <c r="L53" s="260"/>
      <c r="M53" s="260"/>
      <c r="N53" s="255"/>
      <c r="O53" s="255"/>
    </row>
    <row r="54" spans="1:15" ht="22.8">
      <c r="A54" s="255"/>
      <c r="B54" s="264"/>
      <c r="C54" s="258"/>
      <c r="D54" s="259"/>
      <c r="E54" s="259"/>
      <c r="F54" s="259"/>
      <c r="G54" s="261"/>
      <c r="H54" s="262"/>
      <c r="I54" s="255"/>
      <c r="J54" s="255"/>
      <c r="K54" s="255"/>
      <c r="L54" s="255"/>
      <c r="M54" s="255"/>
      <c r="N54" s="255"/>
      <c r="O54" s="255"/>
    </row>
    <row r="55" spans="1:15" ht="22.8">
      <c r="A55" s="255"/>
      <c r="B55" s="264"/>
      <c r="C55" s="258" t="s">
        <v>65</v>
      </c>
      <c r="D55" s="259"/>
      <c r="E55" s="259"/>
      <c r="F55" s="259"/>
      <c r="G55" s="261"/>
      <c r="H55" s="262"/>
      <c r="I55" s="255"/>
      <c r="J55" s="255"/>
      <c r="K55" s="255"/>
      <c r="L55" s="255"/>
      <c r="M55" s="255"/>
      <c r="N55" s="255"/>
      <c r="O55" s="255"/>
    </row>
    <row r="56" spans="1:15" ht="17.399999999999999">
      <c r="A56" s="255"/>
      <c r="B56" s="263" t="b">
        <f>AND(VEG!M21="Faible",VEG!M35="Faible")</f>
        <v>0</v>
      </c>
      <c r="C56" s="258"/>
      <c r="D56" s="259" t="s">
        <v>56</v>
      </c>
      <c r="E56" s="259"/>
      <c r="F56" s="259"/>
      <c r="G56" s="260" t="s">
        <v>66</v>
      </c>
      <c r="H56" s="260"/>
      <c r="I56" s="260"/>
      <c r="J56" s="260"/>
      <c r="K56" s="260"/>
      <c r="L56" s="260"/>
      <c r="M56" s="255"/>
      <c r="N56" s="255"/>
      <c r="O56" s="255"/>
    </row>
    <row r="57" spans="1:15" ht="22.8">
      <c r="A57" s="255"/>
      <c r="B57" s="264"/>
      <c r="C57" s="258"/>
      <c r="D57" s="259"/>
      <c r="E57" s="259"/>
      <c r="F57" s="259"/>
      <c r="G57" s="260"/>
      <c r="H57" s="262"/>
      <c r="I57" s="255"/>
      <c r="J57" s="255"/>
      <c r="K57" s="255"/>
      <c r="L57" s="255"/>
      <c r="M57" s="255"/>
      <c r="N57" s="255"/>
      <c r="O57" s="255"/>
    </row>
    <row r="58" spans="1:15" ht="22.8">
      <c r="A58" s="255"/>
      <c r="B58" s="264"/>
      <c r="C58" s="258"/>
      <c r="D58" s="259" t="s">
        <v>58</v>
      </c>
      <c r="E58" s="259"/>
      <c r="F58" s="259"/>
      <c r="G58" s="260"/>
      <c r="H58" s="262"/>
      <c r="I58" s="255"/>
      <c r="J58" s="255"/>
      <c r="K58" s="255"/>
      <c r="L58" s="255"/>
      <c r="M58" s="255"/>
      <c r="N58" s="255"/>
      <c r="O58" s="255"/>
    </row>
    <row r="59" spans="1:15" ht="17.399999999999999">
      <c r="A59" s="255"/>
      <c r="B59" s="263" t="b">
        <f>AND(VEG!M21="Faible",VEG!M35="correct",VEG!M37="Faible")</f>
        <v>0</v>
      </c>
      <c r="C59" s="258"/>
      <c r="D59" s="265" t="s">
        <v>59</v>
      </c>
      <c r="E59" s="259" t="s">
        <v>30</v>
      </c>
      <c r="F59" s="259"/>
      <c r="G59" s="260" t="s">
        <v>60</v>
      </c>
      <c r="H59" s="260"/>
      <c r="I59" s="260"/>
      <c r="J59" s="260"/>
      <c r="K59" s="260"/>
      <c r="L59" s="255"/>
      <c r="M59" s="255"/>
      <c r="N59" s="255"/>
      <c r="O59" s="255"/>
    </row>
    <row r="60" spans="1:15" ht="17.399999999999999">
      <c r="A60" s="255"/>
      <c r="B60" s="263" t="b">
        <f>AND(VEG!M21="Faible",VEG!M35="correct",VEG!M37="correct")</f>
        <v>0</v>
      </c>
      <c r="C60" s="258"/>
      <c r="D60" s="265" t="s">
        <v>59</v>
      </c>
      <c r="E60" s="259" t="s">
        <v>32</v>
      </c>
      <c r="F60" s="259"/>
      <c r="G60" s="260" t="s">
        <v>67</v>
      </c>
      <c r="H60" s="260"/>
      <c r="I60" s="260"/>
      <c r="J60" s="260"/>
      <c r="K60" s="260"/>
      <c r="L60" s="255"/>
      <c r="M60" s="255"/>
      <c r="N60" s="255"/>
      <c r="O60" s="255"/>
    </row>
    <row r="61" spans="1:15" ht="17.399999999999999">
      <c r="A61" s="255"/>
      <c r="B61" s="263" t="b">
        <f>AND(VEG!M21="Faible",VEG!M35="correct",VEG!M37="Elevé")</f>
        <v>0</v>
      </c>
      <c r="C61" s="258"/>
      <c r="D61" s="259"/>
      <c r="E61" s="259" t="s">
        <v>34</v>
      </c>
      <c r="F61" s="259"/>
      <c r="G61" s="260" t="s">
        <v>68</v>
      </c>
      <c r="H61" s="260"/>
      <c r="I61" s="260"/>
      <c r="J61" s="260"/>
      <c r="K61" s="260"/>
      <c r="L61" s="260"/>
      <c r="M61" s="255"/>
      <c r="N61" s="255"/>
      <c r="O61" s="255"/>
    </row>
    <row r="62" spans="1:15" ht="22.8">
      <c r="A62" s="255"/>
      <c r="B62" s="264"/>
      <c r="C62" s="258"/>
      <c r="D62" s="259"/>
      <c r="E62" s="259"/>
      <c r="F62" s="259"/>
      <c r="G62" s="260"/>
      <c r="H62" s="262"/>
      <c r="I62" s="255"/>
      <c r="J62" s="255"/>
      <c r="K62" s="255"/>
      <c r="L62" s="255"/>
      <c r="M62" s="255"/>
      <c r="N62" s="255"/>
      <c r="O62" s="255"/>
    </row>
    <row r="63" spans="1:15" ht="17.399999999999999">
      <c r="A63" s="255"/>
      <c r="B63" s="263" t="b">
        <f>AND(VEG!M21="Faible",VEG!M35="Elevé")</f>
        <v>0</v>
      </c>
      <c r="C63" s="258"/>
      <c r="D63" s="259" t="s">
        <v>63</v>
      </c>
      <c r="E63" s="259"/>
      <c r="F63" s="259"/>
      <c r="G63" s="260" t="s">
        <v>69</v>
      </c>
      <c r="H63" s="260"/>
      <c r="I63" s="260"/>
      <c r="J63" s="260"/>
      <c r="K63" s="260"/>
      <c r="L63" s="260"/>
      <c r="M63" s="255"/>
      <c r="N63" s="255"/>
      <c r="O63" s="255"/>
    </row>
    <row r="64" spans="1:15" ht="22.8">
      <c r="A64" s="255"/>
      <c r="B64" s="264"/>
      <c r="C64" s="258"/>
      <c r="D64" s="259"/>
      <c r="E64" s="259"/>
      <c r="F64" s="259"/>
      <c r="G64" s="261"/>
      <c r="H64" s="262"/>
      <c r="I64" s="255"/>
      <c r="J64" s="255"/>
      <c r="K64" s="255"/>
      <c r="L64" s="255"/>
      <c r="M64" s="255"/>
      <c r="N64" s="255"/>
      <c r="O64" s="255"/>
    </row>
    <row r="65" spans="1:15" ht="22.8">
      <c r="A65" s="255"/>
      <c r="B65" s="264"/>
      <c r="C65" s="258" t="s">
        <v>70</v>
      </c>
      <c r="D65" s="259"/>
      <c r="E65" s="259"/>
      <c r="F65" s="259"/>
      <c r="G65" s="261"/>
      <c r="H65" s="262"/>
      <c r="I65" s="255"/>
      <c r="J65" s="255"/>
      <c r="K65" s="255"/>
      <c r="L65" s="255"/>
      <c r="M65" s="255"/>
      <c r="N65" s="255"/>
      <c r="O65" s="255"/>
    </row>
    <row r="66" spans="1:15" ht="17.399999999999999">
      <c r="A66" s="255"/>
      <c r="B66" s="263" t="b">
        <f>AND(VEG!M21="correct",VEG!M35="Faible")</f>
        <v>1</v>
      </c>
      <c r="C66" s="266"/>
      <c r="D66" s="259" t="s">
        <v>56</v>
      </c>
      <c r="E66" s="259"/>
      <c r="F66" s="259"/>
      <c r="G66" s="261" t="s">
        <v>71</v>
      </c>
      <c r="H66" s="261"/>
      <c r="I66" s="261"/>
      <c r="J66" s="255"/>
      <c r="K66" s="255"/>
      <c r="L66" s="255"/>
      <c r="M66" s="255"/>
      <c r="N66" s="255"/>
      <c r="O66" s="255"/>
    </row>
    <row r="67" spans="1:15" ht="22.8">
      <c r="A67" s="255"/>
      <c r="B67" s="264"/>
      <c r="C67" s="259"/>
      <c r="D67" s="259"/>
      <c r="E67" s="259"/>
      <c r="F67" s="259"/>
      <c r="G67" s="261"/>
      <c r="H67" s="262"/>
      <c r="I67" s="255"/>
      <c r="J67" s="255"/>
      <c r="K67" s="255"/>
      <c r="L67" s="255"/>
      <c r="M67" s="255"/>
      <c r="N67" s="255"/>
      <c r="O67" s="255"/>
    </row>
    <row r="68" spans="1:15" ht="17.399999999999999">
      <c r="A68" s="255"/>
      <c r="B68" s="263" t="b">
        <f>AND(VEG!M21="correct",VEG!M35="correct")</f>
        <v>0</v>
      </c>
      <c r="C68" s="266"/>
      <c r="D68" s="259" t="s">
        <v>58</v>
      </c>
      <c r="E68" s="259"/>
      <c r="F68" s="259"/>
      <c r="G68" s="261" t="s">
        <v>72</v>
      </c>
      <c r="H68" s="261"/>
      <c r="I68" s="255"/>
      <c r="J68" s="255"/>
      <c r="K68" s="255"/>
      <c r="L68" s="255"/>
      <c r="M68" s="255"/>
      <c r="N68" s="255"/>
      <c r="O68" s="255"/>
    </row>
    <row r="69" spans="1:15" ht="22.8">
      <c r="A69" s="255"/>
      <c r="B69" s="264"/>
      <c r="C69" s="259"/>
      <c r="D69" s="259"/>
      <c r="E69" s="259"/>
      <c r="F69" s="259"/>
      <c r="G69" s="261"/>
      <c r="H69" s="262"/>
      <c r="I69" s="255"/>
      <c r="J69" s="255"/>
      <c r="K69" s="255"/>
      <c r="L69" s="255"/>
      <c r="M69" s="255"/>
      <c r="N69" s="255"/>
      <c r="O69" s="255"/>
    </row>
    <row r="70" spans="1:15" ht="17.399999999999999">
      <c r="A70" s="255"/>
      <c r="B70" s="263" t="b">
        <f>AND(VEG!M21="correct",VEG!M35="Elevé")</f>
        <v>0</v>
      </c>
      <c r="C70" s="266"/>
      <c r="D70" s="259" t="s">
        <v>63</v>
      </c>
      <c r="E70" s="259"/>
      <c r="F70" s="259"/>
      <c r="G70" s="261" t="s">
        <v>73</v>
      </c>
      <c r="H70" s="261"/>
      <c r="I70" s="261"/>
      <c r="J70" s="261"/>
      <c r="K70" s="261"/>
      <c r="L70" s="261"/>
      <c r="M70" s="261"/>
      <c r="N70" s="261"/>
      <c r="O70" s="261"/>
    </row>
    <row r="71" spans="1:15" ht="22.8">
      <c r="A71" s="255"/>
      <c r="B71" s="264"/>
      <c r="C71" s="258"/>
      <c r="D71" s="259"/>
      <c r="E71" s="259"/>
      <c r="F71" s="259"/>
      <c r="G71" s="260"/>
      <c r="H71" s="255"/>
      <c r="I71" s="255"/>
      <c r="J71" s="255"/>
      <c r="K71" s="255"/>
      <c r="L71" s="255"/>
      <c r="M71" s="255"/>
      <c r="N71" s="255"/>
      <c r="O71" s="255"/>
    </row>
    <row r="72" spans="1:15" ht="22.8">
      <c r="A72" s="255"/>
      <c r="B72" s="264"/>
      <c r="C72" s="258" t="s">
        <v>74</v>
      </c>
      <c r="D72" s="259"/>
      <c r="E72" s="259"/>
      <c r="F72" s="259"/>
      <c r="G72" s="261"/>
      <c r="H72" s="262"/>
      <c r="I72" s="255"/>
      <c r="J72" s="255"/>
      <c r="K72" s="255"/>
      <c r="L72" s="255"/>
      <c r="M72" s="255"/>
      <c r="N72" s="255"/>
      <c r="O72" s="255"/>
    </row>
    <row r="73" spans="1:15" ht="17.399999999999999">
      <c r="A73" s="255"/>
      <c r="B73" s="263" t="b">
        <f>AND(VEG!M21="Elevé",VEG!M35="Faible")</f>
        <v>0</v>
      </c>
      <c r="C73" s="266"/>
      <c r="D73" s="259" t="s">
        <v>56</v>
      </c>
      <c r="E73" s="259"/>
      <c r="F73" s="259"/>
      <c r="G73" s="261" t="s">
        <v>75</v>
      </c>
      <c r="H73" s="261"/>
      <c r="I73" s="261"/>
      <c r="J73" s="261"/>
      <c r="K73" s="261"/>
      <c r="L73" s="261"/>
      <c r="M73" s="255"/>
      <c r="N73" s="255"/>
      <c r="O73" s="255"/>
    </row>
    <row r="74" spans="1:15" ht="22.8">
      <c r="A74" s="255"/>
      <c r="B74" s="264"/>
      <c r="C74" s="259"/>
      <c r="D74" s="259"/>
      <c r="E74" s="259"/>
      <c r="F74" s="259"/>
      <c r="G74" s="261"/>
      <c r="H74" s="262"/>
      <c r="I74" s="255"/>
      <c r="J74" s="255"/>
      <c r="K74" s="255"/>
      <c r="L74" s="255"/>
      <c r="M74" s="255"/>
      <c r="N74" s="255"/>
      <c r="O74" s="255"/>
    </row>
    <row r="75" spans="1:15" ht="22.8">
      <c r="A75" s="255"/>
      <c r="B75" s="264"/>
      <c r="C75" s="266"/>
      <c r="D75" s="259" t="s">
        <v>58</v>
      </c>
      <c r="E75" s="259"/>
      <c r="F75" s="259"/>
      <c r="G75" s="261"/>
      <c r="H75" s="262"/>
      <c r="I75" s="255"/>
      <c r="J75" s="255"/>
      <c r="K75" s="255"/>
      <c r="L75" s="255"/>
      <c r="M75" s="255"/>
      <c r="N75" s="255"/>
      <c r="O75" s="255"/>
    </row>
    <row r="76" spans="1:15" ht="17.399999999999999">
      <c r="A76" s="255"/>
      <c r="B76" s="263" t="b">
        <f>AND(VEG!M21="Elevé",VEG!M35="correct",VEG!M37="Faible")</f>
        <v>0</v>
      </c>
      <c r="C76" s="259"/>
      <c r="D76" s="265" t="s">
        <v>59</v>
      </c>
      <c r="E76" s="259" t="s">
        <v>30</v>
      </c>
      <c r="F76" s="259"/>
      <c r="G76" s="261" t="s">
        <v>76</v>
      </c>
      <c r="H76" s="261"/>
      <c r="I76" s="261"/>
      <c r="J76" s="255"/>
      <c r="K76" s="255"/>
      <c r="L76" s="255"/>
      <c r="M76" s="255"/>
      <c r="N76" s="255"/>
      <c r="O76" s="255"/>
    </row>
    <row r="77" spans="1:15" ht="17.399999999999999">
      <c r="A77" s="255"/>
      <c r="B77" s="263" t="b">
        <f>AND(VEG!M21="Elevé",VEG!M35="correct",VEG!M37="correct")</f>
        <v>0</v>
      </c>
      <c r="C77" s="259"/>
      <c r="D77" s="265" t="s">
        <v>59</v>
      </c>
      <c r="E77" s="259" t="s">
        <v>32</v>
      </c>
      <c r="F77" s="259"/>
      <c r="G77" s="261" t="s">
        <v>77</v>
      </c>
      <c r="H77" s="261"/>
      <c r="I77" s="261"/>
      <c r="J77" s="261"/>
      <c r="K77" s="255"/>
      <c r="L77" s="255"/>
      <c r="M77" s="255"/>
      <c r="N77" s="255"/>
      <c r="O77" s="255"/>
    </row>
    <row r="78" spans="1:15" ht="17.399999999999999">
      <c r="A78" s="255"/>
      <c r="B78" s="263" t="b">
        <f>AND(VEG!M21="Elevé",VEG!M35="correct",VEG!M37="Elevé")</f>
        <v>0</v>
      </c>
      <c r="C78" s="258"/>
      <c r="D78" s="259"/>
      <c r="E78" s="259" t="s">
        <v>34</v>
      </c>
      <c r="F78" s="259"/>
      <c r="G78" s="261" t="s">
        <v>78</v>
      </c>
      <c r="H78" s="261"/>
      <c r="I78" s="261"/>
      <c r="J78" s="255"/>
      <c r="K78" s="255"/>
      <c r="L78" s="255"/>
      <c r="M78" s="255"/>
      <c r="N78" s="255"/>
      <c r="O78" s="255"/>
    </row>
    <row r="79" spans="1:15" ht="22.8">
      <c r="A79" s="255"/>
      <c r="B79" s="264"/>
      <c r="C79" s="259"/>
      <c r="D79" s="259"/>
      <c r="E79" s="259"/>
      <c r="F79" s="259"/>
      <c r="G79" s="261"/>
      <c r="H79" s="262"/>
      <c r="I79" s="255"/>
      <c r="J79" s="255"/>
      <c r="K79" s="255"/>
      <c r="L79" s="255"/>
      <c r="M79" s="255"/>
      <c r="N79" s="255"/>
      <c r="O79" s="255"/>
    </row>
    <row r="80" spans="1:15" ht="17.399999999999999">
      <c r="A80" s="255"/>
      <c r="B80" s="263" t="b">
        <f>AND(VEG!M21="Elevé",VEG!M35="Elevé")</f>
        <v>0</v>
      </c>
      <c r="C80" s="266"/>
      <c r="D80" s="259" t="s">
        <v>63</v>
      </c>
      <c r="E80" s="259"/>
      <c r="F80" s="259"/>
      <c r="G80" s="261" t="s">
        <v>79</v>
      </c>
      <c r="H80" s="261"/>
      <c r="I80" s="261"/>
      <c r="J80" s="261"/>
      <c r="K80" s="261"/>
      <c r="L80" s="255"/>
      <c r="M80" s="255"/>
      <c r="N80" s="255"/>
      <c r="O80" s="255"/>
    </row>
    <row r="81" spans="1:15" ht="22.8">
      <c r="A81" s="255"/>
      <c r="B81" s="264"/>
      <c r="C81" s="258"/>
      <c r="D81" s="259"/>
      <c r="E81" s="259"/>
      <c r="F81" s="259"/>
      <c r="G81" s="260"/>
      <c r="H81" s="255"/>
      <c r="I81" s="255"/>
      <c r="J81" s="255"/>
      <c r="K81" s="255"/>
      <c r="L81" s="255"/>
      <c r="M81" s="255"/>
      <c r="N81" s="255"/>
      <c r="O81" s="255"/>
    </row>
    <row r="82" spans="1:15" ht="22.8">
      <c r="A82" s="255"/>
      <c r="B82" s="264"/>
      <c r="C82" s="258" t="s">
        <v>80</v>
      </c>
      <c r="D82" s="259"/>
      <c r="E82" s="259"/>
      <c r="F82" s="259"/>
      <c r="G82" s="261"/>
      <c r="H82" s="262"/>
      <c r="I82" s="255"/>
      <c r="J82" s="255"/>
      <c r="K82" s="255"/>
      <c r="L82" s="255"/>
      <c r="M82" s="255"/>
      <c r="N82" s="255"/>
      <c r="O82" s="255"/>
    </row>
    <row r="83" spans="1:15" ht="17.399999999999999">
      <c r="A83" s="255"/>
      <c r="B83" s="263" t="b">
        <f>AND(VEG!M21="Très élevé",VEG!M35="Faible")</f>
        <v>0</v>
      </c>
      <c r="C83" s="266"/>
      <c r="D83" s="259" t="s">
        <v>56</v>
      </c>
      <c r="E83" s="259"/>
      <c r="F83" s="259"/>
      <c r="G83" s="261" t="s">
        <v>81</v>
      </c>
      <c r="H83" s="261"/>
      <c r="I83" s="261"/>
      <c r="J83" s="261"/>
      <c r="K83" s="261"/>
      <c r="L83" s="261"/>
      <c r="M83" s="255"/>
      <c r="N83" s="255"/>
      <c r="O83" s="255"/>
    </row>
    <row r="84" spans="1:15" ht="22.8">
      <c r="A84" s="255"/>
      <c r="B84" s="264"/>
      <c r="C84" s="259"/>
      <c r="D84" s="259"/>
      <c r="E84" s="259"/>
      <c r="F84" s="259"/>
      <c r="G84" s="261"/>
      <c r="H84" s="262"/>
      <c r="I84" s="255"/>
      <c r="J84" s="255"/>
      <c r="K84" s="255"/>
      <c r="L84" s="255"/>
      <c r="M84" s="255"/>
      <c r="N84" s="255"/>
      <c r="O84" s="255"/>
    </row>
    <row r="85" spans="1:15" ht="22.8">
      <c r="A85" s="255"/>
      <c r="B85" s="264"/>
      <c r="C85" s="266"/>
      <c r="D85" s="259" t="s">
        <v>58</v>
      </c>
      <c r="E85" s="259"/>
      <c r="F85" s="259"/>
      <c r="G85" s="261"/>
      <c r="H85" s="262"/>
      <c r="I85" s="255"/>
      <c r="J85" s="255"/>
      <c r="K85" s="255"/>
      <c r="L85" s="255"/>
      <c r="M85" s="255"/>
      <c r="N85" s="255"/>
      <c r="O85" s="255"/>
    </row>
    <row r="86" spans="1:15" ht="17.399999999999999">
      <c r="A86" s="255"/>
      <c r="B86" s="263" t="b">
        <f>AND(VEG!M21="Très élevé",VEG!M35="correct",VEG!M37="Elevé")</f>
        <v>0</v>
      </c>
      <c r="C86" s="258"/>
      <c r="D86" s="259"/>
      <c r="E86" s="259" t="s">
        <v>34</v>
      </c>
      <c r="F86" s="259"/>
      <c r="G86" s="261" t="s">
        <v>82</v>
      </c>
      <c r="H86" s="261"/>
      <c r="I86" s="261"/>
      <c r="J86" s="255"/>
      <c r="K86" s="255"/>
      <c r="L86" s="255"/>
      <c r="M86" s="255"/>
      <c r="N86" s="255"/>
      <c r="O86" s="255"/>
    </row>
    <row r="87" spans="1:15" ht="17.399999999999999">
      <c r="A87" s="255"/>
      <c r="B87" s="263" t="b">
        <f>AND(VEG!M21="Très élevé",VEG!M35="correct",VEG!M37="correct")</f>
        <v>0</v>
      </c>
      <c r="C87" s="259"/>
      <c r="D87" s="265" t="s">
        <v>59</v>
      </c>
      <c r="E87" s="259" t="s">
        <v>32</v>
      </c>
      <c r="F87" s="259"/>
      <c r="G87" s="261" t="s">
        <v>83</v>
      </c>
      <c r="H87" s="261"/>
      <c r="I87" s="261"/>
      <c r="J87" s="261"/>
      <c r="K87" s="255"/>
      <c r="L87" s="255"/>
      <c r="M87" s="255"/>
      <c r="N87" s="255"/>
      <c r="O87" s="255"/>
    </row>
    <row r="88" spans="1:15" ht="17.399999999999999">
      <c r="A88" s="255"/>
      <c r="B88" s="263" t="b">
        <f>AND(VEG!M21="Très élevé",VEG!M35="correct",VEG!M37="Faible")</f>
        <v>0</v>
      </c>
      <c r="C88" s="259"/>
      <c r="D88" s="265" t="s">
        <v>59</v>
      </c>
      <c r="E88" s="259" t="s">
        <v>30</v>
      </c>
      <c r="F88" s="259"/>
      <c r="G88" s="261" t="s">
        <v>84</v>
      </c>
      <c r="H88" s="261"/>
      <c r="I88" s="261"/>
      <c r="J88" s="255"/>
      <c r="K88" s="255"/>
      <c r="L88" s="255"/>
      <c r="M88" s="255"/>
      <c r="N88" s="255"/>
      <c r="O88" s="255"/>
    </row>
    <row r="89" spans="1:15" ht="22.8">
      <c r="A89" s="255"/>
      <c r="B89" s="264"/>
      <c r="C89" s="259"/>
      <c r="D89" s="259"/>
      <c r="E89" s="259"/>
      <c r="F89" s="259"/>
      <c r="G89" s="261"/>
      <c r="H89" s="262"/>
      <c r="I89" s="255"/>
      <c r="J89" s="255"/>
      <c r="K89" s="255"/>
      <c r="L89" s="255"/>
      <c r="M89" s="255"/>
      <c r="N89" s="255"/>
      <c r="O89" s="255"/>
    </row>
    <row r="90" spans="1:15" ht="17.399999999999999">
      <c r="A90" s="255"/>
      <c r="B90" s="263" t="b">
        <f>AND(VEG!M21="Très élevé",VEG!M35="Elevé")</f>
        <v>0</v>
      </c>
      <c r="C90" s="266"/>
      <c r="D90" s="259" t="s">
        <v>63</v>
      </c>
      <c r="E90" s="259"/>
      <c r="F90" s="259"/>
      <c r="G90" s="261" t="s">
        <v>85</v>
      </c>
      <c r="H90" s="261"/>
      <c r="I90" s="261"/>
      <c r="J90" s="261"/>
      <c r="K90" s="261"/>
      <c r="L90" s="255"/>
      <c r="M90" s="255"/>
      <c r="N90" s="255"/>
      <c r="O90" s="255"/>
    </row>
    <row r="91" spans="1:15" ht="22.8">
      <c r="A91" s="255"/>
      <c r="B91" s="264"/>
      <c r="C91" s="258"/>
      <c r="D91" s="259" t="s">
        <v>59</v>
      </c>
      <c r="E91" s="259"/>
      <c r="F91" s="259"/>
      <c r="G91" s="261"/>
      <c r="H91" s="262"/>
      <c r="I91" s="255"/>
      <c r="J91" s="255"/>
      <c r="K91" s="255"/>
      <c r="L91" s="255"/>
      <c r="M91" s="255"/>
      <c r="N91" s="255"/>
      <c r="O91" s="255"/>
    </row>
    <row r="92" spans="1:15" ht="22.8">
      <c r="A92" s="255"/>
      <c r="B92" s="264"/>
      <c r="C92" s="258"/>
      <c r="D92" s="259"/>
      <c r="E92" s="259"/>
      <c r="F92" s="259"/>
      <c r="G92" s="261"/>
      <c r="H92" s="262"/>
      <c r="I92" s="255"/>
      <c r="J92" s="255"/>
      <c r="K92" s="255"/>
      <c r="L92" s="255"/>
      <c r="M92" s="255"/>
      <c r="N92" s="255"/>
      <c r="O92" s="255"/>
    </row>
    <row r="93" spans="1:15" ht="22.8">
      <c r="A93" s="255"/>
      <c r="B93" s="264"/>
      <c r="C93" s="258"/>
      <c r="D93" s="259"/>
      <c r="E93" s="259"/>
      <c r="F93" s="259"/>
      <c r="G93" s="260"/>
      <c r="H93" s="255"/>
      <c r="I93" s="255"/>
      <c r="J93" s="255"/>
      <c r="K93" s="255"/>
      <c r="L93" s="255"/>
      <c r="M93" s="255"/>
      <c r="N93" s="255"/>
      <c r="O93" s="255"/>
    </row>
    <row r="94" spans="1:15" ht="22.8">
      <c r="A94" s="255"/>
      <c r="B94" s="264"/>
      <c r="C94" s="258"/>
      <c r="D94" s="259"/>
      <c r="E94" s="259"/>
      <c r="F94" s="259"/>
      <c r="G94" s="260"/>
      <c r="H94" s="255"/>
      <c r="I94" s="255"/>
      <c r="J94" s="255"/>
      <c r="K94" s="255"/>
      <c r="L94" s="255"/>
      <c r="M94" s="255"/>
      <c r="N94" s="255"/>
      <c r="O94" s="255"/>
    </row>
    <row r="95" spans="1:15" ht="22.8">
      <c r="A95" s="255"/>
      <c r="B95" s="264" t="s">
        <v>86</v>
      </c>
      <c r="C95" s="256"/>
      <c r="D95" s="259"/>
      <c r="E95" s="259"/>
      <c r="F95" s="259"/>
      <c r="G95" s="260"/>
      <c r="H95" s="255"/>
      <c r="I95" s="255"/>
      <c r="J95" s="255"/>
      <c r="K95" s="255"/>
      <c r="L95" s="255"/>
      <c r="M95" s="255"/>
      <c r="N95" s="255"/>
      <c r="O95" s="255"/>
    </row>
    <row r="96" spans="1:15" ht="22.8">
      <c r="A96" s="255"/>
      <c r="B96" s="264"/>
      <c r="C96" s="258"/>
      <c r="D96" s="259"/>
      <c r="E96" s="259"/>
      <c r="F96" s="259"/>
      <c r="G96" s="261"/>
      <c r="H96" s="262"/>
      <c r="I96" s="255"/>
      <c r="J96" s="255"/>
      <c r="K96" s="255"/>
      <c r="L96" s="255"/>
      <c r="M96" s="255"/>
      <c r="N96" s="255"/>
      <c r="O96" s="255"/>
    </row>
    <row r="97" spans="1:15" ht="22.8">
      <c r="A97" s="255"/>
      <c r="B97" s="264"/>
      <c r="C97" s="258" t="s">
        <v>87</v>
      </c>
      <c r="D97" s="259"/>
      <c r="E97" s="259"/>
      <c r="F97" s="259"/>
      <c r="G97" s="261"/>
      <c r="H97" s="262"/>
      <c r="I97" s="255"/>
      <c r="J97" s="255"/>
      <c r="K97" s="255"/>
      <c r="L97" s="255"/>
      <c r="M97" s="255"/>
      <c r="N97" s="255"/>
      <c r="O97" s="255"/>
    </row>
    <row r="98" spans="1:15" ht="22.8">
      <c r="A98" s="255"/>
      <c r="B98" s="264"/>
      <c r="C98" s="258"/>
      <c r="D98" s="259" t="s">
        <v>88</v>
      </c>
      <c r="E98" s="259"/>
      <c r="F98" s="259"/>
      <c r="G98" s="261"/>
      <c r="H98" s="262"/>
      <c r="I98" s="255"/>
      <c r="J98" s="255"/>
      <c r="K98" s="255"/>
      <c r="L98" s="255"/>
      <c r="M98" s="255"/>
      <c r="N98" s="255"/>
      <c r="O98" s="255"/>
    </row>
    <row r="99" spans="1:15" ht="17.399999999999999">
      <c r="A99" s="255" t="str">
        <f>"*"&amp;VLOOKUP(TRUE,B99:G176,1+5,0)</f>
        <v>*Teneur correcte en potassium, il est inutile d'accentuer les apports en cet élément.</v>
      </c>
      <c r="B99" s="263" t="b">
        <f>AND(VEG!M22="Très faible",VEG!M36="Faible",VEG!M37="Faible")</f>
        <v>0</v>
      </c>
      <c r="C99" s="258"/>
      <c r="D99" s="259"/>
      <c r="E99" s="259" t="s">
        <v>30</v>
      </c>
      <c r="F99" s="259"/>
      <c r="G99" s="261" t="s">
        <v>89</v>
      </c>
      <c r="H99" s="261"/>
      <c r="I99" s="261"/>
      <c r="J99" s="261"/>
      <c r="K99" s="261"/>
      <c r="L99" s="261"/>
      <c r="M99" s="261"/>
      <c r="N99" s="261"/>
      <c r="O99" s="261"/>
    </row>
    <row r="100" spans="1:15" ht="17.399999999999999">
      <c r="A100" s="255"/>
      <c r="B100" s="263" t="b">
        <f>AND(VEG!M22="Très faible",VEG!M36="Faible",VEG!M37="correct")</f>
        <v>0</v>
      </c>
      <c r="C100" s="258"/>
      <c r="D100" s="259"/>
      <c r="E100" s="259" t="s">
        <v>32</v>
      </c>
      <c r="F100" s="259"/>
      <c r="G100" s="261" t="s">
        <v>90</v>
      </c>
      <c r="H100" s="261"/>
      <c r="I100" s="261"/>
      <c r="J100" s="255"/>
      <c r="K100" s="255"/>
      <c r="L100" s="255"/>
      <c r="M100" s="255"/>
      <c r="N100" s="255"/>
      <c r="O100" s="255"/>
    </row>
    <row r="101" spans="1:15" ht="17.399999999999999">
      <c r="A101" s="255"/>
      <c r="B101" s="263" t="b">
        <f>AND(VEG!M22="Très faible",VEG!M36="Faible",VEG!M37="Elevé")</f>
        <v>0</v>
      </c>
      <c r="C101" s="258"/>
      <c r="D101" s="259"/>
      <c r="E101" s="259" t="s">
        <v>34</v>
      </c>
      <c r="F101" s="259"/>
      <c r="G101" s="261" t="s">
        <v>91</v>
      </c>
      <c r="H101" s="261"/>
      <c r="I101" s="261"/>
      <c r="J101" s="255"/>
      <c r="K101" s="255"/>
      <c r="L101" s="255"/>
      <c r="M101" s="255"/>
      <c r="N101" s="255"/>
      <c r="O101" s="255"/>
    </row>
    <row r="102" spans="1:15" ht="22.8">
      <c r="A102" s="255"/>
      <c r="B102" s="264"/>
      <c r="C102" s="258"/>
      <c r="D102" s="259"/>
      <c r="E102" s="259"/>
      <c r="F102" s="259"/>
      <c r="G102" s="261"/>
      <c r="H102" s="262"/>
      <c r="I102" s="255"/>
      <c r="J102" s="255"/>
      <c r="K102" s="255"/>
      <c r="L102" s="255"/>
      <c r="M102" s="255"/>
      <c r="N102" s="255"/>
      <c r="O102" s="255"/>
    </row>
    <row r="103" spans="1:15" ht="22.8">
      <c r="A103" s="255"/>
      <c r="B103" s="264"/>
      <c r="C103" s="258"/>
      <c r="D103" s="259" t="s">
        <v>92</v>
      </c>
      <c r="E103" s="259"/>
      <c r="F103" s="259"/>
      <c r="G103" s="261"/>
      <c r="H103" s="262"/>
      <c r="I103" s="255"/>
      <c r="J103" s="255"/>
      <c r="K103" s="255"/>
      <c r="L103" s="255"/>
      <c r="M103" s="255"/>
      <c r="N103" s="255"/>
      <c r="O103" s="255"/>
    </row>
    <row r="104" spans="1:15" ht="17.399999999999999">
      <c r="A104" s="255"/>
      <c r="B104" s="263" t="b">
        <f>AND(VEG!M22="Très faible",VEG!M36="correct",VEG!M37="Faible")</f>
        <v>0</v>
      </c>
      <c r="C104" s="258"/>
      <c r="D104" s="259"/>
      <c r="E104" s="259" t="s">
        <v>30</v>
      </c>
      <c r="F104" s="259"/>
      <c r="G104" s="261" t="s">
        <v>93</v>
      </c>
      <c r="H104" s="261"/>
      <c r="I104" s="261"/>
      <c r="J104" s="261"/>
      <c r="K104" s="255"/>
      <c r="L104" s="255"/>
      <c r="M104" s="255"/>
      <c r="N104" s="255"/>
      <c r="O104" s="255"/>
    </row>
    <row r="105" spans="1:15" ht="17.399999999999999">
      <c r="A105" s="255"/>
      <c r="B105" s="263" t="b">
        <f>AND(VEG!M22="Très faible",VEG!M36="correct",VEG!M37="correct")</f>
        <v>0</v>
      </c>
      <c r="C105" s="258"/>
      <c r="D105" s="259"/>
      <c r="E105" s="259" t="s">
        <v>32</v>
      </c>
      <c r="F105" s="259"/>
      <c r="G105" s="261" t="s">
        <v>90</v>
      </c>
      <c r="H105" s="261"/>
      <c r="I105" s="261"/>
      <c r="J105" s="255"/>
      <c r="K105" s="255"/>
      <c r="L105" s="255"/>
      <c r="M105" s="255"/>
      <c r="N105" s="255"/>
      <c r="O105" s="255"/>
    </row>
    <row r="106" spans="1:15" ht="17.399999999999999">
      <c r="A106" s="255"/>
      <c r="B106" s="263" t="b">
        <f>AND(VEG!M22="Très faible",VEG!M36="correct",VEG!M37="Elevé")</f>
        <v>0</v>
      </c>
      <c r="C106" s="258"/>
      <c r="D106" s="259"/>
      <c r="E106" s="259" t="s">
        <v>34</v>
      </c>
      <c r="F106" s="259"/>
      <c r="G106" s="261" t="s">
        <v>93</v>
      </c>
      <c r="H106" s="261"/>
      <c r="I106" s="261"/>
      <c r="J106" s="261"/>
      <c r="K106" s="255"/>
      <c r="L106" s="255"/>
      <c r="M106" s="255"/>
      <c r="N106" s="255"/>
      <c r="O106" s="255"/>
    </row>
    <row r="107" spans="1:15" ht="22.8">
      <c r="A107" s="255"/>
      <c r="B107" s="264"/>
      <c r="C107" s="258"/>
      <c r="D107" s="259"/>
      <c r="E107" s="259"/>
      <c r="F107" s="259"/>
      <c r="G107" s="261"/>
      <c r="H107" s="262"/>
      <c r="I107" s="255"/>
      <c r="J107" s="255"/>
      <c r="K107" s="255"/>
      <c r="L107" s="255"/>
      <c r="M107" s="255"/>
      <c r="N107" s="255"/>
      <c r="O107" s="255"/>
    </row>
    <row r="108" spans="1:15" ht="17.399999999999999">
      <c r="A108" s="255"/>
      <c r="B108" s="263" t="b">
        <f>AND(VEG!M22="Très faible",VEG!M36="Elevé",VEG!M37="Faible")</f>
        <v>0</v>
      </c>
      <c r="C108" s="258"/>
      <c r="D108" s="259" t="s">
        <v>94</v>
      </c>
      <c r="E108" s="259" t="s">
        <v>30</v>
      </c>
      <c r="F108" s="259"/>
      <c r="G108" s="260" t="s">
        <v>95</v>
      </c>
      <c r="H108" s="260"/>
      <c r="I108" s="260"/>
      <c r="J108" s="260"/>
      <c r="K108" s="260"/>
      <c r="L108" s="260"/>
      <c r="M108" s="255"/>
      <c r="N108" s="255"/>
      <c r="O108" s="255"/>
    </row>
    <row r="109" spans="1:15" ht="17.399999999999999">
      <c r="A109" s="255"/>
      <c r="B109" s="263" t="b">
        <f>AND(VEG!M22="Très faible",VEG!M36="Elevé",VEG!M37="correct")</f>
        <v>0</v>
      </c>
      <c r="C109" s="258"/>
      <c r="D109" s="259"/>
      <c r="E109" s="259" t="s">
        <v>32</v>
      </c>
      <c r="F109" s="259"/>
      <c r="G109" s="260" t="s">
        <v>95</v>
      </c>
      <c r="H109" s="260"/>
      <c r="I109" s="260"/>
      <c r="J109" s="260"/>
      <c r="K109" s="260"/>
      <c r="L109" s="260"/>
      <c r="M109" s="255"/>
      <c r="N109" s="255"/>
      <c r="O109" s="255"/>
    </row>
    <row r="110" spans="1:15" ht="17.399999999999999">
      <c r="A110" s="255"/>
      <c r="B110" s="263" t="b">
        <f>AND(VEG!M22="Très faible",VEG!M36="Elevé",VEG!M37="Elevé")</f>
        <v>0</v>
      </c>
      <c r="C110" s="258"/>
      <c r="D110" s="259"/>
      <c r="E110" s="259" t="s">
        <v>34</v>
      </c>
      <c r="F110" s="259"/>
      <c r="G110" s="260" t="s">
        <v>95</v>
      </c>
      <c r="H110" s="260"/>
      <c r="I110" s="260"/>
      <c r="J110" s="260"/>
      <c r="K110" s="260"/>
      <c r="L110" s="260"/>
      <c r="M110" s="255"/>
      <c r="N110" s="255"/>
      <c r="O110" s="255"/>
    </row>
    <row r="111" spans="1:15" ht="22.8">
      <c r="A111" s="255"/>
      <c r="B111" s="264"/>
      <c r="C111" s="258"/>
      <c r="D111" s="259"/>
      <c r="E111" s="259"/>
      <c r="F111" s="259"/>
      <c r="G111" s="260"/>
      <c r="H111" s="262"/>
      <c r="I111" s="255"/>
      <c r="J111" s="255"/>
      <c r="K111" s="255"/>
      <c r="L111" s="255"/>
      <c r="M111" s="255"/>
      <c r="N111" s="255"/>
      <c r="O111" s="255"/>
    </row>
    <row r="112" spans="1:15" ht="22.8">
      <c r="A112" s="255"/>
      <c r="B112" s="264"/>
      <c r="C112" s="258" t="s">
        <v>96</v>
      </c>
      <c r="D112" s="259"/>
      <c r="E112" s="259"/>
      <c r="F112" s="259"/>
      <c r="G112" s="261"/>
      <c r="H112" s="262"/>
      <c r="I112" s="255"/>
      <c r="J112" s="255"/>
      <c r="K112" s="255"/>
      <c r="L112" s="255"/>
      <c r="M112" s="255"/>
      <c r="N112" s="255"/>
      <c r="O112" s="255"/>
    </row>
    <row r="113" spans="1:15" ht="22.8">
      <c r="A113" s="255"/>
      <c r="B113" s="264"/>
      <c r="C113" s="258"/>
      <c r="D113" s="259" t="s">
        <v>88</v>
      </c>
      <c r="E113" s="259"/>
      <c r="F113" s="259"/>
      <c r="G113" s="261"/>
      <c r="H113" s="262"/>
      <c r="I113" s="255"/>
      <c r="J113" s="255"/>
      <c r="K113" s="255"/>
      <c r="L113" s="255"/>
      <c r="M113" s="255"/>
      <c r="N113" s="255"/>
      <c r="O113" s="255"/>
    </row>
    <row r="114" spans="1:15" ht="17.399999999999999">
      <c r="A114" s="255"/>
      <c r="B114" s="263" t="b">
        <f>AND(VEG!M22="Faible",VEG!M36="Faible",VEG!M37="Faible")</f>
        <v>0</v>
      </c>
      <c r="C114" s="258"/>
      <c r="D114" s="259"/>
      <c r="E114" s="259" t="s">
        <v>30</v>
      </c>
      <c r="F114" s="259"/>
      <c r="G114" s="261" t="s">
        <v>97</v>
      </c>
      <c r="H114" s="261"/>
      <c r="I114" s="261"/>
      <c r="J114" s="261"/>
      <c r="K114" s="261"/>
      <c r="L114" s="261"/>
      <c r="M114" s="261"/>
      <c r="N114" s="261"/>
      <c r="O114" s="261"/>
    </row>
    <row r="115" spans="1:15" ht="17.399999999999999">
      <c r="A115" s="255"/>
      <c r="B115" s="263" t="b">
        <f>AND(VEG!M22="Faible",VEG!M36="Faible",VEG!M37="correct")</f>
        <v>0</v>
      </c>
      <c r="C115" s="258"/>
      <c r="D115" s="259"/>
      <c r="E115" s="259" t="s">
        <v>32</v>
      </c>
      <c r="F115" s="259"/>
      <c r="G115" s="261" t="s">
        <v>98</v>
      </c>
      <c r="H115" s="261"/>
      <c r="I115" s="261"/>
      <c r="J115" s="255"/>
      <c r="K115" s="255"/>
      <c r="L115" s="255"/>
      <c r="M115" s="255"/>
      <c r="N115" s="255"/>
      <c r="O115" s="255"/>
    </row>
    <row r="116" spans="1:15" s="272" customFormat="1" ht="17.399999999999999">
      <c r="A116" s="267"/>
      <c r="B116" s="268" t="b">
        <f>AND(VEG!M22="Faible",VEG!M36="Faible",VEG!M37="Elevé")</f>
        <v>0</v>
      </c>
      <c r="C116" s="269"/>
      <c r="D116" s="270"/>
      <c r="E116" s="270" t="s">
        <v>34</v>
      </c>
      <c r="F116" s="270"/>
      <c r="G116" s="271" t="s">
        <v>99</v>
      </c>
      <c r="H116" s="271"/>
      <c r="I116" s="271"/>
      <c r="J116" s="267"/>
      <c r="K116" s="267"/>
      <c r="L116" s="267"/>
      <c r="M116" s="267"/>
      <c r="N116" s="267"/>
      <c r="O116" s="267"/>
    </row>
    <row r="117" spans="1:15" ht="22.8">
      <c r="A117" s="255"/>
      <c r="B117" s="264"/>
      <c r="C117" s="258"/>
      <c r="D117" s="259"/>
      <c r="E117" s="259"/>
      <c r="F117" s="259"/>
      <c r="G117" s="261"/>
      <c r="H117" s="262"/>
      <c r="I117" s="255"/>
      <c r="J117" s="255"/>
      <c r="K117" s="255"/>
      <c r="L117" s="255"/>
      <c r="M117" s="255"/>
      <c r="N117" s="255"/>
      <c r="O117" s="255"/>
    </row>
    <row r="118" spans="1:15" ht="22.8">
      <c r="A118" s="255"/>
      <c r="B118" s="264"/>
      <c r="C118" s="258"/>
      <c r="D118" s="259" t="s">
        <v>92</v>
      </c>
      <c r="E118" s="259"/>
      <c r="F118" s="259"/>
      <c r="G118" s="261"/>
      <c r="H118" s="262"/>
      <c r="I118" s="255"/>
      <c r="J118" s="255"/>
      <c r="K118" s="255"/>
      <c r="L118" s="255"/>
      <c r="M118" s="255"/>
      <c r="N118" s="255"/>
      <c r="O118" s="255"/>
    </row>
    <row r="119" spans="1:15" ht="17.399999999999999">
      <c r="A119" s="255"/>
      <c r="B119" s="263" t="b">
        <f>AND(VEG!M22="Faible",VEG!M36="correct",VEG!M37="Faible")</f>
        <v>0</v>
      </c>
      <c r="C119" s="258"/>
      <c r="D119" s="259"/>
      <c r="E119" s="259" t="s">
        <v>30</v>
      </c>
      <c r="F119" s="258"/>
      <c r="G119" s="261" t="s">
        <v>100</v>
      </c>
      <c r="H119" s="261"/>
      <c r="I119" s="261"/>
      <c r="J119" s="255"/>
      <c r="K119" s="255"/>
      <c r="L119" s="255"/>
      <c r="M119" s="255"/>
      <c r="N119" s="255"/>
      <c r="O119" s="255"/>
    </row>
    <row r="120" spans="1:15" ht="17.399999999999999">
      <c r="A120" s="255"/>
      <c r="B120" s="263" t="b">
        <f>AND(VEG!M22="Faible",VEG!M36="correct",VEG!M37="correct")</f>
        <v>0</v>
      </c>
      <c r="C120" s="258"/>
      <c r="D120" s="259"/>
      <c r="E120" s="259" t="s">
        <v>32</v>
      </c>
      <c r="F120" s="259"/>
      <c r="G120" s="261" t="s">
        <v>98</v>
      </c>
      <c r="H120" s="261"/>
      <c r="I120" s="261"/>
      <c r="J120" s="255"/>
      <c r="K120" s="255"/>
      <c r="L120" s="255"/>
      <c r="M120" s="255"/>
      <c r="N120" s="255"/>
      <c r="O120" s="255"/>
    </row>
    <row r="121" spans="1:15" ht="17.399999999999999">
      <c r="A121" s="255"/>
      <c r="B121" s="263" t="b">
        <f>AND(VEG!M22="Faible",VEG!M36="correct",VEG!M37="Elevé")</f>
        <v>0</v>
      </c>
      <c r="C121" s="258"/>
      <c r="D121" s="259"/>
      <c r="E121" s="259" t="s">
        <v>34</v>
      </c>
      <c r="F121" s="259"/>
      <c r="G121" s="261" t="s">
        <v>100</v>
      </c>
      <c r="H121" s="261"/>
      <c r="I121" s="261"/>
      <c r="J121" s="255"/>
      <c r="K121" s="255"/>
      <c r="L121" s="255"/>
      <c r="M121" s="255"/>
      <c r="N121" s="255"/>
      <c r="O121" s="255"/>
    </row>
    <row r="122" spans="1:15" ht="22.8">
      <c r="A122" s="255"/>
      <c r="B122" s="264"/>
      <c r="C122" s="258"/>
      <c r="D122" s="259"/>
      <c r="E122" s="259"/>
      <c r="F122" s="259"/>
      <c r="G122" s="261"/>
      <c r="H122" s="262"/>
      <c r="I122" s="255"/>
      <c r="J122" s="255"/>
      <c r="K122" s="255"/>
      <c r="L122" s="255"/>
      <c r="M122" s="255"/>
      <c r="N122" s="255"/>
      <c r="O122" s="255"/>
    </row>
    <row r="123" spans="1:15" ht="22.8">
      <c r="A123" s="255"/>
      <c r="B123" s="264"/>
      <c r="C123" s="258"/>
      <c r="D123" s="259" t="s">
        <v>94</v>
      </c>
      <c r="E123" s="259"/>
      <c r="F123" s="259"/>
      <c r="G123" s="260"/>
      <c r="H123" s="255"/>
      <c r="I123" s="255"/>
      <c r="J123" s="255"/>
      <c r="K123" s="255"/>
      <c r="L123" s="255"/>
      <c r="M123" s="255"/>
      <c r="N123" s="255"/>
      <c r="O123" s="255"/>
    </row>
    <row r="124" spans="1:15" ht="17.399999999999999">
      <c r="A124" s="255"/>
      <c r="B124" s="263" t="b">
        <f>AND(VEG!M22="Faible",VEG!M36="Elevé",VEG!M37="Faible")</f>
        <v>0</v>
      </c>
      <c r="C124" s="258"/>
      <c r="D124" s="259"/>
      <c r="E124" s="259" t="s">
        <v>30</v>
      </c>
      <c r="F124" s="259" t="s">
        <v>59</v>
      </c>
      <c r="G124" s="260" t="s">
        <v>101</v>
      </c>
      <c r="H124" s="260"/>
      <c r="I124" s="260"/>
      <c r="J124" s="260"/>
      <c r="K124" s="260"/>
      <c r="L124" s="255"/>
      <c r="M124" s="255"/>
      <c r="N124" s="255"/>
      <c r="O124" s="255"/>
    </row>
    <row r="125" spans="1:15" ht="17.399999999999999">
      <c r="A125" s="255"/>
      <c r="B125" s="263" t="b">
        <f>AND(VEG!M22="Faible",VEG!M36="Elevé",VEG!M37="correct")</f>
        <v>0</v>
      </c>
      <c r="C125" s="258"/>
      <c r="D125" s="259"/>
      <c r="E125" s="259" t="s">
        <v>32</v>
      </c>
      <c r="F125" s="259" t="s">
        <v>59</v>
      </c>
      <c r="G125" s="260" t="s">
        <v>101</v>
      </c>
      <c r="H125" s="260"/>
      <c r="I125" s="260"/>
      <c r="J125" s="260"/>
      <c r="K125" s="260"/>
      <c r="L125" s="255"/>
      <c r="M125" s="255"/>
      <c r="N125" s="255"/>
      <c r="O125" s="255"/>
    </row>
    <row r="126" spans="1:15" ht="17.399999999999999">
      <c r="A126" s="255"/>
      <c r="B126" s="263" t="b">
        <f>AND(VEG!M22="Faible",VEG!M36="Elevé",VEG!M37="Elevé")</f>
        <v>0</v>
      </c>
      <c r="C126" s="258"/>
      <c r="D126" s="259"/>
      <c r="E126" s="259" t="s">
        <v>34</v>
      </c>
      <c r="F126" s="259"/>
      <c r="G126" s="260" t="s">
        <v>101</v>
      </c>
      <c r="H126" s="260"/>
      <c r="I126" s="260"/>
      <c r="J126" s="260"/>
      <c r="K126" s="260"/>
      <c r="L126" s="255"/>
      <c r="M126" s="255"/>
      <c r="N126" s="255"/>
      <c r="O126" s="255"/>
    </row>
    <row r="127" spans="1:15" ht="22.8">
      <c r="A127" s="255"/>
      <c r="B127" s="264"/>
      <c r="C127" s="258"/>
      <c r="D127" s="259"/>
      <c r="E127" s="259"/>
      <c r="F127" s="259"/>
      <c r="G127" s="260"/>
      <c r="H127" s="255"/>
      <c r="I127" s="255"/>
      <c r="J127" s="255"/>
      <c r="K127" s="255"/>
      <c r="L127" s="255"/>
      <c r="M127" s="255"/>
      <c r="N127" s="255"/>
      <c r="O127" s="255"/>
    </row>
    <row r="128" spans="1:15" ht="22.8">
      <c r="A128" s="255"/>
      <c r="B128" s="264"/>
      <c r="C128" s="258" t="s">
        <v>102</v>
      </c>
      <c r="D128" s="259"/>
      <c r="E128" s="259"/>
      <c r="F128" s="259"/>
      <c r="G128" s="261"/>
      <c r="H128" s="262"/>
      <c r="I128" s="255"/>
      <c r="J128" s="255"/>
      <c r="K128" s="255"/>
      <c r="L128" s="255"/>
      <c r="M128" s="255"/>
      <c r="N128" s="255"/>
      <c r="O128" s="255"/>
    </row>
    <row r="129" spans="1:15" ht="22.8">
      <c r="A129" s="255"/>
      <c r="B129" s="264"/>
      <c r="C129" s="258"/>
      <c r="D129" s="259" t="s">
        <v>88</v>
      </c>
      <c r="E129" s="259"/>
      <c r="F129" s="259"/>
      <c r="G129" s="261"/>
      <c r="H129" s="262"/>
      <c r="I129" s="255"/>
      <c r="J129" s="255"/>
      <c r="K129" s="255"/>
      <c r="L129" s="255"/>
      <c r="M129" s="255"/>
      <c r="N129" s="255"/>
      <c r="O129" s="255"/>
    </row>
    <row r="130" spans="1:15" ht="17.399999999999999">
      <c r="A130" s="255"/>
      <c r="B130" s="263" t="b">
        <f>AND(VEG!M22="correct",VEG!M36="Faible",VEG!M40="Faible")</f>
        <v>0</v>
      </c>
      <c r="C130" s="258"/>
      <c r="D130" s="259" t="s">
        <v>59</v>
      </c>
      <c r="E130" s="273" t="s">
        <v>30</v>
      </c>
      <c r="F130" s="273" t="s">
        <v>103</v>
      </c>
      <c r="G130" s="261" t="s">
        <v>104</v>
      </c>
      <c r="H130" s="261"/>
      <c r="I130" s="261"/>
      <c r="J130" s="261"/>
      <c r="K130" s="261"/>
      <c r="L130" s="261"/>
      <c r="M130" s="261"/>
      <c r="N130" s="255"/>
      <c r="O130" s="255"/>
    </row>
    <row r="131" spans="1:15" ht="17.399999999999999">
      <c r="A131" s="255"/>
      <c r="B131" s="274" t="s">
        <v>105</v>
      </c>
      <c r="C131" s="273"/>
      <c r="D131" s="273"/>
      <c r="E131" s="273"/>
      <c r="F131" s="259"/>
      <c r="G131" s="275" t="s">
        <v>106</v>
      </c>
      <c r="H131" s="275"/>
      <c r="I131" s="275"/>
      <c r="J131" s="255"/>
      <c r="K131" s="255"/>
      <c r="L131" s="255"/>
      <c r="M131" s="255"/>
      <c r="N131" s="255"/>
      <c r="O131" s="255"/>
    </row>
    <row r="132" spans="1:15" ht="17.399999999999999">
      <c r="A132" s="255"/>
      <c r="B132" s="263" t="b">
        <f>AND(VEG!M22="correct",VEG!M36="Faible",VEG!M40="correct")</f>
        <v>0</v>
      </c>
      <c r="C132" s="258"/>
      <c r="D132" s="259"/>
      <c r="E132" s="273" t="s">
        <v>32</v>
      </c>
      <c r="F132" s="273" t="s">
        <v>107</v>
      </c>
      <c r="G132" s="261" t="s">
        <v>106</v>
      </c>
      <c r="H132" s="261"/>
      <c r="I132" s="261"/>
      <c r="J132" s="255"/>
      <c r="K132" s="255"/>
      <c r="L132" s="255"/>
      <c r="M132" s="255"/>
      <c r="N132" s="255"/>
      <c r="O132" s="255"/>
    </row>
    <row r="133" spans="1:15" ht="17.399999999999999">
      <c r="A133" s="255"/>
      <c r="B133" s="274" t="s">
        <v>108</v>
      </c>
      <c r="C133" s="273"/>
      <c r="D133" s="273"/>
      <c r="E133" s="273"/>
      <c r="F133" s="259"/>
      <c r="G133" s="261"/>
      <c r="H133" s="262"/>
      <c r="I133" s="255"/>
      <c r="J133" s="255"/>
      <c r="K133" s="255"/>
      <c r="L133" s="255"/>
      <c r="M133" s="255"/>
      <c r="N133" s="255"/>
      <c r="O133" s="255"/>
    </row>
    <row r="134" spans="1:15" ht="17.399999999999999">
      <c r="A134" s="255"/>
      <c r="B134" s="263" t="b">
        <f>AND(VEG!M22="correct",VEG!M36="Faible",VEG!M40="Elevé")</f>
        <v>1</v>
      </c>
      <c r="C134" s="258"/>
      <c r="D134" s="259"/>
      <c r="E134" s="273" t="s">
        <v>34</v>
      </c>
      <c r="F134" s="273" t="s">
        <v>109</v>
      </c>
      <c r="G134" s="261" t="s">
        <v>106</v>
      </c>
      <c r="H134" s="261"/>
      <c r="I134" s="261"/>
      <c r="J134" s="255"/>
      <c r="K134" s="255"/>
      <c r="L134" s="255"/>
      <c r="M134" s="255"/>
      <c r="N134" s="255"/>
      <c r="O134" s="255"/>
    </row>
    <row r="135" spans="1:15" ht="17.399999999999999">
      <c r="A135" s="255"/>
      <c r="B135" s="276" t="s">
        <v>110</v>
      </c>
      <c r="C135" s="277"/>
      <c r="D135" s="277"/>
      <c r="E135" s="277"/>
      <c r="F135" s="259"/>
      <c r="G135" s="261"/>
      <c r="H135" s="262"/>
      <c r="I135" s="255"/>
      <c r="J135" s="255"/>
      <c r="K135" s="255"/>
      <c r="L135" s="255"/>
      <c r="M135" s="255"/>
      <c r="N135" s="255"/>
      <c r="O135" s="255"/>
    </row>
    <row r="136" spans="1:15" s="272" customFormat="1" ht="22.8">
      <c r="A136" s="267"/>
      <c r="B136" s="278"/>
      <c r="C136" s="269"/>
      <c r="D136" s="270" t="s">
        <v>92</v>
      </c>
      <c r="E136" s="270"/>
      <c r="F136" s="270"/>
      <c r="G136" s="271"/>
      <c r="H136" s="279"/>
      <c r="I136" s="267"/>
      <c r="J136" s="267"/>
      <c r="K136" s="267"/>
      <c r="L136" s="267"/>
      <c r="M136" s="267"/>
      <c r="N136" s="267"/>
      <c r="O136" s="267"/>
    </row>
    <row r="137" spans="1:15" ht="17.399999999999999">
      <c r="A137" s="255"/>
      <c r="B137" s="263" t="b">
        <f>AND(VEG!M22="correct",VEG!M36="correct",VEG!M40="Faible")</f>
        <v>0</v>
      </c>
      <c r="C137" s="258"/>
      <c r="D137" s="259"/>
      <c r="E137" s="259" t="s">
        <v>103</v>
      </c>
      <c r="F137" s="259"/>
      <c r="G137" s="261" t="s">
        <v>111</v>
      </c>
      <c r="H137" s="261"/>
      <c r="I137" s="261"/>
      <c r="J137" s="261"/>
      <c r="K137" s="261"/>
      <c r="L137" s="261"/>
      <c r="M137" s="261"/>
      <c r="N137" s="255"/>
      <c r="O137" s="255"/>
    </row>
    <row r="138" spans="1:15" ht="17.399999999999999">
      <c r="A138" s="255"/>
      <c r="B138" s="263" t="b">
        <f>AND(VEG!M22="correct",VEG!M36="correct",VEG!M37="Faible")</f>
        <v>0</v>
      </c>
      <c r="C138" s="258"/>
      <c r="D138" s="259"/>
      <c r="E138" s="259" t="s">
        <v>30</v>
      </c>
      <c r="F138" s="259"/>
      <c r="G138" s="261" t="s">
        <v>106</v>
      </c>
      <c r="H138" s="261"/>
      <c r="I138" s="261"/>
      <c r="J138" s="255"/>
      <c r="K138" s="255"/>
      <c r="L138" s="255"/>
      <c r="M138" s="255"/>
      <c r="N138" s="255"/>
      <c r="O138" s="255"/>
    </row>
    <row r="139" spans="1:15" ht="17.399999999999999">
      <c r="A139" s="255"/>
      <c r="B139" s="263" t="b">
        <f>AND(VEG!M22="correct",VEG!M36="correct",VEG!M37="correct")</f>
        <v>0</v>
      </c>
      <c r="C139" s="258"/>
      <c r="D139" s="259"/>
      <c r="E139" s="259" t="s">
        <v>32</v>
      </c>
      <c r="F139" s="259" t="s">
        <v>59</v>
      </c>
      <c r="G139" s="261" t="s">
        <v>112</v>
      </c>
      <c r="H139" s="261"/>
      <c r="I139" s="261"/>
      <c r="J139" s="255"/>
      <c r="K139" s="255"/>
      <c r="L139" s="255"/>
      <c r="M139" s="255"/>
      <c r="N139" s="255"/>
      <c r="O139" s="255"/>
    </row>
    <row r="140" spans="1:15" ht="17.399999999999999">
      <c r="A140" s="255"/>
      <c r="B140" s="263" t="b">
        <f>AND(VEG!M22="correct",VEG!M36="correct",VEG!M37="Elevé")</f>
        <v>0</v>
      </c>
      <c r="C140" s="258"/>
      <c r="D140" s="259"/>
      <c r="E140" s="259" t="s">
        <v>34</v>
      </c>
      <c r="F140" s="259"/>
      <c r="G140" s="261" t="s">
        <v>113</v>
      </c>
      <c r="H140" s="261"/>
      <c r="I140" s="261"/>
      <c r="J140" s="261"/>
      <c r="K140" s="255"/>
      <c r="L140" s="255"/>
      <c r="M140" s="255"/>
      <c r="N140" s="255"/>
      <c r="O140" s="255"/>
    </row>
    <row r="141" spans="1:15" ht="22.8">
      <c r="A141" s="255"/>
      <c r="B141" s="264"/>
      <c r="C141" s="258"/>
      <c r="D141" s="259"/>
      <c r="E141" s="259"/>
      <c r="F141" s="259"/>
      <c r="G141" s="260"/>
      <c r="H141" s="255"/>
      <c r="I141" s="255"/>
      <c r="J141" s="255"/>
      <c r="K141" s="255"/>
      <c r="L141" s="255"/>
      <c r="M141" s="255"/>
      <c r="N141" s="255"/>
      <c r="O141" s="255"/>
    </row>
    <row r="142" spans="1:15" ht="17.399999999999999">
      <c r="A142" s="255"/>
      <c r="B142" s="263" t="b">
        <f>AND(VEG!M22="correct",VEG!M36="Elevé",VEG!M37="Faible")</f>
        <v>0</v>
      </c>
      <c r="C142" s="258"/>
      <c r="D142" s="259" t="s">
        <v>94</v>
      </c>
      <c r="E142" s="259" t="s">
        <v>30</v>
      </c>
      <c r="F142" s="259"/>
      <c r="G142" s="261" t="s">
        <v>114</v>
      </c>
      <c r="H142" s="261"/>
      <c r="I142" s="261"/>
      <c r="J142" s="261"/>
      <c r="K142" s="255"/>
      <c r="L142" s="255"/>
      <c r="M142" s="255"/>
      <c r="N142" s="255"/>
      <c r="O142" s="255"/>
    </row>
    <row r="143" spans="1:15" ht="17.399999999999999">
      <c r="A143" s="255"/>
      <c r="B143" s="263" t="b">
        <f>AND(VEG!M22="correct",VEG!M36="Elevé",VEG!M37="correct")</f>
        <v>0</v>
      </c>
      <c r="C143" s="258"/>
      <c r="D143" s="259"/>
      <c r="E143" s="259" t="s">
        <v>32</v>
      </c>
      <c r="F143" s="259"/>
      <c r="G143" s="261" t="s">
        <v>114</v>
      </c>
      <c r="H143" s="261"/>
      <c r="I143" s="261"/>
      <c r="J143" s="261"/>
      <c r="K143" s="255"/>
      <c r="L143" s="255"/>
      <c r="M143" s="255"/>
      <c r="N143" s="255"/>
      <c r="O143" s="255"/>
    </row>
    <row r="144" spans="1:15" ht="17.399999999999999">
      <c r="A144" s="255"/>
      <c r="B144" s="263" t="b">
        <f>AND(VEG!M22="correct",VEG!M36="Elevé",VEG!M37="Elevé")</f>
        <v>0</v>
      </c>
      <c r="C144" s="258"/>
      <c r="D144" s="259"/>
      <c r="E144" s="259" t="s">
        <v>34</v>
      </c>
      <c r="F144" s="259"/>
      <c r="G144" s="261" t="s">
        <v>114</v>
      </c>
      <c r="H144" s="261"/>
      <c r="I144" s="261"/>
      <c r="J144" s="261"/>
      <c r="K144" s="255"/>
      <c r="L144" s="255"/>
      <c r="M144" s="255"/>
      <c r="N144" s="255"/>
      <c r="O144" s="255"/>
    </row>
    <row r="145" spans="1:15" ht="22.8">
      <c r="A145" s="255"/>
      <c r="B145" s="264"/>
      <c r="C145" s="258"/>
      <c r="D145" s="259"/>
      <c r="E145" s="259"/>
      <c r="F145" s="259"/>
      <c r="G145" s="261"/>
      <c r="H145" s="262"/>
      <c r="I145" s="255"/>
      <c r="J145" s="255"/>
      <c r="K145" s="255"/>
      <c r="L145" s="255"/>
      <c r="M145" s="255"/>
      <c r="N145" s="255"/>
      <c r="O145" s="255"/>
    </row>
    <row r="146" spans="1:15" ht="22.8">
      <c r="A146" s="255"/>
      <c r="B146" s="264"/>
      <c r="C146" s="258" t="s">
        <v>115</v>
      </c>
      <c r="D146" s="259"/>
      <c r="E146" s="259"/>
      <c r="F146" s="259"/>
      <c r="G146" s="261"/>
      <c r="H146" s="262"/>
      <c r="I146" s="255"/>
      <c r="J146" s="255"/>
      <c r="K146" s="255"/>
      <c r="L146" s="255"/>
      <c r="M146" s="255"/>
      <c r="N146" s="255"/>
      <c r="O146" s="255"/>
    </row>
    <row r="147" spans="1:15" ht="22.8">
      <c r="A147" s="255"/>
      <c r="B147" s="264"/>
      <c r="C147" s="258"/>
      <c r="D147" s="259" t="s">
        <v>88</v>
      </c>
      <c r="E147" s="259"/>
      <c r="F147" s="259"/>
      <c r="G147" s="261"/>
      <c r="H147" s="262"/>
      <c r="I147" s="255"/>
      <c r="J147" s="255"/>
      <c r="K147" s="255"/>
      <c r="L147" s="255"/>
      <c r="M147" s="255"/>
      <c r="N147" s="255"/>
      <c r="O147" s="255"/>
    </row>
    <row r="148" spans="1:15" ht="17.399999999999999">
      <c r="A148" s="255"/>
      <c r="B148" s="263" t="b">
        <f>AND(VEG!M22="Elevé",VEG!M36="Faible",VEG!M37="Faible")</f>
        <v>0</v>
      </c>
      <c r="C148" s="258"/>
      <c r="D148" s="259"/>
      <c r="E148" s="259" t="s">
        <v>30</v>
      </c>
      <c r="F148" s="259"/>
      <c r="G148" s="261" t="s">
        <v>116</v>
      </c>
      <c r="H148" s="261"/>
      <c r="I148" s="261"/>
      <c r="J148" s="261"/>
      <c r="K148" s="261"/>
      <c r="L148" s="261"/>
      <c r="M148" s="255"/>
      <c r="N148" s="255"/>
      <c r="O148" s="255"/>
    </row>
    <row r="149" spans="1:15" ht="17.399999999999999">
      <c r="A149" s="255"/>
      <c r="B149" s="263" t="b">
        <f>AND(VEG!M22="Elevé",VEG!M36="Faible",VEG!M37="correct")</f>
        <v>0</v>
      </c>
      <c r="C149" s="258"/>
      <c r="D149" s="259"/>
      <c r="E149" s="259" t="s">
        <v>32</v>
      </c>
      <c r="F149" s="259"/>
      <c r="G149" s="261" t="s">
        <v>117</v>
      </c>
      <c r="H149" s="261"/>
      <c r="I149" s="261"/>
      <c r="J149" s="261"/>
      <c r="K149" s="261"/>
      <c r="L149" s="261"/>
      <c r="M149" s="261"/>
      <c r="N149" s="255"/>
      <c r="O149" s="255"/>
    </row>
    <row r="150" spans="1:15" s="272" customFormat="1" ht="17.399999999999999">
      <c r="A150" s="267"/>
      <c r="B150" s="268" t="b">
        <f>AND(VEG!M22="Elevé",VEG!M36="Faible",VEG!M37="Elevé")</f>
        <v>0</v>
      </c>
      <c r="C150" s="269"/>
      <c r="D150" s="270"/>
      <c r="E150" s="270" t="s">
        <v>34</v>
      </c>
      <c r="F150" s="270"/>
      <c r="G150" s="271" t="s">
        <v>117</v>
      </c>
      <c r="H150" s="271"/>
      <c r="I150" s="271"/>
      <c r="J150" s="271"/>
      <c r="K150" s="271"/>
      <c r="L150" s="271"/>
      <c r="M150" s="271"/>
      <c r="N150" s="267"/>
      <c r="O150" s="267"/>
    </row>
    <row r="151" spans="1:15" ht="22.8">
      <c r="A151" s="255"/>
      <c r="B151" s="264"/>
      <c r="C151" s="258"/>
      <c r="D151" s="259"/>
      <c r="E151" s="259"/>
      <c r="F151" s="259"/>
      <c r="G151" s="261"/>
      <c r="H151" s="262"/>
      <c r="I151" s="255"/>
      <c r="J151" s="255"/>
      <c r="K151" s="255"/>
      <c r="L151" s="255"/>
      <c r="M151" s="255"/>
      <c r="N151" s="255"/>
      <c r="O151" s="255"/>
    </row>
    <row r="152" spans="1:15" ht="22.8">
      <c r="A152" s="255"/>
      <c r="B152" s="264"/>
      <c r="C152" s="258"/>
      <c r="D152" s="259" t="s">
        <v>92</v>
      </c>
      <c r="E152" s="259"/>
      <c r="F152" s="259"/>
      <c r="G152" s="261"/>
      <c r="H152" s="262"/>
      <c r="I152" s="255"/>
      <c r="J152" s="255"/>
      <c r="K152" s="255"/>
      <c r="L152" s="255"/>
      <c r="M152" s="255"/>
      <c r="N152" s="255"/>
      <c r="O152" s="255"/>
    </row>
    <row r="153" spans="1:15" ht="17.399999999999999">
      <c r="A153" s="255"/>
      <c r="B153" s="263" t="b">
        <f>AND(VEG!M22="Elevé",VEG!M36="correct",VEG!M37="Faible")</f>
        <v>0</v>
      </c>
      <c r="C153" s="258"/>
      <c r="D153" s="259"/>
      <c r="E153" s="259" t="s">
        <v>30</v>
      </c>
      <c r="F153" s="259"/>
      <c r="G153" s="261" t="s">
        <v>118</v>
      </c>
      <c r="H153" s="261"/>
      <c r="I153" s="261"/>
      <c r="J153" s="261"/>
      <c r="K153" s="255"/>
      <c r="L153" s="255"/>
      <c r="M153" s="255"/>
      <c r="N153" s="255"/>
      <c r="O153" s="255"/>
    </row>
    <row r="154" spans="1:15" ht="17.399999999999999">
      <c r="A154" s="255"/>
      <c r="B154" s="263" t="b">
        <f>AND(VEG!M22="Elevé",VEG!M36="correct",VEG!M37="correct")</f>
        <v>0</v>
      </c>
      <c r="C154" s="258"/>
      <c r="D154" s="259"/>
      <c r="E154" s="259" t="s">
        <v>32</v>
      </c>
      <c r="F154" s="259"/>
      <c r="G154" s="261" t="s">
        <v>118</v>
      </c>
      <c r="H154" s="261"/>
      <c r="I154" s="261"/>
      <c r="J154" s="261"/>
      <c r="K154" s="255"/>
      <c r="L154" s="255"/>
      <c r="M154" s="255"/>
      <c r="N154" s="255"/>
      <c r="O154" s="255"/>
    </row>
    <row r="155" spans="1:15" ht="17.399999999999999">
      <c r="A155" s="255"/>
      <c r="B155" s="263" t="b">
        <f>AND(VEG!M22="Elevé",VEG!M36="correct",VEG!M37="Elevé")</f>
        <v>0</v>
      </c>
      <c r="C155" s="258"/>
      <c r="D155" s="259"/>
      <c r="E155" s="259" t="s">
        <v>34</v>
      </c>
      <c r="F155" s="259"/>
      <c r="G155" s="260" t="s">
        <v>119</v>
      </c>
      <c r="H155" s="260"/>
      <c r="I155" s="260"/>
      <c r="J155" s="260"/>
      <c r="K155" s="260"/>
      <c r="L155" s="260"/>
      <c r="M155" s="260"/>
      <c r="N155" s="260"/>
      <c r="O155" s="260"/>
    </row>
    <row r="156" spans="1:15" ht="22.8">
      <c r="A156" s="255"/>
      <c r="B156" s="264"/>
      <c r="C156" s="258"/>
      <c r="D156" s="259"/>
      <c r="E156" s="259"/>
      <c r="F156" s="259"/>
      <c r="G156" s="260"/>
      <c r="H156" s="255"/>
      <c r="I156" s="255"/>
      <c r="J156" s="255"/>
      <c r="K156" s="255"/>
      <c r="L156" s="255"/>
      <c r="M156" s="255"/>
      <c r="N156" s="255"/>
      <c r="O156" s="255"/>
    </row>
    <row r="157" spans="1:15" ht="22.8">
      <c r="A157" s="255"/>
      <c r="B157" s="264"/>
      <c r="C157" s="258"/>
      <c r="D157" s="259" t="s">
        <v>94</v>
      </c>
      <c r="E157" s="259"/>
      <c r="F157" s="259"/>
      <c r="G157" s="261"/>
      <c r="H157" s="262"/>
      <c r="I157" s="255"/>
      <c r="J157" s="255"/>
      <c r="K157" s="255"/>
      <c r="L157" s="255"/>
      <c r="M157" s="255"/>
      <c r="N157" s="255"/>
      <c r="O157" s="255"/>
    </row>
    <row r="158" spans="1:15" s="272" customFormat="1" ht="17.399999999999999">
      <c r="A158" s="267"/>
      <c r="B158" s="268" t="b">
        <f>AND(VEG!M22="Elevé",VEG!M36="Elevé",VEG!M37="Faible")</f>
        <v>0</v>
      </c>
      <c r="C158" s="269"/>
      <c r="D158" s="270"/>
      <c r="E158" s="270" t="s">
        <v>30</v>
      </c>
      <c r="F158" s="270"/>
      <c r="G158" s="271" t="s">
        <v>118</v>
      </c>
      <c r="H158" s="271"/>
      <c r="I158" s="271"/>
      <c r="J158" s="271"/>
      <c r="K158" s="267"/>
      <c r="L158" s="267"/>
      <c r="M158" s="267"/>
      <c r="N158" s="267"/>
      <c r="O158" s="267"/>
    </row>
    <row r="159" spans="1:15" ht="17.399999999999999">
      <c r="A159" s="255"/>
      <c r="B159" s="263" t="b">
        <f>AND(VEG!M22="Elevé",VEG!M36="Elevé",VEG!M37="correct")</f>
        <v>0</v>
      </c>
      <c r="C159" s="258"/>
      <c r="D159" s="259"/>
      <c r="E159" s="259" t="s">
        <v>32</v>
      </c>
      <c r="F159" s="259"/>
      <c r="G159" s="261" t="s">
        <v>118</v>
      </c>
      <c r="H159" s="261"/>
      <c r="I159" s="261"/>
      <c r="J159" s="261"/>
      <c r="K159" s="255"/>
      <c r="L159" s="255"/>
      <c r="M159" s="255"/>
      <c r="N159" s="255"/>
      <c r="O159" s="255"/>
    </row>
    <row r="160" spans="1:15" ht="17.399999999999999">
      <c r="A160" s="255"/>
      <c r="B160" s="263" t="b">
        <f>AND(VEG!M22="Elevé",VEG!M36="Elevé",VEG!M37="Elevé")</f>
        <v>0</v>
      </c>
      <c r="C160" s="258"/>
      <c r="D160" s="259"/>
      <c r="E160" s="259" t="s">
        <v>34</v>
      </c>
      <c r="F160" s="259"/>
      <c r="G160" s="260" t="s">
        <v>119</v>
      </c>
      <c r="H160" s="260"/>
      <c r="I160" s="260"/>
      <c r="J160" s="260"/>
      <c r="K160" s="260"/>
      <c r="L160" s="260"/>
      <c r="M160" s="260"/>
      <c r="N160" s="260"/>
      <c r="O160" s="260"/>
    </row>
    <row r="161" spans="1:15" ht="22.8">
      <c r="A161" s="255"/>
      <c r="B161" s="264"/>
      <c r="C161" s="258"/>
      <c r="D161" s="259"/>
      <c r="E161" s="259"/>
      <c r="F161" s="259"/>
      <c r="G161" s="261"/>
      <c r="H161" s="262"/>
      <c r="I161" s="255"/>
      <c r="J161" s="255"/>
      <c r="K161" s="255"/>
      <c r="L161" s="255"/>
      <c r="M161" s="255"/>
      <c r="N161" s="255"/>
      <c r="O161" s="255"/>
    </row>
    <row r="162" spans="1:15" ht="22.8">
      <c r="A162" s="255"/>
      <c r="B162" s="264"/>
      <c r="C162" s="258" t="s">
        <v>120</v>
      </c>
      <c r="D162" s="259"/>
      <c r="E162" s="259"/>
      <c r="F162" s="259"/>
      <c r="G162" s="261"/>
      <c r="H162" s="262"/>
      <c r="I162" s="255"/>
      <c r="J162" s="255"/>
      <c r="K162" s="255"/>
      <c r="L162" s="255"/>
      <c r="M162" s="255"/>
      <c r="N162" s="255"/>
      <c r="O162" s="255"/>
    </row>
    <row r="163" spans="1:15" ht="22.8">
      <c r="A163" s="255"/>
      <c r="B163" s="264"/>
      <c r="C163" s="258"/>
      <c r="D163" s="259" t="s">
        <v>88</v>
      </c>
      <c r="E163" s="259"/>
      <c r="F163" s="259"/>
      <c r="G163" s="261"/>
      <c r="H163" s="262"/>
      <c r="I163" s="255"/>
      <c r="J163" s="255"/>
      <c r="K163" s="255"/>
      <c r="L163" s="255"/>
      <c r="M163" s="255"/>
      <c r="N163" s="255"/>
      <c r="O163" s="255"/>
    </row>
    <row r="164" spans="1:15" ht="17.399999999999999">
      <c r="A164" s="255"/>
      <c r="B164" s="263" t="b">
        <f>AND(VEG!M22="Très élevé",VEG!M36="Faible",VEG!M37="Faible")</f>
        <v>0</v>
      </c>
      <c r="C164" s="258"/>
      <c r="D164" s="259"/>
      <c r="E164" s="259" t="s">
        <v>103</v>
      </c>
      <c r="F164" s="259"/>
      <c r="G164" s="261" t="s">
        <v>121</v>
      </c>
      <c r="H164" s="261"/>
      <c r="I164" s="261"/>
      <c r="J164" s="261"/>
      <c r="K164" s="261"/>
      <c r="L164" s="261"/>
      <c r="M164" s="255"/>
      <c r="N164" s="255"/>
      <c r="O164" s="255"/>
    </row>
    <row r="165" spans="1:15" ht="17.399999999999999">
      <c r="A165" s="255"/>
      <c r="B165" s="263" t="b">
        <f>AND(VEG!M22="Très élevé",VEG!M36="Faible",VEG!M37="correct")</f>
        <v>0</v>
      </c>
      <c r="C165" s="258"/>
      <c r="D165" s="259"/>
      <c r="E165" s="259" t="s">
        <v>107</v>
      </c>
      <c r="F165" s="259"/>
      <c r="G165" s="261" t="s">
        <v>122</v>
      </c>
      <c r="H165" s="261"/>
      <c r="I165" s="261"/>
      <c r="J165" s="261"/>
      <c r="K165" s="261"/>
      <c r="L165" s="261"/>
      <c r="M165" s="261"/>
      <c r="N165" s="261"/>
      <c r="O165" s="255"/>
    </row>
    <row r="166" spans="1:15" ht="17.399999999999999">
      <c r="A166" s="255"/>
      <c r="B166" s="263" t="b">
        <f>AND(VEG!M22="Très élevé",VEG!M36="Faible",VEG!M37="Elevé")</f>
        <v>0</v>
      </c>
      <c r="C166" s="258"/>
      <c r="D166" s="259"/>
      <c r="E166" s="259" t="s">
        <v>109</v>
      </c>
      <c r="F166" s="259"/>
      <c r="G166" s="261" t="s">
        <v>122</v>
      </c>
      <c r="H166" s="261"/>
      <c r="I166" s="261"/>
      <c r="J166" s="261"/>
      <c r="K166" s="261"/>
      <c r="L166" s="261"/>
      <c r="M166" s="261"/>
      <c r="N166" s="261"/>
      <c r="O166" s="255"/>
    </row>
    <row r="167" spans="1:15" ht="22.8">
      <c r="A167" s="255"/>
      <c r="B167" s="264"/>
      <c r="C167" s="258"/>
      <c r="D167" s="259"/>
      <c r="E167" s="259"/>
      <c r="F167" s="259"/>
      <c r="G167" s="261"/>
      <c r="H167" s="262"/>
      <c r="I167" s="255"/>
      <c r="J167" s="255"/>
      <c r="K167" s="255"/>
      <c r="L167" s="255"/>
      <c r="M167" s="255"/>
      <c r="N167" s="255"/>
      <c r="O167" s="255"/>
    </row>
    <row r="168" spans="1:15" ht="22.8">
      <c r="A168" s="255"/>
      <c r="B168" s="264"/>
      <c r="C168" s="258"/>
      <c r="D168" s="259" t="s">
        <v>92</v>
      </c>
      <c r="E168" s="259"/>
      <c r="F168" s="259"/>
      <c r="G168" s="261"/>
      <c r="H168" s="262"/>
      <c r="I168" s="255"/>
      <c r="J168" s="255"/>
      <c r="K168" s="255"/>
      <c r="L168" s="255"/>
      <c r="M168" s="255"/>
      <c r="N168" s="255"/>
      <c r="O168" s="255"/>
    </row>
    <row r="169" spans="1:15" ht="17.399999999999999">
      <c r="A169" s="255"/>
      <c r="B169" s="263" t="b">
        <f>AND(VEG!M22="Très élevé",VEG!M36="correct",VEG!M37="Faible")</f>
        <v>0</v>
      </c>
      <c r="C169" s="258"/>
      <c r="D169" s="259"/>
      <c r="E169" s="259" t="s">
        <v>103</v>
      </c>
      <c r="F169" s="259"/>
      <c r="G169" s="261" t="s">
        <v>123</v>
      </c>
      <c r="H169" s="261"/>
      <c r="I169" s="261"/>
      <c r="J169" s="261"/>
      <c r="K169" s="255"/>
      <c r="L169" s="255"/>
      <c r="M169" s="255"/>
      <c r="N169" s="255"/>
      <c r="O169" s="255"/>
    </row>
    <row r="170" spans="1:15" ht="17.399999999999999">
      <c r="A170" s="255"/>
      <c r="B170" s="263" t="b">
        <f>AND(VEG!M22="Très élevé",VEG!M36="correct",VEG!M37="correct")</f>
        <v>0</v>
      </c>
      <c r="C170" s="258"/>
      <c r="D170" s="259"/>
      <c r="E170" s="259" t="s">
        <v>107</v>
      </c>
      <c r="F170" s="259"/>
      <c r="G170" s="261" t="s">
        <v>123</v>
      </c>
      <c r="H170" s="261"/>
      <c r="I170" s="261"/>
      <c r="J170" s="261"/>
      <c r="K170" s="255"/>
      <c r="L170" s="255"/>
      <c r="M170" s="255"/>
      <c r="N170" s="255"/>
      <c r="O170" s="255"/>
    </row>
    <row r="171" spans="1:15" ht="17.399999999999999">
      <c r="A171" s="255"/>
      <c r="B171" s="263" t="b">
        <f>AND(VEG!M22="Très élevé",VEG!M36="correct",VEG!M37="Elevé")</f>
        <v>0</v>
      </c>
      <c r="C171" s="258"/>
      <c r="D171" s="259"/>
      <c r="E171" s="259" t="s">
        <v>109</v>
      </c>
      <c r="F171" s="259"/>
      <c r="G171" s="260" t="s">
        <v>124</v>
      </c>
      <c r="H171" s="260"/>
      <c r="I171" s="260"/>
      <c r="J171" s="260"/>
      <c r="K171" s="260"/>
      <c r="L171" s="260"/>
      <c r="M171" s="260"/>
      <c r="N171" s="260"/>
      <c r="O171" s="260"/>
    </row>
    <row r="172" spans="1:15" ht="22.8">
      <c r="A172" s="255"/>
      <c r="B172" s="264"/>
      <c r="C172" s="258"/>
      <c r="D172" s="259"/>
      <c r="E172" s="259"/>
      <c r="F172" s="259"/>
      <c r="G172" s="260"/>
      <c r="H172" s="262"/>
      <c r="I172" s="255"/>
      <c r="J172" s="255"/>
      <c r="K172" s="255"/>
      <c r="L172" s="255"/>
      <c r="M172" s="255"/>
      <c r="N172" s="255"/>
      <c r="O172" s="255"/>
    </row>
    <row r="173" spans="1:15" ht="22.8">
      <c r="A173" s="255"/>
      <c r="B173" s="264"/>
      <c r="C173" s="258"/>
      <c r="D173" s="259" t="s">
        <v>94</v>
      </c>
      <c r="E173" s="259"/>
      <c r="F173" s="259"/>
      <c r="G173" s="261"/>
      <c r="H173" s="262"/>
      <c r="I173" s="255"/>
      <c r="J173" s="255"/>
      <c r="K173" s="255"/>
      <c r="L173" s="255"/>
      <c r="M173" s="255"/>
      <c r="N173" s="255"/>
      <c r="O173" s="255"/>
    </row>
    <row r="174" spans="1:15" ht="17.399999999999999">
      <c r="A174" s="255"/>
      <c r="B174" s="263" t="b">
        <f>AND(VEG!M22="Très élevé",VEG!M36="Elevé",VEG!M37="Faible")</f>
        <v>0</v>
      </c>
      <c r="C174" s="258"/>
      <c r="D174" s="259"/>
      <c r="E174" s="259" t="s">
        <v>103</v>
      </c>
      <c r="F174" s="259"/>
      <c r="G174" s="261" t="s">
        <v>123</v>
      </c>
      <c r="H174" s="261"/>
      <c r="I174" s="261"/>
      <c r="J174" s="261"/>
      <c r="K174" s="255"/>
      <c r="L174" s="255"/>
      <c r="M174" s="255"/>
      <c r="N174" s="255"/>
      <c r="O174" s="255"/>
    </row>
    <row r="175" spans="1:15" ht="17.399999999999999">
      <c r="A175" s="255"/>
      <c r="B175" s="263" t="b">
        <f>AND(VEG!M22="Très élevé",VEG!M36="Elevé",VEG!M37="correct")</f>
        <v>0</v>
      </c>
      <c r="C175" s="258"/>
      <c r="D175" s="259"/>
      <c r="E175" s="259" t="s">
        <v>107</v>
      </c>
      <c r="F175" s="259"/>
      <c r="G175" s="261" t="s">
        <v>123</v>
      </c>
      <c r="H175" s="261"/>
      <c r="I175" s="261"/>
      <c r="J175" s="261"/>
      <c r="K175" s="255"/>
      <c r="L175" s="255"/>
      <c r="M175" s="255"/>
      <c r="N175" s="255"/>
      <c r="O175" s="255"/>
    </row>
    <row r="176" spans="1:15" ht="17.399999999999999">
      <c r="A176" s="255"/>
      <c r="B176" s="263" t="b">
        <f>AND(VEG!M22="Très élevé",VEG!M36="Elevé",VEG!M37="Elevé")</f>
        <v>0</v>
      </c>
      <c r="C176" s="258"/>
      <c r="D176" s="259"/>
      <c r="E176" s="259" t="s">
        <v>109</v>
      </c>
      <c r="F176" s="259"/>
      <c r="G176" s="260" t="s">
        <v>124</v>
      </c>
      <c r="H176" s="260"/>
      <c r="I176" s="260"/>
      <c r="J176" s="260"/>
      <c r="K176" s="260"/>
      <c r="L176" s="260"/>
      <c r="M176" s="260"/>
      <c r="N176" s="260"/>
      <c r="O176" s="260"/>
    </row>
    <row r="177" spans="1:15" ht="22.8">
      <c r="A177" s="255"/>
      <c r="B177" s="264"/>
      <c r="C177" s="258"/>
      <c r="D177" s="259"/>
      <c r="E177" s="259"/>
      <c r="F177" s="259"/>
      <c r="G177" s="261"/>
      <c r="H177" s="262"/>
      <c r="I177" s="255"/>
      <c r="J177" s="255"/>
      <c r="K177" s="255"/>
      <c r="L177" s="255"/>
      <c r="M177" s="255"/>
      <c r="N177" s="255"/>
      <c r="O177" s="255"/>
    </row>
    <row r="178" spans="1:15" ht="22.8">
      <c r="A178" s="255"/>
      <c r="B178" s="264"/>
      <c r="C178" s="258"/>
      <c r="D178" s="259"/>
      <c r="E178" s="259"/>
      <c r="F178" s="259"/>
      <c r="G178" s="261"/>
      <c r="H178" s="262"/>
      <c r="I178" s="255"/>
      <c r="J178" s="255"/>
      <c r="K178" s="255"/>
      <c r="L178" s="255"/>
      <c r="M178" s="255"/>
      <c r="N178" s="255"/>
      <c r="O178" s="255"/>
    </row>
    <row r="179" spans="1:15" ht="22.8">
      <c r="A179" s="255"/>
      <c r="B179" s="264"/>
      <c r="C179" s="258"/>
      <c r="D179" s="259"/>
      <c r="E179" s="259"/>
      <c r="F179" s="259"/>
      <c r="G179" s="261"/>
      <c r="H179" s="262"/>
      <c r="I179" s="255"/>
      <c r="J179" s="255"/>
      <c r="K179" s="255"/>
      <c r="L179" s="255"/>
      <c r="M179" s="255"/>
      <c r="N179" s="255"/>
      <c r="O179" s="255"/>
    </row>
    <row r="180" spans="1:15" ht="22.8">
      <c r="A180" s="255"/>
      <c r="B180" s="264"/>
      <c r="C180" s="258"/>
      <c r="D180" s="259"/>
      <c r="E180" s="259"/>
      <c r="F180" s="259"/>
      <c r="G180" s="262"/>
      <c r="H180" s="262"/>
      <c r="I180" s="255"/>
      <c r="J180" s="255"/>
      <c r="K180" s="255"/>
      <c r="L180" s="255"/>
      <c r="M180" s="255"/>
      <c r="N180" s="255"/>
      <c r="O180" s="255"/>
    </row>
    <row r="181" spans="1:15" ht="22.8">
      <c r="A181" s="255"/>
      <c r="B181" s="264" t="s">
        <v>125</v>
      </c>
      <c r="C181" s="256"/>
      <c r="D181" s="259"/>
      <c r="E181" s="261"/>
      <c r="F181" s="261"/>
      <c r="G181" s="261"/>
      <c r="H181" s="255"/>
      <c r="I181" s="255"/>
      <c r="J181" s="255"/>
      <c r="K181" s="255"/>
      <c r="L181" s="255"/>
      <c r="M181" s="255"/>
      <c r="N181" s="255"/>
      <c r="O181" s="255"/>
    </row>
    <row r="182" spans="1:15" ht="22.8">
      <c r="A182" s="255"/>
      <c r="B182" s="264"/>
      <c r="C182" s="256"/>
      <c r="D182" s="259"/>
      <c r="E182" s="259"/>
      <c r="F182" s="259"/>
      <c r="G182" s="261"/>
      <c r="H182" s="262"/>
      <c r="I182" s="255"/>
      <c r="J182" s="255"/>
      <c r="K182" s="255"/>
      <c r="L182" s="255"/>
      <c r="M182" s="255"/>
      <c r="N182" s="255"/>
      <c r="O182" s="255"/>
    </row>
    <row r="183" spans="1:15" ht="22.8">
      <c r="A183" s="255"/>
      <c r="B183" s="264"/>
      <c r="C183" s="258" t="s">
        <v>126</v>
      </c>
      <c r="D183" s="259"/>
      <c r="E183" s="259"/>
      <c r="F183" s="259"/>
      <c r="G183" s="261"/>
      <c r="H183" s="262"/>
      <c r="I183" s="255"/>
      <c r="J183" s="255"/>
      <c r="K183" s="255"/>
      <c r="L183" s="255"/>
      <c r="M183" s="255"/>
      <c r="N183" s="255"/>
      <c r="O183" s="255"/>
    </row>
    <row r="184" spans="1:15" ht="22.8">
      <c r="A184" s="255"/>
      <c r="B184" s="264"/>
      <c r="C184" s="258"/>
      <c r="D184" s="259" t="s">
        <v>127</v>
      </c>
      <c r="E184" s="259" t="s">
        <v>128</v>
      </c>
      <c r="F184" s="259" t="s">
        <v>129</v>
      </c>
      <c r="G184" s="260" t="s">
        <v>130</v>
      </c>
      <c r="H184" s="260"/>
      <c r="I184" s="260"/>
      <c r="J184" s="255"/>
      <c r="K184" s="255"/>
      <c r="L184" s="255"/>
      <c r="M184" s="255"/>
      <c r="N184" s="255"/>
      <c r="O184" s="255"/>
    </row>
    <row r="185" spans="1:15" ht="22.8">
      <c r="A185" s="255"/>
      <c r="B185" s="264"/>
      <c r="C185" s="258"/>
      <c r="D185" s="259"/>
      <c r="E185" s="259"/>
      <c r="F185" s="259" t="s">
        <v>131</v>
      </c>
      <c r="G185" s="260" t="s">
        <v>132</v>
      </c>
      <c r="H185" s="260"/>
      <c r="I185" s="260"/>
      <c r="J185" s="255"/>
      <c r="K185" s="255"/>
      <c r="L185" s="255"/>
      <c r="M185" s="255"/>
      <c r="N185" s="255"/>
      <c r="O185" s="255"/>
    </row>
    <row r="186" spans="1:15" ht="22.8">
      <c r="A186" s="255"/>
      <c r="B186" s="264"/>
      <c r="C186" s="258"/>
      <c r="D186" s="259"/>
      <c r="E186" s="259"/>
      <c r="F186" s="259" t="s">
        <v>133</v>
      </c>
      <c r="G186" s="260" t="s">
        <v>132</v>
      </c>
      <c r="H186" s="260"/>
      <c r="I186" s="260"/>
      <c r="J186" s="255"/>
      <c r="K186" s="255"/>
      <c r="L186" s="255"/>
      <c r="M186" s="255"/>
      <c r="N186" s="255"/>
      <c r="O186" s="255"/>
    </row>
    <row r="187" spans="1:15" ht="22.8">
      <c r="A187" s="255"/>
      <c r="B187" s="264"/>
      <c r="C187" s="258"/>
      <c r="D187" s="259" t="s">
        <v>102</v>
      </c>
      <c r="E187" s="259" t="s">
        <v>128</v>
      </c>
      <c r="F187" s="255"/>
      <c r="G187" s="261" t="s">
        <v>134</v>
      </c>
      <c r="H187" s="261"/>
      <c r="I187" s="261"/>
      <c r="J187" s="261"/>
      <c r="K187" s="261"/>
      <c r="L187" s="261"/>
      <c r="M187" s="255"/>
      <c r="N187" s="255"/>
      <c r="O187" s="255"/>
    </row>
    <row r="188" spans="1:15" ht="22.8">
      <c r="A188" s="255"/>
      <c r="B188" s="264"/>
      <c r="C188" s="258"/>
      <c r="D188" s="259" t="s">
        <v>115</v>
      </c>
      <c r="E188" s="259" t="s">
        <v>128</v>
      </c>
      <c r="F188" s="255"/>
      <c r="G188" s="261" t="s">
        <v>134</v>
      </c>
      <c r="H188" s="261"/>
      <c r="I188" s="261"/>
      <c r="J188" s="261"/>
      <c r="K188" s="261"/>
      <c r="L188" s="261"/>
      <c r="M188" s="255"/>
      <c r="N188" s="255"/>
      <c r="O188" s="255"/>
    </row>
    <row r="189" spans="1:15" ht="22.8">
      <c r="A189" s="255"/>
      <c r="B189" s="264"/>
      <c r="C189" s="258"/>
      <c r="D189" s="259"/>
      <c r="E189" s="259"/>
      <c r="F189" s="259"/>
      <c r="G189" s="261"/>
      <c r="H189" s="262"/>
      <c r="I189" s="255"/>
      <c r="J189" s="255"/>
      <c r="K189" s="255"/>
      <c r="L189" s="255"/>
      <c r="M189" s="255"/>
      <c r="N189" s="255"/>
      <c r="O189" s="255"/>
    </row>
    <row r="190" spans="1:15" ht="22.8">
      <c r="A190" s="255"/>
      <c r="B190" s="264"/>
      <c r="C190" s="258"/>
      <c r="D190" s="259" t="s">
        <v>127</v>
      </c>
      <c r="E190" s="259" t="s">
        <v>135</v>
      </c>
      <c r="F190" s="259" t="s">
        <v>59</v>
      </c>
      <c r="G190" s="261" t="s">
        <v>136</v>
      </c>
      <c r="H190" s="261"/>
      <c r="I190" s="261"/>
      <c r="J190" s="261"/>
      <c r="K190" s="261"/>
      <c r="L190" s="261"/>
      <c r="M190" s="255"/>
      <c r="N190" s="255"/>
      <c r="O190" s="255"/>
    </row>
    <row r="191" spans="1:15" ht="22.8">
      <c r="A191" s="255"/>
      <c r="B191" s="264"/>
      <c r="C191" s="258"/>
      <c r="D191" s="259" t="s">
        <v>102</v>
      </c>
      <c r="E191" s="259" t="s">
        <v>135</v>
      </c>
      <c r="F191" s="255"/>
      <c r="G191" s="261" t="s">
        <v>137</v>
      </c>
      <c r="H191" s="261"/>
      <c r="I191" s="261"/>
      <c r="J191" s="261"/>
      <c r="K191" s="261"/>
      <c r="L191" s="261"/>
      <c r="M191" s="261"/>
      <c r="N191" s="255"/>
      <c r="O191" s="255"/>
    </row>
    <row r="192" spans="1:15" ht="22.8">
      <c r="A192" s="255"/>
      <c r="B192" s="264"/>
      <c r="C192" s="258"/>
      <c r="D192" s="259" t="s">
        <v>115</v>
      </c>
      <c r="E192" s="259" t="s">
        <v>135</v>
      </c>
      <c r="F192" s="255"/>
      <c r="G192" s="261" t="s">
        <v>138</v>
      </c>
      <c r="H192" s="261"/>
      <c r="I192" s="261"/>
      <c r="J192" s="261"/>
      <c r="K192" s="261"/>
      <c r="L192" s="255"/>
      <c r="M192" s="255"/>
      <c r="N192" s="255"/>
      <c r="O192" s="255"/>
    </row>
    <row r="193" spans="1:15" ht="22.8">
      <c r="A193" s="255"/>
      <c r="B193" s="264"/>
      <c r="C193" s="258"/>
      <c r="D193" s="259"/>
      <c r="E193" s="259"/>
      <c r="F193" s="259"/>
      <c r="G193" s="261"/>
      <c r="H193" s="262"/>
      <c r="I193" s="255"/>
      <c r="J193" s="255"/>
      <c r="K193" s="255"/>
      <c r="L193" s="255"/>
      <c r="M193" s="255"/>
      <c r="N193" s="255"/>
      <c r="O193" s="255"/>
    </row>
    <row r="194" spans="1:15" ht="22.8">
      <c r="A194" s="255"/>
      <c r="B194" s="264"/>
      <c r="C194" s="258"/>
      <c r="D194" s="259" t="s">
        <v>127</v>
      </c>
      <c r="E194" s="259" t="s">
        <v>139</v>
      </c>
      <c r="F194" s="259" t="s">
        <v>59</v>
      </c>
      <c r="G194" s="261" t="s">
        <v>140</v>
      </c>
      <c r="H194" s="261"/>
      <c r="I194" s="261"/>
      <c r="J194" s="261"/>
      <c r="K194" s="261"/>
      <c r="L194" s="255"/>
      <c r="M194" s="255"/>
      <c r="N194" s="255"/>
      <c r="O194" s="255"/>
    </row>
    <row r="195" spans="1:15" ht="22.8">
      <c r="A195" s="255"/>
      <c r="B195" s="264"/>
      <c r="C195" s="258"/>
      <c r="D195" s="259" t="s">
        <v>102</v>
      </c>
      <c r="E195" s="259" t="s">
        <v>139</v>
      </c>
      <c r="F195" s="255"/>
      <c r="G195" s="261" t="s">
        <v>141</v>
      </c>
      <c r="H195" s="261"/>
      <c r="I195" s="261"/>
      <c r="J195" s="261"/>
      <c r="K195" s="261"/>
      <c r="L195" s="261"/>
      <c r="M195" s="255"/>
      <c r="N195" s="255"/>
      <c r="O195" s="255"/>
    </row>
    <row r="196" spans="1:15" ht="22.8">
      <c r="A196" s="255"/>
      <c r="B196" s="264"/>
      <c r="C196" s="258"/>
      <c r="D196" s="259" t="s">
        <v>115</v>
      </c>
      <c r="E196" s="259" t="s">
        <v>139</v>
      </c>
      <c r="F196" s="255"/>
      <c r="G196" s="261" t="s">
        <v>141</v>
      </c>
      <c r="H196" s="261"/>
      <c r="I196" s="261"/>
      <c r="J196" s="261"/>
      <c r="K196" s="261"/>
      <c r="L196" s="261"/>
      <c r="M196" s="255"/>
      <c r="N196" s="255"/>
      <c r="O196" s="255"/>
    </row>
    <row r="197" spans="1:15" ht="22.8">
      <c r="A197" s="255"/>
      <c r="B197" s="264"/>
      <c r="C197" s="258"/>
      <c r="D197" s="259"/>
      <c r="E197" s="259"/>
      <c r="F197" s="259"/>
      <c r="G197" s="261"/>
      <c r="H197" s="262"/>
      <c r="I197" s="255"/>
      <c r="J197" s="255"/>
      <c r="K197" s="255"/>
      <c r="L197" s="255"/>
      <c r="M197" s="255"/>
      <c r="N197" s="255"/>
      <c r="O197" s="255"/>
    </row>
    <row r="198" spans="1:15" ht="22.8">
      <c r="A198" s="255"/>
      <c r="B198" s="264"/>
      <c r="C198" s="258" t="s">
        <v>142</v>
      </c>
      <c r="D198" s="259"/>
      <c r="E198" s="259"/>
      <c r="F198" s="259"/>
      <c r="G198" s="261"/>
      <c r="H198" s="262"/>
      <c r="I198" s="255"/>
      <c r="J198" s="255"/>
      <c r="K198" s="255"/>
      <c r="L198" s="255"/>
      <c r="M198" s="255"/>
      <c r="N198" s="255"/>
      <c r="O198" s="255"/>
    </row>
    <row r="199" spans="1:15" ht="22.8">
      <c r="A199" s="255"/>
      <c r="B199" s="264"/>
      <c r="C199" s="258"/>
      <c r="D199" s="259" t="s">
        <v>127</v>
      </c>
      <c r="E199" s="259" t="s">
        <v>128</v>
      </c>
      <c r="F199" s="259" t="s">
        <v>129</v>
      </c>
      <c r="G199" s="260" t="s">
        <v>143</v>
      </c>
      <c r="H199" s="260"/>
      <c r="I199" s="255"/>
      <c r="J199" s="255"/>
      <c r="K199" s="255"/>
      <c r="L199" s="255"/>
      <c r="M199" s="255"/>
      <c r="N199" s="255"/>
      <c r="O199" s="255"/>
    </row>
    <row r="200" spans="1:15" ht="22.8">
      <c r="A200" s="255"/>
      <c r="B200" s="264"/>
      <c r="C200" s="258"/>
      <c r="D200" s="259"/>
      <c r="E200" s="259"/>
      <c r="F200" s="259" t="s">
        <v>131</v>
      </c>
      <c r="G200" s="260" t="s">
        <v>144</v>
      </c>
      <c r="H200" s="260"/>
      <c r="I200" s="260"/>
      <c r="J200" s="255"/>
      <c r="K200" s="255"/>
      <c r="L200" s="255"/>
      <c r="M200" s="255"/>
      <c r="N200" s="255"/>
      <c r="O200" s="255"/>
    </row>
    <row r="201" spans="1:15" ht="22.8">
      <c r="A201" s="255"/>
      <c r="B201" s="264"/>
      <c r="C201" s="258"/>
      <c r="D201" s="259"/>
      <c r="E201" s="259"/>
      <c r="F201" s="259" t="s">
        <v>133</v>
      </c>
      <c r="G201" s="260" t="s">
        <v>144</v>
      </c>
      <c r="H201" s="260"/>
      <c r="I201" s="260"/>
      <c r="J201" s="255"/>
      <c r="K201" s="255"/>
      <c r="L201" s="255"/>
      <c r="M201" s="255"/>
      <c r="N201" s="255"/>
      <c r="O201" s="255"/>
    </row>
    <row r="202" spans="1:15" ht="22.8">
      <c r="A202" s="255"/>
      <c r="B202" s="264"/>
      <c r="C202" s="258"/>
      <c r="D202" s="259" t="s">
        <v>102</v>
      </c>
      <c r="E202" s="259" t="s">
        <v>128</v>
      </c>
      <c r="F202" s="255"/>
      <c r="G202" s="261" t="s">
        <v>145</v>
      </c>
      <c r="H202" s="261"/>
      <c r="I202" s="261"/>
      <c r="J202" s="261"/>
      <c r="K202" s="261"/>
      <c r="L202" s="261"/>
      <c r="M202" s="255"/>
      <c r="N202" s="255"/>
      <c r="O202" s="255"/>
    </row>
    <row r="203" spans="1:15" ht="22.8">
      <c r="A203" s="255"/>
      <c r="B203" s="264"/>
      <c r="C203" s="258"/>
      <c r="D203" s="259" t="s">
        <v>115</v>
      </c>
      <c r="E203" s="259" t="s">
        <v>128</v>
      </c>
      <c r="F203" s="255"/>
      <c r="G203" s="261" t="s">
        <v>145</v>
      </c>
      <c r="H203" s="261"/>
      <c r="I203" s="261"/>
      <c r="J203" s="261"/>
      <c r="K203" s="261"/>
      <c r="L203" s="261"/>
      <c r="M203" s="255"/>
      <c r="N203" s="255"/>
      <c r="O203" s="255"/>
    </row>
    <row r="204" spans="1:15" ht="22.8">
      <c r="A204" s="255"/>
      <c r="B204" s="264"/>
      <c r="C204" s="258"/>
      <c r="D204" s="259"/>
      <c r="E204" s="259"/>
      <c r="F204" s="259"/>
      <c r="G204" s="261"/>
      <c r="H204" s="262"/>
      <c r="I204" s="255"/>
      <c r="J204" s="255"/>
      <c r="K204" s="255"/>
      <c r="L204" s="255"/>
      <c r="M204" s="255"/>
      <c r="N204" s="255"/>
      <c r="O204" s="255"/>
    </row>
    <row r="205" spans="1:15" ht="22.8">
      <c r="A205" s="255"/>
      <c r="B205" s="264"/>
      <c r="C205" s="258"/>
      <c r="D205" s="259" t="s">
        <v>127</v>
      </c>
      <c r="E205" s="259" t="s">
        <v>135</v>
      </c>
      <c r="F205" s="259" t="s">
        <v>59</v>
      </c>
      <c r="G205" s="261" t="s">
        <v>146</v>
      </c>
      <c r="H205" s="261"/>
      <c r="I205" s="261"/>
      <c r="J205" s="261"/>
      <c r="K205" s="261"/>
      <c r="L205" s="261"/>
      <c r="M205" s="255"/>
      <c r="N205" s="255"/>
      <c r="O205" s="255"/>
    </row>
    <row r="206" spans="1:15" ht="22.8">
      <c r="A206" s="255"/>
      <c r="B206" s="264"/>
      <c r="C206" s="258"/>
      <c r="D206" s="259" t="s">
        <v>102</v>
      </c>
      <c r="E206" s="259" t="s">
        <v>135</v>
      </c>
      <c r="F206" s="255"/>
      <c r="G206" s="261" t="s">
        <v>147</v>
      </c>
      <c r="H206" s="261"/>
      <c r="I206" s="261"/>
      <c r="J206" s="261"/>
      <c r="K206" s="261"/>
      <c r="L206" s="261"/>
      <c r="M206" s="255"/>
      <c r="N206" s="255"/>
      <c r="O206" s="255"/>
    </row>
    <row r="207" spans="1:15" ht="22.8">
      <c r="A207" s="255"/>
      <c r="B207" s="264"/>
      <c r="C207" s="258"/>
      <c r="D207" s="259" t="s">
        <v>115</v>
      </c>
      <c r="E207" s="259" t="s">
        <v>135</v>
      </c>
      <c r="F207" s="255"/>
      <c r="G207" s="261" t="s">
        <v>148</v>
      </c>
      <c r="H207" s="261"/>
      <c r="I207" s="261"/>
      <c r="J207" s="261"/>
      <c r="K207" s="261"/>
      <c r="L207" s="255"/>
      <c r="M207" s="255"/>
      <c r="N207" s="255"/>
      <c r="O207" s="255"/>
    </row>
    <row r="208" spans="1:15" ht="22.8">
      <c r="A208" s="255"/>
      <c r="B208" s="264"/>
      <c r="C208" s="258"/>
      <c r="D208" s="259"/>
      <c r="E208" s="259"/>
      <c r="F208" s="259"/>
      <c r="G208" s="261"/>
      <c r="H208" s="262"/>
      <c r="I208" s="255"/>
      <c r="J208" s="255"/>
      <c r="K208" s="255"/>
      <c r="L208" s="255"/>
      <c r="M208" s="255"/>
      <c r="N208" s="255"/>
      <c r="O208" s="255"/>
    </row>
    <row r="209" spans="1:15" ht="22.8">
      <c r="A209" s="255"/>
      <c r="B209" s="264"/>
      <c r="C209" s="258"/>
      <c r="D209" s="259" t="s">
        <v>127</v>
      </c>
      <c r="E209" s="259" t="s">
        <v>139</v>
      </c>
      <c r="F209" s="259" t="s">
        <v>59</v>
      </c>
      <c r="G209" s="261" t="s">
        <v>149</v>
      </c>
      <c r="H209" s="261"/>
      <c r="I209" s="261"/>
      <c r="J209" s="261"/>
      <c r="K209" s="261"/>
      <c r="L209" s="255"/>
      <c r="M209" s="255"/>
      <c r="N209" s="255"/>
      <c r="O209" s="255"/>
    </row>
    <row r="210" spans="1:15" ht="22.8">
      <c r="A210" s="255"/>
      <c r="B210" s="264"/>
      <c r="C210" s="258"/>
      <c r="D210" s="259" t="s">
        <v>102</v>
      </c>
      <c r="E210" s="259" t="s">
        <v>139</v>
      </c>
      <c r="F210" s="255"/>
      <c r="G210" s="261" t="s">
        <v>150</v>
      </c>
      <c r="H210" s="261"/>
      <c r="I210" s="261"/>
      <c r="J210" s="261"/>
      <c r="K210" s="261"/>
      <c r="L210" s="261"/>
      <c r="M210" s="255"/>
      <c r="N210" s="255"/>
      <c r="O210" s="255"/>
    </row>
    <row r="211" spans="1:15" ht="22.8">
      <c r="A211" s="255"/>
      <c r="B211" s="264"/>
      <c r="C211" s="258"/>
      <c r="D211" s="259" t="s">
        <v>115</v>
      </c>
      <c r="E211" s="259" t="s">
        <v>139</v>
      </c>
      <c r="F211" s="255"/>
      <c r="G211" s="261" t="s">
        <v>150</v>
      </c>
      <c r="H211" s="261"/>
      <c r="I211" s="261"/>
      <c r="J211" s="261"/>
      <c r="K211" s="261"/>
      <c r="L211" s="261"/>
      <c r="M211" s="255"/>
      <c r="N211" s="255"/>
      <c r="O211" s="255"/>
    </row>
    <row r="212" spans="1:15" ht="22.8">
      <c r="A212" s="255"/>
      <c r="B212" s="264"/>
      <c r="C212" s="258"/>
      <c r="D212" s="259"/>
      <c r="E212" s="259"/>
      <c r="F212" s="259"/>
      <c r="G212" s="261"/>
      <c r="H212" s="262"/>
      <c r="I212" s="255"/>
      <c r="J212" s="255"/>
      <c r="K212" s="255"/>
      <c r="L212" s="255"/>
      <c r="M212" s="255"/>
      <c r="N212" s="255"/>
      <c r="O212" s="255"/>
    </row>
    <row r="213" spans="1:15" ht="22.8">
      <c r="A213" s="255"/>
      <c r="B213" s="264"/>
      <c r="C213" s="258"/>
      <c r="D213" s="259"/>
      <c r="E213" s="259"/>
      <c r="F213" s="259"/>
      <c r="G213" s="261"/>
      <c r="H213" s="262"/>
      <c r="I213" s="255"/>
      <c r="J213" s="255"/>
      <c r="K213" s="255"/>
      <c r="L213" s="255"/>
      <c r="M213" s="255"/>
      <c r="N213" s="255"/>
      <c r="O213" s="255"/>
    </row>
    <row r="214" spans="1:15" ht="22.8">
      <c r="A214" s="255"/>
      <c r="B214" s="264"/>
      <c r="C214" s="258"/>
      <c r="D214" s="259"/>
      <c r="E214" s="259"/>
      <c r="F214" s="259"/>
      <c r="G214" s="260"/>
      <c r="H214" s="255"/>
      <c r="I214" s="255"/>
      <c r="J214" s="255"/>
      <c r="K214" s="255"/>
      <c r="L214" s="255"/>
      <c r="M214" s="255"/>
      <c r="N214" s="255"/>
      <c r="O214" s="255"/>
    </row>
    <row r="215" spans="1:15" ht="22.8">
      <c r="A215" s="255"/>
      <c r="B215" s="264"/>
      <c r="C215" s="258" t="s">
        <v>151</v>
      </c>
      <c r="D215" s="259"/>
      <c r="E215" s="259"/>
      <c r="F215" s="259"/>
      <c r="G215" s="261"/>
      <c r="H215" s="262"/>
      <c r="I215" s="255"/>
      <c r="J215" s="255"/>
      <c r="K215" s="255"/>
      <c r="L215" s="255"/>
      <c r="M215" s="255"/>
      <c r="N215" s="255"/>
      <c r="O215" s="255"/>
    </row>
    <row r="216" spans="1:15" ht="22.8">
      <c r="A216" s="255"/>
      <c r="B216" s="264"/>
      <c r="C216" s="258"/>
      <c r="D216" s="259" t="s">
        <v>127</v>
      </c>
      <c r="E216" s="259" t="s">
        <v>128</v>
      </c>
      <c r="F216" s="259" t="s">
        <v>59</v>
      </c>
      <c r="G216" s="261" t="s">
        <v>152</v>
      </c>
      <c r="H216" s="261"/>
      <c r="I216" s="261"/>
      <c r="J216" s="261"/>
      <c r="K216" s="261"/>
      <c r="L216" s="255"/>
      <c r="M216" s="255"/>
      <c r="N216" s="255"/>
      <c r="O216" s="255"/>
    </row>
    <row r="217" spans="1:15" ht="22.8">
      <c r="A217" s="255"/>
      <c r="B217" s="264"/>
      <c r="C217" s="258"/>
      <c r="D217" s="259"/>
      <c r="E217" s="259"/>
      <c r="F217" s="259"/>
      <c r="G217" s="261"/>
      <c r="H217" s="262"/>
      <c r="I217" s="255"/>
      <c r="J217" s="255"/>
      <c r="K217" s="255"/>
      <c r="L217" s="255"/>
      <c r="M217" s="255"/>
      <c r="N217" s="255"/>
      <c r="O217" s="255"/>
    </row>
    <row r="218" spans="1:15" ht="22.8">
      <c r="A218" s="255"/>
      <c r="B218" s="264"/>
      <c r="C218" s="258"/>
      <c r="D218" s="259" t="s">
        <v>127</v>
      </c>
      <c r="E218" s="259" t="s">
        <v>135</v>
      </c>
      <c r="F218" s="259" t="s">
        <v>59</v>
      </c>
      <c r="G218" s="261" t="s">
        <v>153</v>
      </c>
      <c r="H218" s="261"/>
      <c r="I218" s="261"/>
      <c r="J218" s="261"/>
      <c r="K218" s="261"/>
      <c r="L218" s="255"/>
      <c r="M218" s="255"/>
      <c r="N218" s="255"/>
      <c r="O218" s="255"/>
    </row>
    <row r="219" spans="1:15" ht="22.8">
      <c r="A219" s="255"/>
      <c r="B219" s="264"/>
      <c r="C219" s="258"/>
      <c r="D219" s="259"/>
      <c r="E219" s="259"/>
      <c r="F219" s="259"/>
      <c r="G219" s="261"/>
      <c r="H219" s="262"/>
      <c r="I219" s="255"/>
      <c r="J219" s="255"/>
      <c r="K219" s="255"/>
      <c r="L219" s="255"/>
      <c r="M219" s="255"/>
      <c r="N219" s="255"/>
      <c r="O219" s="255"/>
    </row>
    <row r="220" spans="1:15" ht="22.8">
      <c r="A220" s="255"/>
      <c r="B220" s="264"/>
      <c r="C220" s="258"/>
      <c r="D220" s="259" t="s">
        <v>127</v>
      </c>
      <c r="E220" s="259" t="s">
        <v>139</v>
      </c>
      <c r="F220" s="259" t="s">
        <v>59</v>
      </c>
      <c r="G220" s="261" t="s">
        <v>154</v>
      </c>
      <c r="H220" s="261"/>
      <c r="I220" s="261"/>
      <c r="J220" s="255"/>
      <c r="K220" s="255"/>
      <c r="L220" s="255"/>
      <c r="M220" s="255"/>
      <c r="N220" s="255"/>
      <c r="O220" s="255"/>
    </row>
    <row r="221" spans="1:15" ht="22.8">
      <c r="A221" s="255"/>
      <c r="B221" s="264"/>
      <c r="C221" s="258"/>
      <c r="D221" s="259"/>
      <c r="E221" s="259"/>
      <c r="F221" s="259"/>
      <c r="G221" s="261"/>
      <c r="H221" s="262"/>
      <c r="I221" s="255"/>
      <c r="J221" s="255"/>
      <c r="K221" s="255"/>
      <c r="L221" s="255"/>
      <c r="M221" s="255"/>
      <c r="N221" s="255"/>
      <c r="O221" s="255"/>
    </row>
    <row r="222" spans="1:15" ht="22.8">
      <c r="A222" s="255"/>
      <c r="B222" s="264"/>
      <c r="C222" s="258"/>
      <c r="D222" s="259" t="s">
        <v>102</v>
      </c>
      <c r="E222" s="259" t="s">
        <v>128</v>
      </c>
      <c r="F222" s="259" t="s">
        <v>155</v>
      </c>
      <c r="G222" s="261" t="s">
        <v>156</v>
      </c>
      <c r="H222" s="261"/>
      <c r="I222" s="261"/>
      <c r="J222" s="261"/>
      <c r="K222" s="261"/>
      <c r="L222" s="261"/>
      <c r="M222" s="261"/>
      <c r="N222" s="261"/>
      <c r="O222" s="261"/>
    </row>
    <row r="223" spans="1:15" ht="22.8">
      <c r="A223" s="255"/>
      <c r="B223" s="264"/>
      <c r="C223" s="258"/>
      <c r="D223" s="259"/>
      <c r="E223" s="259"/>
      <c r="F223" s="259" t="s">
        <v>157</v>
      </c>
      <c r="G223" s="261" t="s">
        <v>158</v>
      </c>
      <c r="H223" s="261"/>
      <c r="I223" s="261"/>
      <c r="J223" s="261"/>
      <c r="K223" s="255"/>
      <c r="L223" s="255"/>
      <c r="M223" s="255"/>
      <c r="N223" s="255"/>
      <c r="O223" s="255"/>
    </row>
    <row r="224" spans="1:15" ht="22.8">
      <c r="A224" s="255"/>
      <c r="B224" s="264"/>
      <c r="C224" s="258"/>
      <c r="D224" s="259"/>
      <c r="E224" s="259"/>
      <c r="F224" s="259" t="s">
        <v>159</v>
      </c>
      <c r="G224" s="261" t="s">
        <v>160</v>
      </c>
      <c r="H224" s="261"/>
      <c r="I224" s="261"/>
      <c r="J224" s="255"/>
      <c r="K224" s="255"/>
      <c r="L224" s="255"/>
      <c r="M224" s="255"/>
      <c r="N224" s="255"/>
      <c r="O224" s="255"/>
    </row>
    <row r="225" spans="1:15" ht="22.8">
      <c r="A225" s="255"/>
      <c r="B225" s="264"/>
      <c r="C225" s="258"/>
      <c r="D225" s="259"/>
      <c r="E225" s="259"/>
      <c r="F225" s="259"/>
      <c r="G225" s="261"/>
      <c r="H225" s="262"/>
      <c r="I225" s="255"/>
      <c r="J225" s="255"/>
      <c r="K225" s="255"/>
      <c r="L225" s="255"/>
      <c r="M225" s="255"/>
      <c r="N225" s="255"/>
      <c r="O225" s="255"/>
    </row>
    <row r="226" spans="1:15" ht="22.8">
      <c r="A226" s="255"/>
      <c r="B226" s="264"/>
      <c r="C226" s="258"/>
      <c r="D226" s="259" t="s">
        <v>102</v>
      </c>
      <c r="E226" s="259" t="s">
        <v>135</v>
      </c>
      <c r="F226" s="259" t="s">
        <v>155</v>
      </c>
      <c r="G226" s="261" t="s">
        <v>161</v>
      </c>
      <c r="H226" s="261"/>
      <c r="I226" s="261"/>
      <c r="J226" s="261"/>
      <c r="K226" s="255"/>
      <c r="L226" s="255"/>
      <c r="M226" s="255"/>
      <c r="N226" s="255"/>
      <c r="O226" s="255"/>
    </row>
    <row r="227" spans="1:15" ht="22.8">
      <c r="A227" s="255"/>
      <c r="B227" s="264"/>
      <c r="C227" s="258"/>
      <c r="D227" s="259"/>
      <c r="E227" s="259"/>
      <c r="F227" s="259" t="s">
        <v>157</v>
      </c>
      <c r="G227" s="261" t="s">
        <v>162</v>
      </c>
      <c r="H227" s="261"/>
      <c r="I227" s="261"/>
      <c r="J227" s="255"/>
      <c r="K227" s="255"/>
      <c r="L227" s="255"/>
      <c r="M227" s="255"/>
      <c r="N227" s="255"/>
      <c r="O227" s="255"/>
    </row>
    <row r="228" spans="1:15" ht="22.8">
      <c r="A228" s="255"/>
      <c r="B228" s="264"/>
      <c r="C228" s="258"/>
      <c r="D228" s="259"/>
      <c r="E228" s="259"/>
      <c r="F228" s="259" t="s">
        <v>159</v>
      </c>
      <c r="G228" s="261" t="s">
        <v>163</v>
      </c>
      <c r="H228" s="261"/>
      <c r="I228" s="261"/>
      <c r="J228" s="255"/>
      <c r="K228" s="255"/>
      <c r="L228" s="255"/>
      <c r="M228" s="255"/>
      <c r="N228" s="255"/>
      <c r="O228" s="255"/>
    </row>
    <row r="229" spans="1:15" ht="22.8">
      <c r="A229" s="255"/>
      <c r="B229" s="264"/>
      <c r="C229" s="258"/>
      <c r="D229" s="259"/>
      <c r="E229" s="259"/>
      <c r="F229" s="259"/>
      <c r="G229" s="261"/>
      <c r="H229" s="262"/>
      <c r="I229" s="255"/>
      <c r="J229" s="255"/>
      <c r="K229" s="255"/>
      <c r="L229" s="255"/>
      <c r="M229" s="255"/>
      <c r="N229" s="255"/>
      <c r="O229" s="255"/>
    </row>
    <row r="230" spans="1:15" ht="22.8">
      <c r="A230" s="255"/>
      <c r="B230" s="264"/>
      <c r="C230" s="258"/>
      <c r="D230" s="259" t="s">
        <v>102</v>
      </c>
      <c r="E230" s="259" t="s">
        <v>139</v>
      </c>
      <c r="F230" s="259" t="s">
        <v>155</v>
      </c>
      <c r="G230" s="261" t="s">
        <v>164</v>
      </c>
      <c r="H230" s="261"/>
      <c r="I230" s="261"/>
      <c r="J230" s="261"/>
      <c r="K230" s="261"/>
      <c r="L230" s="255"/>
      <c r="M230" s="255"/>
      <c r="N230" s="255"/>
      <c r="O230" s="255"/>
    </row>
    <row r="231" spans="1:15" ht="22.8">
      <c r="A231" s="255"/>
      <c r="B231" s="264"/>
      <c r="C231" s="258"/>
      <c r="D231" s="259"/>
      <c r="E231" s="259"/>
      <c r="F231" s="259" t="s">
        <v>157</v>
      </c>
      <c r="G231" s="261" t="s">
        <v>154</v>
      </c>
      <c r="H231" s="261"/>
      <c r="I231" s="261"/>
      <c r="J231" s="255"/>
      <c r="K231" s="255"/>
      <c r="L231" s="255"/>
      <c r="M231" s="255"/>
      <c r="N231" s="255"/>
      <c r="O231" s="255"/>
    </row>
    <row r="232" spans="1:15" ht="22.8">
      <c r="A232" s="255"/>
      <c r="B232" s="264"/>
      <c r="C232" s="258"/>
      <c r="D232" s="259"/>
      <c r="E232" s="259"/>
      <c r="F232" s="259" t="s">
        <v>159</v>
      </c>
      <c r="G232" s="261" t="s">
        <v>154</v>
      </c>
      <c r="H232" s="261"/>
      <c r="I232" s="261"/>
      <c r="J232" s="255"/>
      <c r="K232" s="255"/>
      <c r="L232" s="255"/>
      <c r="M232" s="255"/>
      <c r="N232" s="255"/>
      <c r="O232" s="255"/>
    </row>
    <row r="233" spans="1:15" ht="22.8">
      <c r="A233" s="255"/>
      <c r="B233" s="264"/>
      <c r="C233" s="258"/>
      <c r="D233" s="259"/>
      <c r="E233" s="259"/>
      <c r="F233" s="259"/>
      <c r="G233" s="261"/>
      <c r="H233" s="262"/>
      <c r="I233" s="255"/>
      <c r="J233" s="255"/>
      <c r="K233" s="255"/>
      <c r="L233" s="255"/>
      <c r="M233" s="255"/>
      <c r="N233" s="255"/>
      <c r="O233" s="255"/>
    </row>
    <row r="234" spans="1:15" ht="22.8">
      <c r="A234" s="255"/>
      <c r="B234" s="264"/>
      <c r="C234" s="258"/>
      <c r="D234" s="259" t="s">
        <v>115</v>
      </c>
      <c r="E234" s="259" t="s">
        <v>128</v>
      </c>
      <c r="F234" s="259"/>
      <c r="G234" s="261" t="s">
        <v>162</v>
      </c>
      <c r="H234" s="261"/>
      <c r="I234" s="261"/>
      <c r="J234" s="255"/>
      <c r="K234" s="255"/>
      <c r="L234" s="255"/>
      <c r="M234" s="255"/>
      <c r="N234" s="255"/>
      <c r="O234" s="255"/>
    </row>
    <row r="235" spans="1:15" ht="22.8">
      <c r="A235" s="255"/>
      <c r="B235" s="264"/>
      <c r="C235" s="258"/>
      <c r="D235" s="259"/>
      <c r="E235" s="259"/>
      <c r="F235" s="259"/>
      <c r="G235" s="261"/>
      <c r="H235" s="262"/>
      <c r="I235" s="255"/>
      <c r="J235" s="255"/>
      <c r="K235" s="255"/>
      <c r="L235" s="255"/>
      <c r="M235" s="255"/>
      <c r="N235" s="255"/>
      <c r="O235" s="255"/>
    </row>
    <row r="236" spans="1:15" ht="22.8">
      <c r="A236" s="255"/>
      <c r="B236" s="264"/>
      <c r="C236" s="258"/>
      <c r="D236" s="259" t="s">
        <v>115</v>
      </c>
      <c r="E236" s="259" t="s">
        <v>135</v>
      </c>
      <c r="F236" s="259" t="s">
        <v>59</v>
      </c>
      <c r="G236" s="261" t="s">
        <v>165</v>
      </c>
      <c r="H236" s="261"/>
      <c r="I236" s="261"/>
      <c r="J236" s="261"/>
      <c r="K236" s="255"/>
      <c r="L236" s="255"/>
      <c r="M236" s="255"/>
      <c r="N236" s="255"/>
      <c r="O236" s="255"/>
    </row>
    <row r="237" spans="1:15" ht="22.8">
      <c r="A237" s="255"/>
      <c r="B237" s="264"/>
      <c r="C237" s="258"/>
      <c r="D237" s="259"/>
      <c r="E237" s="259"/>
      <c r="F237" s="259"/>
      <c r="G237" s="261"/>
      <c r="H237" s="262"/>
      <c r="I237" s="255"/>
      <c r="J237" s="255"/>
      <c r="K237" s="255"/>
      <c r="L237" s="255"/>
      <c r="M237" s="255"/>
      <c r="N237" s="255"/>
      <c r="O237" s="255"/>
    </row>
    <row r="238" spans="1:15" ht="22.8">
      <c r="A238" s="255"/>
      <c r="B238" s="264"/>
      <c r="C238" s="258"/>
      <c r="D238" s="259" t="s">
        <v>115</v>
      </c>
      <c r="E238" s="259" t="s">
        <v>139</v>
      </c>
      <c r="F238" s="259" t="s">
        <v>59</v>
      </c>
      <c r="G238" s="261" t="s">
        <v>166</v>
      </c>
      <c r="H238" s="261"/>
      <c r="I238" s="261"/>
      <c r="J238" s="261"/>
      <c r="K238" s="255"/>
      <c r="L238" s="255"/>
      <c r="M238" s="255"/>
      <c r="N238" s="255"/>
      <c r="O238" s="255"/>
    </row>
    <row r="239" spans="1:15" ht="22.8">
      <c r="A239" s="255"/>
      <c r="B239" s="264"/>
      <c r="C239" s="258"/>
      <c r="D239" s="259"/>
      <c r="E239" s="259"/>
      <c r="F239" s="259"/>
      <c r="G239" s="261"/>
      <c r="H239" s="262"/>
      <c r="I239" s="255"/>
      <c r="J239" s="255"/>
      <c r="K239" s="255"/>
      <c r="L239" s="255"/>
      <c r="M239" s="255"/>
      <c r="N239" s="255"/>
      <c r="O239" s="255"/>
    </row>
    <row r="240" spans="1:15" ht="22.8">
      <c r="A240" s="255"/>
      <c r="B240" s="264"/>
      <c r="C240" s="258"/>
      <c r="D240" s="259"/>
      <c r="E240" s="259"/>
      <c r="F240" s="259"/>
      <c r="G240" s="261"/>
      <c r="H240" s="262"/>
      <c r="I240" s="255"/>
      <c r="J240" s="255"/>
      <c r="K240" s="255"/>
      <c r="L240" s="255"/>
      <c r="M240" s="255"/>
      <c r="N240" s="255"/>
      <c r="O240" s="255"/>
    </row>
    <row r="241" spans="1:15" ht="22.8">
      <c r="A241" s="255"/>
      <c r="B241" s="264"/>
      <c r="C241" s="258"/>
      <c r="D241" s="259"/>
      <c r="E241" s="259"/>
      <c r="F241" s="259"/>
      <c r="G241" s="260"/>
      <c r="H241" s="255"/>
      <c r="I241" s="255"/>
      <c r="J241" s="255"/>
      <c r="K241" s="255"/>
      <c r="L241" s="255"/>
      <c r="M241" s="255"/>
      <c r="N241" s="255"/>
      <c r="O241" s="255"/>
    </row>
    <row r="242" spans="1:15" ht="22.8">
      <c r="A242" s="255"/>
      <c r="B242" s="264"/>
      <c r="C242" s="258" t="s">
        <v>167</v>
      </c>
      <c r="D242" s="259"/>
      <c r="E242" s="259"/>
      <c r="F242" s="259"/>
      <c r="G242" s="260"/>
      <c r="H242" s="255"/>
      <c r="I242" s="255"/>
      <c r="J242" s="255"/>
      <c r="K242" s="255"/>
      <c r="L242" s="255"/>
      <c r="M242" s="255"/>
      <c r="N242" s="255"/>
      <c r="O242" s="255"/>
    </row>
    <row r="243" spans="1:15" ht="22.8">
      <c r="A243" s="255"/>
      <c r="B243" s="264"/>
      <c r="C243" s="258"/>
      <c r="D243" s="259" t="s">
        <v>127</v>
      </c>
      <c r="E243" s="259" t="s">
        <v>128</v>
      </c>
      <c r="F243" s="259"/>
      <c r="G243" s="261" t="s">
        <v>168</v>
      </c>
      <c r="H243" s="261"/>
      <c r="I243" s="261"/>
      <c r="J243" s="261"/>
      <c r="K243" s="261"/>
      <c r="L243" s="261"/>
      <c r="M243" s="255"/>
      <c r="N243" s="255"/>
      <c r="O243" s="255"/>
    </row>
    <row r="244" spans="1:15" ht="22.8">
      <c r="A244" s="255"/>
      <c r="B244" s="264"/>
      <c r="C244" s="258"/>
      <c r="D244" s="259"/>
      <c r="E244" s="259"/>
      <c r="F244" s="259"/>
      <c r="G244" s="261"/>
      <c r="H244" s="262"/>
      <c r="I244" s="255"/>
      <c r="J244" s="255"/>
      <c r="K244" s="255"/>
      <c r="L244" s="255"/>
      <c r="M244" s="255"/>
      <c r="N244" s="255"/>
      <c r="O244" s="255"/>
    </row>
    <row r="245" spans="1:15" ht="22.8">
      <c r="A245" s="255"/>
      <c r="B245" s="264"/>
      <c r="C245" s="258"/>
      <c r="D245" s="259" t="s">
        <v>127</v>
      </c>
      <c r="E245" s="259" t="s">
        <v>135</v>
      </c>
      <c r="F245" s="259"/>
      <c r="G245" s="261" t="s">
        <v>169</v>
      </c>
      <c r="H245" s="261"/>
      <c r="I245" s="261"/>
      <c r="J245" s="261"/>
      <c r="K245" s="261"/>
      <c r="L245" s="255"/>
      <c r="M245" s="255"/>
      <c r="N245" s="255"/>
      <c r="O245" s="255"/>
    </row>
    <row r="246" spans="1:15" ht="22.8">
      <c r="A246" s="255"/>
      <c r="B246" s="264"/>
      <c r="C246" s="258"/>
      <c r="D246" s="259"/>
      <c r="E246" s="259"/>
      <c r="F246" s="259"/>
      <c r="G246" s="261"/>
      <c r="H246" s="262"/>
      <c r="I246" s="255"/>
      <c r="J246" s="255"/>
      <c r="K246" s="255"/>
      <c r="L246" s="255"/>
      <c r="M246" s="255"/>
      <c r="N246" s="255"/>
      <c r="O246" s="255"/>
    </row>
    <row r="247" spans="1:15" ht="22.8">
      <c r="A247" s="255"/>
      <c r="B247" s="264"/>
      <c r="C247" s="258"/>
      <c r="D247" s="259" t="s">
        <v>127</v>
      </c>
      <c r="E247" s="259" t="s">
        <v>139</v>
      </c>
      <c r="F247" s="259"/>
      <c r="G247" s="261" t="s">
        <v>170</v>
      </c>
      <c r="H247" s="261"/>
      <c r="I247" s="261"/>
      <c r="J247" s="261"/>
      <c r="K247" s="261"/>
      <c r="L247" s="261"/>
      <c r="M247" s="255"/>
      <c r="N247" s="255"/>
      <c r="O247" s="255"/>
    </row>
    <row r="248" spans="1:15" ht="22.8">
      <c r="A248" s="255"/>
      <c r="B248" s="264"/>
      <c r="C248" s="258"/>
      <c r="D248" s="259"/>
      <c r="E248" s="259"/>
      <c r="F248" s="259"/>
      <c r="G248" s="261"/>
      <c r="H248" s="262"/>
      <c r="I248" s="255"/>
      <c r="J248" s="255"/>
      <c r="K248" s="255"/>
      <c r="L248" s="255"/>
      <c r="M248" s="255"/>
      <c r="N248" s="255"/>
      <c r="O248" s="255"/>
    </row>
    <row r="249" spans="1:15" ht="22.8">
      <c r="A249" s="255"/>
      <c r="B249" s="264"/>
      <c r="C249" s="258"/>
      <c r="D249" s="259" t="s">
        <v>102</v>
      </c>
      <c r="E249" s="259" t="s">
        <v>128</v>
      </c>
      <c r="F249" s="259"/>
      <c r="G249" s="261" t="s">
        <v>168</v>
      </c>
      <c r="H249" s="261"/>
      <c r="I249" s="261"/>
      <c r="J249" s="261"/>
      <c r="K249" s="261"/>
      <c r="L249" s="261"/>
      <c r="M249" s="255"/>
      <c r="N249" s="255"/>
      <c r="O249" s="255"/>
    </row>
    <row r="250" spans="1:15" ht="22.8">
      <c r="A250" s="255"/>
      <c r="B250" s="264"/>
      <c r="C250" s="258"/>
      <c r="D250" s="259"/>
      <c r="E250" s="259"/>
      <c r="F250" s="259"/>
      <c r="G250" s="261"/>
      <c r="H250" s="262"/>
      <c r="I250" s="255"/>
      <c r="J250" s="255"/>
      <c r="K250" s="255"/>
      <c r="L250" s="255"/>
      <c r="M250" s="255"/>
      <c r="N250" s="255"/>
      <c r="O250" s="255"/>
    </row>
    <row r="251" spans="1:15" ht="22.8">
      <c r="A251" s="255"/>
      <c r="B251" s="264"/>
      <c r="C251" s="258"/>
      <c r="D251" s="259" t="s">
        <v>102</v>
      </c>
      <c r="E251" s="259" t="s">
        <v>135</v>
      </c>
      <c r="F251" s="259"/>
      <c r="G251" s="261" t="s">
        <v>168</v>
      </c>
      <c r="H251" s="261"/>
      <c r="I251" s="261"/>
      <c r="J251" s="261"/>
      <c r="K251" s="261"/>
      <c r="L251" s="261"/>
      <c r="M251" s="255"/>
      <c r="N251" s="255"/>
      <c r="O251" s="255"/>
    </row>
    <row r="252" spans="1:15" ht="22.8">
      <c r="A252" s="255"/>
      <c r="B252" s="264"/>
      <c r="C252" s="258"/>
      <c r="D252" s="259"/>
      <c r="E252" s="259"/>
      <c r="F252" s="259"/>
      <c r="G252" s="261"/>
      <c r="H252" s="262"/>
      <c r="I252" s="255"/>
      <c r="J252" s="255"/>
      <c r="K252" s="255"/>
      <c r="L252" s="255"/>
      <c r="M252" s="255"/>
      <c r="N252" s="255"/>
      <c r="O252" s="255"/>
    </row>
    <row r="253" spans="1:15" ht="22.8">
      <c r="A253" s="255"/>
      <c r="B253" s="264"/>
      <c r="C253" s="258"/>
      <c r="D253" s="259" t="s">
        <v>102</v>
      </c>
      <c r="E253" s="259" t="s">
        <v>139</v>
      </c>
      <c r="F253" s="259"/>
      <c r="G253" s="261" t="s">
        <v>169</v>
      </c>
      <c r="H253" s="261"/>
      <c r="I253" s="261"/>
      <c r="J253" s="261"/>
      <c r="K253" s="261"/>
      <c r="L253" s="255"/>
      <c r="M253" s="255"/>
      <c r="N253" s="255"/>
      <c r="O253" s="255"/>
    </row>
    <row r="254" spans="1:15" ht="22.8">
      <c r="A254" s="255"/>
      <c r="B254" s="264"/>
      <c r="C254" s="258"/>
      <c r="D254" s="259"/>
      <c r="E254" s="259"/>
      <c r="F254" s="259"/>
      <c r="G254" s="261"/>
      <c r="H254" s="262"/>
      <c r="I254" s="255"/>
      <c r="J254" s="255"/>
      <c r="K254" s="255"/>
      <c r="L254" s="255"/>
      <c r="M254" s="255"/>
      <c r="N254" s="255"/>
      <c r="O254" s="255"/>
    </row>
    <row r="255" spans="1:15" ht="22.8">
      <c r="A255" s="255"/>
      <c r="B255" s="264"/>
      <c r="C255" s="258"/>
      <c r="D255" s="259" t="s">
        <v>115</v>
      </c>
      <c r="E255" s="259" t="s">
        <v>128</v>
      </c>
      <c r="F255" s="259" t="s">
        <v>155</v>
      </c>
      <c r="G255" s="261" t="s">
        <v>171</v>
      </c>
      <c r="H255" s="261"/>
      <c r="I255" s="261"/>
      <c r="J255" s="261"/>
      <c r="K255" s="261"/>
      <c r="L255" s="255"/>
      <c r="M255" s="255"/>
      <c r="N255" s="255"/>
      <c r="O255" s="255"/>
    </row>
    <row r="256" spans="1:15" ht="22.8">
      <c r="A256" s="255"/>
      <c r="B256" s="264"/>
      <c r="C256" s="258"/>
      <c r="D256" s="259"/>
      <c r="E256" s="259"/>
      <c r="F256" s="259" t="s">
        <v>157</v>
      </c>
      <c r="G256" s="261" t="s">
        <v>171</v>
      </c>
      <c r="H256" s="261"/>
      <c r="I256" s="261"/>
      <c r="J256" s="261"/>
      <c r="K256" s="261"/>
      <c r="L256" s="255"/>
      <c r="M256" s="255"/>
      <c r="N256" s="255"/>
      <c r="O256" s="255"/>
    </row>
    <row r="257" spans="1:15" ht="22.8">
      <c r="A257" s="255"/>
      <c r="B257" s="264"/>
      <c r="C257" s="258"/>
      <c r="D257" s="259"/>
      <c r="E257" s="259"/>
      <c r="F257" s="259" t="s">
        <v>159</v>
      </c>
      <c r="G257" s="261" t="s">
        <v>172</v>
      </c>
      <c r="H257" s="261"/>
      <c r="I257" s="261"/>
      <c r="J257" s="261"/>
      <c r="K257" s="261"/>
      <c r="L257" s="261"/>
      <c r="M257" s="255"/>
      <c r="N257" s="255"/>
      <c r="O257" s="255"/>
    </row>
    <row r="258" spans="1:15" ht="22.8">
      <c r="A258" s="255"/>
      <c r="B258" s="264"/>
      <c r="C258" s="258"/>
      <c r="D258" s="259"/>
      <c r="E258" s="259"/>
      <c r="F258" s="259"/>
      <c r="G258" s="261"/>
      <c r="H258" s="262"/>
      <c r="I258" s="255"/>
      <c r="J258" s="255"/>
      <c r="K258" s="255"/>
      <c r="L258" s="255"/>
      <c r="M258" s="255"/>
      <c r="N258" s="255"/>
      <c r="O258" s="255"/>
    </row>
    <row r="259" spans="1:15" ht="22.8">
      <c r="A259" s="255"/>
      <c r="B259" s="264"/>
      <c r="C259" s="258"/>
      <c r="D259" s="259" t="s">
        <v>115</v>
      </c>
      <c r="E259" s="259" t="s">
        <v>135</v>
      </c>
      <c r="F259" s="259" t="s">
        <v>155</v>
      </c>
      <c r="G259" s="261" t="s">
        <v>173</v>
      </c>
      <c r="H259" s="261"/>
      <c r="I259" s="261"/>
      <c r="J259" s="261"/>
      <c r="K259" s="261"/>
      <c r="L259" s="255"/>
      <c r="M259" s="255"/>
      <c r="N259" s="255"/>
      <c r="O259" s="255"/>
    </row>
    <row r="260" spans="1:15" ht="22.8">
      <c r="A260" s="255"/>
      <c r="B260" s="264"/>
      <c r="C260" s="258"/>
      <c r="D260" s="259"/>
      <c r="E260" s="259"/>
      <c r="F260" s="259" t="s">
        <v>157</v>
      </c>
      <c r="G260" s="261" t="s">
        <v>174</v>
      </c>
      <c r="H260" s="261"/>
      <c r="I260" s="261"/>
      <c r="J260" s="255"/>
      <c r="K260" s="255"/>
      <c r="L260" s="255"/>
      <c r="M260" s="255"/>
      <c r="N260" s="255"/>
      <c r="O260" s="255"/>
    </row>
    <row r="261" spans="1:15" ht="22.8">
      <c r="A261" s="255"/>
      <c r="B261" s="264"/>
      <c r="C261" s="258"/>
      <c r="D261" s="259"/>
      <c r="E261" s="259"/>
      <c r="F261" s="259" t="s">
        <v>159</v>
      </c>
      <c r="G261" s="261" t="s">
        <v>175</v>
      </c>
      <c r="H261" s="261"/>
      <c r="I261" s="261"/>
      <c r="J261" s="255"/>
      <c r="K261" s="255"/>
      <c r="L261" s="255"/>
      <c r="M261" s="255"/>
      <c r="N261" s="255"/>
      <c r="O261" s="255"/>
    </row>
    <row r="262" spans="1:15" ht="22.8">
      <c r="A262" s="255"/>
      <c r="B262" s="264"/>
      <c r="C262" s="258"/>
      <c r="D262" s="259"/>
      <c r="E262" s="259"/>
      <c r="F262" s="259"/>
      <c r="G262" s="261"/>
      <c r="H262" s="262"/>
      <c r="I262" s="255"/>
      <c r="J262" s="255"/>
      <c r="K262" s="255"/>
      <c r="L262" s="255"/>
      <c r="M262" s="255"/>
      <c r="N262" s="255"/>
      <c r="O262" s="255"/>
    </row>
    <row r="263" spans="1:15" ht="22.8">
      <c r="A263" s="255"/>
      <c r="B263" s="264"/>
      <c r="C263" s="258"/>
      <c r="D263" s="259" t="s">
        <v>115</v>
      </c>
      <c r="E263" s="259" t="s">
        <v>139</v>
      </c>
      <c r="F263" s="259" t="s">
        <v>155</v>
      </c>
      <c r="G263" s="261" t="s">
        <v>173</v>
      </c>
      <c r="H263" s="261"/>
      <c r="I263" s="261"/>
      <c r="J263" s="261"/>
      <c r="K263" s="261"/>
      <c r="L263" s="255"/>
      <c r="M263" s="255"/>
      <c r="N263" s="255"/>
      <c r="O263" s="255"/>
    </row>
    <row r="264" spans="1:15" ht="22.8">
      <c r="A264" s="255"/>
      <c r="B264" s="264"/>
      <c r="C264" s="258"/>
      <c r="D264" s="259"/>
      <c r="E264" s="259"/>
      <c r="F264" s="259" t="s">
        <v>157</v>
      </c>
      <c r="G264" s="261" t="s">
        <v>176</v>
      </c>
      <c r="H264" s="261"/>
      <c r="I264" s="261"/>
      <c r="J264" s="261"/>
      <c r="K264" s="261"/>
      <c r="L264" s="255"/>
      <c r="M264" s="255"/>
      <c r="N264" s="255"/>
      <c r="O264" s="255"/>
    </row>
    <row r="265" spans="1:15" ht="22.8">
      <c r="A265" s="255"/>
      <c r="B265" s="264"/>
      <c r="C265" s="258"/>
      <c r="D265" s="259"/>
      <c r="E265" s="259"/>
      <c r="F265" s="259" t="s">
        <v>159</v>
      </c>
      <c r="G265" s="261" t="s">
        <v>175</v>
      </c>
      <c r="H265" s="261"/>
      <c r="I265" s="261"/>
      <c r="J265" s="255"/>
      <c r="K265" s="255"/>
      <c r="L265" s="255"/>
      <c r="M265" s="255"/>
      <c r="N265" s="255"/>
      <c r="O265" s="255"/>
    </row>
    <row r="266" spans="1:15" ht="22.8">
      <c r="A266" s="255"/>
      <c r="B266" s="264"/>
      <c r="C266" s="258"/>
      <c r="D266" s="259"/>
      <c r="E266" s="259"/>
      <c r="F266" s="259"/>
      <c r="G266" s="260"/>
      <c r="H266" s="255"/>
      <c r="I266" s="255"/>
      <c r="J266" s="255"/>
      <c r="K266" s="255"/>
      <c r="L266" s="255"/>
      <c r="M266" s="255"/>
      <c r="N266" s="255"/>
      <c r="O266" s="255"/>
    </row>
    <row r="267" spans="1:15" ht="22.8">
      <c r="A267" s="255"/>
      <c r="B267" s="264"/>
      <c r="C267" s="258" t="s">
        <v>177</v>
      </c>
      <c r="D267" s="259"/>
      <c r="E267" s="259"/>
      <c r="F267" s="259"/>
      <c r="G267" s="260"/>
      <c r="H267" s="255"/>
      <c r="I267" s="255"/>
      <c r="J267" s="255"/>
      <c r="K267" s="255"/>
      <c r="L267" s="255"/>
      <c r="M267" s="255"/>
      <c r="N267" s="255"/>
      <c r="O267" s="255"/>
    </row>
    <row r="268" spans="1:15" ht="22.8">
      <c r="A268" s="255"/>
      <c r="B268" s="264"/>
      <c r="C268" s="258"/>
      <c r="D268" s="259" t="s">
        <v>127</v>
      </c>
      <c r="E268" s="259" t="s">
        <v>128</v>
      </c>
      <c r="F268" s="259"/>
      <c r="G268" s="261" t="s">
        <v>178</v>
      </c>
      <c r="H268" s="261"/>
      <c r="I268" s="261"/>
      <c r="J268" s="261"/>
      <c r="K268" s="261"/>
      <c r="L268" s="261"/>
      <c r="M268" s="255"/>
      <c r="N268" s="255"/>
      <c r="O268" s="255"/>
    </row>
    <row r="269" spans="1:15" ht="22.8">
      <c r="A269" s="255"/>
      <c r="B269" s="264"/>
      <c r="C269" s="258"/>
      <c r="D269" s="259"/>
      <c r="E269" s="259"/>
      <c r="F269" s="259"/>
      <c r="G269" s="261"/>
      <c r="H269" s="262"/>
      <c r="I269" s="255"/>
      <c r="J269" s="255"/>
      <c r="K269" s="255"/>
      <c r="L269" s="255"/>
      <c r="M269" s="255"/>
      <c r="N269" s="255"/>
      <c r="O269" s="255"/>
    </row>
    <row r="270" spans="1:15" ht="22.8">
      <c r="A270" s="255"/>
      <c r="B270" s="264"/>
      <c r="C270" s="258"/>
      <c r="D270" s="259" t="s">
        <v>127</v>
      </c>
      <c r="E270" s="259" t="s">
        <v>135</v>
      </c>
      <c r="F270" s="259"/>
      <c r="G270" s="261" t="s">
        <v>179</v>
      </c>
      <c r="H270" s="261"/>
      <c r="I270" s="261"/>
      <c r="J270" s="261"/>
      <c r="K270" s="261"/>
      <c r="L270" s="255"/>
      <c r="M270" s="255"/>
      <c r="N270" s="255"/>
      <c r="O270" s="255"/>
    </row>
    <row r="271" spans="1:15" ht="22.8">
      <c r="A271" s="255"/>
      <c r="B271" s="264"/>
      <c r="C271" s="258"/>
      <c r="D271" s="259"/>
      <c r="E271" s="259"/>
      <c r="F271" s="259"/>
      <c r="G271" s="261"/>
      <c r="H271" s="262"/>
      <c r="I271" s="255"/>
      <c r="J271" s="255"/>
      <c r="K271" s="255"/>
      <c r="L271" s="255"/>
      <c r="M271" s="255"/>
      <c r="N271" s="255"/>
      <c r="O271" s="255"/>
    </row>
    <row r="272" spans="1:15" ht="22.8">
      <c r="A272" s="255"/>
      <c r="B272" s="264"/>
      <c r="C272" s="258"/>
      <c r="D272" s="259" t="s">
        <v>127</v>
      </c>
      <c r="E272" s="259" t="s">
        <v>139</v>
      </c>
      <c r="F272" s="259"/>
      <c r="G272" s="261" t="s">
        <v>180</v>
      </c>
      <c r="H272" s="261"/>
      <c r="I272" s="261"/>
      <c r="J272" s="261"/>
      <c r="K272" s="261"/>
      <c r="L272" s="261"/>
      <c r="M272" s="255"/>
      <c r="N272" s="255"/>
      <c r="O272" s="255"/>
    </row>
    <row r="273" spans="1:15" ht="22.8">
      <c r="A273" s="255"/>
      <c r="B273" s="264"/>
      <c r="C273" s="258"/>
      <c r="D273" s="259"/>
      <c r="E273" s="259"/>
      <c r="F273" s="259"/>
      <c r="G273" s="261"/>
      <c r="H273" s="262"/>
      <c r="I273" s="255"/>
      <c r="J273" s="255"/>
      <c r="K273" s="255"/>
      <c r="L273" s="255"/>
      <c r="M273" s="255"/>
      <c r="N273" s="255"/>
      <c r="O273" s="255"/>
    </row>
    <row r="274" spans="1:15" ht="22.8">
      <c r="A274" s="255"/>
      <c r="B274" s="264"/>
      <c r="C274" s="258"/>
      <c r="D274" s="259" t="s">
        <v>102</v>
      </c>
      <c r="E274" s="259" t="s">
        <v>128</v>
      </c>
      <c r="F274" s="259"/>
      <c r="G274" s="261" t="s">
        <v>181</v>
      </c>
      <c r="H274" s="261"/>
      <c r="I274" s="261"/>
      <c r="J274" s="261"/>
      <c r="K274" s="261"/>
      <c r="L274" s="261"/>
      <c r="M274" s="261"/>
      <c r="N274" s="255"/>
      <c r="O274" s="255"/>
    </row>
    <row r="275" spans="1:15" ht="22.8">
      <c r="A275" s="255"/>
      <c r="B275" s="264"/>
      <c r="C275" s="258"/>
      <c r="D275" s="259"/>
      <c r="E275" s="259"/>
      <c r="F275" s="259"/>
      <c r="G275" s="261"/>
      <c r="H275" s="262"/>
      <c r="I275" s="255"/>
      <c r="J275" s="255"/>
      <c r="K275" s="255"/>
      <c r="L275" s="255"/>
      <c r="M275" s="255"/>
      <c r="N275" s="255"/>
      <c r="O275" s="255"/>
    </row>
    <row r="276" spans="1:15" ht="22.8">
      <c r="A276" s="255"/>
      <c r="B276" s="264"/>
      <c r="C276" s="258"/>
      <c r="D276" s="259" t="s">
        <v>102</v>
      </c>
      <c r="E276" s="259" t="s">
        <v>135</v>
      </c>
      <c r="F276" s="259"/>
      <c r="G276" s="261" t="s">
        <v>182</v>
      </c>
      <c r="H276" s="261"/>
      <c r="I276" s="261"/>
      <c r="J276" s="261"/>
      <c r="K276" s="261"/>
      <c r="L276" s="261"/>
      <c r="M276" s="255"/>
      <c r="N276" s="255"/>
      <c r="O276" s="255"/>
    </row>
    <row r="277" spans="1:15" ht="22.8">
      <c r="A277" s="255"/>
      <c r="B277" s="264"/>
      <c r="C277" s="258"/>
      <c r="D277" s="259"/>
      <c r="E277" s="259"/>
      <c r="F277" s="259"/>
      <c r="G277" s="261"/>
      <c r="H277" s="262"/>
      <c r="I277" s="255"/>
      <c r="J277" s="255"/>
      <c r="K277" s="255"/>
      <c r="L277" s="255"/>
      <c r="M277" s="255"/>
      <c r="N277" s="255"/>
      <c r="O277" s="255"/>
    </row>
    <row r="278" spans="1:15" ht="22.8">
      <c r="A278" s="255"/>
      <c r="B278" s="264"/>
      <c r="C278" s="258"/>
      <c r="D278" s="259" t="s">
        <v>102</v>
      </c>
      <c r="E278" s="259" t="s">
        <v>139</v>
      </c>
      <c r="F278" s="259"/>
      <c r="G278" s="261" t="s">
        <v>183</v>
      </c>
      <c r="H278" s="261"/>
      <c r="I278" s="261"/>
      <c r="J278" s="261"/>
      <c r="K278" s="261"/>
      <c r="L278" s="255"/>
      <c r="M278" s="255"/>
      <c r="N278" s="255"/>
      <c r="O278" s="255"/>
    </row>
    <row r="279" spans="1:15" ht="22.8">
      <c r="A279" s="255"/>
      <c r="B279" s="264"/>
      <c r="C279" s="258"/>
      <c r="D279" s="259"/>
      <c r="E279" s="259"/>
      <c r="F279" s="259"/>
      <c r="G279" s="261"/>
      <c r="H279" s="262"/>
      <c r="I279" s="255"/>
      <c r="J279" s="255"/>
      <c r="K279" s="255"/>
      <c r="L279" s="255"/>
      <c r="M279" s="255"/>
      <c r="N279" s="255"/>
      <c r="O279" s="255"/>
    </row>
    <row r="280" spans="1:15" ht="22.8">
      <c r="A280" s="255"/>
      <c r="B280" s="264"/>
      <c r="C280" s="258"/>
      <c r="D280" s="259" t="s">
        <v>115</v>
      </c>
      <c r="E280" s="259" t="s">
        <v>128</v>
      </c>
      <c r="F280" s="259" t="s">
        <v>155</v>
      </c>
      <c r="G280" s="261" t="s">
        <v>184</v>
      </c>
      <c r="H280" s="261"/>
      <c r="I280" s="261"/>
      <c r="J280" s="261"/>
      <c r="K280" s="261"/>
      <c r="L280" s="255"/>
      <c r="M280" s="255"/>
      <c r="N280" s="255"/>
      <c r="O280" s="255"/>
    </row>
    <row r="281" spans="1:15" ht="22.8">
      <c r="A281" s="255"/>
      <c r="B281" s="264"/>
      <c r="C281" s="258"/>
      <c r="D281" s="259"/>
      <c r="E281" s="259"/>
      <c r="F281" s="259" t="s">
        <v>157</v>
      </c>
      <c r="G281" s="261" t="s">
        <v>184</v>
      </c>
      <c r="H281" s="261"/>
      <c r="I281" s="261"/>
      <c r="J281" s="261"/>
      <c r="K281" s="261"/>
      <c r="L281" s="255"/>
      <c r="M281" s="255"/>
      <c r="N281" s="255"/>
      <c r="O281" s="255"/>
    </row>
    <row r="282" spans="1:15" ht="22.8">
      <c r="A282" s="255"/>
      <c r="B282" s="264"/>
      <c r="C282" s="258"/>
      <c r="D282" s="259"/>
      <c r="E282" s="259"/>
      <c r="F282" s="259" t="s">
        <v>159</v>
      </c>
      <c r="G282" s="261" t="s">
        <v>185</v>
      </c>
      <c r="H282" s="261"/>
      <c r="I282" s="261"/>
      <c r="J282" s="261"/>
      <c r="K282" s="261"/>
      <c r="L282" s="261"/>
      <c r="M282" s="255"/>
      <c r="N282" s="255"/>
      <c r="O282" s="255"/>
    </row>
    <row r="283" spans="1:15" ht="22.8">
      <c r="A283" s="255"/>
      <c r="B283" s="264"/>
      <c r="C283" s="258"/>
      <c r="D283" s="259"/>
      <c r="E283" s="259"/>
      <c r="F283" s="259"/>
      <c r="G283" s="261"/>
      <c r="H283" s="262"/>
      <c r="I283" s="255"/>
      <c r="J283" s="255"/>
      <c r="K283" s="255"/>
      <c r="L283" s="255"/>
      <c r="M283" s="255"/>
      <c r="N283" s="255"/>
      <c r="O283" s="255"/>
    </row>
    <row r="284" spans="1:15" ht="22.8">
      <c r="A284" s="255"/>
      <c r="B284" s="264"/>
      <c r="C284" s="258"/>
      <c r="D284" s="259" t="s">
        <v>115</v>
      </c>
      <c r="E284" s="259" t="s">
        <v>135</v>
      </c>
      <c r="F284" s="259" t="s">
        <v>155</v>
      </c>
      <c r="G284" s="261" t="s">
        <v>186</v>
      </c>
      <c r="H284" s="261"/>
      <c r="I284" s="261"/>
      <c r="J284" s="261"/>
      <c r="K284" s="261"/>
      <c r="L284" s="261"/>
      <c r="M284" s="255"/>
      <c r="N284" s="255"/>
      <c r="O284" s="255"/>
    </row>
    <row r="285" spans="1:15" ht="22.8">
      <c r="A285" s="255"/>
      <c r="B285" s="264"/>
      <c r="C285" s="258"/>
      <c r="D285" s="259"/>
      <c r="E285" s="259"/>
      <c r="F285" s="259" t="s">
        <v>157</v>
      </c>
      <c r="G285" s="261" t="s">
        <v>187</v>
      </c>
      <c r="H285" s="261"/>
      <c r="I285" s="261"/>
      <c r="J285" s="255"/>
      <c r="K285" s="255"/>
      <c r="L285" s="255"/>
      <c r="M285" s="255"/>
      <c r="N285" s="255"/>
      <c r="O285" s="255"/>
    </row>
    <row r="286" spans="1:15" ht="22.8">
      <c r="A286" s="255"/>
      <c r="B286" s="264"/>
      <c r="C286" s="258"/>
      <c r="D286" s="259"/>
      <c r="E286" s="259"/>
      <c r="F286" s="259" t="s">
        <v>159</v>
      </c>
      <c r="G286" s="261" t="s">
        <v>188</v>
      </c>
      <c r="H286" s="261"/>
      <c r="I286" s="261"/>
      <c r="J286" s="255"/>
      <c r="K286" s="255"/>
      <c r="L286" s="255"/>
      <c r="M286" s="255"/>
      <c r="N286" s="255"/>
      <c r="O286" s="255"/>
    </row>
    <row r="287" spans="1:15" ht="22.8">
      <c r="A287" s="255"/>
      <c r="B287" s="264"/>
      <c r="C287" s="258"/>
      <c r="D287" s="259"/>
      <c r="E287" s="259"/>
      <c r="F287" s="259"/>
      <c r="G287" s="261"/>
      <c r="H287" s="262"/>
      <c r="I287" s="255"/>
      <c r="J287" s="255"/>
      <c r="K287" s="255"/>
      <c r="L287" s="255"/>
      <c r="M287" s="255"/>
      <c r="N287" s="255"/>
      <c r="O287" s="255"/>
    </row>
    <row r="288" spans="1:15" ht="22.8">
      <c r="A288" s="255"/>
      <c r="B288" s="264"/>
      <c r="C288" s="258"/>
      <c r="D288" s="259" t="s">
        <v>115</v>
      </c>
      <c r="E288" s="259" t="s">
        <v>139</v>
      </c>
      <c r="F288" s="259" t="s">
        <v>155</v>
      </c>
      <c r="G288" s="261" t="s">
        <v>186</v>
      </c>
      <c r="H288" s="261"/>
      <c r="I288" s="261"/>
      <c r="J288" s="261"/>
      <c r="K288" s="261"/>
      <c r="L288" s="261"/>
      <c r="M288" s="255"/>
      <c r="N288" s="255"/>
      <c r="O288" s="255"/>
    </row>
    <row r="289" spans="1:15" ht="22.8">
      <c r="A289" s="255"/>
      <c r="B289" s="264"/>
      <c r="C289" s="258"/>
      <c r="D289" s="259"/>
      <c r="E289" s="259"/>
      <c r="F289" s="259" t="s">
        <v>157</v>
      </c>
      <c r="G289" s="261" t="s">
        <v>189</v>
      </c>
      <c r="H289" s="261"/>
      <c r="I289" s="261"/>
      <c r="J289" s="261"/>
      <c r="K289" s="261"/>
      <c r="L289" s="255"/>
      <c r="M289" s="255"/>
      <c r="N289" s="255"/>
      <c r="O289" s="255"/>
    </row>
    <row r="290" spans="1:15" ht="22.8">
      <c r="A290" s="255"/>
      <c r="B290" s="264"/>
      <c r="C290" s="258"/>
      <c r="D290" s="259"/>
      <c r="E290" s="259"/>
      <c r="F290" s="259" t="s">
        <v>159</v>
      </c>
      <c r="G290" s="261" t="s">
        <v>188</v>
      </c>
      <c r="H290" s="261"/>
      <c r="I290" s="261"/>
      <c r="J290" s="255"/>
      <c r="K290" s="255"/>
      <c r="L290" s="255"/>
      <c r="M290" s="255"/>
      <c r="N290" s="255"/>
      <c r="O290" s="255"/>
    </row>
    <row r="291" spans="1:15" ht="22.8">
      <c r="A291" s="255"/>
      <c r="B291" s="264"/>
      <c r="C291" s="258"/>
      <c r="D291" s="259"/>
      <c r="E291" s="259"/>
      <c r="F291" s="259"/>
      <c r="G291" s="261"/>
      <c r="H291" s="262"/>
      <c r="I291" s="255"/>
      <c r="J291" s="255"/>
      <c r="K291" s="255"/>
      <c r="L291" s="255"/>
      <c r="M291" s="255"/>
      <c r="N291" s="255"/>
      <c r="O291" s="255"/>
    </row>
    <row r="292" spans="1:15" ht="22.8">
      <c r="A292" s="255"/>
      <c r="B292" s="264"/>
      <c r="C292" s="258"/>
      <c r="D292" s="259"/>
      <c r="E292" s="259"/>
      <c r="F292" s="259"/>
      <c r="G292" s="260"/>
      <c r="H292" s="255"/>
      <c r="I292" s="255"/>
      <c r="J292" s="255"/>
      <c r="K292" s="255"/>
      <c r="L292" s="255"/>
      <c r="M292" s="255"/>
      <c r="N292" s="255"/>
      <c r="O292" s="255"/>
    </row>
    <row r="293" spans="1:15" ht="22.8">
      <c r="A293" s="255"/>
      <c r="B293" s="264"/>
      <c r="C293" s="258"/>
      <c r="D293" s="259"/>
      <c r="E293" s="259"/>
      <c r="F293" s="259"/>
      <c r="G293" s="260"/>
      <c r="H293" s="255"/>
      <c r="I293" s="255"/>
      <c r="J293" s="255"/>
      <c r="K293" s="255"/>
      <c r="L293" s="255"/>
      <c r="M293" s="255"/>
      <c r="N293" s="255"/>
      <c r="O293" s="255"/>
    </row>
    <row r="294" spans="1:15" ht="22.8">
      <c r="A294" s="255"/>
      <c r="B294" s="264"/>
      <c r="C294" s="258"/>
      <c r="D294" s="259"/>
      <c r="E294" s="259"/>
      <c r="F294" s="259"/>
      <c r="G294" s="260"/>
      <c r="H294" s="255"/>
      <c r="I294" s="255"/>
      <c r="J294" s="255"/>
      <c r="K294" s="255"/>
      <c r="L294" s="255"/>
      <c r="M294" s="255"/>
      <c r="N294" s="255"/>
      <c r="O294" s="255"/>
    </row>
    <row r="295" spans="1:15" ht="22.8">
      <c r="A295" s="255"/>
      <c r="B295" s="264"/>
      <c r="C295" s="258"/>
      <c r="D295" s="259"/>
      <c r="E295" s="259"/>
      <c r="F295" s="259"/>
      <c r="G295" s="260"/>
      <c r="H295" s="255"/>
      <c r="I295" s="255"/>
      <c r="J295" s="255"/>
      <c r="K295" s="255"/>
      <c r="L295" s="255"/>
      <c r="M295" s="255"/>
      <c r="N295" s="255"/>
      <c r="O295" s="255"/>
    </row>
    <row r="296" spans="1:15" ht="22.8">
      <c r="A296" s="255"/>
      <c r="B296" s="264" t="s">
        <v>190</v>
      </c>
      <c r="C296" s="256"/>
      <c r="D296" s="259"/>
      <c r="E296" s="259"/>
      <c r="F296" s="259"/>
      <c r="G296" s="260"/>
      <c r="H296" s="255"/>
      <c r="I296" s="255"/>
      <c r="J296" s="255"/>
      <c r="K296" s="255"/>
      <c r="L296" s="255"/>
      <c r="M296" s="255"/>
      <c r="N296" s="255"/>
      <c r="O296" s="255"/>
    </row>
    <row r="297" spans="1:15" ht="22.8">
      <c r="A297" s="255"/>
      <c r="B297" s="264" t="s">
        <v>191</v>
      </c>
      <c r="C297" s="256"/>
      <c r="D297" s="256"/>
      <c r="E297" s="256"/>
      <c r="F297" s="259"/>
      <c r="G297" s="260"/>
      <c r="H297" s="255"/>
      <c r="I297" s="255"/>
      <c r="J297" s="255"/>
      <c r="K297" s="255"/>
      <c r="L297" s="255"/>
      <c r="M297" s="255"/>
      <c r="N297" s="255"/>
      <c r="O297" s="255"/>
    </row>
    <row r="298" spans="1:15" ht="22.8">
      <c r="A298" s="255"/>
      <c r="B298" s="264"/>
      <c r="C298" s="258"/>
      <c r="D298" s="259"/>
      <c r="E298" s="259"/>
      <c r="F298" s="259"/>
      <c r="G298" s="260"/>
      <c r="H298" s="255"/>
      <c r="I298" s="255"/>
      <c r="J298" s="255"/>
      <c r="K298" s="255"/>
      <c r="L298" s="255"/>
      <c r="M298" s="255"/>
      <c r="N298" s="255"/>
      <c r="O298" s="255"/>
    </row>
    <row r="299" spans="1:15" ht="22.8">
      <c r="A299" s="255"/>
      <c r="B299" s="264"/>
      <c r="C299" s="258"/>
      <c r="D299" s="259"/>
      <c r="E299" s="259"/>
      <c r="F299" s="259"/>
      <c r="G299" s="260"/>
      <c r="H299" s="255"/>
      <c r="I299" s="255"/>
      <c r="J299" s="255"/>
      <c r="K299" s="255"/>
      <c r="L299" s="255"/>
      <c r="M299" s="255"/>
      <c r="N299" s="255"/>
      <c r="O299" s="255"/>
    </row>
    <row r="300" spans="1:15" ht="22.8">
      <c r="A300" s="255"/>
      <c r="B300" s="264"/>
      <c r="C300" s="258"/>
      <c r="D300" s="259"/>
      <c r="E300" s="259"/>
      <c r="F300" s="259"/>
      <c r="G300" s="260"/>
      <c r="H300" s="255"/>
      <c r="I300" s="255"/>
      <c r="J300" s="255"/>
      <c r="K300" s="255"/>
      <c r="L300" s="255"/>
      <c r="M300" s="255"/>
      <c r="N300" s="255"/>
      <c r="O300" s="255"/>
    </row>
    <row r="301" spans="1:15" ht="17.399999999999999">
      <c r="A301" s="255"/>
      <c r="B301" s="280"/>
      <c r="C301" s="259" t="s">
        <v>192</v>
      </c>
      <c r="D301" s="259" t="s">
        <v>193</v>
      </c>
      <c r="E301" s="259" t="s">
        <v>194</v>
      </c>
      <c r="F301" s="259" t="s">
        <v>127</v>
      </c>
      <c r="G301" s="259"/>
      <c r="H301" s="281" t="s">
        <v>195</v>
      </c>
      <c r="I301" s="259" t="s">
        <v>196</v>
      </c>
      <c r="J301" s="259"/>
      <c r="K301" s="259"/>
      <c r="L301" s="259"/>
      <c r="M301" s="259"/>
      <c r="N301" s="255"/>
      <c r="O301" s="255"/>
    </row>
    <row r="302" spans="1:15" ht="17.399999999999999">
      <c r="A302" s="255"/>
      <c r="B302" s="280"/>
      <c r="C302" s="259" t="s">
        <v>192</v>
      </c>
      <c r="D302" s="259" t="s">
        <v>197</v>
      </c>
      <c r="E302" s="259" t="s">
        <v>198</v>
      </c>
      <c r="F302" s="259" t="s">
        <v>115</v>
      </c>
      <c r="G302" s="259"/>
      <c r="H302" s="281" t="s">
        <v>195</v>
      </c>
      <c r="I302" s="259" t="s">
        <v>199</v>
      </c>
      <c r="J302" s="259"/>
      <c r="K302" s="259"/>
      <c r="L302" s="259"/>
      <c r="M302" s="259"/>
      <c r="N302" s="255"/>
      <c r="O302" s="255"/>
    </row>
    <row r="303" spans="1:15" ht="17.399999999999999">
      <c r="A303" s="255"/>
      <c r="B303" s="280"/>
      <c r="C303" s="259"/>
      <c r="D303" s="259"/>
      <c r="E303" s="259"/>
      <c r="F303" s="259"/>
      <c r="G303" s="259"/>
      <c r="H303" s="259"/>
      <c r="I303" s="260"/>
      <c r="J303" s="255"/>
      <c r="K303" s="255"/>
      <c r="L303" s="255"/>
      <c r="M303" s="255"/>
      <c r="N303" s="255"/>
      <c r="O303" s="255"/>
    </row>
    <row r="304" spans="1:15" ht="17.399999999999999">
      <c r="A304" s="255"/>
      <c r="B304" s="280"/>
      <c r="C304" s="259"/>
      <c r="D304" s="259"/>
      <c r="E304" s="259"/>
      <c r="F304" s="259"/>
      <c r="G304" s="259"/>
      <c r="H304" s="259"/>
      <c r="I304" s="260"/>
      <c r="J304" s="255"/>
      <c r="K304" s="255"/>
      <c r="L304" s="255"/>
      <c r="M304" s="255"/>
      <c r="N304" s="255"/>
      <c r="O304" s="255"/>
    </row>
    <row r="305" spans="1:15" ht="17.399999999999999">
      <c r="A305" s="255"/>
      <c r="B305" s="280"/>
      <c r="C305" s="259" t="s">
        <v>200</v>
      </c>
      <c r="D305" s="259"/>
      <c r="E305" s="259"/>
      <c r="F305" s="259"/>
      <c r="G305" s="259"/>
      <c r="H305" s="259"/>
      <c r="I305" s="260"/>
      <c r="J305" s="255"/>
      <c r="K305" s="255"/>
      <c r="L305" s="255"/>
      <c r="M305" s="255"/>
      <c r="N305" s="255"/>
      <c r="O305" s="255"/>
    </row>
    <row r="306" spans="1:15" ht="17.399999999999999">
      <c r="A306" s="255"/>
      <c r="B306" s="280"/>
      <c r="C306" s="259" t="s">
        <v>201</v>
      </c>
      <c r="D306" s="259"/>
      <c r="E306" s="259" t="s">
        <v>202</v>
      </c>
      <c r="F306" s="259" t="s">
        <v>203</v>
      </c>
      <c r="G306" s="259" t="s">
        <v>204</v>
      </c>
      <c r="H306" s="259" t="s">
        <v>205</v>
      </c>
      <c r="I306" s="259" t="s">
        <v>206</v>
      </c>
      <c r="J306" s="259"/>
      <c r="K306" s="259"/>
      <c r="L306" s="255"/>
      <c r="M306" s="255"/>
      <c r="N306" s="255"/>
      <c r="O306" s="255"/>
    </row>
    <row r="307" spans="1:15" ht="17.399999999999999">
      <c r="A307" s="255"/>
      <c r="B307" s="280"/>
      <c r="C307" s="259" t="s">
        <v>207</v>
      </c>
      <c r="D307" s="259"/>
      <c r="E307" s="259" t="s">
        <v>208</v>
      </c>
      <c r="F307" s="259" t="s">
        <v>209</v>
      </c>
      <c r="G307" s="259" t="s">
        <v>204</v>
      </c>
      <c r="H307" s="259" t="s">
        <v>205</v>
      </c>
      <c r="I307" s="259" t="s">
        <v>210</v>
      </c>
      <c r="J307" s="259"/>
      <c r="K307" s="259"/>
      <c r="L307" s="255"/>
      <c r="M307" s="255"/>
      <c r="N307" s="255"/>
      <c r="O307" s="255"/>
    </row>
    <row r="308" spans="1:15" ht="17.399999999999999">
      <c r="A308" s="255"/>
      <c r="B308" s="280"/>
      <c r="C308" s="259"/>
      <c r="D308" s="259"/>
      <c r="E308" s="259"/>
      <c r="F308" s="259"/>
      <c r="G308" s="259"/>
      <c r="H308" s="259" t="s">
        <v>59</v>
      </c>
      <c r="I308" s="259"/>
      <c r="J308" s="260"/>
      <c r="K308" s="255"/>
      <c r="L308" s="255"/>
      <c r="M308" s="255"/>
      <c r="N308" s="255"/>
      <c r="O308" s="255"/>
    </row>
    <row r="309" spans="1:15" ht="17.399999999999999">
      <c r="A309" s="255"/>
      <c r="B309" s="280"/>
      <c r="C309" s="259" t="s">
        <v>211</v>
      </c>
      <c r="D309" s="259"/>
      <c r="E309" s="259" t="s">
        <v>212</v>
      </c>
      <c r="F309" s="259"/>
      <c r="G309" s="259" t="s">
        <v>204</v>
      </c>
      <c r="H309" s="259" t="s">
        <v>205</v>
      </c>
      <c r="I309" s="259" t="s">
        <v>213</v>
      </c>
      <c r="J309" s="259"/>
      <c r="K309" s="259"/>
      <c r="L309" s="255"/>
      <c r="M309" s="255"/>
      <c r="N309" s="255"/>
      <c r="O309" s="255"/>
    </row>
    <row r="310" spans="1:15" ht="17.399999999999999">
      <c r="A310" s="255"/>
      <c r="B310" s="280"/>
      <c r="C310" s="259" t="s">
        <v>211</v>
      </c>
      <c r="D310" s="259"/>
      <c r="E310" s="259" t="s">
        <v>214</v>
      </c>
      <c r="F310" s="259"/>
      <c r="G310" s="259" t="s">
        <v>204</v>
      </c>
      <c r="H310" s="259" t="s">
        <v>205</v>
      </c>
      <c r="I310" s="259" t="s">
        <v>215</v>
      </c>
      <c r="J310" s="259"/>
      <c r="K310" s="259"/>
      <c r="L310" s="255"/>
      <c r="M310" s="255"/>
      <c r="N310" s="255"/>
      <c r="O310" s="255"/>
    </row>
    <row r="311" spans="1:15">
      <c r="A311" s="255"/>
      <c r="B311" s="280"/>
      <c r="C311" s="255"/>
      <c r="D311" s="255"/>
      <c r="E311" s="255"/>
      <c r="F311" s="255"/>
      <c r="G311" s="255"/>
      <c r="H311" s="255"/>
      <c r="I311" s="255"/>
      <c r="J311" s="255"/>
      <c r="K311" s="255"/>
      <c r="L311" s="255"/>
      <c r="M311" s="255"/>
      <c r="N311" s="255"/>
      <c r="O311" s="255"/>
    </row>
    <row r="312" spans="1:15" ht="17.399999999999999">
      <c r="A312" s="259"/>
      <c r="B312" s="263"/>
      <c r="C312" s="259"/>
      <c r="D312" s="259"/>
      <c r="E312" s="259"/>
      <c r="F312" s="259"/>
      <c r="G312" s="259"/>
      <c r="H312" s="259"/>
      <c r="I312" s="259"/>
      <c r="J312" s="259"/>
      <c r="K312" s="259"/>
      <c r="L312" s="259"/>
      <c r="M312" s="259"/>
      <c r="N312" s="259"/>
      <c r="O312" s="259"/>
    </row>
    <row r="313" spans="1:15" ht="17.399999999999999">
      <c r="A313" s="259"/>
      <c r="B313" s="263"/>
      <c r="C313" s="259" t="s">
        <v>216</v>
      </c>
      <c r="D313" s="259"/>
      <c r="E313" s="259"/>
      <c r="F313" s="259"/>
      <c r="G313" s="259"/>
      <c r="H313" s="259"/>
      <c r="I313" s="259"/>
      <c r="J313" s="259"/>
      <c r="K313" s="259"/>
      <c r="L313" s="259"/>
      <c r="M313" s="259"/>
      <c r="N313" s="259"/>
      <c r="O313" s="259"/>
    </row>
    <row r="314" spans="1:15" ht="17.399999999999999">
      <c r="A314" s="259"/>
      <c r="B314" s="263" t="s">
        <v>59</v>
      </c>
      <c r="C314" s="259"/>
      <c r="D314" s="259"/>
      <c r="E314" s="259"/>
      <c r="F314" s="259"/>
      <c r="G314" s="259"/>
      <c r="H314" s="259"/>
      <c r="I314" s="259"/>
      <c r="J314" s="259"/>
      <c r="K314" s="259"/>
      <c r="L314" s="259"/>
      <c r="M314" s="259"/>
      <c r="N314" s="259"/>
      <c r="O314" s="259"/>
    </row>
    <row r="315" spans="1:15" ht="17.399999999999999">
      <c r="A315" s="259"/>
      <c r="B315" s="282"/>
      <c r="C315" s="258"/>
      <c r="D315" s="259"/>
      <c r="E315" s="259"/>
      <c r="F315" s="259"/>
      <c r="G315" s="259"/>
      <c r="H315" s="259"/>
      <c r="I315" s="259"/>
      <c r="J315" s="259"/>
      <c r="K315" s="259"/>
      <c r="L315" s="259"/>
      <c r="M315" s="259"/>
      <c r="N315" s="259"/>
      <c r="O315" s="259"/>
    </row>
    <row r="316" spans="1:15" ht="17.399999999999999">
      <c r="A316" s="259"/>
      <c r="B316" s="282"/>
      <c r="C316" s="258"/>
      <c r="D316" s="259"/>
      <c r="E316" s="259"/>
      <c r="F316" s="259"/>
      <c r="G316" s="259"/>
      <c r="H316" s="259"/>
      <c r="I316" s="259"/>
      <c r="J316" s="259"/>
      <c r="K316" s="259"/>
      <c r="L316" s="259"/>
      <c r="M316" s="259"/>
      <c r="N316" s="259"/>
      <c r="O316" s="259"/>
    </row>
    <row r="317" spans="1:15" ht="17.399999999999999">
      <c r="A317" s="259"/>
      <c r="B317" s="282"/>
      <c r="C317" s="258"/>
      <c r="D317" s="259"/>
      <c r="E317" s="259"/>
      <c r="F317" s="259"/>
      <c r="G317" s="259"/>
      <c r="H317" s="259"/>
      <c r="I317" s="259"/>
      <c r="J317" s="259"/>
      <c r="K317" s="259"/>
      <c r="L317" s="259"/>
      <c r="M317" s="259"/>
      <c r="N317" s="259"/>
      <c r="O317" s="259"/>
    </row>
    <row r="318" spans="1:15" ht="17.399999999999999">
      <c r="A318" s="259"/>
      <c r="B318" s="282"/>
      <c r="C318" s="258"/>
      <c r="D318" s="259"/>
      <c r="E318" s="259"/>
      <c r="F318" s="259"/>
      <c r="G318" s="259"/>
      <c r="H318" s="259"/>
      <c r="I318" s="259"/>
      <c r="J318" s="259"/>
      <c r="K318" s="259"/>
      <c r="L318" s="259"/>
      <c r="M318" s="259"/>
      <c r="N318" s="259"/>
      <c r="O318" s="259"/>
    </row>
    <row r="319" spans="1:15" ht="17.399999999999999">
      <c r="A319" s="259"/>
      <c r="B319" s="282"/>
      <c r="C319" s="258"/>
      <c r="D319" s="259"/>
      <c r="E319" s="259"/>
      <c r="F319" s="259"/>
      <c r="G319" s="259"/>
      <c r="H319" s="259"/>
      <c r="I319" s="259"/>
      <c r="J319" s="259"/>
      <c r="K319" s="259"/>
      <c r="L319" s="259"/>
      <c r="M319" s="259"/>
      <c r="N319" s="259"/>
      <c r="O319" s="259"/>
    </row>
    <row r="320" spans="1:15" ht="17.399999999999999">
      <c r="A320" s="259"/>
      <c r="B320" s="282"/>
      <c r="C320" s="258"/>
      <c r="D320" s="259"/>
      <c r="E320" s="259"/>
      <c r="F320" s="259"/>
      <c r="G320" s="259"/>
      <c r="H320" s="259"/>
      <c r="I320" s="259"/>
      <c r="J320" s="259"/>
      <c r="K320" s="259"/>
      <c r="L320" s="259"/>
      <c r="M320" s="259"/>
      <c r="N320" s="259"/>
      <c r="O320" s="259"/>
    </row>
    <row r="321" spans="2:2" ht="22.8">
      <c r="B321" s="264"/>
    </row>
    <row r="322" spans="2:2" ht="22.8">
      <c r="B322" s="264"/>
    </row>
    <row r="323" spans="2:2" ht="22.8">
      <c r="B323" s="264"/>
    </row>
    <row r="324" spans="2:2" ht="22.8">
      <c r="B324" s="264"/>
    </row>
    <row r="325" spans="2:2" ht="22.8">
      <c r="B325" s="264"/>
    </row>
    <row r="326" spans="2:2" ht="22.8">
      <c r="B326" s="264"/>
    </row>
    <row r="327" spans="2:2" ht="22.8">
      <c r="B327" s="264"/>
    </row>
    <row r="328" spans="2:2" ht="22.8">
      <c r="B328" s="264"/>
    </row>
    <row r="329" spans="2:2" ht="22.8">
      <c r="B329" s="264"/>
    </row>
    <row r="330" spans="2:2" ht="22.8">
      <c r="B330" s="264"/>
    </row>
    <row r="331" spans="2:2" ht="22.8">
      <c r="B331" s="264"/>
    </row>
    <row r="332" spans="2:2" ht="22.8">
      <c r="B332" s="264"/>
    </row>
    <row r="333" spans="2:2" ht="22.8">
      <c r="B333" s="264"/>
    </row>
    <row r="334" spans="2:2" ht="22.8">
      <c r="B334" s="264"/>
    </row>
    <row r="335" spans="2:2" ht="22.8">
      <c r="B335" s="264"/>
    </row>
    <row r="336" spans="2:2" ht="22.8">
      <c r="B336" s="264"/>
    </row>
    <row r="337" spans="2:2" ht="22.8">
      <c r="B337" s="264"/>
    </row>
    <row r="338" spans="2:2" ht="22.8">
      <c r="B338" s="264"/>
    </row>
    <row r="339" spans="2:2" ht="22.8">
      <c r="B339" s="264"/>
    </row>
    <row r="340" spans="2:2" ht="22.8">
      <c r="B340" s="264"/>
    </row>
    <row r="341" spans="2:2" ht="22.8">
      <c r="B341" s="264"/>
    </row>
    <row r="342" spans="2:2" ht="22.8">
      <c r="B342" s="264"/>
    </row>
    <row r="343" spans="2:2" ht="22.8">
      <c r="B343" s="264"/>
    </row>
    <row r="344" spans="2:2" ht="22.8">
      <c r="B344" s="264"/>
    </row>
    <row r="345" spans="2:2" ht="22.8">
      <c r="B345" s="264"/>
    </row>
    <row r="346" spans="2:2" ht="22.8">
      <c r="B346" s="264"/>
    </row>
    <row r="347" spans="2:2" ht="22.8">
      <c r="B347" s="264"/>
    </row>
    <row r="348" spans="2:2" ht="22.8">
      <c r="B348" s="264"/>
    </row>
    <row r="349" spans="2:2" ht="22.8">
      <c r="B349" s="264"/>
    </row>
    <row r="350" spans="2:2" ht="22.8">
      <c r="B350" s="264"/>
    </row>
    <row r="351" spans="2:2" ht="22.8">
      <c r="B351" s="264"/>
    </row>
    <row r="352" spans="2:2" ht="22.8">
      <c r="B352" s="264"/>
    </row>
    <row r="353" spans="2:2" ht="22.8">
      <c r="B353" s="264"/>
    </row>
    <row r="354" spans="2:2" ht="22.8">
      <c r="B354" s="264"/>
    </row>
    <row r="355" spans="2:2" ht="22.8">
      <c r="B355" s="264"/>
    </row>
    <row r="356" spans="2:2" ht="22.8">
      <c r="B356" s="264"/>
    </row>
    <row r="357" spans="2:2" ht="22.8">
      <c r="B357" s="264"/>
    </row>
    <row r="358" spans="2:2" ht="22.8">
      <c r="B358" s="264"/>
    </row>
    <row r="359" spans="2:2" ht="22.8">
      <c r="B359" s="264"/>
    </row>
    <row r="360" spans="2:2" ht="22.8">
      <c r="B360" s="264"/>
    </row>
    <row r="361" spans="2:2" ht="22.8">
      <c r="B361" s="264"/>
    </row>
    <row r="362" spans="2:2" ht="22.8">
      <c r="B362" s="264"/>
    </row>
    <row r="363" spans="2:2" ht="22.8">
      <c r="B363" s="264"/>
    </row>
    <row r="364" spans="2:2" ht="22.8">
      <c r="B364" s="264"/>
    </row>
    <row r="365" spans="2:2" ht="22.8">
      <c r="B365" s="264"/>
    </row>
    <row r="366" spans="2:2" ht="22.8">
      <c r="B366" s="264"/>
    </row>
    <row r="367" spans="2:2" ht="22.8">
      <c r="B367" s="264"/>
    </row>
    <row r="368" spans="2:2" ht="22.8">
      <c r="B368" s="264"/>
    </row>
    <row r="369" spans="2:2" ht="22.8">
      <c r="B369" s="264"/>
    </row>
    <row r="370" spans="2:2" ht="22.8">
      <c r="B370" s="264"/>
    </row>
    <row r="371" spans="2:2" ht="22.8">
      <c r="B371" s="264"/>
    </row>
    <row r="372" spans="2:2" ht="22.8">
      <c r="B372" s="264"/>
    </row>
    <row r="373" spans="2:2" ht="22.8">
      <c r="B373" s="264"/>
    </row>
    <row r="374" spans="2:2" ht="22.8">
      <c r="B374" s="264"/>
    </row>
    <row r="375" spans="2:2" ht="22.8">
      <c r="B375" s="264"/>
    </row>
    <row r="376" spans="2:2" ht="22.8">
      <c r="B376" s="264"/>
    </row>
    <row r="377" spans="2:2" ht="22.8">
      <c r="B377" s="264"/>
    </row>
    <row r="378" spans="2:2" ht="22.8">
      <c r="B378" s="264"/>
    </row>
    <row r="379" spans="2:2" ht="22.8">
      <c r="B379" s="264"/>
    </row>
    <row r="380" spans="2:2" ht="22.8">
      <c r="B380" s="264"/>
    </row>
    <row r="381" spans="2:2" ht="22.8">
      <c r="B381" s="264"/>
    </row>
    <row r="382" spans="2:2" ht="22.8">
      <c r="B382" s="264"/>
    </row>
    <row r="383" spans="2:2" ht="22.8">
      <c r="B383" s="264"/>
    </row>
    <row r="384" spans="2:2" ht="22.8">
      <c r="B384" s="264"/>
    </row>
    <row r="385" spans="2:2" ht="22.8">
      <c r="B385" s="264"/>
    </row>
    <row r="386" spans="2:2" ht="22.8">
      <c r="B386" s="264"/>
    </row>
    <row r="387" spans="2:2" ht="22.8">
      <c r="B387" s="264"/>
    </row>
    <row r="388" spans="2:2" ht="22.8">
      <c r="B388" s="264"/>
    </row>
    <row r="389" spans="2:2" ht="22.8">
      <c r="B389" s="264"/>
    </row>
    <row r="390" spans="2:2" ht="22.8">
      <c r="B390" s="264"/>
    </row>
    <row r="391" spans="2:2" ht="22.8">
      <c r="B391" s="264"/>
    </row>
    <row r="392" spans="2:2" ht="22.8">
      <c r="B392" s="264"/>
    </row>
    <row r="393" spans="2:2" ht="22.8">
      <c r="B393" s="264"/>
    </row>
    <row r="394" spans="2:2" ht="22.8">
      <c r="B394" s="264"/>
    </row>
    <row r="395" spans="2:2" ht="22.8">
      <c r="B395" s="264"/>
    </row>
    <row r="396" spans="2:2" ht="22.8">
      <c r="B396" s="264"/>
    </row>
    <row r="397" spans="2:2" ht="22.8">
      <c r="B397" s="264"/>
    </row>
    <row r="398" spans="2:2" ht="22.8">
      <c r="B398" s="264"/>
    </row>
    <row r="399" spans="2:2" ht="22.8">
      <c r="B399" s="264"/>
    </row>
    <row r="400" spans="2:2" ht="22.8">
      <c r="B400" s="264"/>
    </row>
    <row r="401" spans="2:2" ht="22.8">
      <c r="B401" s="264"/>
    </row>
    <row r="402" spans="2:2" ht="22.8">
      <c r="B402" s="264"/>
    </row>
    <row r="403" spans="2:2" ht="22.8">
      <c r="B403" s="264"/>
    </row>
    <row r="404" spans="2:2" ht="22.8">
      <c r="B404" s="264"/>
    </row>
    <row r="405" spans="2:2" ht="22.8">
      <c r="B405" s="264"/>
    </row>
    <row r="406" spans="2:2" ht="22.8">
      <c r="B406" s="264"/>
    </row>
    <row r="407" spans="2:2" ht="22.8">
      <c r="B407" s="264"/>
    </row>
    <row r="408" spans="2:2" ht="22.8">
      <c r="B408" s="264"/>
    </row>
    <row r="409" spans="2:2" ht="22.8">
      <c r="B409" s="264"/>
    </row>
    <row r="410" spans="2:2" ht="22.8">
      <c r="B410" s="264"/>
    </row>
    <row r="411" spans="2:2" ht="22.8">
      <c r="B411" s="264"/>
    </row>
    <row r="412" spans="2:2" ht="22.8">
      <c r="B412" s="264"/>
    </row>
    <row r="413" spans="2:2" ht="22.8">
      <c r="B413" s="264"/>
    </row>
    <row r="414" spans="2:2" ht="22.8">
      <c r="B414" s="264"/>
    </row>
    <row r="415" spans="2:2" ht="22.8">
      <c r="B415" s="264"/>
    </row>
    <row r="416" spans="2:2" ht="22.8">
      <c r="B416" s="264"/>
    </row>
    <row r="417" spans="2:2" ht="22.8">
      <c r="B417" s="264"/>
    </row>
    <row r="418" spans="2:2" ht="22.8">
      <c r="B418" s="264"/>
    </row>
    <row r="419" spans="2:2" ht="22.8">
      <c r="B419" s="264"/>
    </row>
    <row r="420" spans="2:2" ht="22.8">
      <c r="B420" s="264"/>
    </row>
    <row r="421" spans="2:2" ht="22.8">
      <c r="B421" s="264"/>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9"/>
  <dimension ref="A1:AG10"/>
  <sheetViews>
    <sheetView workbookViewId="0">
      <selection activeCell="A3" sqref="A3:XFD3"/>
    </sheetView>
  </sheetViews>
  <sheetFormatPr baseColWidth="10" defaultRowHeight="15.6"/>
  <sheetData>
    <row r="1" spans="1:33" ht="16.2">
      <c r="A1" s="1022" t="s">
        <v>217</v>
      </c>
      <c r="B1" s="105" t="s">
        <v>355</v>
      </c>
      <c r="C1" s="106" t="s">
        <v>333</v>
      </c>
      <c r="D1" s="106" t="s">
        <v>356</v>
      </c>
      <c r="E1" s="106" t="s">
        <v>5</v>
      </c>
      <c r="F1" s="106" t="s">
        <v>8</v>
      </c>
      <c r="G1" s="106" t="s">
        <v>7</v>
      </c>
      <c r="H1" s="106" t="s">
        <v>6</v>
      </c>
      <c r="I1" s="106" t="s">
        <v>12</v>
      </c>
      <c r="J1" s="106" t="s">
        <v>14</v>
      </c>
      <c r="K1" s="106" t="s">
        <v>16</v>
      </c>
      <c r="L1" s="106" t="s">
        <v>18</v>
      </c>
      <c r="M1" s="106" t="s">
        <v>20</v>
      </c>
      <c r="N1" s="283"/>
      <c r="O1" s="284"/>
      <c r="P1" s="100"/>
      <c r="Q1" s="100"/>
      <c r="R1" s="285"/>
      <c r="S1" s="286"/>
      <c r="T1" s="287"/>
      <c r="U1" s="283"/>
      <c r="V1" s="100"/>
      <c r="W1" s="100"/>
      <c r="X1" s="100"/>
      <c r="Y1" s="100"/>
      <c r="Z1" s="100"/>
      <c r="AA1" s="100"/>
      <c r="AB1" s="100"/>
    </row>
    <row r="2" spans="1:33" ht="16.2">
      <c r="A2" s="1022"/>
      <c r="B2" s="105" t="s">
        <v>351</v>
      </c>
      <c r="C2" s="106" t="s">
        <v>351</v>
      </c>
      <c r="D2" s="106" t="s">
        <v>351</v>
      </c>
      <c r="E2" s="106" t="s">
        <v>351</v>
      </c>
      <c r="F2" s="106" t="s">
        <v>351</v>
      </c>
      <c r="G2" s="106" t="s">
        <v>351</v>
      </c>
      <c r="H2" s="106" t="s">
        <v>351</v>
      </c>
      <c r="I2" s="106" t="s">
        <v>353</v>
      </c>
      <c r="J2" s="106" t="s">
        <v>353</v>
      </c>
      <c r="K2" s="106" t="s">
        <v>353</v>
      </c>
      <c r="L2" s="106" t="s">
        <v>353</v>
      </c>
      <c r="M2" s="106" t="s">
        <v>353</v>
      </c>
      <c r="N2" s="283"/>
      <c r="O2" s="284"/>
      <c r="P2" s="100"/>
      <c r="Q2" s="100"/>
      <c r="R2" s="285"/>
      <c r="S2" s="286"/>
      <c r="T2" s="287"/>
      <c r="U2" s="283"/>
      <c r="V2" s="100"/>
      <c r="W2" s="100"/>
      <c r="X2" s="100"/>
      <c r="Y2" s="100"/>
      <c r="Z2" s="100"/>
      <c r="AA2" s="100"/>
      <c r="AB2" s="100"/>
    </row>
    <row r="3" spans="1:33" s="901" customFormat="1" ht="21">
      <c r="A3" s="963">
        <v>106082</v>
      </c>
      <c r="B3" s="964"/>
      <c r="C3" s="965">
        <v>3.1382400000000006</v>
      </c>
      <c r="D3" s="964">
        <v>0.3</v>
      </c>
      <c r="E3" s="964">
        <v>1.54</v>
      </c>
      <c r="F3" s="964">
        <v>0.08</v>
      </c>
      <c r="G3" s="964">
        <v>1.65</v>
      </c>
      <c r="H3" s="964">
        <v>0.32</v>
      </c>
      <c r="I3" s="966">
        <v>38.840000000000003</v>
      </c>
      <c r="J3" s="966">
        <v>162.82</v>
      </c>
      <c r="K3" s="966">
        <v>46.65</v>
      </c>
      <c r="L3" s="966">
        <v>94.19</v>
      </c>
      <c r="M3" s="966">
        <v>135.69</v>
      </c>
    </row>
    <row r="5" spans="1:33" s="5" customFormat="1" ht="23.1" customHeight="1">
      <c r="A5" s="6" t="s">
        <v>217</v>
      </c>
      <c r="B5" s="1" t="s">
        <v>218</v>
      </c>
      <c r="C5" s="1" t="s">
        <v>0</v>
      </c>
      <c r="D5" s="1" t="s">
        <v>243</v>
      </c>
      <c r="E5" s="2" t="s">
        <v>219</v>
      </c>
      <c r="F5" s="1" t="s">
        <v>220</v>
      </c>
      <c r="G5" s="1" t="s">
        <v>221</v>
      </c>
      <c r="H5" s="1" t="s">
        <v>222</v>
      </c>
      <c r="I5" s="1" t="s">
        <v>223</v>
      </c>
      <c r="J5" s="1" t="s">
        <v>224</v>
      </c>
      <c r="K5" s="1" t="s">
        <v>225</v>
      </c>
      <c r="L5" s="1" t="s">
        <v>1</v>
      </c>
      <c r="M5" s="1" t="s">
        <v>226</v>
      </c>
      <c r="N5" s="3" t="s">
        <v>227</v>
      </c>
      <c r="O5" s="2" t="s">
        <v>228</v>
      </c>
      <c r="P5" s="1" t="s">
        <v>229</v>
      </c>
      <c r="Q5" s="1" t="s">
        <v>230</v>
      </c>
      <c r="R5" s="1" t="s">
        <v>231</v>
      </c>
      <c r="S5" s="4" t="s">
        <v>232</v>
      </c>
      <c r="T5" s="2" t="s">
        <v>233</v>
      </c>
      <c r="U5" s="3" t="s">
        <v>234</v>
      </c>
      <c r="V5" s="1" t="s">
        <v>235</v>
      </c>
      <c r="W5" s="1" t="s">
        <v>236</v>
      </c>
      <c r="X5" s="1" t="s">
        <v>237</v>
      </c>
      <c r="Y5" s="1" t="s">
        <v>238</v>
      </c>
      <c r="Z5" s="1" t="s">
        <v>239</v>
      </c>
      <c r="AA5" s="1" t="s">
        <v>240</v>
      </c>
      <c r="AB5" s="1" t="s">
        <v>241</v>
      </c>
    </row>
    <row r="6" spans="1:33" s="917" customFormat="1" ht="36">
      <c r="A6" s="920">
        <v>106082</v>
      </c>
      <c r="B6" s="959" t="s">
        <v>1279</v>
      </c>
      <c r="C6" s="917" t="s">
        <v>1280</v>
      </c>
      <c r="D6" s="937" t="s">
        <v>1281</v>
      </c>
      <c r="E6" s="922">
        <v>44322</v>
      </c>
      <c r="F6" s="923">
        <f>MONTH([12]!Tableau1[[#This Row],[Date de réception ]])</f>
        <v>1</v>
      </c>
      <c r="G6" s="923">
        <f>YEAR([12]!Tableau1[[#This Row],[Date de réception ]])</f>
        <v>2021</v>
      </c>
      <c r="H6" s="923">
        <f>1</f>
        <v>1</v>
      </c>
      <c r="I6" s="960" t="s">
        <v>515</v>
      </c>
      <c r="J6" s="960" t="s">
        <v>1221</v>
      </c>
      <c r="K6" s="953" t="s">
        <v>1284</v>
      </c>
      <c r="L6" s="960" t="s">
        <v>444</v>
      </c>
      <c r="M6" s="961" t="s">
        <v>314</v>
      </c>
      <c r="N6" s="924" t="s">
        <v>1222</v>
      </c>
      <c r="O6" s="922">
        <v>44319</v>
      </c>
      <c r="P6" s="917" t="s">
        <v>1278</v>
      </c>
      <c r="Q6" s="962" t="e">
        <f>VLOOKUP([12]!Tableau1[[#This Row],[Commercial]],#REF!,2,FALSE)</f>
        <v>#REF!</v>
      </c>
      <c r="R6" s="926">
        <f>VLOOKUP([12]!Tableau1[[#This Row],[Menu]],[12]!Tableau3[#All],2,FALSE)</f>
        <v>200</v>
      </c>
      <c r="S6" s="927"/>
      <c r="T6" s="926" t="e">
        <f ca="1">IF([12]!Tableau1[[#This Row],[Date d''édition]]="","En cours ("&amp;NETWORKDAYS([12]!Tableau1[[#This Row],[Date de réception ]],TODAY())&amp;")",NETWORKDAYS([12]!Tableau1[[#This Row],[Date de réception ]],[12]!Tableau1[[#This Row],[Date d''édition]]-1))</f>
        <v>#REF!</v>
      </c>
      <c r="U6" s="928"/>
      <c r="X6" s="917" t="s">
        <v>1285</v>
      </c>
      <c r="Y6" s="917" t="s">
        <v>1286</v>
      </c>
      <c r="Z6" s="936"/>
      <c r="AC6" s="929" t="e">
        <f ca="1">IF([12]!Tableau1[[#This Row],[Matrice]]="Eau",RANDBETWEEN(40,70)/10,"")</f>
        <v>#REF!</v>
      </c>
      <c r="AD6" s="920">
        <f>VLOOKUP([12]!Tableau1[[#This Row],[Menu]],[12]!Tableau3[#All],3,FALSE)</f>
        <v>0</v>
      </c>
      <c r="AE6" s="938">
        <f>+[12]!Tableau1[[#This Row],[Subv]]+[12]!Tableau1[[#This Row],[CA (MAD HT)]]</f>
        <v>200</v>
      </c>
      <c r="AF6" s="920"/>
      <c r="AG6" s="920"/>
    </row>
    <row r="7" spans="1:33" ht="22.2">
      <c r="L7" s="288" t="s">
        <v>516</v>
      </c>
    </row>
    <row r="8" spans="1:33" ht="23.4">
      <c r="L8" s="289"/>
    </row>
    <row r="9" spans="1:33" ht="23.4">
      <c r="L9" s="289"/>
    </row>
    <row r="10" spans="1:33" ht="23.4">
      <c r="L10" s="289"/>
    </row>
  </sheetData>
  <mergeCells count="1">
    <mergeCell ref="A1:A2"/>
  </mergeCells>
  <conditionalFormatting sqref="A6">
    <cfRule type="expression" dxfId="21" priority="10">
      <formula>$S6&gt;0</formula>
    </cfRule>
    <cfRule type="duplicateValues" dxfId="20" priority="11"/>
  </conditionalFormatting>
  <conditionalFormatting sqref="AA6:AE6 A6:B6 E6:Y6">
    <cfRule type="expression" dxfId="19" priority="9">
      <formula>AND($U6&lt;#REF!,$U6&lt;&gt;"")</formula>
    </cfRule>
  </conditionalFormatting>
  <dataValidations count="1">
    <dataValidation type="list" allowBlank="1" showInputMessage="1" showErrorMessage="1" sqref="I6 AF6 R6 N6" xr:uid="{F7FFCB93-F47E-4C34-A083-726A77D7B9B8}">
      <formula1>#REF!</formula1>
    </dataValidation>
  </dataValidations>
  <pageMargins left="0.75" right="0.75" top="1" bottom="1" header="0.5" footer="0.5"/>
  <pageSetup paperSize="9" orientation="portrait" horizontalDpi="4294967292" verticalDpi="4294967292"/>
  <extLst>
    <ext xmlns:x14="http://schemas.microsoft.com/office/spreadsheetml/2009/9/main" uri="{78C0D931-6437-407d-A8EE-F0AAD7539E65}">
      <x14:conditionalFormattings>
        <x14:conditionalFormatting xmlns:xm="http://schemas.microsoft.com/office/excel/2006/main">
          <x14:cfRule type="expression" priority="8" id="{E7066EA2-BF58-4AC2-BDB4-D1DBCE0C8858}">
            <xm:f>AND($U6&lt;'Macintosh HD:Users:fzarrouk:Library:Application Support:Microsoft:Office:Office 2011 AutoRecovery:[BD1_2020.xlsx]DATA'!#REF!,$U6&lt;&gt;"")</xm:f>
            <x14:dxf>
              <font>
                <b/>
                <i val="0"/>
                <color theme="1"/>
              </font>
              <fill>
                <patternFill>
                  <bgColor theme="7"/>
                </patternFill>
              </fill>
            </x14:dxf>
          </x14:cfRule>
          <xm:sqref>L6</xm:sqref>
        </x14:conditionalFormatting>
        <x14:conditionalFormatting xmlns:xm="http://schemas.microsoft.com/office/excel/2006/main">
          <x14:cfRule type="expression" priority="7" id="{3461489C-E56D-4897-A07D-71D9CF2F7CAD}">
            <xm:f>AND($U6&lt;'Macintosh HD:Users:rachakzouhair:Library:Containers:com.microsoft.Excel:Data:Documents:Macintosh HD:Users:asmaabenhida:Downloads:[BD1_LACQ2 (11).xlsx]DATA'!#REF!,$U6&lt;&gt;"")</xm:f>
            <x14:dxf>
              <font>
                <b/>
                <i val="0"/>
                <color theme="1"/>
              </font>
              <fill>
                <patternFill>
                  <bgColor theme="7"/>
                </patternFill>
              </fill>
            </x14:dxf>
          </x14:cfRule>
          <xm:sqref>L6</xm:sqref>
        </x14:conditionalFormatting>
        <x14:conditionalFormatting xmlns:xm="http://schemas.microsoft.com/office/excel/2006/main">
          <x14:cfRule type="expression" priority="6" id="{8833B60B-EDFB-4402-A1A0-443439235A53}">
            <xm:f>AND($U6&lt;'Macintosh HD:Users:fzarrouk:Library:Application Support:Microsoft:Office:Office 2011 AutoRecovery:[BD1_2020.xlsx]DATA'!#REF!,$U6&lt;&gt;"")</xm:f>
            <x14:dxf>
              <font>
                <b/>
                <i val="0"/>
                <color theme="1"/>
              </font>
              <fill>
                <patternFill>
                  <bgColor theme="7"/>
                </patternFill>
              </fill>
            </x14:dxf>
          </x14:cfRule>
          <xm:sqref>M6</xm:sqref>
        </x14:conditionalFormatting>
        <x14:conditionalFormatting xmlns:xm="http://schemas.microsoft.com/office/excel/2006/main">
          <x14:cfRule type="expression" priority="5" id="{FCEC9872-F9F8-48C5-9793-4E9AF73FA0E3}">
            <xm:f>AND($U6&lt;'Macintosh HD:Users:rachakzouhair:Library:Containers:com.microsoft.Excel:Data:Documents:Macintosh HD:Users:asmaabenhida:Downloads:[BD1_LACQ2 (11).xlsx]DATA'!#REF!,$U6&lt;&gt;"")</xm:f>
            <x14:dxf>
              <font>
                <b/>
                <i val="0"/>
                <color theme="1"/>
              </font>
              <fill>
                <patternFill>
                  <bgColor theme="7"/>
                </patternFill>
              </fill>
            </x14:dxf>
          </x14:cfRule>
          <xm:sqref>M6</xm:sqref>
        </x14:conditionalFormatting>
        <x14:conditionalFormatting xmlns:xm="http://schemas.microsoft.com/office/excel/2006/main">
          <x14:cfRule type="expression" priority="4" id="{C1AC4474-61BB-4732-8FD3-DC53AA9C8930}">
            <xm:f>AND($U6&lt;'Macintosh HD:/Users/mac/Library/Containers/com.microsoft.Excel/Data/Documents/Macintosh HD:Users:fzarrouk:Desktop:FATIMAZ:[BD1_LACQ2020xlsx.xlsx]DATA'!#REF!,$U6&lt;&gt;"")</xm:f>
            <x14:dxf>
              <font>
                <b/>
                <i val="0"/>
                <color theme="1"/>
              </font>
              <fill>
                <patternFill>
                  <bgColor theme="7"/>
                </patternFill>
              </fill>
            </x14:dxf>
          </x14:cfRule>
          <xm:sqref>C6</xm:sqref>
        </x14:conditionalFormatting>
        <x14:conditionalFormatting xmlns:xm="http://schemas.microsoft.com/office/excel/2006/main">
          <x14:cfRule type="expression" priority="3" id="{967CB84E-8075-414A-BFBF-5730B7B3B30E}">
            <xm:f>AND($U6&lt;'Macintosh HD:/Users/mac/Library/Containers/com.microsoft.Excel/Data/Documents/Macintosh HD:Users:rachakzouhair:Library:Containers:com.microsoft.Excel:Data:Documents:Macintosh HD:Users:asmaabenhida:Downloads:[BD1_LACQ2 (11).xlsx]DATA'!#REF!,$U6&lt;&gt;"")</xm:f>
            <x14:dxf>
              <font>
                <b/>
                <i val="0"/>
                <color theme="1"/>
              </font>
              <fill>
                <patternFill>
                  <bgColor theme="7"/>
                </patternFill>
              </fill>
            </x14:dxf>
          </x14:cfRule>
          <xm:sqref>C6</xm:sqref>
        </x14:conditionalFormatting>
        <x14:conditionalFormatting xmlns:xm="http://schemas.microsoft.com/office/excel/2006/main">
          <x14:cfRule type="expression" priority="2" id="{5566B257-EDDB-4686-B4F0-C4F6232A6F20}">
            <xm:f>AND($U6&lt;'Macintosh HD:/Users/mac/Library/Containers/com.microsoft.Excel/Data/Documents/Macintosh HD:Users:rachakzouhair:Library:Containers:com.microsoft.Excel:Data:Documents:Macintosh HD:Users:fzarrouk:Desktop:[BD1_LACQ2 .xlsx]DATA'!#REF!,$U6&lt;&gt;"")</xm:f>
            <x14:dxf>
              <font>
                <b/>
                <i val="0"/>
                <color theme="1"/>
              </font>
              <fill>
                <patternFill>
                  <bgColor theme="7"/>
                </patternFill>
              </fill>
            </x14:dxf>
          </x14:cfRule>
          <xm:sqref>C6</xm:sqref>
        </x14:conditionalFormatting>
        <x14:conditionalFormatting xmlns:xm="http://schemas.microsoft.com/office/excel/2006/main">
          <x14:cfRule type="expression" priority="1" id="{A21245B5-066E-4FC8-A93E-78BDD4C0E699}">
            <xm:f>AND($U6&lt;'Macintosh HD:/Users/mac/Library/Containers/com.microsoft.Excel/Data/Documents/Macintosh HD:Users:rachakzouhair:Library:Containers:com.microsoft.Excel:Data:Documents:Macintosh HD:Users:fzarrouk:Desktop:[BD1_LACQ2 .xlsx]DATA'!#REF!,$U6&lt;&gt;"")</xm:f>
            <x14:dxf>
              <font>
                <b/>
                <i val="0"/>
                <color theme="1"/>
              </font>
              <fill>
                <patternFill>
                  <bgColor theme="7"/>
                </patternFill>
              </fill>
            </x14:dxf>
          </x14:cfRule>
          <xm:sqref>C6</xm:sqref>
        </x14:conditionalFormatting>
      </x14:conditionalFormattings>
    </ex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4">
    <pageSetUpPr fitToPage="1"/>
  </sheetPr>
  <dimension ref="A1:AW50"/>
  <sheetViews>
    <sheetView showGridLines="0" topLeftCell="A41" zoomScale="85" zoomScaleNormal="85" zoomScalePageLayoutView="85" workbookViewId="0">
      <selection activeCell="R25" sqref="R25"/>
    </sheetView>
  </sheetViews>
  <sheetFormatPr baseColWidth="10" defaultColWidth="10.8984375" defaultRowHeight="16.2"/>
  <cols>
    <col min="1" max="1" width="30.09765625" style="18" customWidth="1"/>
    <col min="2" max="2" width="7.8984375" style="18" customWidth="1"/>
    <col min="3" max="3" width="19.59765625" style="21" customWidth="1"/>
    <col min="4" max="4" width="15.8984375" style="18" customWidth="1"/>
    <col min="5" max="5" width="13" style="18" customWidth="1"/>
    <col min="6" max="6" width="15.3984375" style="18" customWidth="1"/>
    <col min="7" max="9" width="11.59765625" style="18" customWidth="1"/>
    <col min="10" max="10" width="10.8984375" style="11" customWidth="1"/>
    <col min="11" max="12" width="10.8984375" style="12" hidden="1" customWidth="1"/>
    <col min="13" max="13" width="11.59765625" style="12" hidden="1" customWidth="1"/>
    <col min="14" max="14" width="10.8984375" style="11" hidden="1" customWidth="1"/>
    <col min="15" max="16384" width="10.8984375" style="11"/>
  </cols>
  <sheetData>
    <row r="1" spans="1:49" ht="15.9" customHeight="1">
      <c r="C1" s="1020" t="str">
        <f>"RAPPORT D’ANALYSE D’EAU D’IRRIGATION                     n°EAU"&amp;'VBA2'!A3</f>
        <v>RAPPORT D’ANALYSE D’EAU D’IRRIGATION                     n°EAU100078</v>
      </c>
      <c r="D1" s="1020"/>
      <c r="E1" s="1020"/>
      <c r="F1" s="1020"/>
      <c r="G1" s="1020"/>
      <c r="H1" s="1020"/>
      <c r="AW1" s="11" t="str">
        <f>"EAU"&amp;G8&amp;"_"&amp;B7&amp;"_"&amp;B12</f>
        <v>EAU100078_ABDELLAOUI ANDALOUSSI MAANE MOHAMED_E2</v>
      </c>
    </row>
    <row r="2" spans="1:49" ht="11.1" customHeight="1">
      <c r="C2" s="1020"/>
      <c r="D2" s="1020"/>
      <c r="E2" s="1020"/>
      <c r="F2" s="1020"/>
      <c r="G2" s="1020"/>
      <c r="H2" s="1020"/>
    </row>
    <row r="3" spans="1:49" ht="11.1" customHeight="1">
      <c r="C3" s="1020"/>
      <c r="D3" s="1020"/>
      <c r="E3" s="1020"/>
      <c r="F3" s="1020"/>
      <c r="G3" s="1020"/>
      <c r="H3" s="1020"/>
    </row>
    <row r="4" spans="1:49" ht="12.9" customHeight="1">
      <c r="C4" s="1020"/>
      <c r="D4" s="1020"/>
      <c r="E4" s="1020"/>
      <c r="F4" s="1020"/>
      <c r="G4" s="1020"/>
      <c r="H4" s="1020"/>
    </row>
    <row r="5" spans="1:49" ht="20.100000000000001" customHeight="1">
      <c r="A5" s="79" t="s">
        <v>305</v>
      </c>
      <c r="C5" s="19"/>
      <c r="D5" s="20"/>
      <c r="E5" s="20"/>
    </row>
    <row r="6" spans="1:49" ht="18" customHeight="1">
      <c r="A6" s="80" t="s">
        <v>306</v>
      </c>
      <c r="C6" s="19"/>
      <c r="D6" s="20"/>
      <c r="E6" s="20"/>
    </row>
    <row r="7" spans="1:49" ht="17.100000000000001" customHeight="1">
      <c r="A7" s="82" t="s">
        <v>299</v>
      </c>
      <c r="B7" s="1018" t="str">
        <f>UPPER('VBA2'!B6)</f>
        <v>ABDELLAOUI ANDALOUSSI MAANE MOHAMED</v>
      </c>
      <c r="C7" s="1018"/>
      <c r="D7" s="1018"/>
      <c r="E7" s="1013" t="s">
        <v>289</v>
      </c>
      <c r="F7" s="1013"/>
      <c r="G7" s="1017" t="str">
        <f>IF('VBA2'!P6="","",""&amp;'VBA2'!P6)</f>
        <v>LABDALLAOUI NABIL</v>
      </c>
      <c r="H7" s="1017"/>
      <c r="I7" s="1017"/>
    </row>
    <row r="8" spans="1:49" ht="17.100000000000001" customHeight="1">
      <c r="A8" s="82" t="s">
        <v>298</v>
      </c>
      <c r="B8" s="1012" t="str">
        <f>IF('VBA2'!D6="","",'VBA2'!D6)</f>
        <v>A 206731</v>
      </c>
      <c r="C8" s="1012"/>
      <c r="D8" s="1012"/>
      <c r="E8" s="1013" t="s">
        <v>290</v>
      </c>
      <c r="F8" s="1013"/>
      <c r="G8" s="1012">
        <f>'VBA2'!A6</f>
        <v>100078</v>
      </c>
      <c r="H8" s="1012"/>
      <c r="I8" s="1012"/>
    </row>
    <row r="9" spans="1:49" ht="17.100000000000001" customHeight="1">
      <c r="A9" s="82" t="s">
        <v>297</v>
      </c>
      <c r="B9" s="1012" t="str">
        <f>IF('VBA2'!C6="","",'VBA2'!C6)</f>
        <v>SECT 11 BLOC F N°9 HAY RIAD RABAT</v>
      </c>
      <c r="C9" s="1012"/>
      <c r="D9" s="1012"/>
      <c r="E9" s="1013" t="s">
        <v>287</v>
      </c>
      <c r="F9" s="1013"/>
      <c r="G9" s="1017" t="str">
        <f>'VBA2'!AF6&amp;"°C"</f>
        <v>°C</v>
      </c>
      <c r="H9" s="1017"/>
      <c r="I9" s="1017"/>
    </row>
    <row r="10" spans="1:49" ht="17.100000000000001" customHeight="1">
      <c r="A10" s="82" t="s">
        <v>300</v>
      </c>
      <c r="B10" s="1012" t="str">
        <f>IF('VBA2'!L6="","",'VBA2'!L6)</f>
        <v>_</v>
      </c>
      <c r="C10" s="1012"/>
      <c r="D10" s="1012"/>
      <c r="E10" s="1013" t="s">
        <v>292</v>
      </c>
      <c r="F10" s="1013"/>
      <c r="G10" s="1017">
        <f>'VBA2'!O6</f>
        <v>44327</v>
      </c>
      <c r="H10" s="1017"/>
      <c r="I10" s="1017"/>
    </row>
    <row r="11" spans="1:49" ht="17.100000000000001" customHeight="1">
      <c r="A11" s="82" t="s">
        <v>296</v>
      </c>
      <c r="B11" s="1012" t="str">
        <f>IF('VBA2'!M6="","",'VBA2'!M6)</f>
        <v>_</v>
      </c>
      <c r="C11" s="1012"/>
      <c r="D11" s="1012"/>
      <c r="E11" s="1013" t="s">
        <v>291</v>
      </c>
      <c r="F11" s="1013"/>
      <c r="G11" s="1017">
        <f>'VBA2'!E6</f>
        <v>44327</v>
      </c>
      <c r="H11" s="1017"/>
      <c r="I11" s="1017"/>
      <c r="K11" s="13"/>
    </row>
    <row r="12" spans="1:49" ht="17.100000000000001" customHeight="1">
      <c r="A12" s="82" t="s">
        <v>295</v>
      </c>
      <c r="B12" s="1012" t="str">
        <f>IF('VBA2'!K6="","",'VBA2'!K6)</f>
        <v>E2</v>
      </c>
      <c r="C12" s="1012"/>
      <c r="D12" s="1012"/>
      <c r="E12" s="1013" t="s">
        <v>293</v>
      </c>
      <c r="F12" s="1013"/>
      <c r="G12" s="1017">
        <f>G11</f>
        <v>44327</v>
      </c>
      <c r="H12" s="1017"/>
      <c r="I12" s="1017"/>
      <c r="K12" s="13"/>
    </row>
    <row r="13" spans="1:49" ht="17.100000000000001" customHeight="1">
      <c r="A13" s="82" t="s">
        <v>301</v>
      </c>
      <c r="B13" s="1012" t="str">
        <f>'VBA2'!J6</f>
        <v>EAU DE PUITS</v>
      </c>
      <c r="C13" s="1012"/>
      <c r="D13" s="1012"/>
      <c r="E13" s="1013" t="s">
        <v>294</v>
      </c>
      <c r="F13" s="1013"/>
      <c r="G13" s="1017" t="str">
        <f ca="1">TEXT(NOW(),"jj/mm/aa hh:mm")</f>
        <v>24/03/23 13:38</v>
      </c>
      <c r="H13" s="1017"/>
      <c r="I13" s="1017"/>
      <c r="K13" s="13"/>
    </row>
    <row r="14" spans="1:49" ht="17.100000000000001" customHeight="1">
      <c r="A14" s="82" t="s">
        <v>310</v>
      </c>
      <c r="B14" s="1012" t="str">
        <f>'VBA2'!X6&amp;"  "&amp;'VBA2'!Y6</f>
        <v xml:space="preserve">  </v>
      </c>
      <c r="C14" s="1012"/>
      <c r="D14" s="1012"/>
      <c r="E14" s="1013" t="s">
        <v>311</v>
      </c>
      <c r="F14" s="1013"/>
      <c r="G14" s="1018" t="str">
        <f>IF('VBA2'!Z6="","",'VBA2'!Z6)</f>
        <v/>
      </c>
      <c r="H14" s="1018"/>
      <c r="I14" s="1018"/>
      <c r="K14" s="13"/>
    </row>
    <row r="15" spans="1:49" ht="11.1" customHeight="1"/>
    <row r="16" spans="1:49" ht="17.100000000000001" customHeight="1">
      <c r="A16" s="997" t="s">
        <v>2</v>
      </c>
      <c r="B16" s="1000" t="s">
        <v>3</v>
      </c>
      <c r="C16" s="1000" t="s">
        <v>263</v>
      </c>
      <c r="D16" s="1002" t="s">
        <v>281</v>
      </c>
      <c r="E16" s="1003"/>
      <c r="F16" s="1000" t="s">
        <v>280</v>
      </c>
      <c r="G16" s="989" t="s">
        <v>4</v>
      </c>
      <c r="H16" s="990"/>
      <c r="I16" s="991"/>
    </row>
    <row r="17" spans="1:18" ht="15.9" customHeight="1">
      <c r="A17" s="998"/>
      <c r="B17" s="1001"/>
      <c r="C17" s="1001"/>
      <c r="D17" s="1004"/>
      <c r="E17" s="1005"/>
      <c r="F17" s="1001"/>
      <c r="G17" s="22" t="s">
        <v>282</v>
      </c>
      <c r="H17" s="23" t="s">
        <v>283</v>
      </c>
      <c r="I17" s="24" t="s">
        <v>284</v>
      </c>
    </row>
    <row r="18" spans="1:18" ht="23.1" customHeight="1">
      <c r="A18" s="25" t="s">
        <v>275</v>
      </c>
      <c r="B18" s="26"/>
      <c r="C18" s="26"/>
      <c r="D18" s="27"/>
      <c r="E18" s="27"/>
      <c r="F18" s="26"/>
      <c r="G18" s="28"/>
      <c r="H18" s="29"/>
      <c r="I18" s="29"/>
      <c r="K18" s="12" t="s">
        <v>288</v>
      </c>
      <c r="L18" s="14" t="s">
        <v>268</v>
      </c>
      <c r="M18" s="14" t="s">
        <v>269</v>
      </c>
      <c r="N18" s="15">
        <f>HLOOKUP(B20,'VBA2'!$A$1:$V$3,3,FALSE)*0.902</f>
        <v>0.82262400000000002</v>
      </c>
    </row>
    <row r="19" spans="1:18" ht="23.1" customHeight="1">
      <c r="A19" s="30" t="s">
        <v>322</v>
      </c>
      <c r="B19" s="31" t="s">
        <v>252</v>
      </c>
      <c r="C19" s="83" t="s">
        <v>315</v>
      </c>
      <c r="D19" s="1008">
        <f>CEILING(HLOOKUP(B19,'VBA2'!$A$1:$V$3,3,FALSE),"0,05")</f>
        <v>6.65</v>
      </c>
      <c r="E19" s="1009"/>
      <c r="F19" s="31" t="str">
        <f>TEXT(L19,"0,00")&amp;" à "&amp;TEXT(M19,"0,00")</f>
        <v>6,50 à 8,40</v>
      </c>
      <c r="G19" s="32" t="str">
        <f>IF(K19=0,"",IF($E$12="D","",IF(K19&lt;=$L19-($M19-$L19),"I"&amp;"IIII",IF(K19&gt;=$M19+($M19-$L19),REPT("I",40)&amp;"I",REPT("I",27+(K19-$L19)/($M19-$L19)*13)&amp;"I"))))</f>
        <v>IIIIIIIIIIIIIIIIIIIIIIIIIIIII</v>
      </c>
      <c r="H19" s="33"/>
      <c r="I19" s="34"/>
      <c r="K19" s="13">
        <f>HLOOKUP(B19,'VBA2'!$A$1:$V$3,3,FALSE)</f>
        <v>6.65</v>
      </c>
      <c r="L19" s="14">
        <v>6.5</v>
      </c>
      <c r="M19" s="14">
        <v>8.4</v>
      </c>
    </row>
    <row r="20" spans="1:18" ht="23.1" customHeight="1">
      <c r="A20" s="35" t="s">
        <v>321</v>
      </c>
      <c r="B20" s="36" t="s">
        <v>253</v>
      </c>
      <c r="C20" s="84" t="s">
        <v>316</v>
      </c>
      <c r="D20" s="987" t="str">
        <f>TEXT(HLOOKUP(B20,'VBA2'!$A$1:$V$3,3,FALSE),"0,00")&amp;" (mS/cm)"</f>
        <v>0,91 (mS/cm)</v>
      </c>
      <c r="E20" s="988"/>
      <c r="F20" s="36" t="str">
        <f>TEXT(L20,"0,00")&amp;" à "&amp;TEXT(M20,"0,00")</f>
        <v>0,70 à 3,00</v>
      </c>
      <c r="G20" s="37" t="str">
        <f>IF(K20=0,"",IF($E$12="D","",IF(K20&lt;=$L20-($M20-$L20),"I"&amp;"IIII",IF(K20&gt;=$M20+($M20-$L20),REPT("I",60)&amp;"I",REPT("I",27+(K20-$L20)/($M20-$L20)*13)&amp;"I"))))</f>
        <v>IIIIIIIIIIIIIIIIIIIIIIIIIIIII</v>
      </c>
      <c r="H20" s="38"/>
      <c r="I20" s="39"/>
      <c r="K20" s="13">
        <f>HLOOKUP(B20,'VBA2'!$A$1:$V$3,3,FALSE)</f>
        <v>0.91200000000000003</v>
      </c>
      <c r="L20" s="15">
        <v>0.7</v>
      </c>
      <c r="M20" s="14">
        <v>3</v>
      </c>
    </row>
    <row r="21" spans="1:18" ht="23.1" customHeight="1">
      <c r="A21" s="35" t="s">
        <v>323</v>
      </c>
      <c r="B21" s="36" t="s">
        <v>253</v>
      </c>
      <c r="C21" s="84" t="s">
        <v>316</v>
      </c>
      <c r="D21" s="987" t="str">
        <f>TEXT(HLOOKUP(B21,'VBA2'!$A$1:$V$3,3,FALSE),"0,00")*1000&amp;" (µS/cm)"</f>
        <v>910 (µS/cm)</v>
      </c>
      <c r="E21" s="988"/>
      <c r="F21" s="36" t="str">
        <f>TEXT(L20,"0,00")*1000&amp;" à "&amp;TEXT(M20,"0,00")*1000</f>
        <v>700 à 3000</v>
      </c>
      <c r="G21" s="37" t="str">
        <f>+G20</f>
        <v>IIIIIIIIIIIIIIIIIIIIIIIIIIIII</v>
      </c>
      <c r="H21" s="38"/>
      <c r="I21" s="39"/>
      <c r="K21" s="89">
        <f>HLOOKUP(B21,'VBA2'!$A$1:$V$3,3,FALSE)*1000</f>
        <v>912</v>
      </c>
      <c r="L21" s="88">
        <v>700</v>
      </c>
      <c r="M21" s="88">
        <v>3000</v>
      </c>
    </row>
    <row r="22" spans="1:18" ht="23.1" customHeight="1">
      <c r="A22" s="40" t="s">
        <v>285</v>
      </c>
      <c r="B22" s="41" t="s">
        <v>254</v>
      </c>
      <c r="C22" s="42" t="s">
        <v>273</v>
      </c>
      <c r="D22" s="1006" t="str">
        <f>TEXT(IF(K20&lt;0.05,1.365079*K20,IF(K20&lt;0.166,0.947658*K20,IF(K20&lt;0.333,0.769574*K20,IF(K20&lt;0.833,0.71592*K20,IF(K20&lt;10,0.758544*K20,0.850432*K20))))),"0,00")&amp;" (g/l)"</f>
        <v>0,69 (g/l)</v>
      </c>
      <c r="E22" s="1007"/>
      <c r="F22" s="41" t="str">
        <f>TEXT(L22,"0,00")&amp;" à "&amp;TEXT(M22,"0,00")</f>
        <v>0,56 à 2,54</v>
      </c>
      <c r="G22" s="43" t="str">
        <f>IF(K22=0,"",IF($E$12="D","",IF(K22&lt;=$L22-($M22-$L22),"I"&amp;"IIII",IF(K22&gt;=$M22+($M22-$L22),REPT("I",60)&amp;"I",REPT("I",27+(K22-$L22)/($M22-$L22)*13)&amp;"I"))))</f>
        <v>IIIIIIIIIIIIIIIIIIIIIIIIIIII</v>
      </c>
      <c r="H22" s="44"/>
      <c r="I22" s="45"/>
      <c r="K22" s="13">
        <f>IF(K20&lt;0.05,1.365079*K20,IF(K20&lt;0.166,0.947658*K20,IF(K20&lt;0.333,0.769574*K20,IF(K20&lt;0.833,0.71592*K20,IF(K20&lt;10,0.758544*K20,0.850432*K20)))))</f>
        <v>0.69179212800000001</v>
      </c>
      <c r="L22" s="15">
        <f>L20*1.116*0.71592</f>
        <v>0.55927670399999996</v>
      </c>
      <c r="M22" s="15">
        <f>M20*1.116*0.758544</f>
        <v>2.5396053120000004</v>
      </c>
    </row>
    <row r="23" spans="1:18" ht="20.100000000000001" customHeight="1">
      <c r="A23" s="25" t="s">
        <v>286</v>
      </c>
      <c r="B23" s="26"/>
      <c r="C23" s="26"/>
      <c r="D23" s="27"/>
      <c r="E23" s="27"/>
      <c r="F23" s="26"/>
      <c r="G23" s="28"/>
      <c r="H23" s="29"/>
      <c r="I23" s="29"/>
      <c r="L23" s="14"/>
      <c r="M23" s="14"/>
    </row>
    <row r="24" spans="1:18" ht="23.1" customHeight="1">
      <c r="A24" s="30" t="s">
        <v>246</v>
      </c>
      <c r="B24" s="31" t="s">
        <v>255</v>
      </c>
      <c r="C24" s="31" t="s">
        <v>270</v>
      </c>
      <c r="D24" s="46" t="str">
        <f>IF(HLOOKUP(B24,'VBA2'!$A$1:$V$3,3,FALSE)&lt;9,TEXT(HLOOKUP(B24,'VBA2'!$A$1:$V$3,3,FALSE),"0,00"),IF(HLOOKUP(B24,'VBA2'!$A$1:$V$3,3,FALSE)&gt;100,TEXT(HLOOKUP(B24,'VBA2'!$A$1:$V$3,3,FALSE),"0"),TEXT(HLOOKUP(B24,'VBA2'!$A$1:$V$3,3,FALSE),"0,0")))&amp;" (mg/l)"</f>
        <v>30,1 (mg/l)</v>
      </c>
      <c r="E24" s="47" t="str">
        <f>TEXT(HLOOKUP(B24,'VBA2'!$A$1:$V$3,3,FALSE)/62,"0,00")&amp;" (méq/L)"</f>
        <v>0,49 (méq/L)</v>
      </c>
      <c r="F24" s="31" t="str">
        <f t="shared" ref="F24:F34" si="0">L24&amp;" à "&amp;M24</f>
        <v>22 à 33</v>
      </c>
      <c r="G24" s="32" t="str">
        <f t="shared" ref="G24:G29" si="1">IF(K24=0,"",IF($E$12="D","",IF(K24&lt;=$L24-($M24-$L24),"I"&amp;"IIII",IF(K24&gt;=$M24+($M24-$L24),REPT("I",60)&amp;"I",REPT("I",27+(K24-$L24)/($M24-$L24)*13)&amp;"I"))))</f>
        <v>IIIIIIIIIIIIIIIIIIIIIIIIIIIIIIIIIIIII</v>
      </c>
      <c r="H24" s="86"/>
      <c r="I24" s="34"/>
      <c r="K24" s="12">
        <f>HLOOKUP(B24,'VBA2'!$A$1:$V$3,3,FALSE)</f>
        <v>30.12</v>
      </c>
      <c r="L24" s="14">
        <v>22</v>
      </c>
      <c r="M24" s="14">
        <v>33</v>
      </c>
      <c r="Q24" s="15"/>
      <c r="R24" s="14"/>
    </row>
    <row r="25" spans="1:18" ht="23.1" customHeight="1">
      <c r="A25" s="48" t="s">
        <v>247</v>
      </c>
      <c r="B25" s="49" t="s">
        <v>257</v>
      </c>
      <c r="C25" s="49" t="s">
        <v>264</v>
      </c>
      <c r="D25" s="50" t="str">
        <f>IF(HLOOKUP(B25,'VBA2'!$A$1:$V$3,3,FALSE)&lt;9,TEXT(HLOOKUP(B25,'VBA2'!$A$1:$V$3,3,FALSE),"0,00"),IF(HLOOKUP(B25,'VBA2'!$A$1:$V$3,3,FALSE)&gt;100,TEXT(HLOOKUP(B25,'VBA2'!$A$1:$V$3,3,FALSE),"0"),TEXT(HLOOKUP(B25,'VBA2'!$A$1:$V$3,3,FALSE),"0,0")))&amp;" (mg/l)"</f>
        <v>0,13 (mg/l)</v>
      </c>
      <c r="E25" s="51" t="str">
        <f>TEXT(HLOOKUP(B25,'VBA2'!$A$1:$V$3,3,FALSE)/18,"0,00")&amp;" (méq/L)"</f>
        <v>0,01 (méq/L)</v>
      </c>
      <c r="F25" s="49" t="str">
        <f t="shared" si="0"/>
        <v>7 à 44</v>
      </c>
      <c r="G25" s="52" t="str">
        <f t="shared" si="1"/>
        <v>IIIIIIIIIIIIIIIIIIIIIIIII</v>
      </c>
      <c r="H25" s="53"/>
      <c r="I25" s="54"/>
      <c r="K25" s="12">
        <f>HLOOKUP(B25,'VBA2'!$A$1:$V$3,3,FALSE)</f>
        <v>0.13</v>
      </c>
      <c r="L25" s="14">
        <v>7</v>
      </c>
      <c r="M25" s="14">
        <v>44</v>
      </c>
      <c r="Q25" s="15"/>
      <c r="R25" s="14"/>
    </row>
    <row r="26" spans="1:18" ht="23.1" customHeight="1">
      <c r="A26" s="35" t="s">
        <v>317</v>
      </c>
      <c r="B26" s="36" t="s">
        <v>7</v>
      </c>
      <c r="C26" s="36" t="s">
        <v>302</v>
      </c>
      <c r="D26" s="84" t="str">
        <f>IF(HLOOKUP(B26,'VBA2'!$A$1:$V$3,3,FALSE)&lt;9,TEXT(HLOOKUP(B26,'VBA2'!$A$1:$V$3,3,FALSE),"0,00"),IF(HLOOKUP(B26,'VBA2'!$A$1:$V$3,3,FALSE)&gt;100,TEXT(HLOOKUP(B26,'VBA2'!$A$1:$V$3,3,FALSE),"0"),TEXT(HLOOKUP(B26,'VBA2'!$A$1:$V$3,3,FALSE),"0,0")))&amp;" (mg/l)"</f>
        <v>55,3 (mg/l)</v>
      </c>
      <c r="E26" s="55" t="str">
        <f>TEXT(HLOOKUP(B26,'VBA2'!$A$1:$V$3,3,FALSE)/20,"0,00")&amp;" (méq/L)"</f>
        <v>2,77 (méq/L)</v>
      </c>
      <c r="F26" s="36" t="str">
        <f t="shared" si="0"/>
        <v>70 à 120</v>
      </c>
      <c r="G26" s="37" t="str">
        <f t="shared" si="1"/>
        <v>IIIIIIIIIIIIIIIIIIIIIIII</v>
      </c>
      <c r="H26" s="38"/>
      <c r="I26" s="39"/>
      <c r="K26" s="12">
        <f>HLOOKUP(B26,'VBA2'!$A$1:$V$3,3,FALSE)</f>
        <v>55.31</v>
      </c>
      <c r="L26" s="14">
        <v>70</v>
      </c>
      <c r="M26" s="14">
        <v>120</v>
      </c>
      <c r="Q26" s="15"/>
      <c r="R26" s="14"/>
    </row>
    <row r="27" spans="1:18" ht="23.1" customHeight="1">
      <c r="A27" s="35" t="s">
        <v>318</v>
      </c>
      <c r="B27" s="36" t="s">
        <v>6</v>
      </c>
      <c r="C27" s="36" t="s">
        <v>302</v>
      </c>
      <c r="D27" s="84" t="str">
        <f>IF(HLOOKUP(B27,'VBA2'!$A$1:$V$3,3,FALSE)&lt;9,TEXT(HLOOKUP(B27,'VBA2'!$A$1:$V$3,3,FALSE),"0,00"),IF(HLOOKUP(B27,'VBA2'!$A$1:$V$3,3,FALSE)&gt;100,TEXT(HLOOKUP(B27,'VBA2'!$A$1:$V$3,3,FALSE),"0"),TEXT(HLOOKUP(B27,'VBA2'!$A$1:$V$3,3,FALSE),"0,0")))&amp;" (mg/l)"</f>
        <v>22,6 (mg/l)</v>
      </c>
      <c r="E27" s="56" t="str">
        <f>TEXT(HLOOKUP(B27,'VBA2'!$A$1:$V$3,3,FALSE)/12,"0,00")&amp;" (méq/L)"</f>
        <v>1,88 (méq/L)</v>
      </c>
      <c r="F27" s="36" t="str">
        <f t="shared" si="0"/>
        <v>20 à 50</v>
      </c>
      <c r="G27" s="37" t="str">
        <f t="shared" si="1"/>
        <v>IIIIIIIIIIIIIIIIIIIIIIIIIIIII</v>
      </c>
      <c r="H27" s="38"/>
      <c r="I27" s="39"/>
      <c r="K27" s="12">
        <f>HLOOKUP(B27,'VBA2'!$A$1:$V$3,3,FALSE)</f>
        <v>22.6</v>
      </c>
      <c r="L27" s="14">
        <v>20</v>
      </c>
      <c r="M27" s="14">
        <v>50</v>
      </c>
      <c r="Q27" s="15"/>
      <c r="R27" s="14"/>
    </row>
    <row r="28" spans="1:18" ht="23.1" customHeight="1">
      <c r="A28" s="35" t="s">
        <v>319</v>
      </c>
      <c r="B28" s="36" t="s">
        <v>5</v>
      </c>
      <c r="C28" s="36" t="s">
        <v>302</v>
      </c>
      <c r="D28" s="84" t="str">
        <f>IF(HLOOKUP(B28,'VBA2'!$A$1:$V$3,3,FALSE)&lt;9,TEXT(HLOOKUP(B28,'VBA2'!$A$1:$V$3,3,FALSE),"0,00"),IF(HLOOKUP(B28,'VBA2'!$A$1:$V$3,3,FALSE)&gt;100,TEXT(HLOOKUP(B28,'VBA2'!$A$1:$V$3,3,FALSE),"0"),TEXT(HLOOKUP(B28,'VBA2'!$A$1:$V$3,3,FALSE),"0,0")))&amp;" (mg/l)"</f>
        <v>8,64 (mg/l)</v>
      </c>
      <c r="E28" s="57" t="str">
        <f>TEXT(HLOOKUP(B28,'VBA2'!$A$1:$V$3,3,FALSE)/40,"0,00")&amp;" (méq/L)"</f>
        <v>0,22 (méq/L)</v>
      </c>
      <c r="F28" s="36" t="str">
        <f t="shared" si="0"/>
        <v>50 à 150</v>
      </c>
      <c r="G28" s="37" t="str">
        <f t="shared" si="1"/>
        <v>IIIIIIIIIIIIIIIIIIIIII</v>
      </c>
      <c r="H28" s="38"/>
      <c r="I28" s="39"/>
      <c r="K28" s="12">
        <f>HLOOKUP(B28,'VBA2'!$A$1:$V$3,3,FALSE)</f>
        <v>8.64</v>
      </c>
      <c r="L28" s="14">
        <v>50</v>
      </c>
      <c r="M28" s="14">
        <v>150</v>
      </c>
      <c r="Q28" s="15"/>
      <c r="R28" s="14"/>
    </row>
    <row r="29" spans="1:18" ht="23.1" customHeight="1">
      <c r="A29" s="35" t="s">
        <v>320</v>
      </c>
      <c r="B29" s="36" t="s">
        <v>8</v>
      </c>
      <c r="C29" s="36" t="s">
        <v>302</v>
      </c>
      <c r="D29" s="58" t="str">
        <f>IF(HLOOKUP(B29,'VBA2'!$A$1:$V$3,3,FALSE)&lt;9,TEXT(HLOOKUP(B29,'VBA2'!$A$1:$V$3,3,FALSE),"0,00"),IF(HLOOKUP(B29,'VBA2'!$A$1:$V$3,3,FALSE)&gt;100,TEXT(HLOOKUP(B29,'VBA2'!$A$1:$V$3,3,FALSE),"0"),TEXT(HLOOKUP(B29,'VBA2'!$A$1:$V$3,3,FALSE),"0,0")))&amp;" (mg/l)"</f>
        <v>104 (mg/l)</v>
      </c>
      <c r="E29" s="59" t="str">
        <f>TEXT(HLOOKUP(B29,'VBA2'!$A$1:$V$3,3,FALSE)/23,"0,00")&amp;" (méq/L)"</f>
        <v>4,51 (méq/L)</v>
      </c>
      <c r="F29" s="36" t="str">
        <f>"Inf à "&amp;TEXT(M29,"0")</f>
        <v>Inf à 914</v>
      </c>
      <c r="G29" s="37" t="str">
        <f t="shared" si="1"/>
        <v>IIIIIIIIIIIIIIIIIIIIIIIIIIIII</v>
      </c>
      <c r="H29" s="38"/>
      <c r="I29" s="39"/>
      <c r="K29" s="12">
        <f>HLOOKUP(B29,'VBA2'!$A$1:$V$3,3,FALSE)</f>
        <v>103.69</v>
      </c>
      <c r="L29" s="14">
        <v>0</v>
      </c>
      <c r="M29" s="16">
        <f>(23*9*SQRT(HLOOKUP(B26,'VBA2'!$A$1:$V$3,3,FALSE)+HLOOKUP(B27,'VBA2'!$A$1:$V$3,3,FALSE))/2)</f>
        <v>913.55973942594471</v>
      </c>
      <c r="Q29" s="15"/>
      <c r="R29" s="14"/>
    </row>
    <row r="30" spans="1:18" ht="23.1" customHeight="1">
      <c r="A30" s="60" t="s">
        <v>272</v>
      </c>
      <c r="B30" s="61" t="s">
        <v>271</v>
      </c>
      <c r="C30" s="61" t="s">
        <v>273</v>
      </c>
      <c r="D30" s="995">
        <f>(HLOOKUP(B29,'VBA2'!$A$1:$V$3,3,FALSE)/23)/(SQRT((HLOOKUP(B26,'VBA2'!$A$1:$V$3,3,FALSE)/20)+(HLOOKUP(B27,'VBA2'!$A$1:$V$3,3,FALSE)/12)/2))</f>
        <v>2.3414666840352334</v>
      </c>
      <c r="E30" s="996"/>
      <c r="F30" s="61" t="s">
        <v>21</v>
      </c>
      <c r="G30" s="62"/>
      <c r="H30" s="63"/>
      <c r="I30" s="64"/>
      <c r="Q30" s="15"/>
      <c r="R30" s="14"/>
    </row>
    <row r="31" spans="1:18" ht="23.1" customHeight="1">
      <c r="A31" s="35" t="s">
        <v>249</v>
      </c>
      <c r="B31" s="36" t="s">
        <v>274</v>
      </c>
      <c r="C31" s="36" t="s">
        <v>267</v>
      </c>
      <c r="D31" s="65" t="str">
        <f>IF(HLOOKUP(B31,'VBA2'!$A$1:$V$3,3,FALSE)&lt;9,TEXT(HLOOKUP(B31,'VBA2'!$A$1:$V$3,3,FALSE),"0,00"),IF(HLOOKUP(B31,'VBA2'!$A$1:$V$3,3,FALSE)&gt;100,TEXT(HLOOKUP(B31,'VBA2'!$A$1:$V$3,3,FALSE),"0"),TEXT(HLOOKUP(B31,'VBA2'!$A$1:$V$3,3,FALSE),"0,0")))&amp;" (mg/l)"</f>
        <v>0,46 (mg/l)</v>
      </c>
      <c r="E31" s="66" t="str">
        <f>TEXT(HLOOKUP(B31,'VBA2'!$A$1:$V$3,3,FALSE)/97,"0,00")&amp;" (méq/L)"</f>
        <v>0,00 (méq/L)</v>
      </c>
      <c r="F31" s="36" t="str">
        <f>L31&amp;" à "&amp;M31</f>
        <v>3 à 6</v>
      </c>
      <c r="G31" s="37" t="str">
        <f>IF(K31=0,"",IF($E$12="D","",IF(K31&lt;=$L31-($M31-$L31),"I"&amp;"IIII",IF(K31&gt;=$M31+($M31-$L31),REPT("I",60)&amp;"I",REPT("I",27+(K31-$L31)/($M31-$L31)*13)&amp;"I"))))</f>
        <v>IIIIIIIIIIIIIIII</v>
      </c>
      <c r="H31" s="38"/>
      <c r="I31" s="39"/>
      <c r="K31" s="12">
        <f>HLOOKUP(B31,'VBA2'!$A$1:$V$3,3,FALSE)</f>
        <v>0.45899999999999996</v>
      </c>
      <c r="L31" s="14">
        <v>3</v>
      </c>
      <c r="M31" s="14">
        <v>6</v>
      </c>
      <c r="Q31" s="15"/>
      <c r="R31" s="14"/>
    </row>
    <row r="32" spans="1:18" ht="23.1" customHeight="1">
      <c r="A32" s="35" t="s">
        <v>242</v>
      </c>
      <c r="B32" s="36" t="s">
        <v>9</v>
      </c>
      <c r="C32" s="36" t="s">
        <v>266</v>
      </c>
      <c r="D32" s="67" t="str">
        <f>IF(HLOOKUP(B32,'VBA2'!$A$1:$V$3,3,FALSE)&lt;9,TEXT(HLOOKUP(B32,'VBA2'!$A$1:$V$3,3,FALSE),"0,00"),IF(HLOOKUP(B32,'VBA2'!$A$1:$V$3,3,FALSE)&gt;100,TEXT(HLOOKUP(B32,'VBA2'!$A$1:$V$3,3,FALSE),"0"),TEXT(HLOOKUP(B32,'VBA2'!$A$1:$V$3,3,FALSE),"0,0")))&amp;" (mg/l)"</f>
        <v>171 (mg/l)</v>
      </c>
      <c r="E32" s="56" t="str">
        <f>TEXT(HLOOKUP(B32,'VBA2'!$A$1:$V$3,3,FALSE)/35.5,"0,00")&amp;" (méq/L)"</f>
        <v>4,82 (méq/L)</v>
      </c>
      <c r="F32" s="36" t="str">
        <f>"Inf à "&amp;M32</f>
        <v>Inf à 335</v>
      </c>
      <c r="G32" s="37" t="str">
        <f>IF(K32=0,"",IF($E$12="D","",IF(K32&lt;=$L32-($M32-$L32),"I"&amp;"IIII",IF(K32&gt;=$M32+($M32-$L32),REPT("I",60)&amp;"I",REPT("I",27+(K32-$L32)/($M32-$L32)*13)&amp;"I"))))</f>
        <v>IIIIIIIIIIIIIIIIIIIIIIIIIIIIIIIIII</v>
      </c>
      <c r="H32" s="38"/>
      <c r="I32" s="39"/>
      <c r="K32" s="12">
        <f>HLOOKUP(B32,'VBA2'!$A$1:$V$3,3,FALSE)</f>
        <v>171.08849999999998</v>
      </c>
      <c r="L32" s="14">
        <v>0</v>
      </c>
      <c r="M32" s="14">
        <v>335</v>
      </c>
      <c r="Q32" s="15"/>
      <c r="R32" s="14"/>
    </row>
    <row r="33" spans="1:18" ht="23.1" customHeight="1">
      <c r="A33" s="35" t="s">
        <v>248</v>
      </c>
      <c r="B33" s="36" t="s">
        <v>258</v>
      </c>
      <c r="C33" s="36" t="s">
        <v>265</v>
      </c>
      <c r="D33" s="67" t="str">
        <f>IF(HLOOKUP(B33,'VBA2'!$A$1:$V$3,3,FALSE)&lt;9,TEXT(HLOOKUP(B33,'VBA2'!$A$1:$V$3,3,FALSE),"0,00"),IF(HLOOKUP(B33,'VBA2'!$A$1:$V$3,3,FALSE)&gt;100,TEXT(HLOOKUP(B33,'VBA2'!$A$1:$V$3,3,FALSE),"0"),TEXT(HLOOKUP(B33,'VBA2'!$A$1:$V$3,3,FALSE),"0,0")))&amp;" (mg/l)"</f>
        <v>14,5 (mg/l)</v>
      </c>
      <c r="E33" s="56" t="str">
        <f>TEXT(HLOOKUP(B33,'VBA2'!$A$1:$V$3,3,FALSE)/48,"0,00")&amp;" (méq/L)"</f>
        <v>0,30 (méq/L)</v>
      </c>
      <c r="F33" s="36" t="str">
        <f t="shared" si="0"/>
        <v>35 à 250</v>
      </c>
      <c r="G33" s="37" t="str">
        <f>IF(K33=0,"",IF($E$12="D","",IF(K33&lt;=$L33-($M33-$L33),"I"&amp;"IIII",IF(K33&gt;=$M33+($M33-$L33),REPT("I",60)&amp;"I",REPT("I",27+(K33-$L33)/($M33-$L33)*13)&amp;"I"))))</f>
        <v>IIIIIIIIIIIIIIIIIIIIIIIIII</v>
      </c>
      <c r="H33" s="38"/>
      <c r="I33" s="39"/>
      <c r="K33" s="12">
        <f>HLOOKUP(B33,'VBA2'!$A$1:$V$3,3,FALSE)</f>
        <v>14.45</v>
      </c>
      <c r="L33" s="14">
        <v>35</v>
      </c>
      <c r="M33" s="14">
        <v>250</v>
      </c>
      <c r="Q33" s="15"/>
      <c r="R33" s="14"/>
    </row>
    <row r="34" spans="1:18" ht="23.1" customHeight="1">
      <c r="A34" s="35" t="s">
        <v>250</v>
      </c>
      <c r="B34" s="36" t="s">
        <v>259</v>
      </c>
      <c r="C34" s="36" t="s">
        <v>303</v>
      </c>
      <c r="D34" s="67" t="str">
        <f>IF(HLOOKUP(B34,'VBA2'!$A$1:$V$3,3,FALSE)&lt;9,TEXT(HLOOKUP(B34,'VBA2'!$A$1:$V$3,3,FALSE),"0,00"),IF(HLOOKUP(B34,'VBA2'!$A$1:$V$3,3,FALSE)&gt;100,TEXT(HLOOKUP(B34,'VBA2'!$A$1:$V$3,3,FALSE),"0"),TEXT(HLOOKUP(B34,'VBA2'!$A$1:$V$3,3,FALSE),"0,0")))&amp;" (mg/l)"</f>
        <v>271 (mg/l)</v>
      </c>
      <c r="E34" s="56" t="str">
        <f>TEXT(HLOOKUP(B34,'VBA2'!$A$1:$V$3,3,FALSE)/61,"0,00")&amp;" (méq/L)"</f>
        <v>4,45 (méq/L)</v>
      </c>
      <c r="F34" s="36" t="str">
        <f t="shared" si="0"/>
        <v>92 à 510</v>
      </c>
      <c r="G34" s="37" t="str">
        <f>IF(K34=0,"",IF($E$12="D","",IF(K34&lt;=$L34-($M34-$L34),"I"&amp;"IIII",IF(K34&gt;=$M34+($M34-$L34),REPT("I",60)&amp;"I",REPT("I",27+(K34-$L34)/($M34-$L34)*13)&amp;"I"))))</f>
        <v>IIIIIIIIIIIIIIIIIIIIIIIIIIIIIIIII</v>
      </c>
      <c r="H34" s="38"/>
      <c r="I34" s="39"/>
      <c r="K34" s="12">
        <f>HLOOKUP(B34,'VBA2'!$A$1:$V$3,3,FALSE)</f>
        <v>271.20999999999998</v>
      </c>
      <c r="L34" s="14">
        <v>92</v>
      </c>
      <c r="M34" s="14">
        <v>510</v>
      </c>
      <c r="Q34" s="15"/>
      <c r="R34" s="14"/>
    </row>
    <row r="35" spans="1:18" ht="23.1" customHeight="1">
      <c r="A35" s="68" t="s">
        <v>251</v>
      </c>
      <c r="B35" s="69" t="s">
        <v>260</v>
      </c>
      <c r="C35" s="69" t="s">
        <v>303</v>
      </c>
      <c r="D35" s="85" t="str">
        <f>IF(K35=0,"-",HLOOKUP(B35,'VBA2'!$A$1:$V$3,3,FALSE)&amp;" mg/l")</f>
        <v>-</v>
      </c>
      <c r="E35" s="70" t="str">
        <f>IF(K35=0,"-",TEXT(HLOOKUP(B35,'VBA2'!$A$1:$V$3,3,FALSE)/62,"0,00")&amp;" (méq/L)")</f>
        <v>-</v>
      </c>
      <c r="F35" s="69" t="s">
        <v>21</v>
      </c>
      <c r="G35" s="71" t="str">
        <f>IF(K35=0,"",IF($E$12="D","",IF(K35&lt;=$L35-($M35-$L35),"I"&amp;"IIII",IF(K35&gt;=$M35+($M35-$L35),REPT("I",60)&amp;"I",REPT("I",27+(K35-$L35)/($M35-$L35)*13)&amp;"I"))))</f>
        <v/>
      </c>
      <c r="H35" s="72"/>
      <c r="I35" s="73"/>
      <c r="K35" s="12">
        <f>HLOOKUP(B35,'VBA2'!$A$1:$V$3,3,FALSE)</f>
        <v>0</v>
      </c>
      <c r="L35" s="14"/>
      <c r="M35" s="14"/>
      <c r="Q35" s="15"/>
    </row>
    <row r="36" spans="1:18" ht="20.100000000000001" customHeight="1">
      <c r="A36" s="25" t="s">
        <v>10</v>
      </c>
      <c r="B36" s="26"/>
      <c r="C36" s="26"/>
      <c r="D36" s="27"/>
      <c r="E36" s="27"/>
      <c r="F36" s="26"/>
      <c r="G36" s="28"/>
      <c r="H36" s="29"/>
      <c r="I36" s="29"/>
      <c r="L36" s="14"/>
      <c r="M36" s="14"/>
    </row>
    <row r="37" spans="1:18" ht="23.1" customHeight="1">
      <c r="A37" s="30" t="s">
        <v>11</v>
      </c>
      <c r="B37" s="31" t="s">
        <v>12</v>
      </c>
      <c r="C37" s="83" t="s">
        <v>302</v>
      </c>
      <c r="D37" s="1010" t="str">
        <f>IF(K37=0,"-",IF(K37&lt;0.01,"Inf à 0,010 (mg/l)",TEXT(HLOOKUP(B37,'VBA2'!$A$1:$V$3,3,FALSE),"0,000")&amp;" (mg/l)"))</f>
        <v>0,110 (mg/l)</v>
      </c>
      <c r="E37" s="1011"/>
      <c r="F37" s="31" t="str">
        <f t="shared" ref="F37:F41" si="2">L37&amp;" à "&amp;M37</f>
        <v>0,01 à 2</v>
      </c>
      <c r="G37" s="32" t="str">
        <f>IF(K37=0,"",IF(O37="D","",IF(K37&lt;=$L37-($M37-$L37),"I"&amp;"IIII",IF(K37&gt;=$M37+($M37-$L37),REPT("I",60)&amp;"I",REPT("I",27+(K37-$L37)/($M37-$L37)*13)&amp;"I"))))</f>
        <v>IIIIIIIIIIIIIIIIIIIIIIIIIIII</v>
      </c>
      <c r="H37" s="86"/>
      <c r="I37" s="34"/>
      <c r="K37" s="12">
        <f>HLOOKUP(B37,'VBA2'!$A$1:$V$3,3,FALSE)</f>
        <v>0.11</v>
      </c>
      <c r="L37" s="14">
        <v>0.01</v>
      </c>
      <c r="M37" s="14">
        <v>2</v>
      </c>
      <c r="N37" s="17"/>
      <c r="O37" s="81" t="str">
        <f>IF(D37="Inf à 0,010 (mg/l)","D","")</f>
        <v/>
      </c>
    </row>
    <row r="38" spans="1:18" ht="23.1" customHeight="1">
      <c r="A38" s="35" t="s">
        <v>13</v>
      </c>
      <c r="B38" s="36" t="s">
        <v>14</v>
      </c>
      <c r="C38" s="84" t="s">
        <v>302</v>
      </c>
      <c r="D38" s="987" t="str">
        <f>IF(K38=0,"-",IF(K38&lt;0.01,"Inf à 0,015 (mg/l)",TEXT(HLOOKUP(B38,'VBA2'!$A$1:$V$3,3,FALSE),"0,000")&amp;" (mg/l)"))</f>
        <v>Inf à 0,015 (mg/l)</v>
      </c>
      <c r="E38" s="988"/>
      <c r="F38" s="36" t="str">
        <f t="shared" si="2"/>
        <v>0,01 à 0,2</v>
      </c>
      <c r="G38" s="37" t="str">
        <f>IF(K38=0,"",IF(O38="D","",IF(K38&lt;=$L38-($M38-$L38),"I"&amp;"IIII",IF(K38&gt;=$M38+($M38-$L38),REPT("I",60)&amp;"I",REPT("I",27+(K38-$L38)/($M38-$L38)*13)&amp;"I"))))</f>
        <v/>
      </c>
      <c r="H38" s="38"/>
      <c r="I38" s="39"/>
      <c r="K38" s="12">
        <f>HLOOKUP(B38,'VBA2'!$A$1:$V$3,3,FALSE)</f>
        <v>1E-3</v>
      </c>
      <c r="L38" s="14">
        <v>0.01</v>
      </c>
      <c r="M38" s="14">
        <v>0.2</v>
      </c>
      <c r="N38" s="17"/>
      <c r="O38" s="81" t="str">
        <f>IF(D38="Inf à 0,015 (mg/l)","D","")</f>
        <v>D</v>
      </c>
    </row>
    <row r="39" spans="1:18" ht="23.1" customHeight="1">
      <c r="A39" s="35" t="s">
        <v>15</v>
      </c>
      <c r="B39" s="36" t="s">
        <v>16</v>
      </c>
      <c r="C39" s="84" t="s">
        <v>302</v>
      </c>
      <c r="D39" s="987" t="str">
        <f>IF(K39=0,"-",IF(K39&lt;0.01,"Inf à 0,015 (mg/l)",TEXT(HLOOKUP(B39,'VBA2'!$A$1:$V$3,3,FALSE),"0,000")&amp;" (mg/l)"))</f>
        <v>Inf à 0,015 (mg/l)</v>
      </c>
      <c r="E39" s="988"/>
      <c r="F39" s="36" t="str">
        <f t="shared" si="2"/>
        <v>0,01 à 0,2</v>
      </c>
      <c r="G39" s="37" t="str">
        <f>IF(K39=0,"",IF(O39="D","",IF(K39&lt;=$L39-($M39-$L39),"I"&amp;"IIII",IF(K39&gt;=$M39+($M39-$L39),REPT("I",60)&amp;"I",REPT("I",27+(K39-$L39)/($M39-$L39)*13)&amp;"I"))))</f>
        <v/>
      </c>
      <c r="H39" s="38"/>
      <c r="I39" s="39"/>
      <c r="K39" s="12">
        <f>HLOOKUP(B39,'VBA2'!$A$1:$V$3,3,FALSE)</f>
        <v>1E-3</v>
      </c>
      <c r="L39" s="14">
        <v>0.01</v>
      </c>
      <c r="M39" s="14">
        <v>0.2</v>
      </c>
      <c r="N39" s="17"/>
      <c r="O39" s="81" t="str">
        <f>IF(D39="Inf à 0,015 (mg/l)","D","")</f>
        <v>D</v>
      </c>
    </row>
    <row r="40" spans="1:18" ht="23.1" customHeight="1">
      <c r="A40" s="35" t="s">
        <v>17</v>
      </c>
      <c r="B40" s="36" t="s">
        <v>18</v>
      </c>
      <c r="C40" s="84" t="s">
        <v>302</v>
      </c>
      <c r="D40" s="987" t="str">
        <f>IF(K40=0,"-",IF(K40&lt;0.01,"Inf à 0,005 (mg/l)",TEXT(HLOOKUP(B40,'VBA2'!$A$1:$V$3,3,FALSE),"0,000")&amp;" (mg/l)"))</f>
        <v>Inf à 0,005 (mg/l)</v>
      </c>
      <c r="E40" s="988"/>
      <c r="F40" s="36" t="str">
        <f t="shared" si="2"/>
        <v>0,01 à 0,5</v>
      </c>
      <c r="G40" s="37" t="str">
        <f>IF(K40=0,"",IF(O40="D","",IF(K40&lt;=$L40-($M40-$L40),"I"&amp;"IIII",IF(K40&gt;=$M40+($M40-$L40),REPT("I",60)&amp;"I",REPT("I",27+(K40-$L40)/($M40-$L40)*13)&amp;"I"))))</f>
        <v/>
      </c>
      <c r="H40" s="38"/>
      <c r="I40" s="39"/>
      <c r="K40" s="12">
        <f>HLOOKUP(B40,'VBA2'!$A$1:$V$3,3,FALSE)</f>
        <v>1E-3</v>
      </c>
      <c r="L40" s="14">
        <v>0.01</v>
      </c>
      <c r="M40" s="14">
        <v>0.5</v>
      </c>
      <c r="N40" s="17"/>
      <c r="O40" s="81" t="str">
        <f>IF(D40="Inf à 0,005 (mg/l)","D","")</f>
        <v>D</v>
      </c>
    </row>
    <row r="41" spans="1:18" ht="23.1" customHeight="1">
      <c r="A41" s="68" t="s">
        <v>19</v>
      </c>
      <c r="B41" s="69" t="s">
        <v>20</v>
      </c>
      <c r="C41" s="85" t="s">
        <v>302</v>
      </c>
      <c r="D41" s="985" t="str">
        <f>IF(K41=0,"-",IF(K41&lt;0.01,"Inf à 0,100 (mg/l)",TEXT(HLOOKUP(B41,'VBA2'!$A$1:$V$3,3,FALSE),"0,000")&amp;" (mg/l)"))</f>
        <v>-</v>
      </c>
      <c r="E41" s="986"/>
      <c r="F41" s="69" t="str">
        <f t="shared" si="2"/>
        <v>0,7 à 3</v>
      </c>
      <c r="G41" s="71" t="str">
        <f>IF(K41=0,"",IF(O41="D","",IF(K41&lt;=$L41-($M41-$L41),"I"&amp;"IIII",IF(K41&gt;=$M41+($M41-$L41),REPT("I",60)&amp;"I",REPT("I",27+(K41-$L41)/($M41-$L41)*13)&amp;"I"))))</f>
        <v/>
      </c>
      <c r="H41" s="72"/>
      <c r="I41" s="73"/>
      <c r="K41" s="12">
        <f>HLOOKUP(B41,'VBA2'!$A$1:$V$3,3,FALSE)</f>
        <v>0</v>
      </c>
      <c r="L41" s="14">
        <v>0.7</v>
      </c>
      <c r="M41" s="14">
        <v>3</v>
      </c>
      <c r="N41" s="17"/>
      <c r="O41" s="81" t="str">
        <f>IF(D41="Inf à 0,100 (mg/l)","D","")</f>
        <v/>
      </c>
    </row>
    <row r="42" spans="1:18" ht="15.9" customHeight="1">
      <c r="A42" s="74" t="str">
        <f>"Σ"&amp;"-"&amp;TEXT(K24/62+K31/97+K32/35.5+K33/48+K34/62,"0,0")&amp;"/+"&amp;TEXT(K25/18+K26/20+K27/12+K28/40+K29/23,"0,0")</f>
        <v>Σ-10,0/+9,4</v>
      </c>
      <c r="B42" s="75"/>
      <c r="C42" s="27"/>
      <c r="D42" s="27"/>
      <c r="E42" s="27"/>
      <c r="F42" s="27"/>
      <c r="G42" s="29"/>
      <c r="H42" s="29"/>
      <c r="I42" s="29"/>
    </row>
    <row r="43" spans="1:18" ht="30" customHeight="1">
      <c r="A43" s="999" t="s">
        <v>307</v>
      </c>
      <c r="B43" s="999"/>
      <c r="C43" s="999"/>
      <c r="D43" s="999"/>
      <c r="E43" s="999"/>
      <c r="F43" s="999"/>
      <c r="G43" s="999"/>
      <c r="H43" s="999"/>
      <c r="I43" s="999"/>
    </row>
    <row r="44" spans="1:18" ht="15.9" customHeight="1">
      <c r="A44" s="76" t="s">
        <v>308</v>
      </c>
      <c r="B44" s="75"/>
      <c r="C44" s="27"/>
      <c r="D44" s="27"/>
      <c r="E44" s="27"/>
      <c r="F44" s="27"/>
      <c r="G44" s="29"/>
      <c r="H44" s="29"/>
      <c r="I44" s="29"/>
    </row>
    <row r="45" spans="1:18" ht="15.9" customHeight="1">
      <c r="A45" s="11" t="s">
        <v>324</v>
      </c>
      <c r="B45" s="75"/>
      <c r="C45" s="27"/>
      <c r="D45" s="27"/>
      <c r="E45" s="27"/>
      <c r="F45" s="27"/>
      <c r="G45" s="29"/>
      <c r="H45" s="29"/>
      <c r="I45" s="29"/>
    </row>
    <row r="46" spans="1:18" ht="15.9" customHeight="1">
      <c r="A46" s="11" t="s">
        <v>327</v>
      </c>
      <c r="B46" s="75"/>
      <c r="C46" s="27"/>
      <c r="D46" s="27"/>
      <c r="E46" s="27"/>
      <c r="F46" s="27"/>
      <c r="G46" s="29"/>
      <c r="H46" s="29"/>
      <c r="I46" s="29"/>
    </row>
    <row r="47" spans="1:18" ht="15.9" customHeight="1">
      <c r="A47" s="11" t="s">
        <v>325</v>
      </c>
      <c r="B47" s="75"/>
      <c r="C47" s="27"/>
      <c r="D47" s="27"/>
      <c r="E47" s="27"/>
      <c r="F47" s="27"/>
      <c r="G47" s="29"/>
      <c r="H47" s="29"/>
      <c r="I47" s="29"/>
    </row>
    <row r="48" spans="1:18" ht="15.9" customHeight="1">
      <c r="A48" s="11" t="s">
        <v>326</v>
      </c>
      <c r="B48" s="75"/>
      <c r="C48" s="27"/>
      <c r="D48" s="27"/>
      <c r="E48" s="27"/>
      <c r="F48" s="27"/>
      <c r="G48" s="29"/>
      <c r="H48" s="29"/>
      <c r="I48" s="29"/>
    </row>
    <row r="49" spans="1:9" ht="17.100000000000001" customHeight="1">
      <c r="A49" s="993" t="s">
        <v>309</v>
      </c>
      <c r="B49" s="994"/>
      <c r="C49" s="994"/>
      <c r="D49" s="994"/>
      <c r="E49" s="994"/>
      <c r="F49" s="994"/>
      <c r="G49" s="994"/>
      <c r="H49" s="994"/>
      <c r="I49" s="994"/>
    </row>
    <row r="50" spans="1:9" ht="36" customHeight="1">
      <c r="A50" s="992" t="s">
        <v>245</v>
      </c>
      <c r="B50" s="992"/>
      <c r="C50" s="87"/>
      <c r="D50" s="77"/>
      <c r="E50" s="78"/>
      <c r="F50" s="992" t="s">
        <v>244</v>
      </c>
      <c r="G50" s="992"/>
      <c r="H50" s="992"/>
    </row>
  </sheetData>
  <mergeCells count="45">
    <mergeCell ref="A50:B50"/>
    <mergeCell ref="F50:H50"/>
    <mergeCell ref="D38:E38"/>
    <mergeCell ref="D39:E39"/>
    <mergeCell ref="D40:E40"/>
    <mergeCell ref="D41:E41"/>
    <mergeCell ref="A43:I43"/>
    <mergeCell ref="A49:I49"/>
    <mergeCell ref="D37:E37"/>
    <mergeCell ref="A16:A17"/>
    <mergeCell ref="B16:B17"/>
    <mergeCell ref="C16:C17"/>
    <mergeCell ref="D16:E17"/>
    <mergeCell ref="D19:E19"/>
    <mergeCell ref="D20:E20"/>
    <mergeCell ref="D21:E21"/>
    <mergeCell ref="D22:E22"/>
    <mergeCell ref="D30:E30"/>
    <mergeCell ref="F16:F17"/>
    <mergeCell ref="G16:I16"/>
    <mergeCell ref="B13:D13"/>
    <mergeCell ref="E13:F13"/>
    <mergeCell ref="G13:I13"/>
    <mergeCell ref="B14:D14"/>
    <mergeCell ref="E14:F14"/>
    <mergeCell ref="G14:I14"/>
    <mergeCell ref="B11:D11"/>
    <mergeCell ref="E11:F11"/>
    <mergeCell ref="G11:I11"/>
    <mergeCell ref="B12:D12"/>
    <mergeCell ref="E12:F12"/>
    <mergeCell ref="G12:I12"/>
    <mergeCell ref="B9:D9"/>
    <mergeCell ref="E9:F9"/>
    <mergeCell ref="G9:I9"/>
    <mergeCell ref="B10:D10"/>
    <mergeCell ref="E10:F10"/>
    <mergeCell ref="G10:I10"/>
    <mergeCell ref="C1:H4"/>
    <mergeCell ref="B7:D7"/>
    <mergeCell ref="E7:F7"/>
    <mergeCell ref="G7:I7"/>
    <mergeCell ref="B8:D8"/>
    <mergeCell ref="E8:F8"/>
    <mergeCell ref="G8:I8"/>
  </mergeCells>
  <printOptions horizontalCentered="1"/>
  <pageMargins left="0.36000000000000004" right="0.36000000000000004" top="0.79000000000000015" bottom="0.01" header="0.10999999999999999" footer="0.1"/>
  <pageSetup paperSize="9" scale="66" orientation="portrait"/>
  <headerFooter>
    <oddFooter>&amp;C&amp;"Calibri,Gras"&amp;K000000FIN DE PAGE_x000D_------------------------------_x000D_&amp;"Calibri,Normal"AGROPOLIS-GI5 GI6, Commune de Mejjate, Meknes, Maroc_x000D_Tél:+212 538 00 49 20/ www.elephantvert.ch / contactmaroc@elephantvert.ch</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LOT">
                <anchor moveWithCells="1" sizeWithCells="1">
                  <from>
                    <xdr:col>16</xdr:col>
                    <xdr:colOff>601980</xdr:colOff>
                    <xdr:row>1</xdr:row>
                    <xdr:rowOff>0</xdr:rowOff>
                  </from>
                  <to>
                    <xdr:col>18</xdr:col>
                    <xdr:colOff>342900</xdr:colOff>
                    <xdr:row>4</xdr:row>
                    <xdr:rowOff>45720</xdr:rowOff>
                  </to>
                </anchor>
              </controlPr>
            </control>
          </mc:Choice>
        </mc:AlternateContent>
        <mc:AlternateContent xmlns:mc="http://schemas.openxmlformats.org/markup-compatibility/2006">
          <mc:Choice Requires="x14">
            <control shapeId="4098" r:id="rId4" name="Button 2">
              <controlPr defaultSize="0" print="0" autoFill="0" autoPict="0" macro="[0]!RAPPORT">
                <anchor moveWithCells="1" sizeWithCells="1">
                  <from>
                    <xdr:col>16</xdr:col>
                    <xdr:colOff>601980</xdr:colOff>
                    <xdr:row>4</xdr:row>
                    <xdr:rowOff>144780</xdr:rowOff>
                  </from>
                  <to>
                    <xdr:col>18</xdr:col>
                    <xdr:colOff>373380</xdr:colOff>
                    <xdr:row>6</xdr:row>
                    <xdr:rowOff>160020</xdr:rowOff>
                  </to>
                </anchor>
              </controlPr>
            </control>
          </mc:Choice>
        </mc:AlternateContent>
      </controls>
    </mc:Choice>
  </mc:AlternateContent>
  <extLst>
    <ext xmlns:mx="http://schemas.microsoft.com/office/mac/excel/2008/main" uri="{64002731-A6B0-56B0-2670-7721B7C09600}">
      <mx:PLV Mode="0" OnePage="0" WScale="75"/>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3"/>
  <dimension ref="A1:AG6"/>
  <sheetViews>
    <sheetView workbookViewId="0">
      <selection activeCell="A3" sqref="A3:XFD3"/>
    </sheetView>
  </sheetViews>
  <sheetFormatPr baseColWidth="10" defaultRowHeight="15.6"/>
  <cols>
    <col min="2" max="2" width="20.59765625" customWidth="1"/>
  </cols>
  <sheetData>
    <row r="1" spans="1:33" s="10" customFormat="1">
      <c r="A1" s="1488" t="s">
        <v>217</v>
      </c>
      <c r="B1" s="1489" t="s">
        <v>276</v>
      </c>
      <c r="C1" s="7" t="s">
        <v>277</v>
      </c>
      <c r="D1" s="8" t="s">
        <v>252</v>
      </c>
      <c r="E1" s="8" t="s">
        <v>253</v>
      </c>
      <c r="F1" s="9" t="s">
        <v>255</v>
      </c>
      <c r="G1" s="8" t="s">
        <v>256</v>
      </c>
      <c r="H1" s="8" t="s">
        <v>257</v>
      </c>
      <c r="I1" s="8" t="s">
        <v>9</v>
      </c>
      <c r="J1" s="8" t="s">
        <v>258</v>
      </c>
      <c r="K1" s="8" t="s">
        <v>274</v>
      </c>
      <c r="L1" s="8" t="s">
        <v>259</v>
      </c>
      <c r="M1" s="8" t="s">
        <v>260</v>
      </c>
      <c r="N1" s="8" t="s">
        <v>5</v>
      </c>
      <c r="O1" s="8" t="s">
        <v>8</v>
      </c>
      <c r="P1" s="8" t="s">
        <v>7</v>
      </c>
      <c r="Q1" s="8" t="s">
        <v>6</v>
      </c>
      <c r="R1" s="8" t="s">
        <v>12</v>
      </c>
      <c r="S1" s="8" t="s">
        <v>14</v>
      </c>
      <c r="T1" s="8" t="s">
        <v>16</v>
      </c>
      <c r="U1" s="8" t="s">
        <v>18</v>
      </c>
      <c r="V1" s="8" t="s">
        <v>20</v>
      </c>
      <c r="W1" s="8" t="s">
        <v>252</v>
      </c>
      <c r="X1" s="8" t="s">
        <v>252</v>
      </c>
    </row>
    <row r="2" spans="1:33" s="10" customFormat="1">
      <c r="A2" s="1488"/>
      <c r="B2" s="1489"/>
      <c r="C2" s="7" t="s">
        <v>278</v>
      </c>
      <c r="D2" s="8" t="s">
        <v>261</v>
      </c>
      <c r="E2" s="8" t="s">
        <v>262</v>
      </c>
      <c r="F2" s="9" t="s">
        <v>279</v>
      </c>
      <c r="G2" s="8" t="s">
        <v>279</v>
      </c>
      <c r="H2" s="8" t="s">
        <v>279</v>
      </c>
      <c r="I2" s="8" t="s">
        <v>279</v>
      </c>
      <c r="J2" s="8" t="s">
        <v>279</v>
      </c>
      <c r="K2" s="8" t="s">
        <v>279</v>
      </c>
      <c r="L2" s="8" t="s">
        <v>279</v>
      </c>
      <c r="M2" s="8" t="s">
        <v>279</v>
      </c>
      <c r="N2" s="8" t="s">
        <v>279</v>
      </c>
      <c r="O2" s="8" t="s">
        <v>279</v>
      </c>
      <c r="P2" s="8" t="s">
        <v>279</v>
      </c>
      <c r="Q2" s="8" t="s">
        <v>279</v>
      </c>
      <c r="R2" s="8" t="s">
        <v>279</v>
      </c>
      <c r="S2" s="8" t="s">
        <v>279</v>
      </c>
      <c r="T2" s="8" t="s">
        <v>279</v>
      </c>
      <c r="U2" s="8" t="s">
        <v>279</v>
      </c>
      <c r="V2" s="8" t="s">
        <v>279</v>
      </c>
      <c r="W2" s="8">
        <v>5.5</v>
      </c>
      <c r="X2" s="8">
        <v>5.8</v>
      </c>
    </row>
    <row r="3" spans="1:33" s="984" customFormat="1">
      <c r="A3" s="979">
        <v>100078</v>
      </c>
      <c r="B3" s="980" t="str">
        <f t="shared" ref="B3" si="0">"-"&amp;TEXT((F3/62+G3/46+I3/35.5+J3/48+K3/97+L3/61),"0,00")&amp;"/+"&amp;TEXT((N3/39+O3/23+P3/20+Q3/12+H3/14),"0,00")&amp;"  (EC  "&amp;E3*10&amp;")"</f>
        <v>-10,06/+9,39  (EC  9,12)</v>
      </c>
      <c r="C3" s="981"/>
      <c r="D3" s="979">
        <v>6.65</v>
      </c>
      <c r="E3" s="979">
        <v>0.91200000000000003</v>
      </c>
      <c r="F3" s="982">
        <v>30.12</v>
      </c>
      <c r="G3" s="979">
        <v>0</v>
      </c>
      <c r="H3" s="979">
        <v>0.13</v>
      </c>
      <c r="I3" s="983">
        <v>171.08849999999998</v>
      </c>
      <c r="J3" s="982">
        <v>14.45</v>
      </c>
      <c r="K3" s="979">
        <f>3.06*0.15</f>
        <v>0.45899999999999996</v>
      </c>
      <c r="L3" s="979">
        <v>271.20999999999998</v>
      </c>
      <c r="M3" s="979">
        <v>0</v>
      </c>
      <c r="N3" s="979">
        <v>8.64</v>
      </c>
      <c r="O3" s="979">
        <v>103.69</v>
      </c>
      <c r="P3" s="979">
        <v>55.31</v>
      </c>
      <c r="Q3" s="979">
        <v>22.6</v>
      </c>
      <c r="R3" s="979">
        <v>0.11</v>
      </c>
      <c r="S3" s="979">
        <v>1E-3</v>
      </c>
      <c r="T3" s="979">
        <v>1E-3</v>
      </c>
      <c r="U3" s="979">
        <v>1E-3</v>
      </c>
      <c r="V3" s="979"/>
    </row>
    <row r="5" spans="1:33" s="5" customFormat="1" ht="23.1" customHeight="1">
      <c r="A5" s="6" t="s">
        <v>217</v>
      </c>
      <c r="B5" s="1" t="s">
        <v>218</v>
      </c>
      <c r="C5" s="1" t="s">
        <v>0</v>
      </c>
      <c r="D5" s="1" t="s">
        <v>243</v>
      </c>
      <c r="E5" s="2" t="s">
        <v>219</v>
      </c>
      <c r="F5" s="1" t="s">
        <v>220</v>
      </c>
      <c r="G5" s="1" t="s">
        <v>221</v>
      </c>
      <c r="H5" s="1" t="s">
        <v>222</v>
      </c>
      <c r="I5" s="1" t="s">
        <v>223</v>
      </c>
      <c r="J5" s="1" t="s">
        <v>224</v>
      </c>
      <c r="K5" s="1" t="s">
        <v>225</v>
      </c>
      <c r="L5" s="1" t="s">
        <v>1</v>
      </c>
      <c r="M5" s="1" t="s">
        <v>226</v>
      </c>
      <c r="N5" s="3" t="s">
        <v>227</v>
      </c>
      <c r="O5" s="2" t="s">
        <v>228</v>
      </c>
      <c r="P5" s="1" t="s">
        <v>229</v>
      </c>
      <c r="Q5" s="1" t="s">
        <v>230</v>
      </c>
      <c r="R5" s="1" t="s">
        <v>231</v>
      </c>
      <c r="S5" s="4" t="s">
        <v>232</v>
      </c>
      <c r="T5" s="2" t="s">
        <v>233</v>
      </c>
      <c r="U5" s="3" t="s">
        <v>234</v>
      </c>
      <c r="V5" s="1" t="s">
        <v>235</v>
      </c>
      <c r="W5" s="1" t="s">
        <v>236</v>
      </c>
      <c r="X5" s="1" t="s">
        <v>237</v>
      </c>
      <c r="Y5" s="1" t="s">
        <v>238</v>
      </c>
      <c r="Z5" s="1" t="s">
        <v>239</v>
      </c>
      <c r="AA5" s="1" t="s">
        <v>240</v>
      </c>
      <c r="AB5" s="1" t="s">
        <v>241</v>
      </c>
    </row>
    <row r="6" spans="1:33" s="917" customFormat="1" ht="54">
      <c r="A6" s="920">
        <v>100078</v>
      </c>
      <c r="B6" s="959" t="s">
        <v>1293</v>
      </c>
      <c r="C6" s="917" t="s">
        <v>1294</v>
      </c>
      <c r="D6" s="937" t="s">
        <v>1295</v>
      </c>
      <c r="E6" s="922">
        <v>44327</v>
      </c>
      <c r="F6" s="923">
        <f>MONTH([12]!Tableau1[[#This Row],[Date de réception ]])</f>
        <v>1</v>
      </c>
      <c r="G6" s="923">
        <f>YEAR([12]!Tableau1[[#This Row],[Date de réception ]])</f>
        <v>2021</v>
      </c>
      <c r="H6" s="923">
        <f>1</f>
        <v>1</v>
      </c>
      <c r="I6" s="960" t="s">
        <v>304</v>
      </c>
      <c r="J6" s="960" t="s">
        <v>328</v>
      </c>
      <c r="K6" s="953" t="s">
        <v>1275</v>
      </c>
      <c r="L6" s="960" t="s">
        <v>314</v>
      </c>
      <c r="M6" s="961" t="s">
        <v>314</v>
      </c>
      <c r="N6" s="924" t="s">
        <v>1225</v>
      </c>
      <c r="O6" s="922">
        <v>44327</v>
      </c>
      <c r="P6" s="917" t="s">
        <v>1274</v>
      </c>
      <c r="Q6" s="962" t="str">
        <f>VLOOKUP([12]!Tableau1[[#This Row],[Commercial]],[12]DATA!B:C,2,FALSE)</f>
        <v>EV MAROC</v>
      </c>
      <c r="R6" s="926">
        <f>VLOOKUP([12]!Tableau1[[#This Row],[Menu]],[12]!Tableau3[#All],2,FALSE)</f>
        <v>200</v>
      </c>
      <c r="S6" s="927"/>
      <c r="T6" s="926" t="e">
        <f ca="1">IF([12]!Tableau1[[#This Row],[Date d''édition]]="","En cours ("&amp;NETWORKDAYS([12]!Tableau1[[#This Row],[Date de réception ]],TODAY())&amp;")",NETWORKDAYS([12]!Tableau1[[#This Row],[Date de réception ]],[12]!Tableau1[[#This Row],[Date d''édition]]-1))</f>
        <v>#REF!</v>
      </c>
      <c r="U6" s="928"/>
      <c r="Z6" s="936"/>
      <c r="AC6" s="929">
        <v>4.8</v>
      </c>
      <c r="AD6" s="920">
        <f>VLOOKUP([12]!Tableau1[[#This Row],[Menu]],[12]!Tableau3[#All],3,FALSE)</f>
        <v>0</v>
      </c>
      <c r="AE6" s="938">
        <f>+[12]!Tableau1[[#This Row],[Subv]]+[12]!Tableau1[[#This Row],[CA (MAD HT)]]</f>
        <v>200</v>
      </c>
      <c r="AF6" s="920"/>
      <c r="AG6" s="920" t="s">
        <v>1300</v>
      </c>
    </row>
  </sheetData>
  <mergeCells count="2">
    <mergeCell ref="A1:A2"/>
    <mergeCell ref="B1:B2"/>
  </mergeCells>
  <phoneticPr fontId="36" type="noConversion"/>
  <conditionalFormatting sqref="A6">
    <cfRule type="expression" dxfId="10" priority="10">
      <formula>$S6&gt;0</formula>
    </cfRule>
    <cfRule type="duplicateValues" dxfId="9" priority="11"/>
  </conditionalFormatting>
  <conditionalFormatting sqref="A3">
    <cfRule type="duplicateValues" dxfId="8" priority="1"/>
  </conditionalFormatting>
  <pageMargins left="0.75" right="0.75" top="1" bottom="1" header="0.5" footer="0.5"/>
  <pageSetup paperSize="9" orientation="portrait" horizontalDpi="4294967292" verticalDpi="4294967292"/>
  <extLst>
    <ext xmlns:x14="http://schemas.microsoft.com/office/spreadsheetml/2009/9/main" uri="{78C0D931-6437-407d-A8EE-F0AAD7539E65}">
      <x14:conditionalFormattings>
        <x14:conditionalFormatting xmlns:xm="http://schemas.microsoft.com/office/excel/2006/main">
          <x14:cfRule type="expression" priority="9" id="{3C2DC03B-8CA0-4B37-8964-38DCB6A6A0D1}">
            <xm:f>AND($U6&lt;'\Users\Amine Bouslamti\Documents\mes docs\GESTION LAB\[BD1.xlsx]DATA'!#REF!,$U6&lt;&gt;"")</xm:f>
            <x14:dxf>
              <font>
                <b/>
                <i val="0"/>
                <color theme="1"/>
              </font>
              <fill>
                <patternFill>
                  <bgColor theme="7"/>
                </patternFill>
              </fill>
            </x14:dxf>
          </x14:cfRule>
          <xm:sqref>AA6:AE6 A6:B6 E6:Y6</xm:sqref>
        </x14:conditionalFormatting>
        <x14:conditionalFormatting xmlns:xm="http://schemas.microsoft.com/office/excel/2006/main">
          <x14:cfRule type="expression" priority="8" id="{78BF68C2-FB9C-475C-9D2F-7B04415C0B3B}">
            <xm:f>AND($U6&lt;'Macintosh HD:/Users/mac/Library/Containers/com.microsoft.Excel/Data/Documents/Macintosh HD:Users:fzarrouk:Desktop:FATIMAZ:[BD1_LACQ2020xlsx.xlsx]DATA'!#REF!,$U6&lt;&gt;"")</xm:f>
            <x14:dxf>
              <font>
                <b/>
                <i val="0"/>
                <color theme="1"/>
              </font>
              <fill>
                <patternFill>
                  <bgColor theme="7"/>
                </patternFill>
              </fill>
            </x14:dxf>
          </x14:cfRule>
          <xm:sqref>C6</xm:sqref>
        </x14:conditionalFormatting>
        <x14:conditionalFormatting xmlns:xm="http://schemas.microsoft.com/office/excel/2006/main">
          <x14:cfRule type="expression" priority="7" id="{C0E1D66D-AA56-4680-9F19-84A6DE30C984}">
            <xm:f>AND($U6&lt;'Macintosh HD:/Users/mac/Library/Containers/com.microsoft.Excel/Data/Documents/Macintosh HD:Users:rachakzouhair:Library:Containers:com.microsoft.Excel:Data:Documents:Macintosh HD:Users:asmaabenhida:Downloads:[BD1_LACQ2 (11).xlsx]DATA'!#REF!,$U6&lt;&gt;"")</xm:f>
            <x14:dxf>
              <font>
                <b/>
                <i val="0"/>
                <color theme="1"/>
              </font>
              <fill>
                <patternFill>
                  <bgColor theme="7"/>
                </patternFill>
              </fill>
            </x14:dxf>
          </x14:cfRule>
          <xm:sqref>C6</xm:sqref>
        </x14:conditionalFormatting>
        <x14:conditionalFormatting xmlns:xm="http://schemas.microsoft.com/office/excel/2006/main">
          <x14:cfRule type="expression" priority="6" id="{02387670-D79D-4116-963E-5074B7A50B54}">
            <xm:f>AND($U6&lt;'Macintosh HD:/Users/mac/Library/Containers/com.microsoft.Excel/Data/Documents/Macintosh HD:Users:rachakzouhair:Library:Containers:com.microsoft.Excel:Data:Documents:Macintosh HD:Users:fzarrouk:Desktop:[BD1_LACQ2 .xlsx]DATA'!#REF!,$U6&lt;&gt;"")</xm:f>
            <x14:dxf>
              <font>
                <b/>
                <i val="0"/>
                <color theme="1"/>
              </font>
              <fill>
                <patternFill>
                  <bgColor theme="7"/>
                </patternFill>
              </fill>
            </x14:dxf>
          </x14:cfRule>
          <xm:sqref>C6</xm:sqref>
        </x14:conditionalFormatting>
        <x14:conditionalFormatting xmlns:xm="http://schemas.microsoft.com/office/excel/2006/main">
          <x14:cfRule type="expression" priority="5" id="{996D25C6-6B02-4EB8-BAC6-A057CD8FB2FF}">
            <xm:f>AND($U6&lt;'Macintosh HD:Users:fzarrouk:Library:Application Support:Microsoft:Office:Office 2011 AutoRecovery:[BD1_2020.xlsx]DATA'!#REF!,$U6&lt;&gt;"")</xm:f>
            <x14:dxf>
              <font>
                <b/>
                <i val="0"/>
                <color theme="1"/>
              </font>
              <fill>
                <patternFill>
                  <bgColor theme="7"/>
                </patternFill>
              </fill>
            </x14:dxf>
          </x14:cfRule>
          <xm:sqref>L6</xm:sqref>
        </x14:conditionalFormatting>
        <x14:conditionalFormatting xmlns:xm="http://schemas.microsoft.com/office/excel/2006/main">
          <x14:cfRule type="expression" priority="4" id="{B6A4CE6A-3733-4DBD-B167-B7CD9AD4BDBD}">
            <xm:f>AND($U6&lt;'Macintosh HD:Users:rachakzouhair:Library:Containers:com.microsoft.Excel:Data:Documents:Macintosh HD:Users:asmaabenhida:Downloads:[BD1_LACQ2 (11).xlsx]DATA'!#REF!,$U6&lt;&gt;"")</xm:f>
            <x14:dxf>
              <font>
                <b/>
                <i val="0"/>
                <color theme="1"/>
              </font>
              <fill>
                <patternFill>
                  <bgColor theme="7"/>
                </patternFill>
              </fill>
            </x14:dxf>
          </x14:cfRule>
          <xm:sqref>L6</xm:sqref>
        </x14:conditionalFormatting>
        <x14:conditionalFormatting xmlns:xm="http://schemas.microsoft.com/office/excel/2006/main">
          <x14:cfRule type="expression" priority="3" id="{070B5D45-A2B9-4105-941A-8C32EEECC3A2}">
            <xm:f>AND($U6&lt;'Macintosh HD:Users:fzarrouk:Library:Application Support:Microsoft:Office:Office 2011 AutoRecovery:[BD1_2020.xlsx]DATA'!#REF!,$U6&lt;&gt;"")</xm:f>
            <x14:dxf>
              <font>
                <b/>
                <i val="0"/>
                <color theme="1"/>
              </font>
              <fill>
                <patternFill>
                  <bgColor theme="7"/>
                </patternFill>
              </fill>
            </x14:dxf>
          </x14:cfRule>
          <xm:sqref>M6</xm:sqref>
        </x14:conditionalFormatting>
        <x14:conditionalFormatting xmlns:xm="http://schemas.microsoft.com/office/excel/2006/main">
          <x14:cfRule type="expression" priority="2" id="{5E67A56E-C97B-4B2F-922C-93F5C086A3C7}">
            <xm:f>AND($U6&lt;'Macintosh HD:Users:rachakzouhair:Library:Containers:com.microsoft.Excel:Data:Documents:Macintosh HD:Users:asmaabenhida:Downloads:[BD1_LACQ2 (11).xlsx]DATA'!#REF!,$U6&lt;&gt;"")</xm:f>
            <x14:dxf>
              <font>
                <b/>
                <i val="0"/>
                <color theme="1"/>
              </font>
              <fill>
                <patternFill>
                  <bgColor theme="7"/>
                </patternFill>
              </fill>
            </x14:dxf>
          </x14:cfRule>
          <xm:sqref>M6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0132A7C-3B0A-4400-803F-D8CAB8E3D0E4}">
          <x14:formula1>
            <xm:f>'C:\Users\Amine Bouslamti\Documents\mes docs\GESTION LAB\[BD1.xlsx]DATA'!#REF!</xm:f>
          </x14:formula1>
          <xm:sqref>I6</xm:sqref>
        </x14:dataValidation>
        <x14:dataValidation type="list" allowBlank="1" showInputMessage="1" showErrorMessage="1" xr:uid="{B3C3BF94-CCA1-45DE-80FB-D9AECCDB208B}">
          <x14:formula1>
            <xm:f>'C:\Users\Amine Bouslamti\Documents\mes docs\GESTION LAB\[BD1.xlsx]DATA'!#REF!</xm:f>
          </x14:formula1>
          <xm:sqref>N6 AF6 R6</xm:sqref>
        </x14:dataValidation>
      </x14:dataValidations>
    </ex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19</vt:i4>
      </vt:variant>
      <vt:variant>
        <vt:lpstr>Plages nommées</vt:lpstr>
      </vt:variant>
      <vt:variant>
        <vt:i4>117</vt:i4>
      </vt:variant>
    </vt:vector>
  </HeadingPairs>
  <TitlesOfParts>
    <vt:vector size="136" baseType="lpstr">
      <vt:lpstr>EAUX</vt:lpstr>
      <vt:lpstr>VBA_BIOF</vt:lpstr>
      <vt:lpstr>BIOF</vt:lpstr>
      <vt:lpstr>VEG</vt:lpstr>
      <vt:lpstr>VBA_POTA</vt:lpstr>
      <vt:lpstr>POTA</vt:lpstr>
      <vt:lpstr>EAP</vt:lpstr>
      <vt:lpstr>SOL</vt:lpstr>
      <vt:lpstr>commentaire sol</vt:lpstr>
      <vt:lpstr>COM_SOL</vt:lpstr>
      <vt:lpstr>BD2</vt:lpstr>
      <vt:lpstr>Calcul (2)</vt:lpstr>
      <vt:lpstr>medtest</vt:lpstr>
      <vt:lpstr>VBA_SOL</vt:lpstr>
      <vt:lpstr>VBA_EAP</vt:lpstr>
      <vt:lpstr>Feuilles commentaire</vt:lpstr>
      <vt:lpstr>VBA_VEG</vt:lpstr>
      <vt:lpstr>Rapport LOGO SEMAC</vt:lpstr>
      <vt:lpstr>VBA2</vt:lpstr>
      <vt:lpstr>COM_SOL!_____RNH4</vt:lpstr>
      <vt:lpstr>COM_SOL!___k2</vt:lpstr>
      <vt:lpstr>Argiles</vt:lpstr>
      <vt:lpstr>blocKs</vt:lpstr>
      <vt:lpstr>blocMgs</vt:lpstr>
      <vt:lpstr>blocoligos</vt:lpstr>
      <vt:lpstr>blocPs</vt:lpstr>
      <vt:lpstr>'Rapport LOGO SEMAC'!Ca</vt:lpstr>
      <vt:lpstr>Ca</vt:lpstr>
      <vt:lpstr>Ca_CECs</vt:lpstr>
      <vt:lpstr>COM_SOL!Ca_Opt_Inf</vt:lpstr>
      <vt:lpstr>Ca_sur_CECs</vt:lpstr>
      <vt:lpstr>CActifs</vt:lpstr>
      <vt:lpstr>Cactiis</vt:lpstr>
      <vt:lpstr>calcairetots</vt:lpstr>
      <vt:lpstr>CAss</vt:lpstr>
      <vt:lpstr>COM_SOL!CasurCEC</vt:lpstr>
      <vt:lpstr>CasurKs</vt:lpstr>
      <vt:lpstr>CasurMgs</vt:lpstr>
      <vt:lpstr>Ccorrections</vt:lpstr>
      <vt:lpstr>COM_SOL!CE</vt:lpstr>
      <vt:lpstr>COM_SOL!CEC</vt:lpstr>
      <vt:lpstr>CEsols</vt:lpstr>
      <vt:lpstr>Commaentaireblocks</vt:lpstr>
      <vt:lpstr>Commentaireacidebases</vt:lpstr>
      <vt:lpstr>commentaireazoteMOs</vt:lpstr>
      <vt:lpstr>commentaireblocMg2</vt:lpstr>
      <vt:lpstr>commentaireblocoligos</vt:lpstr>
      <vt:lpstr>CommentaireblocPs</vt:lpstr>
      <vt:lpstr>commentairecalcaires</vt:lpstr>
      <vt:lpstr>commentaireMO</vt:lpstr>
      <vt:lpstr>commentaireph2</vt:lpstr>
      <vt:lpstr>commentairepHs</vt:lpstr>
      <vt:lpstr>CommentaireResrvKs</vt:lpstr>
      <vt:lpstr>commentaireResvs</vt:lpstr>
      <vt:lpstr>CommentairerscblocMg</vt:lpstr>
      <vt:lpstr>commentairesalinités</vt:lpstr>
      <vt:lpstr>Commentairetexture</vt:lpstr>
      <vt:lpstr>Commentairetexture2</vt:lpstr>
      <vt:lpstr>commfractPs</vt:lpstr>
      <vt:lpstr>CsurNs</vt:lpstr>
      <vt:lpstr>COM_SOL!CT</vt:lpstr>
      <vt:lpstr>DéficitK2Os</vt:lpstr>
      <vt:lpstr>déficitMgOs</vt:lpstr>
      <vt:lpstr>DéfPs</vt:lpstr>
      <vt:lpstr>exploitants</vt:lpstr>
      <vt:lpstr>IPs</vt:lpstr>
      <vt:lpstr>K_CECs</vt:lpstr>
      <vt:lpstr>COM_SOL!K_Opt_Inf</vt:lpstr>
      <vt:lpstr>Kinfs</vt:lpstr>
      <vt:lpstr>Ksinfs</vt:lpstr>
      <vt:lpstr>KsSUPs</vt:lpstr>
      <vt:lpstr>Ksups</vt:lpstr>
      <vt:lpstr>COM_SOL!KsurCEC</vt:lpstr>
      <vt:lpstr>KsurMgsols</vt:lpstr>
      <vt:lpstr>Limonss</vt:lpstr>
      <vt:lpstr>'Rapport LOGO SEMAC'!Mg</vt:lpstr>
      <vt:lpstr>Mg</vt:lpstr>
      <vt:lpstr>Mg_CECs</vt:lpstr>
      <vt:lpstr>COM_SOL!Mg_Opt_Inf</vt:lpstr>
      <vt:lpstr>Mginfs</vt:lpstr>
      <vt:lpstr>Mgssups</vt:lpstr>
      <vt:lpstr>Mgsups</vt:lpstr>
      <vt:lpstr>COM_SOL!MgsurCEC</vt:lpstr>
      <vt:lpstr>MgsurKs</vt:lpstr>
      <vt:lpstr>COM_SOL!MO</vt:lpstr>
      <vt:lpstr>MOinfs</vt:lpstr>
      <vt:lpstr>MOsups</vt:lpstr>
      <vt:lpstr>COM_SOL!MS</vt:lpstr>
      <vt:lpstr>N_MOs</vt:lpstr>
      <vt:lpstr>'Rapport LOGO SEMAC'!Na</vt:lpstr>
      <vt:lpstr>Na</vt:lpstr>
      <vt:lpstr>COM_SOL!Na_Opt_Inf</vt:lpstr>
      <vt:lpstr>'Rapport LOGO SEMAC'!NaSAR</vt:lpstr>
      <vt:lpstr>NaSAR</vt:lpstr>
      <vt:lpstr>COM_SOL!NasurCEC</vt:lpstr>
      <vt:lpstr>COM_SOL!NH4_Opt_Inf</vt:lpstr>
      <vt:lpstr>COM_SOL!NH4surCEC</vt:lpstr>
      <vt:lpstr>COM_SOL!NT</vt:lpstr>
      <vt:lpstr>COM_SOL!Ntot</vt:lpstr>
      <vt:lpstr>COM_SOL!P_Cit</vt:lpstr>
      <vt:lpstr>COM_SOL!P2O5_Cit</vt:lpstr>
      <vt:lpstr>COM_SOL!P2O5_Opt_Sup</vt:lpstr>
      <vt:lpstr>Pertes_humuss</vt:lpstr>
      <vt:lpstr>COM_SOL!pH_Eau</vt:lpstr>
      <vt:lpstr>pHeaus</vt:lpstr>
      <vt:lpstr>Pinfs</vt:lpstr>
      <vt:lpstr>Psups</vt:lpstr>
      <vt:lpstr>COM_SOL!Pt</vt:lpstr>
      <vt:lpstr>COM_SOL!Rapport_massique_utilisé_sol_eau</vt:lpstr>
      <vt:lpstr>COM_SOL!RCa</vt:lpstr>
      <vt:lpstr>réfparcelles</vt:lpstr>
      <vt:lpstr>Résks</vt:lpstr>
      <vt:lpstr>RésMgs</vt:lpstr>
      <vt:lpstr>RésPs</vt:lpstr>
      <vt:lpstr>ResrvMOs</vt:lpstr>
      <vt:lpstr>COM_SOL!RK</vt:lpstr>
      <vt:lpstr>COM_SOL!RMg</vt:lpstr>
      <vt:lpstr>COM_SOL!RNa</vt:lpstr>
      <vt:lpstr>COM_SOL!RP</vt:lpstr>
      <vt:lpstr>RsqBlK</vt:lpstr>
      <vt:lpstr>RsqBlMg</vt:lpstr>
      <vt:lpstr>RsqBlP</vt:lpstr>
      <vt:lpstr>RsvKs</vt:lpstr>
      <vt:lpstr>RsvPs</vt:lpstr>
      <vt:lpstr>COM_SOL!S</vt:lpstr>
      <vt:lpstr>'Calcul (2)'!textures</vt:lpstr>
      <vt:lpstr>textures</vt:lpstr>
      <vt:lpstr>BIOF!Zone_d_impression</vt:lpstr>
      <vt:lpstr>COM_SOL!Zone_d_impression</vt:lpstr>
      <vt:lpstr>'commentaire sol'!Zone_d_impression</vt:lpstr>
      <vt:lpstr>EAP!Zone_d_impression</vt:lpstr>
      <vt:lpstr>EAUX!Zone_d_impression</vt:lpstr>
      <vt:lpstr>POTA!Zone_d_impression</vt:lpstr>
      <vt:lpstr>'Rapport LOGO SEMAC'!Zone_d_impression</vt:lpstr>
      <vt:lpstr>SOL!Zone_d_impression</vt:lpstr>
      <vt:lpstr>VEG!Zone_d_impression</vt:lpstr>
    </vt:vector>
  </TitlesOfParts>
  <Manager/>
  <Company>ELV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Rachak Zouhair</dc:creator>
  <cp:keywords/>
  <dc:description/>
  <cp:lastModifiedBy>Mohammed El Abidi</cp:lastModifiedBy>
  <cp:lastPrinted>2021-05-18T10:01:50Z</cp:lastPrinted>
  <dcterms:created xsi:type="dcterms:W3CDTF">2018-06-07T08:14:58Z</dcterms:created>
  <dcterms:modified xsi:type="dcterms:W3CDTF">2023-03-24T12:38:19Z</dcterms:modified>
  <cp:category/>
</cp:coreProperties>
</file>