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4415" tabRatio="500"/>
  </bookViews>
  <sheets>
    <sheet name="Bordeaux" sheetId="2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100" i="2" l="1"/>
  <c r="AU46" i="2"/>
  <c r="AG46" i="2"/>
  <c r="AM231" i="2" l="1"/>
  <c r="AM230" i="2"/>
  <c r="AM229" i="2"/>
  <c r="AM228" i="2"/>
  <c r="Y230" i="2"/>
  <c r="W230" i="2"/>
  <c r="U230" i="2"/>
  <c r="Y229" i="2"/>
  <c r="U228" i="2"/>
  <c r="AM205" i="2"/>
  <c r="AM202" i="2"/>
  <c r="AM201" i="2"/>
  <c r="AM200" i="2"/>
  <c r="AM194" i="2"/>
  <c r="AM189" i="2"/>
  <c r="AM188" i="2"/>
  <c r="AM187" i="2"/>
  <c r="AM185" i="2"/>
  <c r="AM184" i="2"/>
  <c r="AM183" i="2"/>
  <c r="AK205" i="2"/>
  <c r="AK202" i="2"/>
  <c r="AG202" i="2"/>
  <c r="AC202" i="2"/>
  <c r="AK201" i="2"/>
  <c r="AI201" i="2"/>
  <c r="AG201" i="2"/>
  <c r="AC201" i="2"/>
  <c r="AA194" i="2"/>
  <c r="AC189" i="2"/>
  <c r="AK187" i="2"/>
  <c r="AI187" i="2"/>
  <c r="W205" i="2"/>
  <c r="U205" i="2"/>
  <c r="U202" i="2"/>
  <c r="Y201" i="2"/>
  <c r="W201" i="2"/>
  <c r="U201" i="2"/>
  <c r="W200" i="2"/>
  <c r="W194" i="2"/>
  <c r="Y189" i="2"/>
  <c r="W189" i="2"/>
  <c r="U188" i="2"/>
  <c r="Y187" i="2"/>
  <c r="U187" i="2"/>
  <c r="U185" i="2"/>
  <c r="W184" i="2"/>
  <c r="U184" i="2"/>
  <c r="Y183" i="2"/>
  <c r="W183" i="2"/>
  <c r="U183" i="2"/>
  <c r="S231" i="2"/>
  <c r="Q205" i="2"/>
  <c r="Q201" i="2"/>
  <c r="AM157" i="2"/>
  <c r="AM156" i="2"/>
  <c r="AM154" i="2"/>
  <c r="AM153" i="2"/>
  <c r="AM152" i="2"/>
  <c r="AM146" i="2"/>
  <c r="AM145" i="2"/>
  <c r="AM144" i="2"/>
  <c r="AM143" i="2"/>
  <c r="AM142" i="2"/>
  <c r="AM141" i="2"/>
  <c r="AM139" i="2"/>
  <c r="AM138" i="2"/>
  <c r="AM137" i="2"/>
  <c r="AM136" i="2"/>
  <c r="AM135" i="2"/>
  <c r="AM134" i="2"/>
  <c r="AI157" i="2"/>
  <c r="AG157" i="2"/>
  <c r="AE156" i="2"/>
  <c r="AG154" i="2"/>
  <c r="AG152" i="2"/>
  <c r="AA153" i="2"/>
  <c r="AE146" i="2"/>
  <c r="AK144" i="2"/>
  <c r="AK143" i="2"/>
  <c r="AK142" i="2"/>
  <c r="AG143" i="2"/>
  <c r="AK141" i="2"/>
  <c r="AG141" i="2"/>
  <c r="AA141" i="2"/>
  <c r="AG139" i="2"/>
  <c r="AG138" i="2"/>
  <c r="AE138" i="2"/>
  <c r="AC138" i="2"/>
  <c r="AK137" i="2"/>
  <c r="AG136" i="2"/>
  <c r="AA136" i="2"/>
  <c r="AK134" i="2"/>
  <c r="AG134" i="2"/>
  <c r="AE134" i="2"/>
  <c r="AC134" i="2"/>
  <c r="Y157" i="2"/>
  <c r="W157" i="2"/>
  <c r="W156" i="2"/>
  <c r="Y154" i="2"/>
  <c r="W154" i="2"/>
  <c r="U154" i="2"/>
  <c r="W153" i="2"/>
  <c r="U153" i="2"/>
  <c r="Y152" i="2"/>
  <c r="W152" i="2"/>
  <c r="U152" i="2"/>
  <c r="W146" i="2"/>
  <c r="W145" i="2"/>
  <c r="W143" i="2"/>
  <c r="Y139" i="2"/>
  <c r="W139" i="2"/>
  <c r="U139" i="2"/>
  <c r="Y138" i="2"/>
  <c r="W138" i="2"/>
  <c r="U138" i="2"/>
  <c r="W137" i="2"/>
  <c r="U137" i="2"/>
  <c r="Y136" i="2"/>
  <c r="W136" i="2"/>
  <c r="L136" i="2"/>
  <c r="U136" i="2"/>
  <c r="U135" i="2"/>
  <c r="Y134" i="2"/>
  <c r="W134" i="2"/>
  <c r="U134" i="2"/>
  <c r="AM129" i="2"/>
  <c r="AM127" i="2"/>
  <c r="AM125" i="2"/>
  <c r="AM124" i="2"/>
  <c r="AM123" i="2"/>
  <c r="AM122" i="2"/>
  <c r="AM121" i="2"/>
  <c r="AM120" i="2"/>
  <c r="AM119" i="2"/>
  <c r="AM116" i="2"/>
  <c r="AM114" i="2"/>
  <c r="AM101" i="2"/>
  <c r="AM100" i="2"/>
  <c r="AM99" i="2"/>
  <c r="AM98" i="2"/>
  <c r="AM97" i="2"/>
  <c r="AM96" i="2"/>
  <c r="AM93" i="2"/>
  <c r="AM92" i="2"/>
  <c r="AM90" i="2"/>
  <c r="AM89" i="2"/>
  <c r="AM87" i="2"/>
  <c r="AG129" i="2"/>
  <c r="AE129" i="2"/>
  <c r="AC129" i="2"/>
  <c r="AK127" i="2"/>
  <c r="AE124" i="2"/>
  <c r="AC124" i="2"/>
  <c r="AA124" i="2"/>
  <c r="AG123" i="2"/>
  <c r="AE123" i="2"/>
  <c r="AE122" i="2"/>
  <c r="AK121" i="2"/>
  <c r="AI121" i="2"/>
  <c r="AG121" i="2"/>
  <c r="AE121" i="2"/>
  <c r="AC121" i="2"/>
  <c r="AK119" i="2"/>
  <c r="AG119" i="2"/>
  <c r="AE100" i="2"/>
  <c r="AA93" i="2"/>
  <c r="AE89" i="2"/>
  <c r="AI87" i="2"/>
  <c r="AG87" i="2"/>
  <c r="AE87" i="2"/>
  <c r="Y129" i="2"/>
  <c r="W129" i="2"/>
  <c r="U129" i="2"/>
  <c r="Y127" i="2"/>
  <c r="W127" i="2"/>
  <c r="Y125" i="2"/>
  <c r="Y124" i="2"/>
  <c r="U124" i="2"/>
  <c r="W123" i="2"/>
  <c r="U123" i="2"/>
  <c r="W122" i="2"/>
  <c r="Y121" i="2"/>
  <c r="W121" i="2"/>
  <c r="U121" i="2"/>
  <c r="Y120" i="2"/>
  <c r="U120" i="2"/>
  <c r="Y119" i="2"/>
  <c r="U119" i="2"/>
  <c r="W116" i="2"/>
  <c r="U116" i="2"/>
  <c r="W114" i="2"/>
  <c r="U114" i="2"/>
  <c r="W101" i="2"/>
  <c r="Y100" i="2"/>
  <c r="W100" i="2"/>
  <c r="U100" i="2"/>
  <c r="W98" i="2"/>
  <c r="U98" i="2"/>
  <c r="W97" i="2"/>
  <c r="U97" i="2"/>
  <c r="W96" i="2"/>
  <c r="U96" i="2"/>
  <c r="W93" i="2"/>
  <c r="W92" i="2"/>
  <c r="U92" i="2"/>
  <c r="W90" i="2"/>
  <c r="U90" i="2"/>
  <c r="Y89" i="2"/>
  <c r="W89" i="2"/>
  <c r="Y87" i="2"/>
  <c r="U87" i="2"/>
  <c r="Q129" i="2"/>
  <c r="Q127" i="2"/>
  <c r="Q125" i="2"/>
  <c r="Q121" i="2"/>
  <c r="AI46" i="2"/>
  <c r="AM78" i="2"/>
  <c r="AM74" i="2"/>
  <c r="AM68" i="2"/>
  <c r="AM67" i="2"/>
  <c r="AM65" i="2"/>
  <c r="AM63" i="2"/>
  <c r="AM58" i="2"/>
  <c r="AM56" i="2"/>
  <c r="AM54" i="2"/>
  <c r="AM52" i="2"/>
  <c r="AM51" i="2"/>
  <c r="AM46" i="2"/>
  <c r="AC68" i="2"/>
  <c r="AE63" i="2"/>
  <c r="AI58" i="2"/>
  <c r="AA46" i="2"/>
  <c r="Y78" i="2"/>
  <c r="Y74" i="2"/>
  <c r="U74" i="2"/>
  <c r="Y67" i="2"/>
  <c r="W67" i="2"/>
  <c r="U67" i="2"/>
  <c r="Y65" i="2"/>
  <c r="Y63" i="2"/>
  <c r="W63" i="2"/>
  <c r="U63" i="2"/>
  <c r="Y58" i="2"/>
  <c r="W58" i="2"/>
  <c r="U56" i="2"/>
  <c r="W54" i="2"/>
  <c r="U54" i="2"/>
  <c r="Y52" i="2"/>
  <c r="W52" i="2"/>
  <c r="U52" i="2"/>
  <c r="W51" i="2"/>
  <c r="Y46" i="2"/>
  <c r="W46" i="2"/>
  <c r="U46" i="2"/>
  <c r="U43" i="2"/>
  <c r="AM41" i="2"/>
  <c r="AM38" i="2"/>
  <c r="AM36" i="2"/>
  <c r="AM34" i="2"/>
  <c r="AM27" i="2"/>
  <c r="AM26" i="2"/>
  <c r="AM25" i="2"/>
  <c r="AM24" i="2"/>
  <c r="AM17" i="2"/>
  <c r="AM16" i="2"/>
  <c r="AM7" i="2"/>
  <c r="AM6" i="2"/>
  <c r="AM4" i="2"/>
  <c r="AA38" i="2"/>
  <c r="AK36" i="2"/>
  <c r="AI36" i="2"/>
  <c r="AG36" i="2"/>
  <c r="AE36" i="2"/>
  <c r="AC36" i="2"/>
  <c r="AA36" i="2"/>
  <c r="AI34" i="2"/>
  <c r="AK24" i="2"/>
  <c r="AC18" i="2"/>
  <c r="AA18" i="2"/>
  <c r="AG16" i="2"/>
  <c r="AC16" i="2"/>
  <c r="AA16" i="2"/>
  <c r="AE4" i="2"/>
  <c r="Q36" i="2"/>
  <c r="R36" i="2" s="1"/>
  <c r="L36" i="2"/>
  <c r="Q24" i="2"/>
  <c r="U41" i="2"/>
  <c r="W38" i="2"/>
  <c r="U38" i="2"/>
  <c r="Y36" i="2"/>
  <c r="W36" i="2"/>
  <c r="U36" i="2"/>
  <c r="Y34" i="2"/>
  <c r="W34" i="2"/>
  <c r="W27" i="2"/>
  <c r="W26" i="2"/>
  <c r="U26" i="2"/>
  <c r="W25" i="2"/>
  <c r="U25" i="2"/>
  <c r="Y18" i="2"/>
  <c r="W18" i="2"/>
  <c r="U18" i="2"/>
  <c r="U17" i="2"/>
  <c r="Y16" i="2"/>
  <c r="W16" i="2"/>
  <c r="U16" i="2"/>
  <c r="Y7" i="2"/>
  <c r="W6" i="2"/>
  <c r="Y4" i="2"/>
  <c r="W4" i="2"/>
  <c r="U4" i="2"/>
  <c r="O231" i="2"/>
  <c r="L221" i="2"/>
  <c r="O201" i="2"/>
  <c r="P158" i="2"/>
  <c r="O152" i="2"/>
  <c r="O142" i="2"/>
  <c r="O134" i="2"/>
  <c r="O121" i="2"/>
  <c r="O103" i="2"/>
  <c r="O82" i="2"/>
  <c r="O67" i="2"/>
  <c r="O40" i="2"/>
  <c r="O28" i="2"/>
  <c r="O16" i="2"/>
  <c r="P4" i="2"/>
  <c r="P5" i="2"/>
  <c r="P6" i="2"/>
  <c r="P7" i="2"/>
  <c r="P8" i="2"/>
  <c r="P9" i="2"/>
  <c r="P10" i="2"/>
  <c r="P11" i="2"/>
  <c r="P12" i="2"/>
  <c r="P13" i="2"/>
  <c r="P15" i="2"/>
  <c r="P17" i="2"/>
  <c r="P18" i="2"/>
  <c r="P19" i="2"/>
  <c r="P21" i="2"/>
  <c r="P22" i="2"/>
  <c r="P23" i="2"/>
  <c r="P24" i="2"/>
  <c r="P25" i="2"/>
  <c r="P26" i="2"/>
  <c r="P27" i="2"/>
  <c r="P31" i="2"/>
  <c r="P32" i="2"/>
  <c r="P33" i="2"/>
  <c r="P34" i="2"/>
  <c r="P35" i="2"/>
  <c r="P36" i="2"/>
  <c r="P37" i="2"/>
  <c r="P38" i="2"/>
  <c r="P39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L83" i="2"/>
  <c r="P84" i="2"/>
  <c r="P85" i="2"/>
  <c r="P86" i="2"/>
  <c r="P87" i="2"/>
  <c r="P88" i="2"/>
  <c r="P89" i="2"/>
  <c r="P90" i="2"/>
  <c r="P91" i="2"/>
  <c r="P92" i="2"/>
  <c r="P93" i="2"/>
  <c r="P95" i="2"/>
  <c r="P96" i="2"/>
  <c r="P97" i="2"/>
  <c r="P98" i="2"/>
  <c r="P99" i="2"/>
  <c r="P100" i="2"/>
  <c r="P101" i="2"/>
  <c r="P102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5" i="2"/>
  <c r="P136" i="2"/>
  <c r="P137" i="2"/>
  <c r="P138" i="2"/>
  <c r="P139" i="2"/>
  <c r="P140" i="2"/>
  <c r="P141" i="2"/>
  <c r="P143" i="2"/>
  <c r="P144" i="2"/>
  <c r="P145" i="2"/>
  <c r="P146" i="2"/>
  <c r="P147" i="2"/>
  <c r="P148" i="2"/>
  <c r="P149" i="2"/>
  <c r="P150" i="2"/>
  <c r="P153" i="2"/>
  <c r="P154" i="2"/>
  <c r="L155" i="2"/>
  <c r="P155" i="2"/>
  <c r="P156" i="2"/>
  <c r="P157" i="2"/>
  <c r="P160" i="2"/>
  <c r="P162" i="2"/>
  <c r="P163" i="2"/>
  <c r="P164" i="2"/>
  <c r="P165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7" i="2"/>
  <c r="P218" i="2"/>
  <c r="P219" i="2"/>
  <c r="P220" i="2"/>
  <c r="P223" i="2"/>
  <c r="P225" i="2"/>
  <c r="P226" i="2"/>
  <c r="P227" i="2"/>
  <c r="P228" i="2"/>
  <c r="P229" i="2"/>
  <c r="P230" i="2"/>
  <c r="P232" i="2"/>
  <c r="P233" i="2"/>
  <c r="P3" i="2"/>
  <c r="L4" i="2"/>
  <c r="AL4" i="2" s="1"/>
  <c r="L5" i="2"/>
  <c r="L6" i="2"/>
  <c r="AL6" i="2" s="1"/>
  <c r="L7" i="2"/>
  <c r="L8" i="2"/>
  <c r="AL8" i="2" s="1"/>
  <c r="L9" i="2"/>
  <c r="L10" i="2"/>
  <c r="AL10" i="2" s="1"/>
  <c r="L11" i="2"/>
  <c r="L12" i="2"/>
  <c r="AL12" i="2" s="1"/>
  <c r="L13" i="2"/>
  <c r="L15" i="2"/>
  <c r="AL15" i="2" s="1"/>
  <c r="L16" i="2"/>
  <c r="L17" i="2"/>
  <c r="AL17" i="2" s="1"/>
  <c r="L18" i="2"/>
  <c r="L22" i="2"/>
  <c r="AL22" i="2" s="1"/>
  <c r="L23" i="2"/>
  <c r="AL23" i="2" s="1"/>
  <c r="L25" i="2"/>
  <c r="AL25" i="2" s="1"/>
  <c r="L26" i="2"/>
  <c r="L27" i="2"/>
  <c r="AL27" i="2" s="1"/>
  <c r="L29" i="2"/>
  <c r="L30" i="2"/>
  <c r="AL30" i="2" s="1"/>
  <c r="L31" i="2"/>
  <c r="L32" i="2"/>
  <c r="AL32" i="2" s="1"/>
  <c r="L33" i="2"/>
  <c r="L34" i="2"/>
  <c r="AL34" i="2" s="1"/>
  <c r="L35" i="2"/>
  <c r="L37" i="2"/>
  <c r="AL37" i="2" s="1"/>
  <c r="L38" i="2"/>
  <c r="L39" i="2"/>
  <c r="AL39" i="2" s="1"/>
  <c r="L40" i="2"/>
  <c r="L41" i="2"/>
  <c r="AL41" i="2" s="1"/>
  <c r="L42" i="2"/>
  <c r="L43" i="2"/>
  <c r="L44" i="2"/>
  <c r="L45" i="2"/>
  <c r="AJ45" i="2" s="1"/>
  <c r="L46" i="2"/>
  <c r="AL46" i="2" s="1"/>
  <c r="L47" i="2"/>
  <c r="AL47" i="2"/>
  <c r="L48" i="2"/>
  <c r="L49" i="2"/>
  <c r="L50" i="2"/>
  <c r="AL50" i="2"/>
  <c r="L51" i="2"/>
  <c r="AL51" i="2" s="1"/>
  <c r="L52" i="2"/>
  <c r="AL52" i="2"/>
  <c r="L53" i="2"/>
  <c r="AL53" i="2" s="1"/>
  <c r="L54" i="2"/>
  <c r="AL54" i="2"/>
  <c r="L55" i="2"/>
  <c r="AL55" i="2" s="1"/>
  <c r="L56" i="2"/>
  <c r="AL56" i="2"/>
  <c r="L57" i="2"/>
  <c r="AL57" i="2" s="1"/>
  <c r="L58" i="2"/>
  <c r="AL58" i="2"/>
  <c r="L59" i="2"/>
  <c r="AL59" i="2" s="1"/>
  <c r="L60" i="2"/>
  <c r="AL60" i="2"/>
  <c r="L61" i="2"/>
  <c r="L62" i="2"/>
  <c r="AL62" i="2" s="1"/>
  <c r="L63" i="2"/>
  <c r="L64" i="2"/>
  <c r="AL64" i="2" s="1"/>
  <c r="L65" i="2"/>
  <c r="L66" i="2"/>
  <c r="L67" i="2"/>
  <c r="AL67" i="2"/>
  <c r="L68" i="2"/>
  <c r="AL68" i="2" s="1"/>
  <c r="L69" i="2"/>
  <c r="AL69" i="2"/>
  <c r="L70" i="2"/>
  <c r="AL70" i="2" s="1"/>
  <c r="L71" i="2"/>
  <c r="AL71" i="2"/>
  <c r="L72" i="2"/>
  <c r="AL72" i="2" s="1"/>
  <c r="L73" i="2"/>
  <c r="AL73" i="2"/>
  <c r="L74" i="2"/>
  <c r="AL74" i="2" s="1"/>
  <c r="L75" i="2"/>
  <c r="AL75" i="2"/>
  <c r="L76" i="2"/>
  <c r="L77" i="2"/>
  <c r="AL77" i="2" s="1"/>
  <c r="L78" i="2"/>
  <c r="AL78" i="2" s="1"/>
  <c r="L79" i="2"/>
  <c r="AL79" i="2" s="1"/>
  <c r="L80" i="2"/>
  <c r="L81" i="2"/>
  <c r="AL81" i="2" s="1"/>
  <c r="L82" i="2"/>
  <c r="AL82" i="2" s="1"/>
  <c r="AL83" i="2"/>
  <c r="L84" i="2"/>
  <c r="AL84" i="2"/>
  <c r="L85" i="2"/>
  <c r="AL85" i="2" s="1"/>
  <c r="L86" i="2"/>
  <c r="AL86" i="2"/>
  <c r="L87" i="2"/>
  <c r="AL87" i="2" s="1"/>
  <c r="L88" i="2"/>
  <c r="AL88" i="2"/>
  <c r="L89" i="2"/>
  <c r="AL89" i="2" s="1"/>
  <c r="L90" i="2"/>
  <c r="AL90" i="2"/>
  <c r="L91" i="2"/>
  <c r="AL91" i="2" s="1"/>
  <c r="L92" i="2"/>
  <c r="AL92" i="2"/>
  <c r="L93" i="2"/>
  <c r="AL93" i="2" s="1"/>
  <c r="L94" i="2"/>
  <c r="L95" i="2"/>
  <c r="AL95" i="2" s="1"/>
  <c r="L96" i="2"/>
  <c r="AL96" i="2" s="1"/>
  <c r="L97" i="2"/>
  <c r="L98" i="2"/>
  <c r="AL98" i="2" s="1"/>
  <c r="L99" i="2"/>
  <c r="AL99" i="2" s="1"/>
  <c r="L100" i="2"/>
  <c r="AL100" i="2" s="1"/>
  <c r="L101" i="2"/>
  <c r="L102" i="2"/>
  <c r="AL102" i="2" s="1"/>
  <c r="L103" i="2"/>
  <c r="AL103" i="2" s="1"/>
  <c r="L104" i="2"/>
  <c r="AL104" i="2" s="1"/>
  <c r="L105" i="2"/>
  <c r="L106" i="2"/>
  <c r="AL106" i="2" s="1"/>
  <c r="L107" i="2"/>
  <c r="AL107" i="2" s="1"/>
  <c r="L108" i="2"/>
  <c r="AL108" i="2" s="1"/>
  <c r="L109" i="2"/>
  <c r="L110" i="2"/>
  <c r="AL110" i="2" s="1"/>
  <c r="L111" i="2"/>
  <c r="AL111" i="2" s="1"/>
  <c r="L112" i="2"/>
  <c r="AL112" i="2" s="1"/>
  <c r="L113" i="2"/>
  <c r="L114" i="2"/>
  <c r="AL114" i="2" s="1"/>
  <c r="L115" i="2"/>
  <c r="AL115" i="2" s="1"/>
  <c r="L116" i="2"/>
  <c r="AL116" i="2" s="1"/>
  <c r="L117" i="2"/>
  <c r="L118" i="2"/>
  <c r="AL118" i="2" s="1"/>
  <c r="L119" i="2"/>
  <c r="L120" i="2"/>
  <c r="AL120" i="2"/>
  <c r="L121" i="2"/>
  <c r="L122" i="2"/>
  <c r="L123" i="2"/>
  <c r="AL123" i="2" s="1"/>
  <c r="L124" i="2"/>
  <c r="AJ124" i="2" s="1"/>
  <c r="L125" i="2"/>
  <c r="AL125" i="2" s="1"/>
  <c r="L126" i="2"/>
  <c r="L127" i="2"/>
  <c r="L128" i="2"/>
  <c r="AL128" i="2"/>
  <c r="L129" i="2"/>
  <c r="AL129" i="2"/>
  <c r="L130" i="2"/>
  <c r="L131" i="2"/>
  <c r="L132" i="2"/>
  <c r="AL132" i="2" s="1"/>
  <c r="L133" i="2"/>
  <c r="L134" i="2"/>
  <c r="L135" i="2"/>
  <c r="AL135" i="2"/>
  <c r="AL136" i="2"/>
  <c r="L137" i="2"/>
  <c r="L138" i="2"/>
  <c r="AL138" i="2"/>
  <c r="L139" i="2"/>
  <c r="AL139" i="2"/>
  <c r="L140" i="2"/>
  <c r="AL140" i="2"/>
  <c r="L141" i="2"/>
  <c r="L142" i="2"/>
  <c r="L143" i="2"/>
  <c r="L144" i="2"/>
  <c r="AH144" i="2" s="1"/>
  <c r="L145" i="2"/>
  <c r="AL145" i="2"/>
  <c r="L146" i="2"/>
  <c r="AL146" i="2"/>
  <c r="L147" i="2"/>
  <c r="AL147" i="2"/>
  <c r="L148" i="2"/>
  <c r="AL148" i="2"/>
  <c r="L149" i="2"/>
  <c r="AL149" i="2"/>
  <c r="L150" i="2"/>
  <c r="AL150" i="2"/>
  <c r="L151" i="2"/>
  <c r="AL151" i="2" s="1"/>
  <c r="L152" i="2"/>
  <c r="AL152" i="2"/>
  <c r="L153" i="2"/>
  <c r="AL153" i="2" s="1"/>
  <c r="L154" i="2"/>
  <c r="AL154" i="2"/>
  <c r="AL155" i="2"/>
  <c r="L156" i="2"/>
  <c r="AL156" i="2" s="1"/>
  <c r="L157" i="2"/>
  <c r="AL157" i="2" s="1"/>
  <c r="L158" i="2"/>
  <c r="L159" i="2"/>
  <c r="AL159" i="2"/>
  <c r="L160" i="2"/>
  <c r="AL160" i="2" s="1"/>
  <c r="L161" i="2"/>
  <c r="L162" i="2"/>
  <c r="AL162" i="2" s="1"/>
  <c r="L163" i="2"/>
  <c r="AL163" i="2" s="1"/>
  <c r="L164" i="2"/>
  <c r="L165" i="2"/>
  <c r="AL165" i="2" s="1"/>
  <c r="L166" i="2"/>
  <c r="L167" i="2"/>
  <c r="AL167" i="2" s="1"/>
  <c r="L168" i="2"/>
  <c r="L169" i="2"/>
  <c r="AL169" i="2"/>
  <c r="L170" i="2"/>
  <c r="AL170" i="2"/>
  <c r="L171" i="2"/>
  <c r="AL171" i="2"/>
  <c r="L172" i="2"/>
  <c r="AL172" i="2"/>
  <c r="L173" i="2"/>
  <c r="AL173" i="2" s="1"/>
  <c r="L174" i="2"/>
  <c r="AL174" i="2"/>
  <c r="L175" i="2"/>
  <c r="AL175" i="2" s="1"/>
  <c r="L176" i="2"/>
  <c r="AL176" i="2"/>
  <c r="L177" i="2"/>
  <c r="AL177" i="2" s="1"/>
  <c r="L178" i="2"/>
  <c r="AL178" i="2"/>
  <c r="L179" i="2"/>
  <c r="AL179" i="2" s="1"/>
  <c r="L180" i="2"/>
  <c r="L181" i="2"/>
  <c r="L182" i="2"/>
  <c r="AL182" i="2" s="1"/>
  <c r="L183" i="2"/>
  <c r="L184" i="2"/>
  <c r="AL184" i="2" s="1"/>
  <c r="L185" i="2"/>
  <c r="L186" i="2"/>
  <c r="AL186" i="2" s="1"/>
  <c r="L187" i="2"/>
  <c r="AH187" i="2" s="1"/>
  <c r="L188" i="2"/>
  <c r="AL188" i="2"/>
  <c r="L189" i="2"/>
  <c r="AL189" i="2"/>
  <c r="L190" i="2"/>
  <c r="AL190" i="2"/>
  <c r="L191" i="2"/>
  <c r="AL191" i="2"/>
  <c r="L192" i="2"/>
  <c r="AL192" i="2" s="1"/>
  <c r="L193" i="2"/>
  <c r="AL193" i="2"/>
  <c r="L194" i="2"/>
  <c r="AL194" i="2" s="1"/>
  <c r="L195" i="2"/>
  <c r="AL195" i="2"/>
  <c r="L196" i="2"/>
  <c r="AL196" i="2" s="1"/>
  <c r="L197" i="2"/>
  <c r="AL197" i="2"/>
  <c r="L198" i="2"/>
  <c r="AL198" i="2" s="1"/>
  <c r="L199" i="2"/>
  <c r="AL199" i="2"/>
  <c r="L200" i="2"/>
  <c r="AL200" i="2" s="1"/>
  <c r="L201" i="2"/>
  <c r="L202" i="2"/>
  <c r="AJ202" i="2" s="1"/>
  <c r="L203" i="2"/>
  <c r="AL203" i="2" s="1"/>
  <c r="L204" i="2"/>
  <c r="AL204" i="2"/>
  <c r="L205" i="2"/>
  <c r="L206" i="2"/>
  <c r="AL206" i="2" s="1"/>
  <c r="L207" i="2"/>
  <c r="L208" i="2"/>
  <c r="AL208" i="2" s="1"/>
  <c r="L209" i="2"/>
  <c r="L210" i="2"/>
  <c r="AL210" i="2" s="1"/>
  <c r="L211" i="2"/>
  <c r="L212" i="2"/>
  <c r="AL212" i="2" s="1"/>
  <c r="L213" i="2"/>
  <c r="L214" i="2"/>
  <c r="AL214" i="2" s="1"/>
  <c r="L215" i="2"/>
  <c r="L216" i="2"/>
  <c r="AL216" i="2" s="1"/>
  <c r="L217" i="2"/>
  <c r="L218" i="2"/>
  <c r="AL218" i="2" s="1"/>
  <c r="L219" i="2"/>
  <c r="L220" i="2"/>
  <c r="AL220" i="2" s="1"/>
  <c r="AL221" i="2"/>
  <c r="L222" i="2"/>
  <c r="AL222" i="2"/>
  <c r="L223" i="2"/>
  <c r="AL223" i="2"/>
  <c r="L224" i="2"/>
  <c r="AL224" i="2"/>
  <c r="L225" i="2"/>
  <c r="AL225" i="2"/>
  <c r="L226" i="2"/>
  <c r="AL226" i="2" s="1"/>
  <c r="L227" i="2"/>
  <c r="AL227" i="2"/>
  <c r="L228" i="2"/>
  <c r="AL228" i="2" s="1"/>
  <c r="L229" i="2"/>
  <c r="AL229" i="2"/>
  <c r="L230" i="2"/>
  <c r="AL230" i="2" s="1"/>
  <c r="L231" i="2"/>
  <c r="AL231" i="2"/>
  <c r="L232" i="2"/>
  <c r="AL232" i="2" s="1"/>
  <c r="L233" i="2"/>
  <c r="AL233" i="2"/>
  <c r="AJ4" i="2"/>
  <c r="AJ6" i="2"/>
  <c r="AJ7" i="2"/>
  <c r="AJ8" i="2"/>
  <c r="AJ10" i="2"/>
  <c r="AJ11" i="2"/>
  <c r="AJ12" i="2"/>
  <c r="L14" i="2"/>
  <c r="AJ14" i="2"/>
  <c r="AJ15" i="2"/>
  <c r="AJ17" i="2"/>
  <c r="AJ18" i="2"/>
  <c r="AJ22" i="2"/>
  <c r="L24" i="2"/>
  <c r="AJ24" i="2" s="1"/>
  <c r="AJ25" i="2"/>
  <c r="AJ27" i="2"/>
  <c r="AJ30" i="2"/>
  <c r="AJ32" i="2"/>
  <c r="AJ35" i="2"/>
  <c r="AJ37" i="2"/>
  <c r="AJ39" i="2"/>
  <c r="AJ40" i="2"/>
  <c r="AJ41" i="2"/>
  <c r="AJ43" i="2"/>
  <c r="AJ44" i="2"/>
  <c r="AJ47" i="2"/>
  <c r="AJ48" i="2"/>
  <c r="AJ49" i="2"/>
  <c r="AJ50" i="2"/>
  <c r="AJ51" i="2"/>
  <c r="AJ52" i="2"/>
  <c r="AJ53" i="2"/>
  <c r="AJ54" i="2"/>
  <c r="AJ55" i="2"/>
  <c r="AJ56" i="2"/>
  <c r="AJ57" i="2"/>
  <c r="AJ59" i="2"/>
  <c r="AJ60" i="2"/>
  <c r="AJ61" i="2"/>
  <c r="AJ62" i="2"/>
  <c r="AJ64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9" i="2"/>
  <c r="AJ81" i="2"/>
  <c r="AJ83" i="2"/>
  <c r="AJ84" i="2"/>
  <c r="AJ85" i="2"/>
  <c r="AJ86" i="2"/>
  <c r="AJ88" i="2"/>
  <c r="AJ89" i="2"/>
  <c r="AJ90" i="2"/>
  <c r="AJ91" i="2"/>
  <c r="AJ92" i="2"/>
  <c r="AJ93" i="2"/>
  <c r="AJ94" i="2"/>
  <c r="AJ95" i="2"/>
  <c r="AJ96" i="2"/>
  <c r="AJ98" i="2"/>
  <c r="AJ99" i="2"/>
  <c r="AJ100" i="2"/>
  <c r="AJ102" i="2"/>
  <c r="AJ103" i="2"/>
  <c r="AJ104" i="2"/>
  <c r="AJ106" i="2"/>
  <c r="AJ107" i="2"/>
  <c r="AJ108" i="2"/>
  <c r="AJ110" i="2"/>
  <c r="AJ111" i="2"/>
  <c r="AJ112" i="2"/>
  <c r="AJ114" i="2"/>
  <c r="AJ115" i="2"/>
  <c r="AJ116" i="2"/>
  <c r="AJ118" i="2"/>
  <c r="AJ119" i="2"/>
  <c r="AJ120" i="2"/>
  <c r="AJ123" i="2"/>
  <c r="AJ125" i="2"/>
  <c r="AJ127" i="2"/>
  <c r="AJ128" i="2"/>
  <c r="AJ129" i="2"/>
  <c r="AJ130" i="2"/>
  <c r="AJ132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9" i="2"/>
  <c r="AJ160" i="2"/>
  <c r="AJ161" i="2"/>
  <c r="AJ162" i="2"/>
  <c r="AJ163" i="2"/>
  <c r="AJ165" i="2"/>
  <c r="AJ166" i="2"/>
  <c r="AJ167" i="2"/>
  <c r="AJ170" i="2"/>
  <c r="AJ171" i="2"/>
  <c r="AJ172" i="2"/>
  <c r="AJ173" i="2"/>
  <c r="AJ174" i="2"/>
  <c r="AJ175" i="2"/>
  <c r="AJ176" i="2"/>
  <c r="AJ177" i="2"/>
  <c r="AJ178" i="2"/>
  <c r="AJ179" i="2"/>
  <c r="AJ180" i="2"/>
  <c r="AJ182" i="2"/>
  <c r="AJ184" i="2"/>
  <c r="AJ186" i="2"/>
  <c r="AJ188" i="2"/>
  <c r="AJ189" i="2"/>
  <c r="AJ190" i="2"/>
  <c r="AJ191" i="2"/>
  <c r="AJ192" i="2"/>
  <c r="AJ193" i="2"/>
  <c r="AJ194" i="2"/>
  <c r="AJ195" i="2"/>
  <c r="AJ196" i="2"/>
  <c r="AJ197" i="2"/>
  <c r="AJ198" i="2"/>
  <c r="AJ200" i="2"/>
  <c r="AJ203" i="2"/>
  <c r="AJ204" i="2"/>
  <c r="AJ205" i="2"/>
  <c r="AJ206" i="2"/>
  <c r="AJ207" i="2"/>
  <c r="AJ208" i="2"/>
  <c r="AJ210" i="2"/>
  <c r="AJ211" i="2"/>
  <c r="AJ212" i="2"/>
  <c r="AJ216" i="2"/>
  <c r="AJ218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L3" i="2"/>
  <c r="AJ3" i="2" s="1"/>
  <c r="AH4" i="2"/>
  <c r="AH6" i="2"/>
  <c r="AH8" i="2"/>
  <c r="AH10" i="2"/>
  <c r="AH12" i="2"/>
  <c r="AH14" i="2"/>
  <c r="AH15" i="2"/>
  <c r="AH17" i="2"/>
  <c r="AH24" i="2"/>
  <c r="AH25" i="2"/>
  <c r="AH26" i="2"/>
  <c r="AH27" i="2"/>
  <c r="AH32" i="2"/>
  <c r="AH34" i="2"/>
  <c r="AH37" i="2"/>
  <c r="AH39" i="2"/>
  <c r="AH41" i="2"/>
  <c r="AH43" i="2"/>
  <c r="AH44" i="2"/>
  <c r="AH45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4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1" i="2"/>
  <c r="AH82" i="2"/>
  <c r="AH83" i="2"/>
  <c r="AH84" i="2"/>
  <c r="AH85" i="2"/>
  <c r="AH86" i="2"/>
  <c r="AH88" i="2"/>
  <c r="AH89" i="2"/>
  <c r="AH90" i="2"/>
  <c r="AH91" i="2"/>
  <c r="AH92" i="2"/>
  <c r="AH93" i="2"/>
  <c r="AH94" i="2"/>
  <c r="AH95" i="2"/>
  <c r="AH96" i="2"/>
  <c r="AH98" i="2"/>
  <c r="AH99" i="2"/>
  <c r="AH100" i="2"/>
  <c r="AH102" i="2"/>
  <c r="AH103" i="2"/>
  <c r="AH104" i="2"/>
  <c r="AH106" i="2"/>
  <c r="AH107" i="2"/>
  <c r="AH108" i="2"/>
  <c r="AH110" i="2"/>
  <c r="AH111" i="2"/>
  <c r="AH112" i="2"/>
  <c r="AH114" i="2"/>
  <c r="AH115" i="2"/>
  <c r="AH116" i="2"/>
  <c r="AH118" i="2"/>
  <c r="AH120" i="2"/>
  <c r="AH125" i="2"/>
  <c r="AH126" i="2"/>
  <c r="AH127" i="2"/>
  <c r="AH128" i="2"/>
  <c r="AH130" i="2"/>
  <c r="AH131" i="2"/>
  <c r="AH132" i="2"/>
  <c r="AH135" i="2"/>
  <c r="AH137" i="2"/>
  <c r="AH140" i="2"/>
  <c r="AH142" i="2"/>
  <c r="AH145" i="2"/>
  <c r="AH146" i="2"/>
  <c r="AH147" i="2"/>
  <c r="AH148" i="2"/>
  <c r="AH149" i="2"/>
  <c r="AH150" i="2"/>
  <c r="AH151" i="2"/>
  <c r="AH153" i="2"/>
  <c r="AH155" i="2"/>
  <c r="AH156" i="2"/>
  <c r="AH159" i="2"/>
  <c r="AH161" i="2"/>
  <c r="AH163" i="2"/>
  <c r="AH165" i="2"/>
  <c r="AH167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2" i="2"/>
  <c r="AH184" i="2"/>
  <c r="AH186" i="2"/>
  <c r="AH188" i="2"/>
  <c r="AH189" i="2"/>
  <c r="AH190" i="2"/>
  <c r="AH192" i="2"/>
  <c r="AH193" i="2"/>
  <c r="AH194" i="2"/>
  <c r="AH195" i="2"/>
  <c r="AH196" i="2"/>
  <c r="AH197" i="2"/>
  <c r="AH198" i="2"/>
  <c r="AH200" i="2"/>
  <c r="AH203" i="2"/>
  <c r="AH204" i="2"/>
  <c r="AH205" i="2"/>
  <c r="AH206" i="2"/>
  <c r="AH208" i="2"/>
  <c r="AH210" i="2"/>
  <c r="AH212" i="2"/>
  <c r="AH216" i="2"/>
  <c r="AH217" i="2"/>
  <c r="AH218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F6" i="2"/>
  <c r="AF8" i="2"/>
  <c r="AF9" i="2"/>
  <c r="AF10" i="2"/>
  <c r="AF11" i="2"/>
  <c r="AF12" i="2"/>
  <c r="AF13" i="2"/>
  <c r="AF14" i="2"/>
  <c r="AF15" i="2"/>
  <c r="AF16" i="2"/>
  <c r="AF17" i="2"/>
  <c r="AF18" i="2"/>
  <c r="L19" i="2"/>
  <c r="AF19" i="2"/>
  <c r="L21" i="2"/>
  <c r="AF21" i="2"/>
  <c r="AF22" i="2"/>
  <c r="AF24" i="2"/>
  <c r="AF25" i="2"/>
  <c r="AF26" i="2"/>
  <c r="AF27" i="2"/>
  <c r="AF29" i="2"/>
  <c r="AF30" i="2"/>
  <c r="AF31" i="2"/>
  <c r="AF32" i="2"/>
  <c r="AF33" i="2"/>
  <c r="AF34" i="2"/>
  <c r="AF35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4" i="2"/>
  <c r="AF55" i="2"/>
  <c r="AF56" i="2"/>
  <c r="AF57" i="2"/>
  <c r="AF58" i="2"/>
  <c r="AF59" i="2"/>
  <c r="AF62" i="2"/>
  <c r="AF65" i="2"/>
  <c r="AF66" i="2"/>
  <c r="AF67" i="2"/>
  <c r="AF68" i="2"/>
  <c r="AF70" i="2"/>
  <c r="AF71" i="2"/>
  <c r="AF72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8" i="2"/>
  <c r="AF90" i="2"/>
  <c r="AF91" i="2"/>
  <c r="AF92" i="2"/>
  <c r="AF93" i="2"/>
  <c r="AF94" i="2"/>
  <c r="AF95" i="2"/>
  <c r="AF96" i="2"/>
  <c r="AF97" i="2"/>
  <c r="AF98" i="2"/>
  <c r="AF99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5" i="2"/>
  <c r="AF126" i="2"/>
  <c r="AF127" i="2"/>
  <c r="AF128" i="2"/>
  <c r="AF130" i="2"/>
  <c r="AF131" i="2"/>
  <c r="AF132" i="2"/>
  <c r="AF133" i="2"/>
  <c r="AF135" i="2"/>
  <c r="AF136" i="2"/>
  <c r="AF137" i="2"/>
  <c r="AF139" i="2"/>
  <c r="AF140" i="2"/>
  <c r="AF141" i="2"/>
  <c r="AF142" i="2"/>
  <c r="AF143" i="2"/>
  <c r="AF144" i="2"/>
  <c r="AF145" i="2"/>
  <c r="AF147" i="2"/>
  <c r="AF148" i="2"/>
  <c r="AF149" i="2"/>
  <c r="AF150" i="2"/>
  <c r="AF151" i="2"/>
  <c r="AF152" i="2"/>
  <c r="AF153" i="2"/>
  <c r="AF154" i="2"/>
  <c r="AF155" i="2"/>
  <c r="AF157" i="2"/>
  <c r="AF159" i="2"/>
  <c r="AF160" i="2"/>
  <c r="AF161" i="2"/>
  <c r="AF162" i="2"/>
  <c r="AF163" i="2"/>
  <c r="AF164" i="2"/>
  <c r="AF165" i="2"/>
  <c r="AF166" i="2"/>
  <c r="AF167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7" i="2"/>
  <c r="AD21" i="2"/>
  <c r="AD24" i="2"/>
  <c r="AD25" i="2"/>
  <c r="AD26" i="2"/>
  <c r="AD27" i="2"/>
  <c r="AD29" i="2"/>
  <c r="AD31" i="2"/>
  <c r="AD32" i="2"/>
  <c r="AD33" i="2"/>
  <c r="AD34" i="2"/>
  <c r="AD35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9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2" i="2"/>
  <c r="AD123" i="2"/>
  <c r="AD125" i="2"/>
  <c r="AD126" i="2"/>
  <c r="AD127" i="2"/>
  <c r="AD128" i="2"/>
  <c r="AD130" i="2"/>
  <c r="AD131" i="2"/>
  <c r="AD132" i="2"/>
  <c r="AD133" i="2"/>
  <c r="AD135" i="2"/>
  <c r="AD136" i="2"/>
  <c r="AD137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9" i="2"/>
  <c r="AD160" i="2"/>
  <c r="AD161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90" i="2"/>
  <c r="AD191" i="2"/>
  <c r="AD192" i="2"/>
  <c r="AD193" i="2"/>
  <c r="AD194" i="2"/>
  <c r="AD195" i="2"/>
  <c r="AD196" i="2"/>
  <c r="AD197" i="2"/>
  <c r="AD198" i="2"/>
  <c r="AD199" i="2"/>
  <c r="AD200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3" i="2"/>
  <c r="AB4" i="2"/>
  <c r="AB5" i="2"/>
  <c r="AB6" i="2"/>
  <c r="AB7" i="2"/>
  <c r="AB8" i="2"/>
  <c r="AB9" i="2"/>
  <c r="AB13" i="2"/>
  <c r="AB14" i="2"/>
  <c r="AB15" i="2"/>
  <c r="AB17" i="2"/>
  <c r="AB19" i="2"/>
  <c r="L20" i="2"/>
  <c r="AB20" i="2" s="1"/>
  <c r="AO20" i="2" s="1"/>
  <c r="AP20" i="2" s="1"/>
  <c r="AB21" i="2"/>
  <c r="AB22" i="2"/>
  <c r="AB24" i="2"/>
  <c r="AB25" i="2"/>
  <c r="AB26" i="2"/>
  <c r="AB27" i="2"/>
  <c r="AB29" i="2"/>
  <c r="AB30" i="2"/>
  <c r="AB31" i="2"/>
  <c r="AB32" i="2"/>
  <c r="AB33" i="2"/>
  <c r="AB34" i="2"/>
  <c r="AB35" i="2"/>
  <c r="AB37" i="2"/>
  <c r="AB39" i="2"/>
  <c r="AB40" i="2"/>
  <c r="AB41" i="2"/>
  <c r="AB42" i="2"/>
  <c r="AB43" i="2"/>
  <c r="AB44" i="2"/>
  <c r="AB45" i="2"/>
  <c r="AB47" i="2"/>
  <c r="AB48" i="2"/>
  <c r="AB49" i="2"/>
  <c r="AB50" i="2"/>
  <c r="AB51" i="2"/>
  <c r="AB52" i="2"/>
  <c r="AB53" i="2"/>
  <c r="AB54" i="2"/>
  <c r="AB55" i="2"/>
  <c r="AB56" i="2"/>
  <c r="AB58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5" i="2"/>
  <c r="AB126" i="2"/>
  <c r="AB127" i="2"/>
  <c r="AB128" i="2"/>
  <c r="AB129" i="2"/>
  <c r="AB130" i="2"/>
  <c r="AB131" i="2"/>
  <c r="AB132" i="2"/>
  <c r="AB133" i="2"/>
  <c r="AB134" i="2"/>
  <c r="AB135" i="2"/>
  <c r="AB137" i="2"/>
  <c r="AB138" i="2"/>
  <c r="AB139" i="2"/>
  <c r="AB140" i="2"/>
  <c r="AB142" i="2"/>
  <c r="AB143" i="2"/>
  <c r="AB144" i="2"/>
  <c r="AB145" i="2"/>
  <c r="AB146" i="2"/>
  <c r="AB147" i="2"/>
  <c r="AB148" i="2"/>
  <c r="AB149" i="2"/>
  <c r="AB150" i="2"/>
  <c r="AB152" i="2"/>
  <c r="AB154" i="2"/>
  <c r="AB155" i="2"/>
  <c r="AB156" i="2"/>
  <c r="AB157" i="2"/>
  <c r="AB159" i="2"/>
  <c r="AB160" i="2"/>
  <c r="AB161" i="2"/>
  <c r="AB163" i="2"/>
  <c r="AB164" i="2"/>
  <c r="AB165" i="2"/>
  <c r="AB166" i="2"/>
  <c r="AB167" i="2"/>
  <c r="AB168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2" i="2"/>
  <c r="AB193" i="2"/>
  <c r="AB195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10" i="2"/>
  <c r="AB211" i="2"/>
  <c r="AB212" i="2"/>
  <c r="AB213" i="2"/>
  <c r="AB215" i="2"/>
  <c r="AB218" i="2"/>
  <c r="AB225" i="2"/>
  <c r="AB226" i="2"/>
  <c r="AB228" i="2"/>
  <c r="AB229" i="2"/>
  <c r="AB230" i="2"/>
  <c r="AB231" i="2"/>
  <c r="AB232" i="2"/>
  <c r="AB233" i="2"/>
  <c r="AB3" i="2"/>
  <c r="Z5" i="2"/>
  <c r="Z6" i="2"/>
  <c r="Z8" i="2"/>
  <c r="Z9" i="2"/>
  <c r="Z10" i="2"/>
  <c r="Z11" i="2"/>
  <c r="Z12" i="2"/>
  <c r="Z13" i="2"/>
  <c r="Z14" i="2"/>
  <c r="Z17" i="2"/>
  <c r="Z24" i="2"/>
  <c r="Z25" i="2"/>
  <c r="Z26" i="2"/>
  <c r="Z27" i="2"/>
  <c r="Z29" i="2"/>
  <c r="Z31" i="2"/>
  <c r="Z32" i="2"/>
  <c r="Z33" i="2"/>
  <c r="Z35" i="2"/>
  <c r="Z37" i="2"/>
  <c r="Z38" i="2"/>
  <c r="Z39" i="2"/>
  <c r="Z40" i="2"/>
  <c r="Z41" i="2"/>
  <c r="Z43" i="2"/>
  <c r="Z44" i="2"/>
  <c r="Z47" i="2"/>
  <c r="Z48" i="2"/>
  <c r="Z51" i="2"/>
  <c r="Z54" i="2"/>
  <c r="Z56" i="2"/>
  <c r="Z59" i="2"/>
  <c r="Z62" i="2"/>
  <c r="Z64" i="2"/>
  <c r="Z68" i="2"/>
  <c r="Z72" i="2"/>
  <c r="Z75" i="2"/>
  <c r="Z76" i="2"/>
  <c r="Z77" i="2"/>
  <c r="Z79" i="2"/>
  <c r="Z80" i="2"/>
  <c r="Z81" i="2"/>
  <c r="Z82" i="2"/>
  <c r="Z83" i="2"/>
  <c r="Z84" i="2"/>
  <c r="Z85" i="2"/>
  <c r="Z90" i="2"/>
  <c r="Z91" i="2"/>
  <c r="Z92" i="2"/>
  <c r="Z93" i="2"/>
  <c r="Z95" i="2"/>
  <c r="Z96" i="2"/>
  <c r="Z97" i="2"/>
  <c r="Z98" i="2"/>
  <c r="Z101" i="2"/>
  <c r="Z102" i="2"/>
  <c r="Z103" i="2"/>
  <c r="Z104" i="2"/>
  <c r="Z105" i="2"/>
  <c r="Z106" i="2"/>
  <c r="Z107" i="2"/>
  <c r="Z108" i="2"/>
  <c r="Z110" i="2"/>
  <c r="Z111" i="2"/>
  <c r="Z112" i="2"/>
  <c r="Z113" i="2"/>
  <c r="Z114" i="2"/>
  <c r="Z115" i="2"/>
  <c r="Z116" i="2"/>
  <c r="Z117" i="2"/>
  <c r="Z118" i="2"/>
  <c r="Z122" i="2"/>
  <c r="Z123" i="2"/>
  <c r="Z126" i="2"/>
  <c r="Z131" i="2"/>
  <c r="Z132" i="2"/>
  <c r="Z133" i="2"/>
  <c r="Z135" i="2"/>
  <c r="Z137" i="2"/>
  <c r="Z140" i="2"/>
  <c r="Z141" i="2"/>
  <c r="Z142" i="2"/>
  <c r="Z143" i="2"/>
  <c r="Z144" i="2"/>
  <c r="Z145" i="2"/>
  <c r="Z146" i="2"/>
  <c r="Z148" i="2"/>
  <c r="Z149" i="2"/>
  <c r="Z153" i="2"/>
  <c r="Z155" i="2"/>
  <c r="Z156" i="2"/>
  <c r="Z162" i="2"/>
  <c r="Z163" i="2"/>
  <c r="Z164" i="2"/>
  <c r="Z165" i="2"/>
  <c r="Z166" i="2"/>
  <c r="Z167" i="2"/>
  <c r="Z169" i="2"/>
  <c r="Z170" i="2"/>
  <c r="Z172" i="2"/>
  <c r="Z173" i="2"/>
  <c r="Z174" i="2"/>
  <c r="Z175" i="2"/>
  <c r="Z176" i="2"/>
  <c r="Z177" i="2"/>
  <c r="Z179" i="2"/>
  <c r="Z180" i="2"/>
  <c r="Z182" i="2"/>
  <c r="Z184" i="2"/>
  <c r="Z185" i="2"/>
  <c r="Z188" i="2"/>
  <c r="Z192" i="2"/>
  <c r="Z194" i="2"/>
  <c r="Z197" i="2"/>
  <c r="Z198" i="2"/>
  <c r="Z200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5" i="2"/>
  <c r="Z216" i="2"/>
  <c r="Z217" i="2"/>
  <c r="Z218" i="2"/>
  <c r="Z221" i="2"/>
  <c r="Z222" i="2"/>
  <c r="Z223" i="2"/>
  <c r="Z224" i="2"/>
  <c r="Z225" i="2"/>
  <c r="Z226" i="2"/>
  <c r="Z227" i="2"/>
  <c r="Z228" i="2"/>
  <c r="Z231" i="2"/>
  <c r="Z232" i="2"/>
  <c r="Z233" i="2"/>
  <c r="Z3" i="2"/>
  <c r="X5" i="2"/>
  <c r="X7" i="2"/>
  <c r="X12" i="2"/>
  <c r="X15" i="2"/>
  <c r="X17" i="2"/>
  <c r="X21" i="2"/>
  <c r="X24" i="2"/>
  <c r="X29" i="2"/>
  <c r="X30" i="2"/>
  <c r="X31" i="2"/>
  <c r="X32" i="2"/>
  <c r="X40" i="2"/>
  <c r="X41" i="2"/>
  <c r="X43" i="2"/>
  <c r="X44" i="2"/>
  <c r="X47" i="2"/>
  <c r="X48" i="2"/>
  <c r="X49" i="2"/>
  <c r="X50" i="2"/>
  <c r="X55" i="2"/>
  <c r="X56" i="2"/>
  <c r="X59" i="2"/>
  <c r="X64" i="2"/>
  <c r="X65" i="2"/>
  <c r="X68" i="2"/>
  <c r="X69" i="2"/>
  <c r="X70" i="2"/>
  <c r="X72" i="2"/>
  <c r="X74" i="2"/>
  <c r="X76" i="2"/>
  <c r="X77" i="2"/>
  <c r="X78" i="2"/>
  <c r="X81" i="2"/>
  <c r="X82" i="2"/>
  <c r="X83" i="2"/>
  <c r="X87" i="2"/>
  <c r="X88" i="2"/>
  <c r="X94" i="2"/>
  <c r="X99" i="2"/>
  <c r="X103" i="2"/>
  <c r="X104" i="2"/>
  <c r="X109" i="2"/>
  <c r="X113" i="2"/>
  <c r="X117" i="2"/>
  <c r="X118" i="2"/>
  <c r="X119" i="2"/>
  <c r="X120" i="2"/>
  <c r="X124" i="2"/>
  <c r="X125" i="2"/>
  <c r="X128" i="2"/>
  <c r="X131" i="2"/>
  <c r="X135" i="2"/>
  <c r="X141" i="2"/>
  <c r="X142" i="2"/>
  <c r="X144" i="2"/>
  <c r="X147" i="2"/>
  <c r="X148" i="2"/>
  <c r="X149" i="2"/>
  <c r="X150" i="2"/>
  <c r="X151" i="2"/>
  <c r="X155" i="2"/>
  <c r="X161" i="2"/>
  <c r="X162" i="2"/>
  <c r="X163" i="2"/>
  <c r="X164" i="2"/>
  <c r="X166" i="2"/>
  <c r="X169" i="2"/>
  <c r="X171" i="2"/>
  <c r="X175" i="2"/>
  <c r="X176" i="2"/>
  <c r="X177" i="2"/>
  <c r="X178" i="2"/>
  <c r="X179" i="2"/>
  <c r="X180" i="2"/>
  <c r="X185" i="2"/>
  <c r="X187" i="2"/>
  <c r="X188" i="2"/>
  <c r="X192" i="2"/>
  <c r="X197" i="2"/>
  <c r="X202" i="2"/>
  <c r="X204" i="2"/>
  <c r="X208" i="2"/>
  <c r="X209" i="2"/>
  <c r="X210" i="2"/>
  <c r="X211" i="2"/>
  <c r="X212" i="2"/>
  <c r="X213" i="2"/>
  <c r="X215" i="2"/>
  <c r="X216" i="2"/>
  <c r="X217" i="2"/>
  <c r="X219" i="2"/>
  <c r="X220" i="2"/>
  <c r="X221" i="2"/>
  <c r="X222" i="2"/>
  <c r="X223" i="2"/>
  <c r="X224" i="2"/>
  <c r="X225" i="2"/>
  <c r="X226" i="2"/>
  <c r="X227" i="2"/>
  <c r="X228" i="2"/>
  <c r="X229" i="2"/>
  <c r="X231" i="2"/>
  <c r="X233" i="2"/>
  <c r="X3" i="2"/>
  <c r="V6" i="2"/>
  <c r="V7" i="2"/>
  <c r="V8" i="2"/>
  <c r="V9" i="2"/>
  <c r="V12" i="2"/>
  <c r="V13" i="2"/>
  <c r="V20" i="2"/>
  <c r="V21" i="2"/>
  <c r="V22" i="2"/>
  <c r="V24" i="2"/>
  <c r="V27" i="2"/>
  <c r="L28" i="2"/>
  <c r="V28" i="2" s="1"/>
  <c r="AO28" i="2" s="1"/>
  <c r="AP28" i="2" s="1"/>
  <c r="V29" i="2"/>
  <c r="V30" i="2"/>
  <c r="V34" i="2"/>
  <c r="V35" i="2"/>
  <c r="V37" i="2"/>
  <c r="V39" i="2"/>
  <c r="V40" i="2"/>
  <c r="V45" i="2"/>
  <c r="V48" i="2"/>
  <c r="V49" i="2"/>
  <c r="V50" i="2"/>
  <c r="V51" i="2"/>
  <c r="V58" i="2"/>
  <c r="V61" i="2"/>
  <c r="V62" i="2"/>
  <c r="V65" i="2"/>
  <c r="V66" i="2"/>
  <c r="V68" i="2"/>
  <c r="V69" i="2"/>
  <c r="V70" i="2"/>
  <c r="V75" i="2"/>
  <c r="V78" i="2"/>
  <c r="V79" i="2"/>
  <c r="V80" i="2"/>
  <c r="V82" i="2"/>
  <c r="V83" i="2"/>
  <c r="V86" i="2"/>
  <c r="V88" i="2"/>
  <c r="V89" i="2"/>
  <c r="V91" i="2"/>
  <c r="V93" i="2"/>
  <c r="V95" i="2"/>
  <c r="V99" i="2"/>
  <c r="V101" i="2"/>
  <c r="V102" i="2"/>
  <c r="V103" i="2"/>
  <c r="V104" i="2"/>
  <c r="V106" i="2"/>
  <c r="V107" i="2"/>
  <c r="V109" i="2"/>
  <c r="V111" i="2"/>
  <c r="V112" i="2"/>
  <c r="V115" i="2"/>
  <c r="V122" i="2"/>
  <c r="V125" i="2"/>
  <c r="V127" i="2"/>
  <c r="V128" i="2"/>
  <c r="V133" i="2"/>
  <c r="V141" i="2"/>
  <c r="V142" i="2"/>
  <c r="V143" i="2"/>
  <c r="V144" i="2"/>
  <c r="V145" i="2"/>
  <c r="V146" i="2"/>
  <c r="V151" i="2"/>
  <c r="V155" i="2"/>
  <c r="V156" i="2"/>
  <c r="V157" i="2"/>
  <c r="V161" i="2"/>
  <c r="V169" i="2"/>
  <c r="V171" i="2"/>
  <c r="V172" i="2"/>
  <c r="V173" i="2"/>
  <c r="V175" i="2"/>
  <c r="V176" i="2"/>
  <c r="V177" i="2"/>
  <c r="V178" i="2"/>
  <c r="V179" i="2"/>
  <c r="V180" i="2"/>
  <c r="V182" i="2"/>
  <c r="V186" i="2"/>
  <c r="V189" i="2"/>
  <c r="V194" i="2"/>
  <c r="V195" i="2"/>
  <c r="V196" i="2"/>
  <c r="V198" i="2"/>
  <c r="V199" i="2"/>
  <c r="V200" i="2"/>
  <c r="V207" i="2"/>
  <c r="V209" i="2"/>
  <c r="V213" i="2"/>
  <c r="V218" i="2"/>
  <c r="V219" i="2"/>
  <c r="V220" i="2"/>
  <c r="V229" i="2"/>
  <c r="V231" i="2"/>
  <c r="V232" i="2"/>
  <c r="V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AO60" i="2" s="1"/>
  <c r="T61" i="2"/>
  <c r="AO61" i="2" s="1"/>
  <c r="T62" i="2"/>
  <c r="T63" i="2"/>
  <c r="T64" i="2"/>
  <c r="T65" i="2"/>
  <c r="T66" i="2"/>
  <c r="AO66" i="2" s="1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2" i="2"/>
  <c r="T233" i="2"/>
  <c r="T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21" i="2"/>
  <c r="R25" i="2"/>
  <c r="R26" i="2"/>
  <c r="R27" i="2"/>
  <c r="R28" i="2"/>
  <c r="R30" i="2"/>
  <c r="R31" i="2"/>
  <c r="R32" i="2"/>
  <c r="R33" i="2"/>
  <c r="R34" i="2"/>
  <c r="R35" i="2"/>
  <c r="R37" i="2"/>
  <c r="R38" i="2"/>
  <c r="R39" i="2"/>
  <c r="R40" i="2"/>
  <c r="R41" i="2"/>
  <c r="R42" i="2"/>
  <c r="R43" i="2"/>
  <c r="AO43" i="2" s="1"/>
  <c r="R44" i="2"/>
  <c r="AO44" i="2" s="1"/>
  <c r="R45" i="2"/>
  <c r="AO45" i="2" s="1"/>
  <c r="Q46" i="2"/>
  <c r="R46" i="2" s="1"/>
  <c r="AO46" i="2" s="1"/>
  <c r="AP46" i="2" s="1"/>
  <c r="R47" i="2"/>
  <c r="AO47" i="2" s="1"/>
  <c r="R48" i="2"/>
  <c r="AO48" i="2" s="1"/>
  <c r="R49" i="2"/>
  <c r="AO49" i="2" s="1"/>
  <c r="R50" i="2"/>
  <c r="AO50" i="2" s="1"/>
  <c r="R51" i="2"/>
  <c r="AO51" i="2" s="1"/>
  <c r="R52" i="2"/>
  <c r="AO52" i="2" s="1"/>
  <c r="R53" i="2"/>
  <c r="AO53" i="2" s="1"/>
  <c r="R54" i="2"/>
  <c r="AO54" i="2" s="1"/>
  <c r="R55" i="2"/>
  <c r="AO55" i="2" s="1"/>
  <c r="R56" i="2"/>
  <c r="AO56" i="2" s="1"/>
  <c r="R57" i="2"/>
  <c r="AO57" i="2" s="1"/>
  <c r="R58" i="2"/>
  <c r="AO58" i="2" s="1"/>
  <c r="R59" i="2"/>
  <c r="AO59" i="2" s="1"/>
  <c r="R62" i="2"/>
  <c r="AO62" i="2" s="1"/>
  <c r="R63" i="2"/>
  <c r="R64" i="2"/>
  <c r="AO64" i="2" s="1"/>
  <c r="R65" i="2"/>
  <c r="R67" i="2"/>
  <c r="AO67" i="2" s="1"/>
  <c r="R68" i="2"/>
  <c r="AO68" i="2" s="1"/>
  <c r="R69" i="2"/>
  <c r="AO69" i="2" s="1"/>
  <c r="R70" i="2"/>
  <c r="AO70" i="2" s="1"/>
  <c r="R71" i="2"/>
  <c r="AO71" i="2" s="1"/>
  <c r="R72" i="2"/>
  <c r="AO72" i="2" s="1"/>
  <c r="R73" i="2"/>
  <c r="AO73" i="2" s="1"/>
  <c r="R74" i="2"/>
  <c r="AO74" i="2" s="1"/>
  <c r="R75" i="2"/>
  <c r="AO75" i="2" s="1"/>
  <c r="R76" i="2"/>
  <c r="AO76" i="2" s="1"/>
  <c r="R77" i="2"/>
  <c r="AO77" i="2" s="1"/>
  <c r="R78" i="2"/>
  <c r="R79" i="2"/>
  <c r="AO79" i="2" s="1"/>
  <c r="R80" i="2"/>
  <c r="R81" i="2"/>
  <c r="AO81" i="2" s="1"/>
  <c r="R82" i="2"/>
  <c r="R84" i="2"/>
  <c r="R85" i="2"/>
  <c r="R86" i="2"/>
  <c r="R87" i="2"/>
  <c r="R88" i="2"/>
  <c r="R89" i="2"/>
  <c r="R90" i="2"/>
  <c r="R91" i="2"/>
  <c r="R92" i="2"/>
  <c r="R93" i="2"/>
  <c r="R95" i="2"/>
  <c r="R96" i="2"/>
  <c r="R97" i="2"/>
  <c r="R98" i="2"/>
  <c r="R99" i="2"/>
  <c r="R100" i="2"/>
  <c r="R101" i="2"/>
  <c r="R102" i="2"/>
  <c r="R103" i="2"/>
  <c r="R105" i="2"/>
  <c r="R106" i="2"/>
  <c r="R107" i="2"/>
  <c r="R108" i="2"/>
  <c r="R110" i="2"/>
  <c r="R111" i="2"/>
  <c r="R112" i="2"/>
  <c r="R113" i="2"/>
  <c r="R114" i="2"/>
  <c r="R115" i="2"/>
  <c r="R116" i="2"/>
  <c r="R117" i="2"/>
  <c r="R118" i="2"/>
  <c r="R119" i="2"/>
  <c r="R120" i="2"/>
  <c r="R122" i="2"/>
  <c r="R123" i="2"/>
  <c r="R124" i="2"/>
  <c r="R126" i="2"/>
  <c r="R128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9" i="2"/>
  <c r="R160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8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2" i="2"/>
  <c r="R203" i="2"/>
  <c r="R204" i="2"/>
  <c r="R206" i="2"/>
  <c r="R207" i="2"/>
  <c r="R208" i="2"/>
  <c r="R209" i="2"/>
  <c r="R210" i="2"/>
  <c r="R211" i="2"/>
  <c r="R212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3" i="2"/>
  <c r="AO4" i="2"/>
  <c r="AO6" i="2"/>
  <c r="AO8" i="2"/>
  <c r="AO10" i="2"/>
  <c r="AO12" i="2"/>
  <c r="AO14" i="2"/>
  <c r="AO15" i="2"/>
  <c r="AO17" i="2"/>
  <c r="AO19" i="2"/>
  <c r="AO21" i="2"/>
  <c r="AO22" i="2"/>
  <c r="AO23" i="2"/>
  <c r="AO24" i="2"/>
  <c r="AO25" i="2"/>
  <c r="AO27" i="2"/>
  <c r="AO30" i="2"/>
  <c r="AO32" i="2"/>
  <c r="AO34" i="2"/>
  <c r="AO36" i="2"/>
  <c r="AO37" i="2"/>
  <c r="AO39" i="2"/>
  <c r="AO41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8" i="2"/>
  <c r="AO99" i="2"/>
  <c r="AO100" i="2"/>
  <c r="AO102" i="2"/>
  <c r="AO103" i="2"/>
  <c r="AO104" i="2"/>
  <c r="AO106" i="2"/>
  <c r="AO107" i="2"/>
  <c r="AO108" i="2"/>
  <c r="AO110" i="2"/>
  <c r="AO111" i="2"/>
  <c r="AO112" i="2"/>
  <c r="AO114" i="2"/>
  <c r="AO115" i="2"/>
  <c r="AO116" i="2"/>
  <c r="AO118" i="2"/>
  <c r="AO119" i="2"/>
  <c r="AO120" i="2"/>
  <c r="AO121" i="2"/>
  <c r="AO123" i="2"/>
  <c r="AO125" i="2"/>
  <c r="AO127" i="2"/>
  <c r="AO128" i="2"/>
  <c r="AO129" i="2"/>
  <c r="AO130" i="2"/>
  <c r="AO132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5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2" i="2"/>
  <c r="AO184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8" i="2"/>
  <c r="AO210" i="2"/>
  <c r="AO212" i="2"/>
  <c r="AO214" i="2"/>
  <c r="AO216" i="2"/>
  <c r="AO218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3" i="2"/>
  <c r="AP6" i="2"/>
  <c r="AR6" i="2"/>
  <c r="AS6" i="2"/>
  <c r="AT6" i="2" s="1"/>
  <c r="AU6" i="2" s="1"/>
  <c r="AR7" i="2"/>
  <c r="AS7" i="2"/>
  <c r="AT7" i="2" s="1"/>
  <c r="AU7" i="2" s="1"/>
  <c r="AP8" i="2"/>
  <c r="AR8" i="2"/>
  <c r="AS8" i="2"/>
  <c r="AT8" i="2" s="1"/>
  <c r="AU8" i="2" s="1"/>
  <c r="AR9" i="2"/>
  <c r="AS9" i="2"/>
  <c r="AT9" i="2"/>
  <c r="AU9" i="2" s="1"/>
  <c r="AP10" i="2"/>
  <c r="AR10" i="2"/>
  <c r="AS10" i="2"/>
  <c r="AT10" i="2" s="1"/>
  <c r="AU10" i="2" s="1"/>
  <c r="AR11" i="2"/>
  <c r="AS11" i="2"/>
  <c r="AT11" i="2" s="1"/>
  <c r="AU11" i="2" s="1"/>
  <c r="AP12" i="2"/>
  <c r="AR12" i="2"/>
  <c r="AS12" i="2"/>
  <c r="AT12" i="2" s="1"/>
  <c r="AU12" i="2" s="1"/>
  <c r="AR13" i="2"/>
  <c r="AS13" i="2"/>
  <c r="AT13" i="2"/>
  <c r="AU13" i="2" s="1"/>
  <c r="AP14" i="2"/>
  <c r="AR14" i="2"/>
  <c r="AS14" i="2"/>
  <c r="AT14" i="2" s="1"/>
  <c r="AU14" i="2" s="1"/>
  <c r="AP15" i="2"/>
  <c r="AR15" i="2"/>
  <c r="AS15" i="2"/>
  <c r="AT15" i="2" s="1"/>
  <c r="AU15" i="2" s="1"/>
  <c r="AR16" i="2"/>
  <c r="AS16" i="2"/>
  <c r="AT16" i="2" s="1"/>
  <c r="AU16" i="2" s="1"/>
  <c r="AP17" i="2"/>
  <c r="AR17" i="2"/>
  <c r="AS17" i="2"/>
  <c r="AT17" i="2"/>
  <c r="AU17" i="2" s="1"/>
  <c r="AR18" i="2"/>
  <c r="AS18" i="2"/>
  <c r="AT18" i="2" s="1"/>
  <c r="AU18" i="2" s="1"/>
  <c r="AP19" i="2"/>
  <c r="AR19" i="2"/>
  <c r="AS19" i="2"/>
  <c r="AT19" i="2" s="1"/>
  <c r="AU19" i="2" s="1"/>
  <c r="AR20" i="2"/>
  <c r="AS20" i="2"/>
  <c r="AT20" i="2" s="1"/>
  <c r="AU20" i="2" s="1"/>
  <c r="AP21" i="2"/>
  <c r="AR21" i="2"/>
  <c r="AS21" i="2"/>
  <c r="AT21" i="2"/>
  <c r="AU21" i="2" s="1"/>
  <c r="AP22" i="2"/>
  <c r="AR22" i="2"/>
  <c r="AS22" i="2"/>
  <c r="AT22" i="2" s="1"/>
  <c r="AU22" i="2" s="1"/>
  <c r="AP23" i="2"/>
  <c r="AR23" i="2"/>
  <c r="AS23" i="2"/>
  <c r="AT23" i="2" s="1"/>
  <c r="AU23" i="2" s="1"/>
  <c r="AP24" i="2"/>
  <c r="AR24" i="2"/>
  <c r="AS24" i="2"/>
  <c r="AT24" i="2" s="1"/>
  <c r="AU24" i="2" s="1"/>
  <c r="AP25" i="2"/>
  <c r="AR25" i="2"/>
  <c r="AS25" i="2"/>
  <c r="AT25" i="2"/>
  <c r="AU25" i="2" s="1"/>
  <c r="AR26" i="2"/>
  <c r="AS26" i="2"/>
  <c r="AT26" i="2" s="1"/>
  <c r="AU26" i="2" s="1"/>
  <c r="AP27" i="2"/>
  <c r="AR27" i="2"/>
  <c r="AS27" i="2"/>
  <c r="AT27" i="2" s="1"/>
  <c r="AU27" i="2" s="1"/>
  <c r="AR28" i="2"/>
  <c r="AS28" i="2"/>
  <c r="AT28" i="2" s="1"/>
  <c r="AU28" i="2" s="1"/>
  <c r="AR29" i="2"/>
  <c r="AS29" i="2"/>
  <c r="AT29" i="2"/>
  <c r="AU29" i="2" s="1"/>
  <c r="AP30" i="2"/>
  <c r="AR30" i="2"/>
  <c r="AS30" i="2"/>
  <c r="AT30" i="2" s="1"/>
  <c r="AU30" i="2" s="1"/>
  <c r="AR31" i="2"/>
  <c r="AS31" i="2"/>
  <c r="AT31" i="2" s="1"/>
  <c r="AU31" i="2" s="1"/>
  <c r="AP32" i="2"/>
  <c r="AR32" i="2"/>
  <c r="AS32" i="2"/>
  <c r="AT32" i="2" s="1"/>
  <c r="AU32" i="2" s="1"/>
  <c r="AR33" i="2"/>
  <c r="AS33" i="2"/>
  <c r="AT33" i="2"/>
  <c r="AU33" i="2" s="1"/>
  <c r="AP34" i="2"/>
  <c r="AR34" i="2"/>
  <c r="AS34" i="2"/>
  <c r="AT34" i="2" s="1"/>
  <c r="AU34" i="2" s="1"/>
  <c r="AR35" i="2"/>
  <c r="AS35" i="2"/>
  <c r="AT35" i="2" s="1"/>
  <c r="AU35" i="2" s="1"/>
  <c r="AP36" i="2"/>
  <c r="AR36" i="2"/>
  <c r="AS36" i="2"/>
  <c r="AT36" i="2" s="1"/>
  <c r="AU36" i="2" s="1"/>
  <c r="AP37" i="2"/>
  <c r="AR37" i="2"/>
  <c r="AS37" i="2"/>
  <c r="AT37" i="2"/>
  <c r="AU37" i="2" s="1"/>
  <c r="AR38" i="2"/>
  <c r="AS38" i="2"/>
  <c r="AT38" i="2" s="1"/>
  <c r="AU38" i="2" s="1"/>
  <c r="AP39" i="2"/>
  <c r="AR39" i="2"/>
  <c r="AS39" i="2"/>
  <c r="AT39" i="2" s="1"/>
  <c r="AU39" i="2" s="1"/>
  <c r="AR40" i="2"/>
  <c r="AS40" i="2"/>
  <c r="AT40" i="2" s="1"/>
  <c r="AU40" i="2" s="1"/>
  <c r="AP41" i="2"/>
  <c r="AR41" i="2"/>
  <c r="AS41" i="2"/>
  <c r="AT41" i="2"/>
  <c r="AU41" i="2" s="1"/>
  <c r="AR42" i="2"/>
  <c r="AS42" i="2"/>
  <c r="AT42" i="2" s="1"/>
  <c r="AU42" i="2" s="1"/>
  <c r="AP43" i="2"/>
  <c r="AR43" i="2"/>
  <c r="AS43" i="2"/>
  <c r="AT43" i="2" s="1"/>
  <c r="AU43" i="2" s="1"/>
  <c r="AP44" i="2"/>
  <c r="AR44" i="2"/>
  <c r="AS44" i="2"/>
  <c r="AT44" i="2" s="1"/>
  <c r="AU44" i="2" s="1"/>
  <c r="AP45" i="2"/>
  <c r="AR45" i="2"/>
  <c r="AS45" i="2"/>
  <c r="AT45" i="2"/>
  <c r="AU45" i="2" s="1"/>
  <c r="AR46" i="2"/>
  <c r="AS46" i="2"/>
  <c r="AT46" i="2" s="1"/>
  <c r="AP47" i="2"/>
  <c r="AR47" i="2"/>
  <c r="AS47" i="2"/>
  <c r="AT47" i="2" s="1"/>
  <c r="AU47" i="2" s="1"/>
  <c r="AP48" i="2"/>
  <c r="AR48" i="2"/>
  <c r="AS48" i="2"/>
  <c r="AT48" i="2" s="1"/>
  <c r="AU48" i="2" s="1"/>
  <c r="AP49" i="2"/>
  <c r="AR49" i="2"/>
  <c r="AS49" i="2"/>
  <c r="AT49" i="2"/>
  <c r="AU49" i="2" s="1"/>
  <c r="AP50" i="2"/>
  <c r="AR50" i="2"/>
  <c r="AS50" i="2"/>
  <c r="AT50" i="2" s="1"/>
  <c r="AU50" i="2" s="1"/>
  <c r="AP51" i="2"/>
  <c r="AR51" i="2"/>
  <c r="AS51" i="2"/>
  <c r="AT51" i="2" s="1"/>
  <c r="AU51" i="2" s="1"/>
  <c r="AP52" i="2"/>
  <c r="AR52" i="2"/>
  <c r="AS52" i="2"/>
  <c r="AT52" i="2" s="1"/>
  <c r="AU52" i="2" s="1"/>
  <c r="AP53" i="2"/>
  <c r="AR53" i="2"/>
  <c r="AS53" i="2"/>
  <c r="AT53" i="2"/>
  <c r="AU53" i="2" s="1"/>
  <c r="AP54" i="2"/>
  <c r="AR54" i="2"/>
  <c r="AS54" i="2"/>
  <c r="AT54" i="2" s="1"/>
  <c r="AU54" i="2" s="1"/>
  <c r="AP55" i="2"/>
  <c r="AR55" i="2"/>
  <c r="AS55" i="2"/>
  <c r="AT55" i="2" s="1"/>
  <c r="AU55" i="2" s="1"/>
  <c r="AP56" i="2"/>
  <c r="AR56" i="2"/>
  <c r="AS56" i="2"/>
  <c r="AT56" i="2" s="1"/>
  <c r="AU56" i="2" s="1"/>
  <c r="AP57" i="2"/>
  <c r="AR57" i="2"/>
  <c r="AS57" i="2"/>
  <c r="AT57" i="2"/>
  <c r="AU57" i="2" s="1"/>
  <c r="AP58" i="2"/>
  <c r="AR58" i="2"/>
  <c r="AS58" i="2"/>
  <c r="AT58" i="2" s="1"/>
  <c r="AU58" i="2" s="1"/>
  <c r="AP59" i="2"/>
  <c r="AR59" i="2"/>
  <c r="AS59" i="2"/>
  <c r="AT59" i="2" s="1"/>
  <c r="AU59" i="2" s="1"/>
  <c r="AP60" i="2"/>
  <c r="AR60" i="2"/>
  <c r="AS60" i="2"/>
  <c r="AT60" i="2" s="1"/>
  <c r="AU60" i="2" s="1"/>
  <c r="AP61" i="2"/>
  <c r="AR61" i="2"/>
  <c r="AS61" i="2"/>
  <c r="AT61" i="2"/>
  <c r="AU61" i="2" s="1"/>
  <c r="AP62" i="2"/>
  <c r="AR62" i="2"/>
  <c r="AS62" i="2"/>
  <c r="AT62" i="2" s="1"/>
  <c r="AU62" i="2" s="1"/>
  <c r="AR63" i="2"/>
  <c r="AS63" i="2"/>
  <c r="AT63" i="2" s="1"/>
  <c r="AU63" i="2" s="1"/>
  <c r="AP64" i="2"/>
  <c r="AR64" i="2"/>
  <c r="AS64" i="2"/>
  <c r="AT64" i="2" s="1"/>
  <c r="AU64" i="2" s="1"/>
  <c r="AR65" i="2"/>
  <c r="AS65" i="2"/>
  <c r="AT65" i="2"/>
  <c r="AU65" i="2" s="1"/>
  <c r="AP66" i="2"/>
  <c r="AR66" i="2"/>
  <c r="AS66" i="2"/>
  <c r="AT66" i="2" s="1"/>
  <c r="AU66" i="2" s="1"/>
  <c r="AP67" i="2"/>
  <c r="AR67" i="2"/>
  <c r="AS67" i="2"/>
  <c r="AT67" i="2" s="1"/>
  <c r="AU67" i="2" s="1"/>
  <c r="AP68" i="2"/>
  <c r="AR68" i="2"/>
  <c r="AS68" i="2"/>
  <c r="AT68" i="2" s="1"/>
  <c r="AU68" i="2" s="1"/>
  <c r="AP69" i="2"/>
  <c r="AR69" i="2"/>
  <c r="AS69" i="2"/>
  <c r="AT69" i="2"/>
  <c r="AU69" i="2" s="1"/>
  <c r="AP70" i="2"/>
  <c r="AR70" i="2"/>
  <c r="AS70" i="2"/>
  <c r="AT70" i="2" s="1"/>
  <c r="AU70" i="2" s="1"/>
  <c r="AP71" i="2"/>
  <c r="AR71" i="2"/>
  <c r="AS71" i="2"/>
  <c r="AT71" i="2" s="1"/>
  <c r="AU71" i="2" s="1"/>
  <c r="AP72" i="2"/>
  <c r="AR72" i="2"/>
  <c r="AS72" i="2"/>
  <c r="AT72" i="2" s="1"/>
  <c r="AU72" i="2" s="1"/>
  <c r="AP73" i="2"/>
  <c r="AR73" i="2"/>
  <c r="AS73" i="2"/>
  <c r="AT73" i="2"/>
  <c r="AU73" i="2" s="1"/>
  <c r="AP74" i="2"/>
  <c r="AR74" i="2"/>
  <c r="AS74" i="2"/>
  <c r="AT74" i="2" s="1"/>
  <c r="AU74" i="2" s="1"/>
  <c r="AP75" i="2"/>
  <c r="AR75" i="2"/>
  <c r="AS75" i="2"/>
  <c r="AT75" i="2" s="1"/>
  <c r="AU75" i="2" s="1"/>
  <c r="AP76" i="2"/>
  <c r="AR76" i="2"/>
  <c r="AS76" i="2"/>
  <c r="AT76" i="2" s="1"/>
  <c r="AU76" i="2" s="1"/>
  <c r="AP77" i="2"/>
  <c r="AR77" i="2"/>
  <c r="AS77" i="2"/>
  <c r="AT77" i="2"/>
  <c r="AU77" i="2" s="1"/>
  <c r="AR78" i="2"/>
  <c r="AS78" i="2"/>
  <c r="AT78" i="2" s="1"/>
  <c r="AU78" i="2" s="1"/>
  <c r="AP79" i="2"/>
  <c r="AR79" i="2"/>
  <c r="AS79" i="2"/>
  <c r="AT79" i="2" s="1"/>
  <c r="AU79" i="2" s="1"/>
  <c r="AR80" i="2"/>
  <c r="AS80" i="2"/>
  <c r="AT80" i="2" s="1"/>
  <c r="AU80" i="2" s="1"/>
  <c r="AP81" i="2"/>
  <c r="AR81" i="2"/>
  <c r="AS81" i="2"/>
  <c r="AT81" i="2"/>
  <c r="AU81" i="2" s="1"/>
  <c r="AR82" i="2"/>
  <c r="AS82" i="2"/>
  <c r="AT82" i="2" s="1"/>
  <c r="AU82" i="2" s="1"/>
  <c r="AP83" i="2"/>
  <c r="AR83" i="2"/>
  <c r="AS83" i="2"/>
  <c r="AT83" i="2" s="1"/>
  <c r="AU83" i="2" s="1"/>
  <c r="AP84" i="2"/>
  <c r="AR84" i="2"/>
  <c r="AS84" i="2"/>
  <c r="AT84" i="2" s="1"/>
  <c r="AU84" i="2" s="1"/>
  <c r="AP85" i="2"/>
  <c r="AR85" i="2"/>
  <c r="AS85" i="2"/>
  <c r="AT85" i="2"/>
  <c r="AU85" i="2" s="1"/>
  <c r="AP86" i="2"/>
  <c r="AR86" i="2"/>
  <c r="AS86" i="2"/>
  <c r="AT86" i="2" s="1"/>
  <c r="AU86" i="2" s="1"/>
  <c r="AP87" i="2"/>
  <c r="AR87" i="2"/>
  <c r="AS87" i="2"/>
  <c r="AT87" i="2" s="1"/>
  <c r="AU87" i="2" s="1"/>
  <c r="AP88" i="2"/>
  <c r="AR88" i="2"/>
  <c r="AS88" i="2"/>
  <c r="AT88" i="2" s="1"/>
  <c r="AU88" i="2" s="1"/>
  <c r="AP89" i="2"/>
  <c r="AR89" i="2"/>
  <c r="AS89" i="2"/>
  <c r="AT89" i="2"/>
  <c r="AU89" i="2" s="1"/>
  <c r="AP90" i="2"/>
  <c r="AR90" i="2"/>
  <c r="AS90" i="2"/>
  <c r="AT90" i="2" s="1"/>
  <c r="AU90" i="2" s="1"/>
  <c r="AP91" i="2"/>
  <c r="AR91" i="2"/>
  <c r="AS91" i="2"/>
  <c r="AT91" i="2" s="1"/>
  <c r="AU91" i="2" s="1"/>
  <c r="AP92" i="2"/>
  <c r="AR92" i="2"/>
  <c r="AS92" i="2"/>
  <c r="AT92" i="2" s="1"/>
  <c r="AU92" i="2" s="1"/>
  <c r="AP93" i="2"/>
  <c r="AR93" i="2"/>
  <c r="AS93" i="2"/>
  <c r="AT93" i="2"/>
  <c r="AU93" i="2" s="1"/>
  <c r="AP94" i="2"/>
  <c r="AR94" i="2"/>
  <c r="AS94" i="2"/>
  <c r="AT94" i="2" s="1"/>
  <c r="AU94" i="2" s="1"/>
  <c r="AP95" i="2"/>
  <c r="AR95" i="2"/>
  <c r="AS95" i="2"/>
  <c r="AT95" i="2" s="1"/>
  <c r="AU95" i="2" s="1"/>
  <c r="AP96" i="2"/>
  <c r="AR96" i="2"/>
  <c r="AS96" i="2"/>
  <c r="AT96" i="2" s="1"/>
  <c r="AU96" i="2" s="1"/>
  <c r="AR97" i="2"/>
  <c r="AS97" i="2"/>
  <c r="AT97" i="2"/>
  <c r="AU97" i="2" s="1"/>
  <c r="AP98" i="2"/>
  <c r="AR98" i="2"/>
  <c r="AS98" i="2"/>
  <c r="AT98" i="2" s="1"/>
  <c r="AU98" i="2" s="1"/>
  <c r="AP99" i="2"/>
  <c r="AR99" i="2"/>
  <c r="AS99" i="2"/>
  <c r="AT99" i="2" s="1"/>
  <c r="AU99" i="2" s="1"/>
  <c r="AP100" i="2"/>
  <c r="AR100" i="2"/>
  <c r="AS100" i="2"/>
  <c r="AT100" i="2" s="1"/>
  <c r="AR101" i="2"/>
  <c r="AS101" i="2"/>
  <c r="AT101" i="2"/>
  <c r="AU101" i="2" s="1"/>
  <c r="AP102" i="2"/>
  <c r="AR102" i="2"/>
  <c r="AS102" i="2"/>
  <c r="AT102" i="2" s="1"/>
  <c r="AU102" i="2" s="1"/>
  <c r="AP103" i="2"/>
  <c r="AR103" i="2"/>
  <c r="AS103" i="2"/>
  <c r="AT103" i="2" s="1"/>
  <c r="AU103" i="2" s="1"/>
  <c r="AP104" i="2"/>
  <c r="AR104" i="2"/>
  <c r="AS104" i="2"/>
  <c r="AT104" i="2" s="1"/>
  <c r="AU104" i="2" s="1"/>
  <c r="AR105" i="2"/>
  <c r="AS105" i="2"/>
  <c r="AT105" i="2"/>
  <c r="AU105" i="2" s="1"/>
  <c r="AP106" i="2"/>
  <c r="AR106" i="2"/>
  <c r="AS106" i="2"/>
  <c r="AT106" i="2" s="1"/>
  <c r="AU106" i="2" s="1"/>
  <c r="AP107" i="2"/>
  <c r="AR107" i="2"/>
  <c r="AS107" i="2"/>
  <c r="AT107" i="2" s="1"/>
  <c r="AU107" i="2" s="1"/>
  <c r="AP108" i="2"/>
  <c r="AR108" i="2"/>
  <c r="AS108" i="2"/>
  <c r="AT108" i="2" s="1"/>
  <c r="AU108" i="2"/>
  <c r="AR109" i="2"/>
  <c r="AS109" i="2"/>
  <c r="AT109" i="2"/>
  <c r="AU109" i="2" s="1"/>
  <c r="AP110" i="2"/>
  <c r="AR110" i="2"/>
  <c r="AS110" i="2"/>
  <c r="AT110" i="2" s="1"/>
  <c r="AU110" i="2" s="1"/>
  <c r="AP111" i="2"/>
  <c r="AR111" i="2"/>
  <c r="AS111" i="2"/>
  <c r="AT111" i="2"/>
  <c r="AU111" i="2" s="1"/>
  <c r="AP112" i="2"/>
  <c r="AR112" i="2"/>
  <c r="AS112" i="2"/>
  <c r="AT112" i="2" s="1"/>
  <c r="AU112" i="2"/>
  <c r="AR113" i="2"/>
  <c r="AS113" i="2"/>
  <c r="AT113" i="2"/>
  <c r="AU113" i="2" s="1"/>
  <c r="AP114" i="2"/>
  <c r="AR114" i="2"/>
  <c r="AS114" i="2"/>
  <c r="AT114" i="2" s="1"/>
  <c r="AU114" i="2" s="1"/>
  <c r="AP115" i="2"/>
  <c r="AR115" i="2"/>
  <c r="AS115" i="2"/>
  <c r="AT115" i="2"/>
  <c r="AU115" i="2" s="1"/>
  <c r="AP116" i="2"/>
  <c r="AR116" i="2"/>
  <c r="AS116" i="2"/>
  <c r="AT116" i="2" s="1"/>
  <c r="AU116" i="2"/>
  <c r="AR117" i="2"/>
  <c r="AS117" i="2"/>
  <c r="AT117" i="2"/>
  <c r="AU117" i="2" s="1"/>
  <c r="AP118" i="2"/>
  <c r="AR118" i="2"/>
  <c r="AS118" i="2"/>
  <c r="AT118" i="2" s="1"/>
  <c r="AU118" i="2" s="1"/>
  <c r="AP119" i="2"/>
  <c r="AR119" i="2"/>
  <c r="AS119" i="2"/>
  <c r="AT119" i="2"/>
  <c r="AU119" i="2" s="1"/>
  <c r="AP120" i="2"/>
  <c r="AR120" i="2"/>
  <c r="AS120" i="2"/>
  <c r="AT120" i="2" s="1"/>
  <c r="AU120" i="2"/>
  <c r="AP121" i="2"/>
  <c r="AR121" i="2"/>
  <c r="AS121" i="2"/>
  <c r="AT121" i="2"/>
  <c r="AU121" i="2" s="1"/>
  <c r="AR122" i="2"/>
  <c r="AS122" i="2"/>
  <c r="AT122" i="2" s="1"/>
  <c r="AU122" i="2" s="1"/>
  <c r="AP123" i="2"/>
  <c r="AR123" i="2"/>
  <c r="AS123" i="2"/>
  <c r="AT123" i="2"/>
  <c r="AU123" i="2" s="1"/>
  <c r="AR124" i="2"/>
  <c r="AS124" i="2"/>
  <c r="AT124" i="2" s="1"/>
  <c r="AU124" i="2"/>
  <c r="AP125" i="2"/>
  <c r="AR125" i="2"/>
  <c r="AS125" i="2"/>
  <c r="AT125" i="2"/>
  <c r="AU125" i="2" s="1"/>
  <c r="AR126" i="2"/>
  <c r="AS126" i="2"/>
  <c r="AT126" i="2" s="1"/>
  <c r="AU126" i="2" s="1"/>
  <c r="AP127" i="2"/>
  <c r="AR127" i="2"/>
  <c r="AS127" i="2"/>
  <c r="AT127" i="2"/>
  <c r="AU127" i="2" s="1"/>
  <c r="AP128" i="2"/>
  <c r="AR128" i="2"/>
  <c r="AS128" i="2"/>
  <c r="AT128" i="2" s="1"/>
  <c r="AU128" i="2"/>
  <c r="AP129" i="2"/>
  <c r="AR129" i="2"/>
  <c r="AS129" i="2"/>
  <c r="AT129" i="2"/>
  <c r="AU129" i="2" s="1"/>
  <c r="AP130" i="2"/>
  <c r="AR130" i="2"/>
  <c r="AS130" i="2"/>
  <c r="AT130" i="2" s="1"/>
  <c r="AU130" i="2" s="1"/>
  <c r="AR131" i="2"/>
  <c r="AS131" i="2"/>
  <c r="AT131" i="2" s="1"/>
  <c r="AU131" i="2" s="1"/>
  <c r="AP132" i="2"/>
  <c r="AR132" i="2"/>
  <c r="AS132" i="2"/>
  <c r="AT132" i="2" s="1"/>
  <c r="AU132" i="2" s="1"/>
  <c r="AR133" i="2"/>
  <c r="AS133" i="2"/>
  <c r="AT133" i="2"/>
  <c r="AU133" i="2"/>
  <c r="AP134" i="2"/>
  <c r="AR134" i="2"/>
  <c r="AS134" i="2"/>
  <c r="AT134" i="2"/>
  <c r="AU134" i="2" s="1"/>
  <c r="AP135" i="2"/>
  <c r="AR135" i="2"/>
  <c r="AS135" i="2"/>
  <c r="AT135" i="2" s="1"/>
  <c r="AU135" i="2" s="1"/>
  <c r="AP136" i="2"/>
  <c r="AR136" i="2"/>
  <c r="AS136" i="2"/>
  <c r="AT136" i="2" s="1"/>
  <c r="AU136" i="2" s="1"/>
  <c r="AP137" i="2"/>
  <c r="AR137" i="2"/>
  <c r="AS137" i="2"/>
  <c r="AT137" i="2"/>
  <c r="AU137" i="2"/>
  <c r="AP138" i="2"/>
  <c r="AR138" i="2"/>
  <c r="AS138" i="2"/>
  <c r="AT138" i="2"/>
  <c r="AU138" i="2" s="1"/>
  <c r="AP139" i="2"/>
  <c r="AR139" i="2"/>
  <c r="AS139" i="2"/>
  <c r="AT139" i="2" s="1"/>
  <c r="AU139" i="2" s="1"/>
  <c r="AP140" i="2"/>
  <c r="AR140" i="2"/>
  <c r="AS140" i="2"/>
  <c r="AT140" i="2" s="1"/>
  <c r="AU140" i="2" s="1"/>
  <c r="AP141" i="2"/>
  <c r="AR141" i="2"/>
  <c r="AS141" i="2"/>
  <c r="AT141" i="2"/>
  <c r="AU141" i="2" s="1"/>
  <c r="AP142" i="2"/>
  <c r="AR142" i="2"/>
  <c r="AS142" i="2"/>
  <c r="AT142" i="2" s="1"/>
  <c r="AU142" i="2" s="1"/>
  <c r="AP143" i="2"/>
  <c r="AR143" i="2"/>
  <c r="AS143" i="2"/>
  <c r="AT143" i="2"/>
  <c r="AU143" i="2" s="1"/>
  <c r="AP144" i="2"/>
  <c r="AR144" i="2"/>
  <c r="AS144" i="2"/>
  <c r="AT144" i="2" s="1"/>
  <c r="AU144" i="2" s="1"/>
  <c r="AP145" i="2"/>
  <c r="AR145" i="2"/>
  <c r="AS145" i="2"/>
  <c r="AT145" i="2"/>
  <c r="AU145" i="2" s="1"/>
  <c r="AP146" i="2"/>
  <c r="AR146" i="2"/>
  <c r="AS146" i="2"/>
  <c r="AT146" i="2" s="1"/>
  <c r="AU146" i="2" s="1"/>
  <c r="AP147" i="2"/>
  <c r="AR147" i="2"/>
  <c r="AS147" i="2"/>
  <c r="AT147" i="2"/>
  <c r="AU147" i="2" s="1"/>
  <c r="AP148" i="2"/>
  <c r="AR148" i="2"/>
  <c r="AS148" i="2"/>
  <c r="AT148" i="2" s="1"/>
  <c r="AU148" i="2" s="1"/>
  <c r="AP149" i="2"/>
  <c r="AR149" i="2"/>
  <c r="AS149" i="2"/>
  <c r="AT149" i="2"/>
  <c r="AU149" i="2" s="1"/>
  <c r="AP150" i="2"/>
  <c r="AR150" i="2"/>
  <c r="AS150" i="2"/>
  <c r="AT150" i="2" s="1"/>
  <c r="AU150" i="2" s="1"/>
  <c r="AP151" i="2"/>
  <c r="AR151" i="2"/>
  <c r="AS151" i="2"/>
  <c r="AT151" i="2"/>
  <c r="AU151" i="2" s="1"/>
  <c r="AP152" i="2"/>
  <c r="AR152" i="2"/>
  <c r="AS152" i="2"/>
  <c r="AT152" i="2" s="1"/>
  <c r="AU152" i="2" s="1"/>
  <c r="AP153" i="2"/>
  <c r="AR153" i="2"/>
  <c r="AS153" i="2"/>
  <c r="AT153" i="2"/>
  <c r="AU153" i="2" s="1"/>
  <c r="AP154" i="2"/>
  <c r="AR154" i="2"/>
  <c r="AS154" i="2"/>
  <c r="AT154" i="2" s="1"/>
  <c r="AU154" i="2" s="1"/>
  <c r="AP155" i="2"/>
  <c r="AR155" i="2"/>
  <c r="AS155" i="2"/>
  <c r="AT155" i="2"/>
  <c r="AU155" i="2" s="1"/>
  <c r="AP156" i="2"/>
  <c r="AR156" i="2"/>
  <c r="AS156" i="2"/>
  <c r="AT156" i="2" s="1"/>
  <c r="AU156" i="2"/>
  <c r="AP157" i="2"/>
  <c r="AR157" i="2"/>
  <c r="AS157" i="2"/>
  <c r="AT157" i="2"/>
  <c r="AU157" i="2" s="1"/>
  <c r="AP158" i="2"/>
  <c r="AR158" i="2"/>
  <c r="AS158" i="2"/>
  <c r="AT158" i="2" s="1"/>
  <c r="AU158" i="2" s="1"/>
  <c r="AP159" i="2"/>
  <c r="AR159" i="2"/>
  <c r="AS159" i="2"/>
  <c r="AT159" i="2"/>
  <c r="AU159" i="2" s="1"/>
  <c r="AP160" i="2"/>
  <c r="AR160" i="2"/>
  <c r="AS160" i="2"/>
  <c r="AT160" i="2" s="1"/>
  <c r="AU160" i="2" s="1"/>
  <c r="AP161" i="2"/>
  <c r="AR161" i="2"/>
  <c r="AS161" i="2"/>
  <c r="AT161" i="2"/>
  <c r="AU161" i="2" s="1"/>
  <c r="AP162" i="2"/>
  <c r="AR162" i="2"/>
  <c r="AS162" i="2"/>
  <c r="AT162" i="2" s="1"/>
  <c r="AU162" i="2" s="1"/>
  <c r="AP163" i="2"/>
  <c r="AR163" i="2"/>
  <c r="AS163" i="2"/>
  <c r="AT163" i="2"/>
  <c r="AU163" i="2" s="1"/>
  <c r="AR164" i="2"/>
  <c r="AS164" i="2"/>
  <c r="AT164" i="2" s="1"/>
  <c r="AU164" i="2"/>
  <c r="AP165" i="2"/>
  <c r="AR165" i="2"/>
  <c r="AS165" i="2"/>
  <c r="AT165" i="2"/>
  <c r="AU165" i="2" s="1"/>
  <c r="AR166" i="2"/>
  <c r="AS166" i="2"/>
  <c r="AT166" i="2" s="1"/>
  <c r="AU166" i="2" s="1"/>
  <c r="AP167" i="2"/>
  <c r="AR167" i="2"/>
  <c r="AS167" i="2"/>
  <c r="AT167" i="2"/>
  <c r="AU167" i="2" s="1"/>
  <c r="AP168" i="2"/>
  <c r="AR168" i="2"/>
  <c r="AS168" i="2"/>
  <c r="AT168" i="2" s="1"/>
  <c r="AU168" i="2"/>
  <c r="AP169" i="2"/>
  <c r="AR169" i="2"/>
  <c r="AS169" i="2"/>
  <c r="AT169" i="2"/>
  <c r="AU169" i="2" s="1"/>
  <c r="AP170" i="2"/>
  <c r="AR170" i="2"/>
  <c r="AS170" i="2"/>
  <c r="AT170" i="2" s="1"/>
  <c r="AU170" i="2" s="1"/>
  <c r="AP171" i="2"/>
  <c r="AR171" i="2"/>
  <c r="AS171" i="2"/>
  <c r="AT171" i="2"/>
  <c r="AU171" i="2" s="1"/>
  <c r="AP172" i="2"/>
  <c r="AR172" i="2"/>
  <c r="AS172" i="2"/>
  <c r="AT172" i="2" s="1"/>
  <c r="AU172" i="2" s="1"/>
  <c r="AP173" i="2"/>
  <c r="AR173" i="2"/>
  <c r="AS173" i="2"/>
  <c r="AT173" i="2"/>
  <c r="AU173" i="2" s="1"/>
  <c r="AP174" i="2"/>
  <c r="AR174" i="2"/>
  <c r="AS174" i="2"/>
  <c r="AT174" i="2" s="1"/>
  <c r="AU174" i="2" s="1"/>
  <c r="AP175" i="2"/>
  <c r="AR175" i="2"/>
  <c r="AS175" i="2"/>
  <c r="AT175" i="2"/>
  <c r="AU175" i="2" s="1"/>
  <c r="AP176" i="2"/>
  <c r="AR176" i="2"/>
  <c r="AS176" i="2"/>
  <c r="AT176" i="2" s="1"/>
  <c r="AU176" i="2"/>
  <c r="AP177" i="2"/>
  <c r="AR177" i="2"/>
  <c r="AS177" i="2"/>
  <c r="AT177" i="2"/>
  <c r="AU177" i="2" s="1"/>
  <c r="AP178" i="2"/>
  <c r="AR178" i="2"/>
  <c r="AS178" i="2"/>
  <c r="AT178" i="2" s="1"/>
  <c r="AU178" i="2" s="1"/>
  <c r="AP179" i="2"/>
  <c r="AR179" i="2"/>
  <c r="AS179" i="2"/>
  <c r="AT179" i="2"/>
  <c r="AU179" i="2" s="1"/>
  <c r="AP180" i="2"/>
  <c r="AR180" i="2"/>
  <c r="AS180" i="2"/>
  <c r="AT180" i="2" s="1"/>
  <c r="AU180" i="2" s="1"/>
  <c r="AR181" i="2"/>
  <c r="AS181" i="2"/>
  <c r="AT181" i="2"/>
  <c r="AU181" i="2" s="1"/>
  <c r="AP182" i="2"/>
  <c r="AR182" i="2"/>
  <c r="AS182" i="2"/>
  <c r="AT182" i="2" s="1"/>
  <c r="AU182" i="2" s="1"/>
  <c r="AR183" i="2"/>
  <c r="AS183" i="2"/>
  <c r="AT183" i="2"/>
  <c r="AU183" i="2" s="1"/>
  <c r="AP184" i="2"/>
  <c r="AR184" i="2"/>
  <c r="AS184" i="2"/>
  <c r="AT184" i="2" s="1"/>
  <c r="AU184" i="2"/>
  <c r="AR185" i="2"/>
  <c r="AS185" i="2"/>
  <c r="AT185" i="2"/>
  <c r="AU185" i="2" s="1"/>
  <c r="AP186" i="2"/>
  <c r="AR186" i="2"/>
  <c r="AS186" i="2"/>
  <c r="AT186" i="2" s="1"/>
  <c r="AU186" i="2" s="1"/>
  <c r="AP187" i="2"/>
  <c r="AR187" i="2"/>
  <c r="AS187" i="2"/>
  <c r="AT187" i="2"/>
  <c r="AU187" i="2" s="1"/>
  <c r="AP188" i="2"/>
  <c r="AR188" i="2"/>
  <c r="AS188" i="2"/>
  <c r="AT188" i="2" s="1"/>
  <c r="AU188" i="2"/>
  <c r="AP189" i="2"/>
  <c r="AR189" i="2"/>
  <c r="AS189" i="2"/>
  <c r="AT189" i="2"/>
  <c r="AU189" i="2" s="1"/>
  <c r="AP190" i="2"/>
  <c r="AR190" i="2"/>
  <c r="AS190" i="2"/>
  <c r="AT190" i="2" s="1"/>
  <c r="AU190" i="2" s="1"/>
  <c r="AP191" i="2"/>
  <c r="AR191" i="2"/>
  <c r="AS191" i="2"/>
  <c r="AT191" i="2"/>
  <c r="AU191" i="2"/>
  <c r="AP192" i="2"/>
  <c r="AR192" i="2"/>
  <c r="AS192" i="2"/>
  <c r="AT192" i="2"/>
  <c r="AU192" i="2"/>
  <c r="AP193" i="2"/>
  <c r="AR193" i="2"/>
  <c r="AS193" i="2"/>
  <c r="AT193" i="2"/>
  <c r="AU193" i="2" s="1"/>
  <c r="AP194" i="2"/>
  <c r="AR194" i="2"/>
  <c r="AS194" i="2"/>
  <c r="AT194" i="2" s="1"/>
  <c r="AU194" i="2" s="1"/>
  <c r="AP195" i="2"/>
  <c r="AR195" i="2"/>
  <c r="AS195" i="2"/>
  <c r="AT195" i="2"/>
  <c r="AU195" i="2"/>
  <c r="AP196" i="2"/>
  <c r="AR196" i="2"/>
  <c r="AS196" i="2"/>
  <c r="AT196" i="2"/>
  <c r="AU196" i="2"/>
  <c r="AP197" i="2"/>
  <c r="AR197" i="2"/>
  <c r="AS197" i="2"/>
  <c r="AT197" i="2"/>
  <c r="AU197" i="2" s="1"/>
  <c r="AP198" i="2"/>
  <c r="AR198" i="2"/>
  <c r="AS198" i="2"/>
  <c r="AT198" i="2" s="1"/>
  <c r="AU198" i="2" s="1"/>
  <c r="AP199" i="2"/>
  <c r="AR199" i="2"/>
  <c r="AS199" i="2"/>
  <c r="AT199" i="2"/>
  <c r="AU199" i="2"/>
  <c r="AP200" i="2"/>
  <c r="AR200" i="2"/>
  <c r="AS200" i="2"/>
  <c r="AT200" i="2"/>
  <c r="AU200" i="2"/>
  <c r="AP201" i="2"/>
  <c r="AR201" i="2"/>
  <c r="AS201" i="2"/>
  <c r="AT201" i="2"/>
  <c r="AU201" i="2" s="1"/>
  <c r="AP202" i="2"/>
  <c r="AR202" i="2"/>
  <c r="AS202" i="2"/>
  <c r="AT202" i="2" s="1"/>
  <c r="AU202" i="2" s="1"/>
  <c r="AP203" i="2"/>
  <c r="AR203" i="2"/>
  <c r="AS203" i="2"/>
  <c r="AT203" i="2"/>
  <c r="AU203" i="2"/>
  <c r="AP204" i="2"/>
  <c r="AR204" i="2"/>
  <c r="AS204" i="2"/>
  <c r="AT204" i="2"/>
  <c r="AU204" i="2"/>
  <c r="AP205" i="2"/>
  <c r="AR205" i="2"/>
  <c r="AS205" i="2"/>
  <c r="AT205" i="2"/>
  <c r="AU205" i="2" s="1"/>
  <c r="AP206" i="2"/>
  <c r="AR206" i="2"/>
  <c r="AS206" i="2"/>
  <c r="AT206" i="2" s="1"/>
  <c r="AU206" i="2" s="1"/>
  <c r="AR207" i="2"/>
  <c r="AS207" i="2"/>
  <c r="AT207" i="2"/>
  <c r="AU207" i="2"/>
  <c r="AP208" i="2"/>
  <c r="AR208" i="2"/>
  <c r="AS208" i="2"/>
  <c r="AT208" i="2"/>
  <c r="AU208" i="2"/>
  <c r="AR209" i="2"/>
  <c r="AS209" i="2"/>
  <c r="AT209" i="2"/>
  <c r="AU209" i="2" s="1"/>
  <c r="AP210" i="2"/>
  <c r="AR210" i="2"/>
  <c r="AS210" i="2"/>
  <c r="AT210" i="2" s="1"/>
  <c r="AU210" i="2" s="1"/>
  <c r="AR211" i="2"/>
  <c r="AS211" i="2"/>
  <c r="AT211" i="2"/>
  <c r="AU211" i="2"/>
  <c r="AP212" i="2"/>
  <c r="AR212" i="2"/>
  <c r="AS212" i="2"/>
  <c r="AT212" i="2"/>
  <c r="AU212" i="2"/>
  <c r="AR213" i="2"/>
  <c r="AS213" i="2"/>
  <c r="AT213" i="2"/>
  <c r="AU213" i="2" s="1"/>
  <c r="AP214" i="2"/>
  <c r="AR214" i="2"/>
  <c r="AS214" i="2"/>
  <c r="AT214" i="2" s="1"/>
  <c r="AU214" i="2" s="1"/>
  <c r="AR215" i="2"/>
  <c r="AS215" i="2"/>
  <c r="AT215" i="2"/>
  <c r="AU215" i="2"/>
  <c r="AP216" i="2"/>
  <c r="AR216" i="2"/>
  <c r="AS216" i="2"/>
  <c r="AT216" i="2"/>
  <c r="AU216" i="2"/>
  <c r="AR217" i="2"/>
  <c r="AS217" i="2"/>
  <c r="AT217" i="2"/>
  <c r="AU217" i="2" s="1"/>
  <c r="AP218" i="2"/>
  <c r="AR218" i="2"/>
  <c r="AS218" i="2"/>
  <c r="AT218" i="2" s="1"/>
  <c r="AU218" i="2" s="1"/>
  <c r="AR219" i="2"/>
  <c r="AS219" i="2"/>
  <c r="AT219" i="2"/>
  <c r="AU219" i="2"/>
  <c r="AP220" i="2"/>
  <c r="AR220" i="2"/>
  <c r="AS220" i="2"/>
  <c r="AT220" i="2"/>
  <c r="AU220" i="2"/>
  <c r="AP221" i="2"/>
  <c r="AR221" i="2"/>
  <c r="AS221" i="2"/>
  <c r="AT221" i="2"/>
  <c r="AU221" i="2" s="1"/>
  <c r="AP222" i="2"/>
  <c r="AR222" i="2"/>
  <c r="AS222" i="2"/>
  <c r="AT222" i="2" s="1"/>
  <c r="AU222" i="2" s="1"/>
  <c r="AP223" i="2"/>
  <c r="AR223" i="2"/>
  <c r="AS223" i="2"/>
  <c r="AT223" i="2"/>
  <c r="AU223" i="2"/>
  <c r="AP224" i="2"/>
  <c r="AR224" i="2"/>
  <c r="AS224" i="2"/>
  <c r="AT224" i="2"/>
  <c r="AU224" i="2"/>
  <c r="AP225" i="2"/>
  <c r="AR225" i="2"/>
  <c r="AS225" i="2"/>
  <c r="AT225" i="2"/>
  <c r="AU225" i="2" s="1"/>
  <c r="AP226" i="2"/>
  <c r="AR226" i="2"/>
  <c r="AS226" i="2"/>
  <c r="AT226" i="2" s="1"/>
  <c r="AU226" i="2" s="1"/>
  <c r="AP227" i="2"/>
  <c r="AR227" i="2"/>
  <c r="AS227" i="2"/>
  <c r="AT227" i="2"/>
  <c r="AU227" i="2"/>
  <c r="AP228" i="2"/>
  <c r="AR228" i="2"/>
  <c r="AS228" i="2"/>
  <c r="AT228" i="2"/>
  <c r="AU228" i="2"/>
  <c r="AP229" i="2"/>
  <c r="AR229" i="2"/>
  <c r="AS229" i="2"/>
  <c r="AT229" i="2"/>
  <c r="AU229" i="2" s="1"/>
  <c r="AP230" i="2"/>
  <c r="AR230" i="2"/>
  <c r="AS230" i="2"/>
  <c r="AT230" i="2" s="1"/>
  <c r="AU230" i="2" s="1"/>
  <c r="AP231" i="2"/>
  <c r="AR231" i="2"/>
  <c r="AS231" i="2"/>
  <c r="AT231" i="2"/>
  <c r="AU231" i="2"/>
  <c r="AP232" i="2"/>
  <c r="AR232" i="2"/>
  <c r="AS232" i="2"/>
  <c r="AT232" i="2"/>
  <c r="AU232" i="2"/>
  <c r="AP233" i="2"/>
  <c r="AR233" i="2"/>
  <c r="AS233" i="2"/>
  <c r="AT233" i="2"/>
  <c r="AU233" i="2" s="1"/>
  <c r="AS3" i="2"/>
  <c r="AT3" i="2"/>
  <c r="AU3" i="2"/>
  <c r="AS4" i="2"/>
  <c r="AT4" i="2"/>
  <c r="AU4" i="2"/>
  <c r="AS5" i="2"/>
  <c r="AT5" i="2" s="1"/>
  <c r="AU5" i="2" s="1"/>
  <c r="AP4" i="2"/>
  <c r="AP3" i="2"/>
  <c r="AR4" i="2"/>
  <c r="AR5" i="2"/>
  <c r="AR3" i="2"/>
  <c r="AL185" i="2" l="1"/>
  <c r="AJ185" i="2"/>
  <c r="AH185" i="2"/>
  <c r="AL181" i="2"/>
  <c r="AJ181" i="2"/>
  <c r="AH181" i="2"/>
  <c r="AL164" i="2"/>
  <c r="AH164" i="2"/>
  <c r="AJ164" i="2"/>
  <c r="AL133" i="2"/>
  <c r="AJ133" i="2"/>
  <c r="AH133" i="2"/>
  <c r="AO133" i="2" s="1"/>
  <c r="AP133" i="2" s="1"/>
  <c r="AO82" i="2"/>
  <c r="AP82" i="2" s="1"/>
  <c r="AJ78" i="2"/>
  <c r="AO78" i="2" s="1"/>
  <c r="AP78" i="2" s="1"/>
  <c r="AL219" i="2"/>
  <c r="AH219" i="2"/>
  <c r="AJ219" i="2"/>
  <c r="AL215" i="2"/>
  <c r="AH215" i="2"/>
  <c r="AO215" i="2" s="1"/>
  <c r="AP215" i="2" s="1"/>
  <c r="AJ215" i="2"/>
  <c r="AL211" i="2"/>
  <c r="AH211" i="2"/>
  <c r="AO211" i="2" s="1"/>
  <c r="AP211" i="2" s="1"/>
  <c r="AL207" i="2"/>
  <c r="AH207" i="2"/>
  <c r="AL126" i="2"/>
  <c r="AJ126" i="2"/>
  <c r="AO126" i="2" s="1"/>
  <c r="AP126" i="2" s="1"/>
  <c r="AL122" i="2"/>
  <c r="AH122" i="2"/>
  <c r="AJ122" i="2"/>
  <c r="AL80" i="2"/>
  <c r="AJ80" i="2"/>
  <c r="AH80" i="2"/>
  <c r="AO80" i="2" s="1"/>
  <c r="AP80" i="2" s="1"/>
  <c r="AL65" i="2"/>
  <c r="AJ65" i="2"/>
  <c r="AH65" i="2"/>
  <c r="AO65" i="2" s="1"/>
  <c r="AP65" i="2" s="1"/>
  <c r="AL40" i="2"/>
  <c r="AH40" i="2"/>
  <c r="AL35" i="2"/>
  <c r="AH35" i="2"/>
  <c r="AO35" i="2" s="1"/>
  <c r="AP35" i="2" s="1"/>
  <c r="AL31" i="2"/>
  <c r="AJ31" i="2"/>
  <c r="AH31" i="2"/>
  <c r="AO31" i="2" s="1"/>
  <c r="AP31" i="2" s="1"/>
  <c r="AL26" i="2"/>
  <c r="AJ26" i="2"/>
  <c r="AL18" i="2"/>
  <c r="AH18" i="2"/>
  <c r="AO18" i="2" s="1"/>
  <c r="AP18" i="2" s="1"/>
  <c r="AL13" i="2"/>
  <c r="AH13" i="2"/>
  <c r="AJ13" i="2"/>
  <c r="AL9" i="2"/>
  <c r="AH9" i="2"/>
  <c r="AO9" i="2" s="1"/>
  <c r="AP9" i="2" s="1"/>
  <c r="AJ9" i="2"/>
  <c r="AL5" i="2"/>
  <c r="AH5" i="2"/>
  <c r="AF5" i="2"/>
  <c r="AO5" i="2" s="1"/>
  <c r="AP5" i="2" s="1"/>
  <c r="AJ5" i="2"/>
  <c r="AJ82" i="2"/>
  <c r="AL183" i="2"/>
  <c r="AJ183" i="2"/>
  <c r="AH183" i="2"/>
  <c r="AL166" i="2"/>
  <c r="AH166" i="2"/>
  <c r="AO166" i="2" s="1"/>
  <c r="AP166" i="2" s="1"/>
  <c r="AL131" i="2"/>
  <c r="AJ131" i="2"/>
  <c r="AL217" i="2"/>
  <c r="AJ217" i="2"/>
  <c r="AL213" i="2"/>
  <c r="AH213" i="2"/>
  <c r="AJ213" i="2"/>
  <c r="AL209" i="2"/>
  <c r="AH209" i="2"/>
  <c r="AJ209" i="2"/>
  <c r="AL124" i="2"/>
  <c r="AH124" i="2"/>
  <c r="AL117" i="2"/>
  <c r="AJ117" i="2"/>
  <c r="AH117" i="2"/>
  <c r="AO117" i="2" s="1"/>
  <c r="AP117" i="2" s="1"/>
  <c r="AL113" i="2"/>
  <c r="AJ113" i="2"/>
  <c r="AH113" i="2"/>
  <c r="AO113" i="2" s="1"/>
  <c r="AP113" i="2" s="1"/>
  <c r="AL109" i="2"/>
  <c r="AJ109" i="2"/>
  <c r="AH109" i="2"/>
  <c r="AL105" i="2"/>
  <c r="AJ105" i="2"/>
  <c r="AH105" i="2"/>
  <c r="AL101" i="2"/>
  <c r="AJ101" i="2"/>
  <c r="AH101" i="2"/>
  <c r="AO101" i="2" s="1"/>
  <c r="AP101" i="2" s="1"/>
  <c r="AL97" i="2"/>
  <c r="AJ97" i="2"/>
  <c r="AH97" i="2"/>
  <c r="AO97" i="2" s="1"/>
  <c r="AP97" i="2" s="1"/>
  <c r="AL63" i="2"/>
  <c r="AO63" i="2" s="1"/>
  <c r="AP63" i="2" s="1"/>
  <c r="AJ63" i="2"/>
  <c r="AH63" i="2"/>
  <c r="AL42" i="2"/>
  <c r="AH42" i="2"/>
  <c r="AO42" i="2" s="1"/>
  <c r="AP42" i="2" s="1"/>
  <c r="AJ42" i="2"/>
  <c r="AL38" i="2"/>
  <c r="AH38" i="2"/>
  <c r="AJ38" i="2"/>
  <c r="AL33" i="2"/>
  <c r="AH33" i="2"/>
  <c r="AJ33" i="2"/>
  <c r="AL29" i="2"/>
  <c r="AH29" i="2"/>
  <c r="AJ29" i="2"/>
  <c r="AL16" i="2"/>
  <c r="AJ16" i="2"/>
  <c r="AO16" i="2" s="1"/>
  <c r="AP16" i="2" s="1"/>
  <c r="AL11" i="2"/>
  <c r="AH11" i="2"/>
  <c r="AL7" i="2"/>
  <c r="AH7" i="2"/>
  <c r="AF7" i="2"/>
  <c r="AO213" i="2" l="1"/>
  <c r="AP213" i="2" s="1"/>
  <c r="AO164" i="2"/>
  <c r="AP164" i="2" s="1"/>
  <c r="AO11" i="2"/>
  <c r="AP11" i="2" s="1"/>
  <c r="AO33" i="2"/>
  <c r="AP33" i="2" s="1"/>
  <c r="AO109" i="2"/>
  <c r="AP109" i="2" s="1"/>
  <c r="AO209" i="2"/>
  <c r="AP209" i="2" s="1"/>
  <c r="AO40" i="2"/>
  <c r="AP40" i="2" s="1"/>
  <c r="AO185" i="2"/>
  <c r="AP185" i="2" s="1"/>
  <c r="AO38" i="2"/>
  <c r="AP38" i="2" s="1"/>
  <c r="AO7" i="2"/>
  <c r="AP7" i="2" s="1"/>
  <c r="AO29" i="2"/>
  <c r="AP29" i="2" s="1"/>
  <c r="AO105" i="2"/>
  <c r="AP105" i="2" s="1"/>
  <c r="AO124" i="2"/>
  <c r="AP124" i="2" s="1"/>
  <c r="AO217" i="2"/>
  <c r="AP217" i="2" s="1"/>
  <c r="AO131" i="2"/>
  <c r="AP131" i="2" s="1"/>
  <c r="AO183" i="2"/>
  <c r="AP183" i="2" s="1"/>
  <c r="AO13" i="2"/>
  <c r="AP13" i="2" s="1"/>
  <c r="AO26" i="2"/>
  <c r="AP26" i="2" s="1"/>
  <c r="AO122" i="2"/>
  <c r="AP122" i="2" s="1"/>
  <c r="AO207" i="2"/>
  <c r="AP207" i="2" s="1"/>
  <c r="AO219" i="2"/>
  <c r="AP219" i="2" s="1"/>
  <c r="AO181" i="2"/>
  <c r="AP181" i="2" s="1"/>
</calcChain>
</file>

<file path=xl/sharedStrings.xml><?xml version="1.0" encoding="utf-8"?>
<sst xmlns="http://schemas.openxmlformats.org/spreadsheetml/2006/main" count="1671" uniqueCount="301">
  <si>
    <t>Nom Marchandise</t>
  </si>
  <si>
    <t>Direction</t>
  </si>
  <si>
    <t>Prix unitaire / unité de compte Lt</t>
  </si>
  <si>
    <t>Prix unitaire / unité de compte Sous</t>
  </si>
  <si>
    <t>Prix unitaire / unité de compte Deniers</t>
  </si>
  <si>
    <t>Prix unitaire en décimale de Lt</t>
  </si>
  <si>
    <t>Remarques</t>
  </si>
  <si>
    <t>Entré par</t>
  </si>
  <si>
    <t>Source</t>
  </si>
  <si>
    <t>Page</t>
  </si>
  <si>
    <t>Année</t>
  </si>
  <si>
    <t>Exportations (Sorties)/Importations (Entrées)</t>
  </si>
  <si>
    <t>Jérémy Hervelin</t>
  </si>
  <si>
    <t>Bureau Principal</t>
  </si>
  <si>
    <t>quintal</t>
  </si>
  <si>
    <t>livre</t>
  </si>
  <si>
    <t>Angleterre</t>
  </si>
  <si>
    <t>Dunkerque</t>
  </si>
  <si>
    <t>Hollande</t>
  </si>
  <si>
    <t>Petites Isles</t>
  </si>
  <si>
    <t>aune</t>
  </si>
  <si>
    <t>Lorient</t>
  </si>
  <si>
    <t>Bordeaux</t>
  </si>
  <si>
    <t>Bayonne</t>
  </si>
  <si>
    <t>Espagne</t>
  </si>
  <si>
    <t>4 Villes Anséatiques</t>
  </si>
  <si>
    <t>Suède</t>
  </si>
  <si>
    <t>Russie</t>
  </si>
  <si>
    <t>Draperie</t>
  </si>
  <si>
    <t>F12 1667</t>
  </si>
  <si>
    <t>Unité de mesure</t>
  </si>
  <si>
    <t>Ports et Pays de France</t>
  </si>
  <si>
    <t>Noms</t>
  </si>
  <si>
    <t>Quantités</t>
  </si>
  <si>
    <t>Portugal</t>
  </si>
  <si>
    <t>Total Général</t>
  </si>
  <si>
    <t>Valeurs</t>
  </si>
  <si>
    <t>Acier</t>
  </si>
  <si>
    <t>Beurre</t>
  </si>
  <si>
    <t>Bierre</t>
  </si>
  <si>
    <t>Biscuit</t>
  </si>
  <si>
    <t>pièce</t>
  </si>
  <si>
    <t>muid</t>
  </si>
  <si>
    <t>Brosserie</t>
  </si>
  <si>
    <t>Chanvre</t>
  </si>
  <si>
    <t>Petites Isles et Bayonne</t>
  </si>
  <si>
    <t>Farine</t>
  </si>
  <si>
    <t>Fromage</t>
  </si>
  <si>
    <t>douzaine</t>
  </si>
  <si>
    <t>en nombre</t>
  </si>
  <si>
    <t>Valeurs sommées</t>
  </si>
  <si>
    <t>Différences quantité</t>
  </si>
  <si>
    <t>Différence valeurs</t>
  </si>
  <si>
    <t>Erreur</t>
  </si>
  <si>
    <t>Meubles</t>
  </si>
  <si>
    <t>Remarque calculs</t>
  </si>
  <si>
    <t>Bayonne et Dunkerque</t>
  </si>
  <si>
    <t>Plâtre</t>
  </si>
  <si>
    <t>Tableaux</t>
  </si>
  <si>
    <t>Thé</t>
  </si>
  <si>
    <t>Voitures</t>
  </si>
  <si>
    <t>Total Valeur en décimales de Lt</t>
  </si>
  <si>
    <t>Total quantité en décimales</t>
  </si>
  <si>
    <t>Agrès ; de navire</t>
  </si>
  <si>
    <t>Acier ; ouvré</t>
  </si>
  <si>
    <t>Alumettes ; souffrées</t>
  </si>
  <si>
    <t>Amidon</t>
  </si>
  <si>
    <t>Armes ; blanches ; diverses</t>
  </si>
  <si>
    <t>Armes ; à feu</t>
  </si>
  <si>
    <t>Baleine ; coupée</t>
  </si>
  <si>
    <t>Baleine ; en fanon</t>
  </si>
  <si>
    <t>Betes ; de somme ; chevaux</t>
  </si>
  <si>
    <t>Bois ; divers ; de construction</t>
  </si>
  <si>
    <t>Bois ; en aviron</t>
  </si>
  <si>
    <t>Bois ; de sapins ; en planches</t>
  </si>
  <si>
    <t>Bois ; de campêche</t>
  </si>
  <si>
    <t>Bois ; jaune</t>
  </si>
  <si>
    <t>Bois ; de Sainte Marthe</t>
  </si>
  <si>
    <t>Bois ; de Santal ; moulu</t>
  </si>
  <si>
    <t>Bois ; merrain</t>
  </si>
  <si>
    <t>Bois ; feuillard</t>
  </si>
  <si>
    <t>Bonneterie ; diverse</t>
  </si>
  <si>
    <t>Bonneterie ; de coton</t>
  </si>
  <si>
    <t>Bonneterie ; de laine</t>
  </si>
  <si>
    <t>Bourse ; de bœuf</t>
  </si>
  <si>
    <t>Bray et goudron</t>
  </si>
  <si>
    <t>Cauris</t>
  </si>
  <si>
    <t>Caves ; de flacons</t>
  </si>
  <si>
    <t>Cendre ; gravelée</t>
  </si>
  <si>
    <t>Chairs ; salées ; diverses</t>
  </si>
  <si>
    <t>Cire ; jaune</t>
  </si>
  <si>
    <t>Cire ; verte</t>
  </si>
  <si>
    <t>Cire ; en bougie</t>
  </si>
  <si>
    <t>Colle ; de flandre</t>
  </si>
  <si>
    <t>Colle ; forte</t>
  </si>
  <si>
    <t>Colle ; de poisson</t>
  </si>
  <si>
    <t>Cordage</t>
  </si>
  <si>
    <t>Cornes ; à lanternes</t>
  </si>
  <si>
    <t>Cornes ; de bœufs</t>
  </si>
  <si>
    <t>Coton ; filé</t>
  </si>
  <si>
    <t>Crin ; frisé</t>
  </si>
  <si>
    <t>Cuirs ; apprêtés</t>
  </si>
  <si>
    <t>Cuirs ; de bœufs ; en poil</t>
  </si>
  <si>
    <t>Cuirs ; de vache ; en poil</t>
  </si>
  <si>
    <t>Cuirs ; de loups</t>
  </si>
  <si>
    <t>Cuivre ; en feuilles</t>
  </si>
  <si>
    <t>Cuivre ; en fonds</t>
  </si>
  <si>
    <t>Cuivre ; en planches</t>
  </si>
  <si>
    <t>Cuivre ; en mitraille</t>
  </si>
  <si>
    <t>Cuivre ; en platine</t>
  </si>
  <si>
    <t>Cuivre ; en plaques</t>
  </si>
  <si>
    <t>Cuivre ; rouge ; à monnoyer</t>
  </si>
  <si>
    <t>Cuivre ; ouvré</t>
  </si>
  <si>
    <t>Drogueries ; médecinales ; diverses</t>
  </si>
  <si>
    <t>Ecaille ; au carrot</t>
  </si>
  <si>
    <t>Epicerie</t>
  </si>
  <si>
    <t>Estampes</t>
  </si>
  <si>
    <t>Etain ; en saumon</t>
  </si>
  <si>
    <t>Etain ; pour glaces</t>
  </si>
  <si>
    <t>Etain ; ouvré</t>
  </si>
  <si>
    <t>Etoffes ; de laine</t>
  </si>
  <si>
    <t>Etoffes ; de coton</t>
  </si>
  <si>
    <t>Fer ; blanc</t>
  </si>
  <si>
    <t>Fer ; en barres</t>
  </si>
  <si>
    <t>Fer ; en feuilles</t>
  </si>
  <si>
    <t>Fer ; de fonte</t>
  </si>
  <si>
    <t>Fer ; en tole</t>
  </si>
  <si>
    <t>Fer ; en verges</t>
  </si>
  <si>
    <t>Fer ; ouvré</t>
  </si>
  <si>
    <t>Fil ; blanc</t>
  </si>
  <si>
    <t>Gants ; de peau</t>
  </si>
  <si>
    <t>Gomme ; laque</t>
  </si>
  <si>
    <t>Gomme ; gutte</t>
  </si>
  <si>
    <t>Graines ; de jardin</t>
  </si>
  <si>
    <t>Huile ; de baleine</t>
  </si>
  <si>
    <t>Huile ; de lin</t>
  </si>
  <si>
    <t>Huile ; de morue</t>
  </si>
  <si>
    <t>Huile ; de navette</t>
  </si>
  <si>
    <t>Huile ; de graines ; diverses</t>
  </si>
  <si>
    <t>Instruments ; de musique</t>
  </si>
  <si>
    <t>Instruments ; de marine</t>
  </si>
  <si>
    <t>Laine ; filée</t>
  </si>
  <si>
    <t>Laine ; en masses</t>
  </si>
  <si>
    <t>Légumes</t>
  </si>
  <si>
    <t>Liège ; en bouchons</t>
  </si>
  <si>
    <t>Lin ; peigné</t>
  </si>
  <si>
    <t>Lin ; en masses</t>
  </si>
  <si>
    <t>Marchandises ; à la valeur</t>
  </si>
  <si>
    <t>Mercerie ; mêlée</t>
  </si>
  <si>
    <t>Meules ; à faire</t>
  </si>
  <si>
    <t>Mouchoirs ; divers</t>
  </si>
  <si>
    <t>Mouchoirs ; de coton</t>
  </si>
  <si>
    <t>Ouvrages ; de bois</t>
  </si>
  <si>
    <t>Ouvrages ; de cuirs</t>
  </si>
  <si>
    <t>Ouvrages ; de coutellerie</t>
  </si>
  <si>
    <t>Ouvrages ; de jonc ; de fer</t>
  </si>
  <si>
    <t>Ouvrages ; de potterie</t>
  </si>
  <si>
    <t>Pipes ; à fumer</t>
  </si>
  <si>
    <t>Papiers ; à écrire</t>
  </si>
  <si>
    <t>Parfumerie</t>
  </si>
  <si>
    <t>Peaux ; de cerfs</t>
  </si>
  <si>
    <t>Peaux ; de chats ; sauvages</t>
  </si>
  <si>
    <t>Peaux ; de loutres</t>
  </si>
  <si>
    <t>Peaux ; de lièvres</t>
  </si>
  <si>
    <t>Peaux ; d'ours</t>
  </si>
  <si>
    <t>Pelleterie ; diverse</t>
  </si>
  <si>
    <t>Peaux ; de veaux ; en poil</t>
  </si>
  <si>
    <t>Plomb ; en saumon</t>
  </si>
  <si>
    <t>Plomb ; en planches</t>
  </si>
  <si>
    <t>Plomb ; en grain</t>
  </si>
  <si>
    <t>Plumes ; à écrire</t>
  </si>
  <si>
    <t>Poisson ; salé</t>
  </si>
  <si>
    <t>Quincaillerie ; de fer</t>
  </si>
  <si>
    <t>Ruban ; de laine</t>
  </si>
  <si>
    <t>Ruban ; laine et fil</t>
  </si>
  <si>
    <t>Soye ; de porc</t>
  </si>
  <si>
    <t>Souffre ; en canon</t>
  </si>
  <si>
    <t>Suif ; soude</t>
  </si>
  <si>
    <t>Suif ; en chandels</t>
  </si>
  <si>
    <t>Terraille</t>
  </si>
  <si>
    <t>Tabac ; en feuille</t>
  </si>
  <si>
    <t>Toille ; de coton</t>
  </si>
  <si>
    <t>Toille ; rayée</t>
  </si>
  <si>
    <t>Toille ; bazin</t>
  </si>
  <si>
    <t>Toille ; ordinaire</t>
  </si>
  <si>
    <t>Toille ; damapée</t>
  </si>
  <si>
    <t>Toille ; à voile</t>
  </si>
  <si>
    <t>Toille ; baras</t>
  </si>
  <si>
    <t>Toille ; bajutapaux</t>
  </si>
  <si>
    <t>Toille ; bayette</t>
  </si>
  <si>
    <t>Toille ; calanéa</t>
  </si>
  <si>
    <t>Toille ; platille</t>
  </si>
  <si>
    <t>Toille ; chapelas</t>
  </si>
  <si>
    <t>Toille ; guinée</t>
  </si>
  <si>
    <t>Toille ; judieaux</t>
  </si>
  <si>
    <t>Toille ; liménéa</t>
  </si>
  <si>
    <t>Toille ; nankin</t>
  </si>
  <si>
    <t>Toille ; salemporis</t>
  </si>
  <si>
    <t>Verrerie</t>
  </si>
  <si>
    <t>Verre ; en bouteille</t>
  </si>
  <si>
    <t>Verre ; café</t>
  </si>
  <si>
    <t>Verroterie</t>
  </si>
  <si>
    <t>Vin ; d'Espagne</t>
  </si>
  <si>
    <t>Vin ; du Rhin</t>
  </si>
  <si>
    <t>Bois ; de sapins ; en Mats</t>
  </si>
  <si>
    <t>Bois ; en manches ; de gaffes</t>
  </si>
  <si>
    <t>Bois ; en cardines</t>
  </si>
  <si>
    <t>Bray ; poix ; de bourgogne</t>
  </si>
  <si>
    <t>Drogueries ; médecinales ; blanc ; de baleine</t>
  </si>
  <si>
    <t>Drogues ; pour la peinture et la teinture</t>
  </si>
  <si>
    <t>Eponges ; communes</t>
  </si>
  <si>
    <t>Fer ; en ancres</t>
  </si>
  <si>
    <t>Futailles ; vides</t>
  </si>
  <si>
    <t>Grains ; froment</t>
  </si>
  <si>
    <t>Graines ; de lin</t>
  </si>
  <si>
    <t>Instruments ; de mathématiques</t>
  </si>
  <si>
    <t>Ouvrages ; de sapementier</t>
  </si>
  <si>
    <t>Ouvrages ; en terre ; cuite</t>
  </si>
  <si>
    <t>Toille ; micanéa</t>
  </si>
  <si>
    <t>Importations</t>
  </si>
  <si>
    <t>Etats de l'Empereur</t>
  </si>
  <si>
    <t>Danemark</t>
  </si>
  <si>
    <t>Prusse</t>
  </si>
  <si>
    <t>Amérique</t>
  </si>
  <si>
    <t>Chairs ; choix ; de bœuf ; salée</t>
  </si>
  <si>
    <t>Chairs ; cou ; salé</t>
  </si>
  <si>
    <t>Chairs ; jambon</t>
  </si>
  <si>
    <t>Drogueries ; médecinales ; arsenic</t>
  </si>
  <si>
    <t>Drogueries ; médecinales ; peury</t>
  </si>
  <si>
    <t>Drogueries ; médecinales ; huile ; de vitriol</t>
  </si>
  <si>
    <t>Drogueries ; médecinales ; vitriol ; bleue</t>
  </si>
  <si>
    <t>Drogueries ; médecinales ; camphre</t>
  </si>
  <si>
    <t>Drogueries ; médecinales ; borax</t>
  </si>
  <si>
    <t>Drogueries ; médecinales ; capia liguea</t>
  </si>
  <si>
    <t>Drogueries ; médecinales ; bois ; de réglisse</t>
  </si>
  <si>
    <t>Drogueries ; médecinales ; salsepareille</t>
  </si>
  <si>
    <t>Drogueries ; médecinales ; tamarin</t>
  </si>
  <si>
    <t>Drogues ; pour la peinture et la teinture ; azur</t>
  </si>
  <si>
    <t>Drogues ; pour la peinture et la teinture ; alun ; de roche</t>
  </si>
  <si>
    <t>Drogues ; pour la peinture et la teinture ; Bleu ; de Prusse</t>
  </si>
  <si>
    <t>Drogues ; pour la peinture et la teinture ; Brun ; rouge</t>
  </si>
  <si>
    <t>Drogues ; pour la peinture et la teinture ; céruse</t>
  </si>
  <si>
    <t>Drogues ; pour la peinture et la teinture ; cinabre</t>
  </si>
  <si>
    <t>Drogues ; pour la peinture et la teinture ; couperose ; verte</t>
  </si>
  <si>
    <t>Drogues ; pour la peinture et la teinture ; garans</t>
  </si>
  <si>
    <t>Drogues ; pour la peinture et la teinture ; indigo</t>
  </si>
  <si>
    <t>Drogues ; pour la peinture et la teinture ; jude ; platte</t>
  </si>
  <si>
    <t>Drogues ; pour la peinture et la teinture ; littarge</t>
  </si>
  <si>
    <t>Drogues ; pour la peinture et la teinture ; mine ; de plomb</t>
  </si>
  <si>
    <t>Drogues ; pour la peinture et la teinture ; miny</t>
  </si>
  <si>
    <t>Drogues ; pour la peinture et la teinture ; orpiment</t>
  </si>
  <si>
    <t>Drogues ; pour la peinture et la teinture ; noir ; de fumée</t>
  </si>
  <si>
    <t>Drogues ; pour la peinture et la teinture ; sanguine</t>
  </si>
  <si>
    <t>Drogues ; pour la peinture et la teinture ; tournesol</t>
  </si>
  <si>
    <t>Epicerie ; girofle</t>
  </si>
  <si>
    <t>Epicerie ; muscade</t>
  </si>
  <si>
    <t>Epicerie ; piment</t>
  </si>
  <si>
    <t>Epicerie ; poivre ; dit maniquette</t>
  </si>
  <si>
    <t>Epicerie ; poivre ; en grain</t>
  </si>
  <si>
    <t>Epicerie ; poivre ; blanc</t>
  </si>
  <si>
    <t>Grains ; maïs</t>
  </si>
  <si>
    <t>Grains ; orge</t>
  </si>
  <si>
    <t>Grains ; ail</t>
  </si>
  <si>
    <t>Grains ; seigle</t>
  </si>
  <si>
    <t>Grains ; avoine</t>
  </si>
  <si>
    <t>Légumes ; haricots</t>
  </si>
  <si>
    <t>Légumes ; poix</t>
  </si>
  <si>
    <t>Poisson ; saumon</t>
  </si>
  <si>
    <t>Quincaillerie ; fil ; de laiton</t>
  </si>
  <si>
    <t>Quincaillerie ; clous ; de fer</t>
  </si>
  <si>
    <t>Quincaillerie ; faux ; à faucher</t>
  </si>
  <si>
    <t>Quincaillerie ; fil ; de fer</t>
  </si>
  <si>
    <t>Toille ; mousseline</t>
  </si>
  <si>
    <t>Armes ; sabres ; de traitte</t>
  </si>
  <si>
    <t>Armes ; fusils ; de traitte</t>
  </si>
  <si>
    <t>Charbon ; de terre</t>
  </si>
  <si>
    <t>le cent</t>
  </si>
  <si>
    <t>Cuivre ; en rosette</t>
  </si>
  <si>
    <t>Dunkerque et Bayonne</t>
  </si>
  <si>
    <t>Eau ; de vie ; d'Andaye</t>
  </si>
  <si>
    <t>le mille</t>
  </si>
  <si>
    <t>Bayonne et Lorien</t>
  </si>
  <si>
    <t>grosse</t>
  </si>
  <si>
    <t>Poisson ; stocfich</t>
  </si>
  <si>
    <t>Quincaillerie ; de cuivre ; en clous</t>
  </si>
  <si>
    <t>pair</t>
  </si>
  <si>
    <t>Cendre ; Salicor</t>
  </si>
  <si>
    <t>Armes ; pistolets</t>
  </si>
  <si>
    <t>paire</t>
  </si>
  <si>
    <t>Mlouins ; à blés</t>
  </si>
  <si>
    <t>Poterie ; degré</t>
  </si>
  <si>
    <t>pinte</t>
  </si>
  <si>
    <t>Erreur dans la somme.</t>
  </si>
  <si>
    <t>Erreur de calcul dans Espagne, le prix utilisé est 3Lt au lieu de 2,5.</t>
  </si>
  <si>
    <t>Erreur dans la colonne Hollande, il a ajouté 1000 de trop.</t>
  </si>
  <si>
    <t>Erreur pour la colonne Danemark, manque 500.</t>
  </si>
  <si>
    <t>une colonne sans prix et les autres avec des prix hétérogènes.</t>
  </si>
  <si>
    <t>prix hétérogènes par pays.</t>
  </si>
  <si>
    <t>une colonne (Hollande) sans prix et les 2 autres avec des prix hétérogènes.</t>
  </si>
  <si>
    <t>Les prix unitaires par pays sonthétérogènes pour la plupart des pays de provennace.</t>
  </si>
  <si>
    <r>
      <t>Toille ; de Laval ;</t>
    </r>
    <r>
      <rPr>
        <sz val="12"/>
        <color rgb="FFFF0000"/>
        <rFont val="Calibri"/>
        <family val="2"/>
        <scheme val="minor"/>
      </rPr>
      <t xml:space="preserve"> de renvoy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</si>
</sst>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000000"/>
  </numFmts>
  <fonts count="9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6600"/>
      <name val="Trebuchet MS"/>
      <family val="2"/>
    </font>
    <font>
      <sz val="12"/>
      <color rgb="FFFF0000"/>
      <name val="Calibri"/>
      <family val="2"/>
      <scheme val="minor"/>
    </font>
    <font>
      <sz val="11"/>
      <color rgb="FFFF000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49" fontId="0" fillId="0" borderId="0" xfId="0" applyNumberFormat="1" applyAlignment="1">
      <alignment horizontal="left"/>
    </xf>
    <xf numFmtId="2" fontId="2" fillId="3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vertical="center"/>
    </xf>
    <xf numFmtId="3" fontId="2" fillId="5" borderId="1" xfId="0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horizontal="center" vertical="center"/>
    </xf>
    <xf numFmtId="0" fontId="0" fillId="0" borderId="1" xfId="0" applyBorder="1"/>
    <xf numFmtId="2" fontId="6" fillId="4" borderId="1" xfId="0" applyNumberFormat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3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1" fillId="5" borderId="3" xfId="0" applyNumberFormat="1" applyFont="1" applyFill="1" applyBorder="1" applyAlignment="1" applyProtection="1">
      <alignment horizontal="center" vertical="center" wrapText="1"/>
      <protection locked="0"/>
    </xf>
    <xf numFmtId="3" fontId="1" fillId="5" borderId="4" xfId="0" applyNumberFormat="1" applyFont="1" applyFill="1" applyBorder="1" applyAlignment="1" applyProtection="1">
      <alignment horizontal="center" vertical="center" wrapText="1"/>
      <protection locked="0"/>
    </xf>
  </cellXfs>
  <cellStyles count="3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4"/>
  <sheetViews>
    <sheetView tabSelected="1" topLeftCell="A67" workbookViewId="0">
      <selection activeCell="H212" sqref="H212"/>
    </sheetView>
  </sheetViews>
  <sheetFormatPr baseColWidth="10" defaultRowHeight="15.75"/>
  <cols>
    <col min="1" max="1" width="14.625" bestFit="1" customWidth="1"/>
    <col min="2" max="2" width="8.5" bestFit="1" customWidth="1"/>
    <col min="3" max="3" width="12.375" bestFit="1" customWidth="1"/>
    <col min="4" max="4" width="6.625" bestFit="1" customWidth="1"/>
    <col min="5" max="5" width="9.125" bestFit="1" customWidth="1"/>
    <col min="6" max="6" width="9" bestFit="1" customWidth="1"/>
    <col min="7" max="7" width="5.125" bestFit="1" customWidth="1"/>
    <col min="8" max="8" width="49.375" bestFit="1" customWidth="1"/>
    <col min="9" max="9" width="10" customWidth="1"/>
    <col min="10" max="11" width="8" customWidth="1"/>
    <col min="12" max="12" width="12" customWidth="1"/>
    <col min="13" max="13" width="10.125" bestFit="1" customWidth="1"/>
    <col min="14" max="14" width="20.5" style="14" bestFit="1" customWidth="1"/>
    <col min="15" max="15" width="9.125" bestFit="1" customWidth="1"/>
    <col min="16" max="16" width="8.625" bestFit="1" customWidth="1"/>
    <col min="17" max="17" width="9.625" bestFit="1" customWidth="1"/>
    <col min="18" max="18" width="10.625" bestFit="1" customWidth="1"/>
    <col min="19" max="19" width="9.125" bestFit="1" customWidth="1"/>
    <col min="20" max="20" width="7.625" bestFit="1" customWidth="1"/>
    <col min="21" max="21" width="12.5" bestFit="1" customWidth="1"/>
    <col min="22" max="24" width="10.625" bestFit="1" customWidth="1"/>
    <col min="25" max="26" width="9.625" bestFit="1" customWidth="1"/>
    <col min="27" max="27" width="9.125" bestFit="1" customWidth="1"/>
    <col min="28" max="34" width="9.625" bestFit="1" customWidth="1"/>
    <col min="35" max="35" width="9.125" bestFit="1" customWidth="1"/>
    <col min="36" max="37" width="9.625" bestFit="1" customWidth="1"/>
    <col min="38" max="38" width="10.625" bestFit="1" customWidth="1"/>
    <col min="39" max="39" width="12.5" bestFit="1" customWidth="1"/>
    <col min="40" max="40" width="8.125" bestFit="1" customWidth="1"/>
    <col min="41" max="41" width="15.375" bestFit="1" customWidth="1"/>
    <col min="42" max="42" width="8.375" bestFit="1" customWidth="1"/>
    <col min="43" max="43" width="18.5" bestFit="1" customWidth="1"/>
    <col min="44" max="44" width="14" bestFit="1" customWidth="1"/>
    <col min="45" max="45" width="15.375" bestFit="1" customWidth="1"/>
    <col min="46" max="46" width="17.125" bestFit="1" customWidth="1"/>
    <col min="47" max="47" width="23.125" bestFit="1" customWidth="1"/>
  </cols>
  <sheetData>
    <row r="1" spans="1:48" ht="99">
      <c r="A1" s="17" t="s">
        <v>7</v>
      </c>
      <c r="B1" s="17" t="s">
        <v>8</v>
      </c>
      <c r="C1" s="17" t="s">
        <v>11</v>
      </c>
      <c r="D1" s="17" t="s">
        <v>10</v>
      </c>
      <c r="E1" s="17" t="s">
        <v>1</v>
      </c>
      <c r="F1" s="17" t="s">
        <v>13</v>
      </c>
      <c r="G1" s="17" t="s">
        <v>9</v>
      </c>
      <c r="H1" s="18" t="s">
        <v>0</v>
      </c>
      <c r="I1" s="19" t="s">
        <v>2</v>
      </c>
      <c r="J1" s="19" t="s">
        <v>3</v>
      </c>
      <c r="K1" s="19" t="s">
        <v>4</v>
      </c>
      <c r="L1" s="20" t="s">
        <v>5</v>
      </c>
      <c r="M1" s="21" t="s">
        <v>30</v>
      </c>
      <c r="N1" s="35" t="s">
        <v>31</v>
      </c>
      <c r="O1" s="36"/>
      <c r="P1" s="37"/>
      <c r="Q1" s="35" t="s">
        <v>24</v>
      </c>
      <c r="R1" s="37"/>
      <c r="S1" s="35" t="s">
        <v>34</v>
      </c>
      <c r="T1" s="37"/>
      <c r="U1" s="35" t="s">
        <v>16</v>
      </c>
      <c r="V1" s="37"/>
      <c r="W1" s="35" t="s">
        <v>18</v>
      </c>
      <c r="X1" s="37"/>
      <c r="Y1" s="35" t="s">
        <v>25</v>
      </c>
      <c r="Z1" s="37"/>
      <c r="AA1" s="35" t="s">
        <v>220</v>
      </c>
      <c r="AB1" s="37"/>
      <c r="AC1" s="35" t="s">
        <v>221</v>
      </c>
      <c r="AD1" s="37"/>
      <c r="AE1" s="35" t="s">
        <v>26</v>
      </c>
      <c r="AF1" s="37"/>
      <c r="AG1" s="35" t="s">
        <v>222</v>
      </c>
      <c r="AH1" s="37"/>
      <c r="AI1" s="35" t="s">
        <v>27</v>
      </c>
      <c r="AJ1" s="37"/>
      <c r="AK1" s="35" t="s">
        <v>223</v>
      </c>
      <c r="AL1" s="37"/>
      <c r="AM1" s="35" t="s">
        <v>35</v>
      </c>
      <c r="AN1" s="36"/>
      <c r="AO1" s="36"/>
      <c r="AP1" s="37"/>
      <c r="AQ1" s="21" t="s">
        <v>62</v>
      </c>
      <c r="AR1" s="21" t="s">
        <v>51</v>
      </c>
      <c r="AS1" s="21" t="s">
        <v>61</v>
      </c>
      <c r="AT1" s="21" t="s">
        <v>52</v>
      </c>
      <c r="AU1" s="21" t="s">
        <v>55</v>
      </c>
      <c r="AV1" s="21" t="s">
        <v>6</v>
      </c>
    </row>
    <row r="2" spans="1:48" ht="16.5">
      <c r="A2" s="22"/>
      <c r="B2" s="22"/>
      <c r="C2" s="22"/>
      <c r="D2" s="23"/>
      <c r="E2" s="22"/>
      <c r="F2" s="22"/>
      <c r="G2" s="22"/>
      <c r="H2" s="24"/>
      <c r="I2" s="25"/>
      <c r="J2" s="25"/>
      <c r="K2" s="26"/>
      <c r="L2" s="16"/>
      <c r="M2" s="16"/>
      <c r="N2" s="27" t="s">
        <v>32</v>
      </c>
      <c r="O2" s="16" t="s">
        <v>33</v>
      </c>
      <c r="P2" s="16" t="s">
        <v>36</v>
      </c>
      <c r="Q2" s="16" t="s">
        <v>33</v>
      </c>
      <c r="R2" s="16" t="s">
        <v>36</v>
      </c>
      <c r="S2" s="16" t="s">
        <v>33</v>
      </c>
      <c r="T2" s="16" t="s">
        <v>36</v>
      </c>
      <c r="U2" s="16" t="s">
        <v>33</v>
      </c>
      <c r="V2" s="16" t="s">
        <v>36</v>
      </c>
      <c r="W2" s="16" t="s">
        <v>33</v>
      </c>
      <c r="X2" s="16" t="s">
        <v>36</v>
      </c>
      <c r="Y2" s="16" t="s">
        <v>33</v>
      </c>
      <c r="Z2" s="16" t="s">
        <v>36</v>
      </c>
      <c r="AA2" s="16" t="s">
        <v>33</v>
      </c>
      <c r="AB2" s="16" t="s">
        <v>36</v>
      </c>
      <c r="AC2" s="16" t="s">
        <v>33</v>
      </c>
      <c r="AD2" s="16" t="s">
        <v>36</v>
      </c>
      <c r="AE2" s="16" t="s">
        <v>33</v>
      </c>
      <c r="AF2" s="16" t="s">
        <v>36</v>
      </c>
      <c r="AG2" s="16" t="s">
        <v>33</v>
      </c>
      <c r="AH2" s="16" t="s">
        <v>36</v>
      </c>
      <c r="AI2" s="16" t="s">
        <v>33</v>
      </c>
      <c r="AJ2" s="16" t="s">
        <v>36</v>
      </c>
      <c r="AK2" s="16" t="s">
        <v>33</v>
      </c>
      <c r="AL2" s="16" t="s">
        <v>36</v>
      </c>
      <c r="AM2" s="16" t="s">
        <v>33</v>
      </c>
      <c r="AN2" s="16" t="s">
        <v>36</v>
      </c>
      <c r="AO2" s="16" t="s">
        <v>50</v>
      </c>
      <c r="AP2" s="16" t="s">
        <v>53</v>
      </c>
      <c r="AQ2" s="22"/>
      <c r="AR2" s="22"/>
      <c r="AS2" s="22"/>
      <c r="AT2" s="22"/>
      <c r="AU2" s="22"/>
      <c r="AV2" s="22"/>
    </row>
    <row r="3" spans="1:48" ht="16.5">
      <c r="A3" s="1" t="s">
        <v>12</v>
      </c>
      <c r="B3" s="3" t="s">
        <v>29</v>
      </c>
      <c r="C3" s="3" t="s">
        <v>219</v>
      </c>
      <c r="D3" s="4">
        <v>1789</v>
      </c>
      <c r="E3" s="3" t="s">
        <v>22</v>
      </c>
      <c r="F3" s="3" t="s">
        <v>22</v>
      </c>
      <c r="G3" s="31">
        <v>19</v>
      </c>
      <c r="H3" s="31" t="s">
        <v>63</v>
      </c>
      <c r="I3" s="5"/>
      <c r="J3" s="5"/>
      <c r="K3" s="6"/>
      <c r="L3" s="11">
        <f>I3+(J3/20)+(K3/240)</f>
        <v>0</v>
      </c>
      <c r="M3" s="7"/>
      <c r="N3" s="31"/>
      <c r="O3" s="9"/>
      <c r="P3" s="9" t="str">
        <f>IF(N3&lt;&gt;"",O3*L3,"")</f>
        <v/>
      </c>
      <c r="Q3" s="9"/>
      <c r="R3" s="30">
        <f t="shared" ref="R3:R18" si="0">Q3*$L3</f>
        <v>0</v>
      </c>
      <c r="S3" s="9"/>
      <c r="T3" s="30">
        <f>S3*$L3</f>
        <v>0</v>
      </c>
      <c r="U3" s="9"/>
      <c r="V3" s="30">
        <f>U3*$L3</f>
        <v>0</v>
      </c>
      <c r="W3" s="9"/>
      <c r="X3" s="30">
        <f>W3*$L3</f>
        <v>0</v>
      </c>
      <c r="Y3" s="9"/>
      <c r="Z3" s="30">
        <f>Y3*$L3</f>
        <v>0</v>
      </c>
      <c r="AA3" s="9"/>
      <c r="AB3" s="30">
        <f t="shared" ref="AB3:AB9" si="1">AA3*$L3</f>
        <v>0</v>
      </c>
      <c r="AC3" s="9"/>
      <c r="AD3" s="30">
        <f t="shared" ref="AD3:AD15" si="2">AC3*$L3</f>
        <v>0</v>
      </c>
      <c r="AE3" s="9"/>
      <c r="AF3" s="30">
        <f>AE3*$L3</f>
        <v>0</v>
      </c>
      <c r="AG3" s="9"/>
      <c r="AH3" s="30">
        <v>550</v>
      </c>
      <c r="AI3" s="9"/>
      <c r="AJ3" s="30">
        <f t="shared" ref="AJ3:AJ18" si="3">AI3*$L3</f>
        <v>0</v>
      </c>
      <c r="AK3" s="9"/>
      <c r="AL3" s="30">
        <v>180</v>
      </c>
      <c r="AM3" s="10"/>
      <c r="AN3" s="31">
        <v>730</v>
      </c>
      <c r="AO3" s="15">
        <f>SUM(R3,T3,V3,X3,Z3,AB3,AD3,AF3,AH3,AJ3,AL3)</f>
        <v>730</v>
      </c>
      <c r="AP3" s="9">
        <f>AN3-AO3</f>
        <v>0</v>
      </c>
      <c r="AQ3" s="28">
        <f>SUM(Q3,S3,U3,W3,Y3,AA3,AC3,AE3,AG3,AI3,AK3)</f>
        <v>0</v>
      </c>
      <c r="AR3" s="8">
        <f>AM3-AQ3</f>
        <v>0</v>
      </c>
      <c r="AS3" s="29">
        <f t="shared" ref="AS3:AS66" si="4">AQ3*L3</f>
        <v>0</v>
      </c>
      <c r="AT3" s="13">
        <f>AN3-AS3</f>
        <v>730</v>
      </c>
      <c r="AU3" s="2" t="str">
        <f t="shared" ref="AU3:AU66" si="5">IF(AT3=0,"",IF(AT3&lt;&gt;AN3,"erreur de calcul",IF(AQ3&lt;&gt;0,"pas de prix",IF(L3&lt;&gt; 0,"pas de quantité","pas de prix, ni de quantité"))))</f>
        <v>pas de prix, ni de quantité</v>
      </c>
      <c r="AV3" s="2"/>
    </row>
    <row r="4" spans="1:48" ht="16.5">
      <c r="A4" s="1" t="s">
        <v>12</v>
      </c>
      <c r="B4" s="3" t="s">
        <v>29</v>
      </c>
      <c r="C4" s="3" t="s">
        <v>219</v>
      </c>
      <c r="D4" s="4">
        <v>1789</v>
      </c>
      <c r="E4" s="3" t="s">
        <v>22</v>
      </c>
      <c r="F4" s="3" t="s">
        <v>22</v>
      </c>
      <c r="G4" s="31">
        <v>19</v>
      </c>
      <c r="H4" s="31" t="s">
        <v>37</v>
      </c>
      <c r="I4" s="5">
        <v>35</v>
      </c>
      <c r="J4" s="5"/>
      <c r="K4" s="6"/>
      <c r="L4" s="11">
        <f t="shared" ref="L4:L6" si="6">I4+(J4/20)+(K4/240)</f>
        <v>35</v>
      </c>
      <c r="M4" s="7" t="s">
        <v>14</v>
      </c>
      <c r="N4" s="31"/>
      <c r="O4" s="9"/>
      <c r="P4" s="9" t="str">
        <f t="shared" ref="P4:P66" si="7">IF(N4&lt;&gt;"",O4*L4,"")</f>
        <v/>
      </c>
      <c r="Q4" s="9"/>
      <c r="R4" s="30">
        <f t="shared" si="0"/>
        <v>0</v>
      </c>
      <c r="S4" s="9"/>
      <c r="T4" s="30">
        <f t="shared" ref="T4:T67" si="8">S4*$L4</f>
        <v>0</v>
      </c>
      <c r="U4" s="9">
        <f>454/100</f>
        <v>4.54</v>
      </c>
      <c r="V4" s="30">
        <v>159</v>
      </c>
      <c r="W4" s="9">
        <f>185444/100</f>
        <v>1854.44</v>
      </c>
      <c r="X4" s="30">
        <v>64905</v>
      </c>
      <c r="Y4" s="9">
        <f>7298/100</f>
        <v>72.98</v>
      </c>
      <c r="Z4" s="30">
        <v>2554</v>
      </c>
      <c r="AA4" s="9"/>
      <c r="AB4" s="30">
        <f t="shared" si="1"/>
        <v>0</v>
      </c>
      <c r="AC4" s="9"/>
      <c r="AD4" s="30">
        <f t="shared" si="2"/>
        <v>0</v>
      </c>
      <c r="AE4" s="9">
        <f>21447/100</f>
        <v>214.47</v>
      </c>
      <c r="AF4" s="30">
        <v>7506</v>
      </c>
      <c r="AG4" s="9"/>
      <c r="AH4" s="30">
        <f t="shared" ref="AH4:AH15" si="9">AG4*$L4</f>
        <v>0</v>
      </c>
      <c r="AI4" s="9"/>
      <c r="AJ4" s="30">
        <f t="shared" si="3"/>
        <v>0</v>
      </c>
      <c r="AK4" s="9"/>
      <c r="AL4" s="30">
        <f t="shared" ref="AL4:AL13" si="10">AK4*$L4</f>
        <v>0</v>
      </c>
      <c r="AM4" s="10">
        <f>214643/100</f>
        <v>2146.4299999999998</v>
      </c>
      <c r="AN4" s="31">
        <v>75124</v>
      </c>
      <c r="AO4" s="15">
        <f t="shared" ref="AO4:AO68" si="11">SUM(R4,T4,V4,X4,Z4,AB4,AD4,AF4,AH4,AJ4,AL4)</f>
        <v>75124</v>
      </c>
      <c r="AP4" s="9">
        <f t="shared" ref="AP4:AP6" si="12">AN4-AO4</f>
        <v>0</v>
      </c>
      <c r="AQ4" s="28">
        <f t="shared" ref="AQ4:AQ67" si="13">SUM(Q4,S4,U4,W4,Y4,AA4,AC4,AE4,AG4,AI4,AK4)</f>
        <v>2146.4299999999998</v>
      </c>
      <c r="AR4" s="8">
        <f t="shared" ref="AR4:AR6" si="14">AM4-AQ4</f>
        <v>0</v>
      </c>
      <c r="AS4" s="29">
        <f t="shared" si="4"/>
        <v>75125.049999999988</v>
      </c>
      <c r="AT4" s="13">
        <f t="shared" ref="AT4:AT6" si="15">AN4-AS4</f>
        <v>-1.0499999999883585</v>
      </c>
      <c r="AU4" s="2" t="str">
        <f t="shared" si="5"/>
        <v>erreur de calcul</v>
      </c>
      <c r="AV4" s="2"/>
    </row>
    <row r="5" spans="1:48" ht="16.5">
      <c r="A5" s="1" t="s">
        <v>12</v>
      </c>
      <c r="B5" s="3" t="s">
        <v>29</v>
      </c>
      <c r="C5" s="3" t="s">
        <v>219</v>
      </c>
      <c r="D5" s="4">
        <v>1789</v>
      </c>
      <c r="E5" s="3" t="s">
        <v>22</v>
      </c>
      <c r="F5" s="3" t="s">
        <v>22</v>
      </c>
      <c r="G5" s="31">
        <v>19</v>
      </c>
      <c r="H5" s="31" t="s">
        <v>64</v>
      </c>
      <c r="I5" s="5"/>
      <c r="J5" s="5"/>
      <c r="K5" s="6"/>
      <c r="L5" s="11">
        <f t="shared" si="6"/>
        <v>0</v>
      </c>
      <c r="M5" s="7"/>
      <c r="N5" s="31"/>
      <c r="O5" s="9"/>
      <c r="P5" s="9" t="str">
        <f t="shared" si="7"/>
        <v/>
      </c>
      <c r="Q5" s="9"/>
      <c r="R5" s="30">
        <f t="shared" si="0"/>
        <v>0</v>
      </c>
      <c r="S5" s="9"/>
      <c r="T5" s="30">
        <f t="shared" si="8"/>
        <v>0</v>
      </c>
      <c r="U5" s="9"/>
      <c r="V5" s="30">
        <v>3432</v>
      </c>
      <c r="W5" s="9"/>
      <c r="X5" s="30">
        <f>W5*$L5</f>
        <v>0</v>
      </c>
      <c r="Y5" s="9"/>
      <c r="Z5" s="30">
        <f>Y5*$L5</f>
        <v>0</v>
      </c>
      <c r="AA5" s="9"/>
      <c r="AB5" s="30">
        <f t="shared" si="1"/>
        <v>0</v>
      </c>
      <c r="AC5" s="9"/>
      <c r="AD5" s="30">
        <f t="shared" si="2"/>
        <v>0</v>
      </c>
      <c r="AE5" s="9"/>
      <c r="AF5" s="30">
        <f t="shared" ref="AF5:AF19" si="16">AE5*$L5</f>
        <v>0</v>
      </c>
      <c r="AG5" s="9"/>
      <c r="AH5" s="30">
        <f t="shared" si="9"/>
        <v>0</v>
      </c>
      <c r="AI5" s="9"/>
      <c r="AJ5" s="30">
        <f t="shared" si="3"/>
        <v>0</v>
      </c>
      <c r="AK5" s="9"/>
      <c r="AL5" s="30">
        <f t="shared" si="10"/>
        <v>0</v>
      </c>
      <c r="AM5" s="10"/>
      <c r="AN5" s="31">
        <v>3432</v>
      </c>
      <c r="AO5" s="15">
        <f t="shared" si="11"/>
        <v>3432</v>
      </c>
      <c r="AP5" s="9">
        <f t="shared" si="12"/>
        <v>0</v>
      </c>
      <c r="AQ5" s="28">
        <f t="shared" si="13"/>
        <v>0</v>
      </c>
      <c r="AR5" s="8">
        <f t="shared" si="14"/>
        <v>0</v>
      </c>
      <c r="AS5" s="29">
        <f t="shared" si="4"/>
        <v>0</v>
      </c>
      <c r="AT5" s="13">
        <f t="shared" si="15"/>
        <v>3432</v>
      </c>
      <c r="AU5" s="2" t="str">
        <f t="shared" si="5"/>
        <v>pas de prix, ni de quantité</v>
      </c>
      <c r="AV5" s="2"/>
    </row>
    <row r="6" spans="1:48" ht="16.5">
      <c r="A6" s="1" t="s">
        <v>12</v>
      </c>
      <c r="B6" s="3" t="s">
        <v>29</v>
      </c>
      <c r="C6" s="3" t="s">
        <v>219</v>
      </c>
      <c r="D6" s="4">
        <v>1789</v>
      </c>
      <c r="E6" s="3" t="s">
        <v>22</v>
      </c>
      <c r="F6" s="3" t="s">
        <v>22</v>
      </c>
      <c r="G6" s="31">
        <v>19</v>
      </c>
      <c r="H6" s="31" t="s">
        <v>65</v>
      </c>
      <c r="I6" s="5">
        <v>35</v>
      </c>
      <c r="J6" s="5"/>
      <c r="K6" s="6"/>
      <c r="L6" s="11">
        <f t="shared" si="6"/>
        <v>35</v>
      </c>
      <c r="M6" s="7" t="s">
        <v>14</v>
      </c>
      <c r="N6" s="31"/>
      <c r="O6" s="9"/>
      <c r="P6" s="9" t="str">
        <f t="shared" si="7"/>
        <v/>
      </c>
      <c r="Q6" s="9"/>
      <c r="R6" s="30">
        <f t="shared" si="0"/>
        <v>0</v>
      </c>
      <c r="S6" s="9"/>
      <c r="T6" s="30">
        <f t="shared" si="8"/>
        <v>0</v>
      </c>
      <c r="U6" s="9"/>
      <c r="V6" s="30">
        <f>U6*$L6</f>
        <v>0</v>
      </c>
      <c r="W6" s="9">
        <f>14063/100</f>
        <v>140.63</v>
      </c>
      <c r="X6" s="30">
        <v>4922</v>
      </c>
      <c r="Y6" s="9"/>
      <c r="Z6" s="30">
        <f>Y6*$L6</f>
        <v>0</v>
      </c>
      <c r="AA6" s="9"/>
      <c r="AB6" s="30">
        <f t="shared" si="1"/>
        <v>0</v>
      </c>
      <c r="AC6" s="9"/>
      <c r="AD6" s="30">
        <f t="shared" si="2"/>
        <v>0</v>
      </c>
      <c r="AE6" s="9"/>
      <c r="AF6" s="30">
        <f t="shared" si="16"/>
        <v>0</v>
      </c>
      <c r="AG6" s="9"/>
      <c r="AH6" s="30">
        <f t="shared" si="9"/>
        <v>0</v>
      </c>
      <c r="AI6" s="9"/>
      <c r="AJ6" s="30">
        <f t="shared" si="3"/>
        <v>0</v>
      </c>
      <c r="AK6" s="9"/>
      <c r="AL6" s="30">
        <f t="shared" si="10"/>
        <v>0</v>
      </c>
      <c r="AM6" s="10">
        <f>14063/100</f>
        <v>140.63</v>
      </c>
      <c r="AN6" s="31">
        <v>4922</v>
      </c>
      <c r="AO6" s="15">
        <f t="shared" si="11"/>
        <v>4922</v>
      </c>
      <c r="AP6" s="9">
        <f t="shared" si="12"/>
        <v>0</v>
      </c>
      <c r="AQ6" s="28">
        <f t="shared" si="13"/>
        <v>140.63</v>
      </c>
      <c r="AR6" s="8">
        <f t="shared" si="14"/>
        <v>0</v>
      </c>
      <c r="AS6" s="29">
        <f t="shared" si="4"/>
        <v>4922.05</v>
      </c>
      <c r="AT6" s="13">
        <f t="shared" si="15"/>
        <v>-5.0000000000181899E-2</v>
      </c>
      <c r="AU6" s="2" t="str">
        <f t="shared" si="5"/>
        <v>erreur de calcul</v>
      </c>
      <c r="AV6" s="2"/>
    </row>
    <row r="7" spans="1:48" ht="16.5">
      <c r="A7" s="1" t="s">
        <v>12</v>
      </c>
      <c r="B7" s="3" t="s">
        <v>29</v>
      </c>
      <c r="C7" s="3" t="s">
        <v>219</v>
      </c>
      <c r="D7" s="4">
        <v>1789</v>
      </c>
      <c r="E7" s="3" t="s">
        <v>22</v>
      </c>
      <c r="F7" s="3" t="s">
        <v>22</v>
      </c>
      <c r="G7" s="31">
        <v>19</v>
      </c>
      <c r="H7" s="31" t="s">
        <v>66</v>
      </c>
      <c r="I7" s="5">
        <v>45</v>
      </c>
      <c r="J7" s="5"/>
      <c r="K7" s="6"/>
      <c r="L7" s="11">
        <f t="shared" ref="L7:L70" si="17">I7+(J7/20)+(K7/240)</f>
        <v>45</v>
      </c>
      <c r="M7" s="7" t="s">
        <v>14</v>
      </c>
      <c r="N7" s="31"/>
      <c r="O7" s="9"/>
      <c r="P7" s="9" t="str">
        <f t="shared" si="7"/>
        <v/>
      </c>
      <c r="Q7" s="9"/>
      <c r="R7" s="30">
        <f t="shared" si="0"/>
        <v>0</v>
      </c>
      <c r="S7" s="9"/>
      <c r="T7" s="30">
        <f t="shared" si="8"/>
        <v>0</v>
      </c>
      <c r="U7" s="9"/>
      <c r="V7" s="30">
        <f>U7*$L7</f>
        <v>0</v>
      </c>
      <c r="W7" s="9"/>
      <c r="X7" s="30">
        <f>W7*$L7</f>
        <v>0</v>
      </c>
      <c r="Y7" s="9">
        <f>3049/100</f>
        <v>30.49</v>
      </c>
      <c r="Z7" s="30">
        <v>1372</v>
      </c>
      <c r="AA7" s="9"/>
      <c r="AB7" s="30">
        <f t="shared" si="1"/>
        <v>0</v>
      </c>
      <c r="AC7" s="9"/>
      <c r="AD7" s="30">
        <f t="shared" si="2"/>
        <v>0</v>
      </c>
      <c r="AE7" s="9"/>
      <c r="AF7" s="30">
        <f t="shared" si="16"/>
        <v>0</v>
      </c>
      <c r="AG7" s="9"/>
      <c r="AH7" s="30">
        <f t="shared" si="9"/>
        <v>0</v>
      </c>
      <c r="AI7" s="9"/>
      <c r="AJ7" s="30">
        <f t="shared" si="3"/>
        <v>0</v>
      </c>
      <c r="AK7" s="9"/>
      <c r="AL7" s="30">
        <f t="shared" si="10"/>
        <v>0</v>
      </c>
      <c r="AM7" s="10">
        <f>3049/100</f>
        <v>30.49</v>
      </c>
      <c r="AN7" s="31">
        <v>1372</v>
      </c>
      <c r="AO7" s="15">
        <f t="shared" si="11"/>
        <v>1372</v>
      </c>
      <c r="AP7" s="9">
        <f t="shared" ref="AP7:AP70" si="18">AN7-AO7</f>
        <v>0</v>
      </c>
      <c r="AQ7" s="28">
        <f t="shared" si="13"/>
        <v>30.49</v>
      </c>
      <c r="AR7" s="8">
        <f t="shared" ref="AR7:AR70" si="19">AM7-AQ7</f>
        <v>0</v>
      </c>
      <c r="AS7" s="29">
        <f t="shared" si="4"/>
        <v>1372.05</v>
      </c>
      <c r="AT7" s="13">
        <f t="shared" ref="AT7:AT70" si="20">AN7-AS7</f>
        <v>-4.9999999999954525E-2</v>
      </c>
      <c r="AU7" s="2" t="str">
        <f t="shared" si="5"/>
        <v>erreur de calcul</v>
      </c>
      <c r="AV7" s="2"/>
    </row>
    <row r="8" spans="1:48" ht="16.5">
      <c r="A8" s="1" t="s">
        <v>12</v>
      </c>
      <c r="B8" s="3" t="s">
        <v>29</v>
      </c>
      <c r="C8" s="3" t="s">
        <v>219</v>
      </c>
      <c r="D8" s="4">
        <v>1789</v>
      </c>
      <c r="E8" s="3" t="s">
        <v>22</v>
      </c>
      <c r="F8" s="3" t="s">
        <v>22</v>
      </c>
      <c r="G8" s="31">
        <v>19</v>
      </c>
      <c r="H8" s="31" t="s">
        <v>67</v>
      </c>
      <c r="I8" s="5">
        <v>2</v>
      </c>
      <c r="J8" s="5"/>
      <c r="K8" s="6"/>
      <c r="L8" s="11">
        <f t="shared" si="17"/>
        <v>2</v>
      </c>
      <c r="M8" s="7" t="s">
        <v>15</v>
      </c>
      <c r="N8" s="31"/>
      <c r="O8" s="9"/>
      <c r="P8" s="9" t="str">
        <f t="shared" si="7"/>
        <v/>
      </c>
      <c r="Q8" s="9"/>
      <c r="R8" s="30">
        <f t="shared" si="0"/>
        <v>0</v>
      </c>
      <c r="S8" s="9"/>
      <c r="T8" s="30">
        <f t="shared" si="8"/>
        <v>0</v>
      </c>
      <c r="U8" s="9"/>
      <c r="V8" s="30">
        <f>U8*$L8</f>
        <v>0</v>
      </c>
      <c r="W8" s="9">
        <v>1200</v>
      </c>
      <c r="X8" s="30">
        <v>2400</v>
      </c>
      <c r="Y8" s="9"/>
      <c r="Z8" s="30">
        <f t="shared" ref="Z8:Z14" si="21">Y8*$L8</f>
        <v>0</v>
      </c>
      <c r="AA8" s="9"/>
      <c r="AB8" s="30">
        <f t="shared" si="1"/>
        <v>0</v>
      </c>
      <c r="AC8" s="9"/>
      <c r="AD8" s="30">
        <f t="shared" si="2"/>
        <v>0</v>
      </c>
      <c r="AE8" s="9"/>
      <c r="AF8" s="30">
        <f t="shared" si="16"/>
        <v>0</v>
      </c>
      <c r="AG8" s="9"/>
      <c r="AH8" s="30">
        <f t="shared" si="9"/>
        <v>0</v>
      </c>
      <c r="AI8" s="9"/>
      <c r="AJ8" s="30">
        <f t="shared" si="3"/>
        <v>0</v>
      </c>
      <c r="AK8" s="9"/>
      <c r="AL8" s="30">
        <f t="shared" si="10"/>
        <v>0</v>
      </c>
      <c r="AM8" s="10">
        <v>1200</v>
      </c>
      <c r="AN8" s="31">
        <v>2400</v>
      </c>
      <c r="AO8" s="15">
        <f t="shared" si="11"/>
        <v>2400</v>
      </c>
      <c r="AP8" s="9">
        <f t="shared" si="18"/>
        <v>0</v>
      </c>
      <c r="AQ8" s="28">
        <f t="shared" si="13"/>
        <v>1200</v>
      </c>
      <c r="AR8" s="8">
        <f t="shared" si="19"/>
        <v>0</v>
      </c>
      <c r="AS8" s="29">
        <f t="shared" si="4"/>
        <v>2400</v>
      </c>
      <c r="AT8" s="13">
        <f t="shared" si="20"/>
        <v>0</v>
      </c>
      <c r="AU8" s="2" t="str">
        <f t="shared" si="5"/>
        <v/>
      </c>
      <c r="AV8" s="2"/>
    </row>
    <row r="9" spans="1:48" ht="16.5">
      <c r="A9" s="1" t="s">
        <v>12</v>
      </c>
      <c r="B9" s="3" t="s">
        <v>29</v>
      </c>
      <c r="C9" s="3" t="s">
        <v>219</v>
      </c>
      <c r="D9" s="4">
        <v>1789</v>
      </c>
      <c r="E9" s="3" t="s">
        <v>22</v>
      </c>
      <c r="F9" s="3" t="s">
        <v>22</v>
      </c>
      <c r="G9" s="31">
        <v>19</v>
      </c>
      <c r="H9" s="31" t="s">
        <v>273</v>
      </c>
      <c r="I9" s="5">
        <v>3</v>
      </c>
      <c r="J9" s="5"/>
      <c r="K9" s="6"/>
      <c r="L9" s="11">
        <f t="shared" si="17"/>
        <v>3</v>
      </c>
      <c r="M9" s="7" t="s">
        <v>41</v>
      </c>
      <c r="N9" s="31"/>
      <c r="O9" s="9"/>
      <c r="P9" s="9" t="str">
        <f t="shared" si="7"/>
        <v/>
      </c>
      <c r="Q9" s="9"/>
      <c r="R9" s="30">
        <f t="shared" si="0"/>
        <v>0</v>
      </c>
      <c r="S9" s="9"/>
      <c r="T9" s="30">
        <f t="shared" si="8"/>
        <v>0</v>
      </c>
      <c r="U9" s="9"/>
      <c r="V9" s="30">
        <f>U9*$L9</f>
        <v>0</v>
      </c>
      <c r="W9" s="9">
        <v>6080</v>
      </c>
      <c r="X9" s="30">
        <v>18240</v>
      </c>
      <c r="Y9" s="9"/>
      <c r="Z9" s="30">
        <f t="shared" si="21"/>
        <v>0</v>
      </c>
      <c r="AA9" s="9"/>
      <c r="AB9" s="30">
        <f t="shared" si="1"/>
        <v>0</v>
      </c>
      <c r="AC9" s="9"/>
      <c r="AD9" s="30">
        <f t="shared" si="2"/>
        <v>0</v>
      </c>
      <c r="AE9" s="9"/>
      <c r="AF9" s="30">
        <f t="shared" si="16"/>
        <v>0</v>
      </c>
      <c r="AG9" s="9"/>
      <c r="AH9" s="30">
        <f t="shared" si="9"/>
        <v>0</v>
      </c>
      <c r="AI9" s="9"/>
      <c r="AJ9" s="30">
        <f t="shared" si="3"/>
        <v>0</v>
      </c>
      <c r="AK9" s="9"/>
      <c r="AL9" s="30">
        <f t="shared" si="10"/>
        <v>0</v>
      </c>
      <c r="AM9" s="10">
        <v>6080</v>
      </c>
      <c r="AN9" s="31">
        <v>18240</v>
      </c>
      <c r="AO9" s="15">
        <f t="shared" si="11"/>
        <v>18240</v>
      </c>
      <c r="AP9" s="9">
        <f t="shared" si="18"/>
        <v>0</v>
      </c>
      <c r="AQ9" s="28">
        <f t="shared" si="13"/>
        <v>6080</v>
      </c>
      <c r="AR9" s="8">
        <f t="shared" si="19"/>
        <v>0</v>
      </c>
      <c r="AS9" s="29">
        <f t="shared" si="4"/>
        <v>18240</v>
      </c>
      <c r="AT9" s="13">
        <f t="shared" si="20"/>
        <v>0</v>
      </c>
      <c r="AU9" s="2" t="str">
        <f t="shared" si="5"/>
        <v/>
      </c>
      <c r="AV9" s="2"/>
    </row>
    <row r="10" spans="1:48" ht="16.5">
      <c r="A10" s="1" t="s">
        <v>12</v>
      </c>
      <c r="B10" s="3" t="s">
        <v>29</v>
      </c>
      <c r="C10" s="3" t="s">
        <v>219</v>
      </c>
      <c r="D10" s="4">
        <v>1789</v>
      </c>
      <c r="E10" s="3" t="s">
        <v>22</v>
      </c>
      <c r="F10" s="3" t="s">
        <v>22</v>
      </c>
      <c r="G10" s="31">
        <v>19</v>
      </c>
      <c r="H10" s="31" t="s">
        <v>68</v>
      </c>
      <c r="I10" s="5"/>
      <c r="J10" s="5"/>
      <c r="K10" s="6"/>
      <c r="L10" s="11">
        <f t="shared" si="17"/>
        <v>0</v>
      </c>
      <c r="M10" s="7" t="s">
        <v>49</v>
      </c>
      <c r="N10" s="31"/>
      <c r="O10" s="9"/>
      <c r="P10" s="9" t="str">
        <f t="shared" si="7"/>
        <v/>
      </c>
      <c r="Q10" s="9"/>
      <c r="R10" s="30">
        <f t="shared" si="0"/>
        <v>0</v>
      </c>
      <c r="S10" s="9"/>
      <c r="T10" s="30">
        <f t="shared" si="8"/>
        <v>0</v>
      </c>
      <c r="U10" s="9">
        <v>230</v>
      </c>
      <c r="V10" s="30">
        <v>4020</v>
      </c>
      <c r="W10" s="9"/>
      <c r="X10" s="30">
        <v>1575</v>
      </c>
      <c r="Y10" s="9"/>
      <c r="Z10" s="30">
        <f t="shared" si="21"/>
        <v>0</v>
      </c>
      <c r="AA10" s="9">
        <v>12</v>
      </c>
      <c r="AB10" s="30">
        <v>240</v>
      </c>
      <c r="AC10" s="9"/>
      <c r="AD10" s="30">
        <f t="shared" si="2"/>
        <v>0</v>
      </c>
      <c r="AE10" s="9"/>
      <c r="AF10" s="30">
        <f t="shared" si="16"/>
        <v>0</v>
      </c>
      <c r="AG10" s="9"/>
      <c r="AH10" s="30">
        <f t="shared" si="9"/>
        <v>0</v>
      </c>
      <c r="AI10" s="9"/>
      <c r="AJ10" s="30">
        <f t="shared" si="3"/>
        <v>0</v>
      </c>
      <c r="AK10" s="9"/>
      <c r="AL10" s="30">
        <f t="shared" si="10"/>
        <v>0</v>
      </c>
      <c r="AM10" s="10"/>
      <c r="AN10" s="31">
        <v>5835</v>
      </c>
      <c r="AO10" s="15">
        <f t="shared" si="11"/>
        <v>5835</v>
      </c>
      <c r="AP10" s="9">
        <f t="shared" si="18"/>
        <v>0</v>
      </c>
      <c r="AQ10" s="28">
        <f t="shared" si="13"/>
        <v>242</v>
      </c>
      <c r="AR10" s="8">
        <f t="shared" si="19"/>
        <v>-242</v>
      </c>
      <c r="AS10" s="29">
        <f t="shared" si="4"/>
        <v>0</v>
      </c>
      <c r="AT10" s="13">
        <f t="shared" si="20"/>
        <v>5835</v>
      </c>
      <c r="AU10" s="2" t="str">
        <f t="shared" si="5"/>
        <v>pas de prix</v>
      </c>
      <c r="AV10" s="2" t="s">
        <v>298</v>
      </c>
    </row>
    <row r="11" spans="1:48" ht="16.5">
      <c r="A11" s="1" t="s">
        <v>12</v>
      </c>
      <c r="B11" s="3" t="s">
        <v>29</v>
      </c>
      <c r="C11" s="3" t="s">
        <v>219</v>
      </c>
      <c r="D11" s="4">
        <v>1789</v>
      </c>
      <c r="E11" s="3" t="s">
        <v>22</v>
      </c>
      <c r="F11" s="3" t="s">
        <v>22</v>
      </c>
      <c r="G11" s="31">
        <v>19</v>
      </c>
      <c r="H11" s="31" t="s">
        <v>274</v>
      </c>
      <c r="I11" s="5">
        <v>7</v>
      </c>
      <c r="J11" s="5"/>
      <c r="K11" s="6"/>
      <c r="L11" s="11">
        <f t="shared" si="17"/>
        <v>7</v>
      </c>
      <c r="M11" s="7" t="s">
        <v>41</v>
      </c>
      <c r="N11" s="31"/>
      <c r="O11" s="9"/>
      <c r="P11" s="9" t="str">
        <f t="shared" si="7"/>
        <v/>
      </c>
      <c r="Q11" s="9"/>
      <c r="R11" s="30">
        <f t="shared" si="0"/>
        <v>0</v>
      </c>
      <c r="S11" s="9"/>
      <c r="T11" s="30">
        <f t="shared" si="8"/>
        <v>0</v>
      </c>
      <c r="U11" s="9">
        <v>953</v>
      </c>
      <c r="V11" s="30">
        <v>6671</v>
      </c>
      <c r="W11" s="9">
        <v>6354</v>
      </c>
      <c r="X11" s="30">
        <v>44478</v>
      </c>
      <c r="Y11" s="9"/>
      <c r="Z11" s="30">
        <f t="shared" si="21"/>
        <v>0</v>
      </c>
      <c r="AA11" s="9">
        <v>6215</v>
      </c>
      <c r="AB11" s="30">
        <v>43505</v>
      </c>
      <c r="AC11" s="9"/>
      <c r="AD11" s="30">
        <f t="shared" si="2"/>
        <v>0</v>
      </c>
      <c r="AE11" s="9"/>
      <c r="AF11" s="30">
        <f t="shared" si="16"/>
        <v>0</v>
      </c>
      <c r="AG11" s="9"/>
      <c r="AH11" s="30">
        <f t="shared" si="9"/>
        <v>0</v>
      </c>
      <c r="AI11" s="9"/>
      <c r="AJ11" s="30">
        <f t="shared" si="3"/>
        <v>0</v>
      </c>
      <c r="AK11" s="9"/>
      <c r="AL11" s="30">
        <f t="shared" si="10"/>
        <v>0</v>
      </c>
      <c r="AM11" s="10">
        <v>13522</v>
      </c>
      <c r="AN11" s="31">
        <v>94654</v>
      </c>
      <c r="AO11" s="15">
        <f t="shared" si="11"/>
        <v>94654</v>
      </c>
      <c r="AP11" s="9">
        <f t="shared" si="18"/>
        <v>0</v>
      </c>
      <c r="AQ11" s="28">
        <f t="shared" si="13"/>
        <v>13522</v>
      </c>
      <c r="AR11" s="8">
        <f t="shared" si="19"/>
        <v>0</v>
      </c>
      <c r="AS11" s="29">
        <f t="shared" si="4"/>
        <v>94654</v>
      </c>
      <c r="AT11" s="13">
        <f t="shared" si="20"/>
        <v>0</v>
      </c>
      <c r="AU11" s="2" t="str">
        <f t="shared" si="5"/>
        <v/>
      </c>
      <c r="AV11" s="2"/>
    </row>
    <row r="12" spans="1:48" ht="16.5">
      <c r="A12" s="1" t="s">
        <v>12</v>
      </c>
      <c r="B12" s="3" t="s">
        <v>29</v>
      </c>
      <c r="C12" s="3" t="s">
        <v>219</v>
      </c>
      <c r="D12" s="4">
        <v>1789</v>
      </c>
      <c r="E12" s="3" t="s">
        <v>22</v>
      </c>
      <c r="F12" s="3" t="s">
        <v>22</v>
      </c>
      <c r="G12" s="31">
        <v>19</v>
      </c>
      <c r="H12" s="31" t="s">
        <v>287</v>
      </c>
      <c r="I12" s="5">
        <v>6</v>
      </c>
      <c r="J12" s="5"/>
      <c r="K12" s="6"/>
      <c r="L12" s="11">
        <f t="shared" si="17"/>
        <v>6</v>
      </c>
      <c r="M12" s="7" t="s">
        <v>288</v>
      </c>
      <c r="N12" s="31"/>
      <c r="O12" s="9"/>
      <c r="P12" s="9" t="str">
        <f t="shared" si="7"/>
        <v/>
      </c>
      <c r="Q12" s="9"/>
      <c r="R12" s="30">
        <f t="shared" si="0"/>
        <v>0</v>
      </c>
      <c r="S12" s="9"/>
      <c r="T12" s="30">
        <f t="shared" si="8"/>
        <v>0</v>
      </c>
      <c r="U12" s="9"/>
      <c r="V12" s="30">
        <f>U12*$L12</f>
        <v>0</v>
      </c>
      <c r="W12" s="9"/>
      <c r="X12" s="30">
        <f>W12*$L12</f>
        <v>0</v>
      </c>
      <c r="Y12" s="9"/>
      <c r="Z12" s="30">
        <f t="shared" si="21"/>
        <v>0</v>
      </c>
      <c r="AA12" s="9">
        <v>35</v>
      </c>
      <c r="AB12" s="30">
        <v>210</v>
      </c>
      <c r="AC12" s="9"/>
      <c r="AD12" s="30">
        <f t="shared" si="2"/>
        <v>0</v>
      </c>
      <c r="AE12" s="9"/>
      <c r="AF12" s="30">
        <f t="shared" si="16"/>
        <v>0</v>
      </c>
      <c r="AG12" s="9"/>
      <c r="AH12" s="30">
        <f t="shared" si="9"/>
        <v>0</v>
      </c>
      <c r="AI12" s="9"/>
      <c r="AJ12" s="30">
        <f t="shared" si="3"/>
        <v>0</v>
      </c>
      <c r="AK12" s="9"/>
      <c r="AL12" s="30">
        <f t="shared" si="10"/>
        <v>0</v>
      </c>
      <c r="AM12" s="10">
        <v>35</v>
      </c>
      <c r="AN12" s="31">
        <v>210</v>
      </c>
      <c r="AO12" s="15">
        <f t="shared" si="11"/>
        <v>210</v>
      </c>
      <c r="AP12" s="9">
        <f t="shared" si="18"/>
        <v>0</v>
      </c>
      <c r="AQ12" s="28">
        <f t="shared" si="13"/>
        <v>35</v>
      </c>
      <c r="AR12" s="8">
        <f t="shared" si="19"/>
        <v>0</v>
      </c>
      <c r="AS12" s="29">
        <f t="shared" si="4"/>
        <v>210</v>
      </c>
      <c r="AT12" s="13">
        <f t="shared" si="20"/>
        <v>0</v>
      </c>
      <c r="AU12" s="2" t="str">
        <f t="shared" si="5"/>
        <v/>
      </c>
      <c r="AV12" s="2"/>
    </row>
    <row r="13" spans="1:48" ht="16.5">
      <c r="A13" s="1" t="s">
        <v>12</v>
      </c>
      <c r="B13" s="3" t="s">
        <v>29</v>
      </c>
      <c r="C13" s="3" t="s">
        <v>219</v>
      </c>
      <c r="D13" s="4">
        <v>1789</v>
      </c>
      <c r="E13" s="3" t="s">
        <v>22</v>
      </c>
      <c r="F13" s="3" t="s">
        <v>22</v>
      </c>
      <c r="G13" s="31">
        <v>19</v>
      </c>
      <c r="H13" s="31" t="s">
        <v>69</v>
      </c>
      <c r="I13" s="5">
        <v>4</v>
      </c>
      <c r="J13" s="5"/>
      <c r="K13" s="6"/>
      <c r="L13" s="11">
        <f t="shared" si="17"/>
        <v>4</v>
      </c>
      <c r="M13" s="7" t="s">
        <v>15</v>
      </c>
      <c r="N13" s="31"/>
      <c r="O13" s="9"/>
      <c r="P13" s="9" t="str">
        <f t="shared" si="7"/>
        <v/>
      </c>
      <c r="Q13" s="9"/>
      <c r="R13" s="30">
        <f t="shared" si="0"/>
        <v>0</v>
      </c>
      <c r="S13" s="9"/>
      <c r="T13" s="30">
        <f t="shared" si="8"/>
        <v>0</v>
      </c>
      <c r="U13" s="9"/>
      <c r="V13" s="30">
        <f>U13*$L13</f>
        <v>0</v>
      </c>
      <c r="W13" s="9">
        <v>476</v>
      </c>
      <c r="X13" s="30">
        <v>1904</v>
      </c>
      <c r="Y13" s="9"/>
      <c r="Z13" s="30">
        <f t="shared" si="21"/>
        <v>0</v>
      </c>
      <c r="AA13" s="9"/>
      <c r="AB13" s="30">
        <f>AA13*$L13</f>
        <v>0</v>
      </c>
      <c r="AC13" s="9"/>
      <c r="AD13" s="30">
        <f t="shared" si="2"/>
        <v>0</v>
      </c>
      <c r="AE13" s="9"/>
      <c r="AF13" s="30">
        <f t="shared" si="16"/>
        <v>0</v>
      </c>
      <c r="AG13" s="9"/>
      <c r="AH13" s="30">
        <f t="shared" si="9"/>
        <v>0</v>
      </c>
      <c r="AI13" s="9"/>
      <c r="AJ13" s="30">
        <f t="shared" si="3"/>
        <v>0</v>
      </c>
      <c r="AK13" s="9"/>
      <c r="AL13" s="30">
        <f t="shared" si="10"/>
        <v>0</v>
      </c>
      <c r="AM13" s="10">
        <v>476</v>
      </c>
      <c r="AN13" s="31">
        <v>1904</v>
      </c>
      <c r="AO13" s="15">
        <f t="shared" si="11"/>
        <v>1904</v>
      </c>
      <c r="AP13" s="9">
        <f t="shared" si="18"/>
        <v>0</v>
      </c>
      <c r="AQ13" s="28">
        <f t="shared" si="13"/>
        <v>476</v>
      </c>
      <c r="AR13" s="8">
        <f t="shared" si="19"/>
        <v>0</v>
      </c>
      <c r="AS13" s="29">
        <f t="shared" si="4"/>
        <v>1904</v>
      </c>
      <c r="AT13" s="13">
        <f t="shared" si="20"/>
        <v>0</v>
      </c>
      <c r="AU13" s="2" t="str">
        <f t="shared" si="5"/>
        <v/>
      </c>
      <c r="AV13" s="2"/>
    </row>
    <row r="14" spans="1:48" ht="16.5">
      <c r="A14" s="1" t="s">
        <v>12</v>
      </c>
      <c r="B14" s="3" t="s">
        <v>29</v>
      </c>
      <c r="C14" s="3" t="s">
        <v>219</v>
      </c>
      <c r="D14" s="4">
        <v>1789</v>
      </c>
      <c r="E14" s="3" t="s">
        <v>22</v>
      </c>
      <c r="F14" s="3" t="s">
        <v>22</v>
      </c>
      <c r="G14" s="31">
        <v>19</v>
      </c>
      <c r="H14" s="31" t="s">
        <v>70</v>
      </c>
      <c r="I14" s="5"/>
      <c r="J14" s="5">
        <v>50</v>
      </c>
      <c r="K14" s="6"/>
      <c r="L14" s="11">
        <f t="shared" si="17"/>
        <v>2.5</v>
      </c>
      <c r="M14" s="7" t="s">
        <v>15</v>
      </c>
      <c r="N14" s="31" t="s">
        <v>23</v>
      </c>
      <c r="O14" s="9">
        <v>4200</v>
      </c>
      <c r="P14" s="9">
        <v>10500</v>
      </c>
      <c r="Q14" s="9"/>
      <c r="R14" s="30">
        <f t="shared" si="0"/>
        <v>0</v>
      </c>
      <c r="S14" s="9"/>
      <c r="T14" s="30">
        <f t="shared" si="8"/>
        <v>0</v>
      </c>
      <c r="U14" s="9">
        <v>148</v>
      </c>
      <c r="V14" s="30">
        <v>370</v>
      </c>
      <c r="W14" s="9">
        <v>205</v>
      </c>
      <c r="X14" s="32">
        <v>510</v>
      </c>
      <c r="Y14" s="9"/>
      <c r="Z14" s="30">
        <f t="shared" si="21"/>
        <v>0</v>
      </c>
      <c r="AA14" s="9"/>
      <c r="AB14" s="30">
        <f>AA14*$L14</f>
        <v>0</v>
      </c>
      <c r="AC14" s="9"/>
      <c r="AD14" s="30">
        <f t="shared" si="2"/>
        <v>0</v>
      </c>
      <c r="AE14" s="9"/>
      <c r="AF14" s="30">
        <f t="shared" si="16"/>
        <v>0</v>
      </c>
      <c r="AG14" s="9"/>
      <c r="AH14" s="30">
        <f t="shared" si="9"/>
        <v>0</v>
      </c>
      <c r="AI14" s="9"/>
      <c r="AJ14" s="30">
        <f t="shared" si="3"/>
        <v>0</v>
      </c>
      <c r="AK14" s="9">
        <v>1269</v>
      </c>
      <c r="AL14" s="30">
        <v>3172</v>
      </c>
      <c r="AM14" s="10">
        <v>1622</v>
      </c>
      <c r="AN14" s="31">
        <v>4052</v>
      </c>
      <c r="AO14" s="15">
        <f t="shared" si="11"/>
        <v>4052</v>
      </c>
      <c r="AP14" s="9">
        <f t="shared" si="18"/>
        <v>0</v>
      </c>
      <c r="AQ14" s="28">
        <f t="shared" si="13"/>
        <v>1622</v>
      </c>
      <c r="AR14" s="8">
        <f t="shared" si="19"/>
        <v>0</v>
      </c>
      <c r="AS14" s="29">
        <f t="shared" si="4"/>
        <v>4055</v>
      </c>
      <c r="AT14" s="13">
        <f t="shared" si="20"/>
        <v>-3</v>
      </c>
      <c r="AU14" s="2" t="str">
        <f t="shared" si="5"/>
        <v>erreur de calcul</v>
      </c>
      <c r="AV14" s="2"/>
    </row>
    <row r="15" spans="1:48" ht="16.5">
      <c r="A15" s="1" t="s">
        <v>12</v>
      </c>
      <c r="B15" s="3" t="s">
        <v>29</v>
      </c>
      <c r="C15" s="3" t="s">
        <v>219</v>
      </c>
      <c r="D15" s="4">
        <v>1789</v>
      </c>
      <c r="E15" s="3" t="s">
        <v>22</v>
      </c>
      <c r="F15" s="3" t="s">
        <v>22</v>
      </c>
      <c r="G15" s="31">
        <v>19</v>
      </c>
      <c r="H15" s="31" t="s">
        <v>71</v>
      </c>
      <c r="I15" s="5"/>
      <c r="J15" s="5"/>
      <c r="K15" s="6"/>
      <c r="L15" s="11">
        <f t="shared" si="17"/>
        <v>0</v>
      </c>
      <c r="M15" s="7" t="s">
        <v>49</v>
      </c>
      <c r="N15" s="31"/>
      <c r="O15" s="9"/>
      <c r="P15" s="9" t="str">
        <f t="shared" si="7"/>
        <v/>
      </c>
      <c r="Q15" s="9"/>
      <c r="R15" s="30">
        <f t="shared" si="0"/>
        <v>0</v>
      </c>
      <c r="S15" s="9"/>
      <c r="T15" s="30">
        <f t="shared" si="8"/>
        <v>0</v>
      </c>
      <c r="U15" s="9">
        <v>5</v>
      </c>
      <c r="V15" s="30">
        <v>1680</v>
      </c>
      <c r="W15" s="9"/>
      <c r="X15" s="30">
        <f>W15*$L15</f>
        <v>0</v>
      </c>
      <c r="Y15" s="9">
        <v>4</v>
      </c>
      <c r="Z15" s="30">
        <v>1600</v>
      </c>
      <c r="AA15" s="9"/>
      <c r="AB15" s="30">
        <f>AA15*$L15</f>
        <v>0</v>
      </c>
      <c r="AC15" s="9"/>
      <c r="AD15" s="30">
        <f t="shared" si="2"/>
        <v>0</v>
      </c>
      <c r="AE15" s="9"/>
      <c r="AF15" s="30">
        <f t="shared" si="16"/>
        <v>0</v>
      </c>
      <c r="AG15" s="9"/>
      <c r="AH15" s="30">
        <f t="shared" si="9"/>
        <v>0</v>
      </c>
      <c r="AI15" s="9"/>
      <c r="AJ15" s="30">
        <f t="shared" si="3"/>
        <v>0</v>
      </c>
      <c r="AK15" s="9"/>
      <c r="AL15" s="30">
        <f>AK15*$L15</f>
        <v>0</v>
      </c>
      <c r="AM15" s="10">
        <v>9</v>
      </c>
      <c r="AN15" s="31">
        <v>3280</v>
      </c>
      <c r="AO15" s="15">
        <f t="shared" si="11"/>
        <v>3280</v>
      </c>
      <c r="AP15" s="9">
        <f t="shared" si="18"/>
        <v>0</v>
      </c>
      <c r="AQ15" s="28">
        <f t="shared" si="13"/>
        <v>9</v>
      </c>
      <c r="AR15" s="8">
        <f t="shared" si="19"/>
        <v>0</v>
      </c>
      <c r="AS15" s="29">
        <f t="shared" si="4"/>
        <v>0</v>
      </c>
      <c r="AT15" s="13">
        <f t="shared" si="20"/>
        <v>3280</v>
      </c>
      <c r="AU15" s="2" t="str">
        <f t="shared" si="5"/>
        <v>pas de prix</v>
      </c>
      <c r="AV15" s="2" t="s">
        <v>297</v>
      </c>
    </row>
    <row r="16" spans="1:48" ht="16.5">
      <c r="A16" s="1" t="s">
        <v>12</v>
      </c>
      <c r="B16" s="3" t="s">
        <v>29</v>
      </c>
      <c r="C16" s="3" t="s">
        <v>219</v>
      </c>
      <c r="D16" s="4">
        <v>1789</v>
      </c>
      <c r="E16" s="3" t="s">
        <v>22</v>
      </c>
      <c r="F16" s="3" t="s">
        <v>22</v>
      </c>
      <c r="G16" s="31">
        <v>19</v>
      </c>
      <c r="H16" s="31" t="s">
        <v>38</v>
      </c>
      <c r="I16" s="5">
        <v>90</v>
      </c>
      <c r="J16" s="5"/>
      <c r="K16" s="6"/>
      <c r="L16" s="11">
        <f t="shared" si="17"/>
        <v>90</v>
      </c>
      <c r="M16" s="7" t="s">
        <v>14</v>
      </c>
      <c r="N16" s="31" t="s">
        <v>23</v>
      </c>
      <c r="O16" s="9">
        <f>1409/100</f>
        <v>14.09</v>
      </c>
      <c r="P16" s="9">
        <v>1268</v>
      </c>
      <c r="Q16" s="9"/>
      <c r="R16" s="30">
        <f t="shared" si="0"/>
        <v>0</v>
      </c>
      <c r="S16" s="9"/>
      <c r="T16" s="30">
        <f t="shared" si="8"/>
        <v>0</v>
      </c>
      <c r="U16" s="9">
        <f>866286/100</f>
        <v>8662.86</v>
      </c>
      <c r="V16" s="30">
        <v>779657</v>
      </c>
      <c r="W16" s="9">
        <f>21303/100</f>
        <v>213.03</v>
      </c>
      <c r="X16" s="30">
        <v>19173</v>
      </c>
      <c r="Y16" s="9">
        <f>1879/100</f>
        <v>18.79</v>
      </c>
      <c r="Z16" s="30">
        <v>1691</v>
      </c>
      <c r="AA16" s="9">
        <f>136/100</f>
        <v>1.36</v>
      </c>
      <c r="AB16" s="30">
        <v>122</v>
      </c>
      <c r="AC16" s="9">
        <f>2401/100</f>
        <v>24.01</v>
      </c>
      <c r="AD16" s="30">
        <v>2161</v>
      </c>
      <c r="AE16" s="9"/>
      <c r="AF16" s="30">
        <f t="shared" si="16"/>
        <v>0</v>
      </c>
      <c r="AG16" s="9">
        <f>5012/100</f>
        <v>50.12</v>
      </c>
      <c r="AH16" s="30">
        <v>4510</v>
      </c>
      <c r="AI16" s="9"/>
      <c r="AJ16" s="30">
        <f t="shared" si="3"/>
        <v>0</v>
      </c>
      <c r="AK16" s="9"/>
      <c r="AL16" s="30">
        <f>AK16*$L16</f>
        <v>0</v>
      </c>
      <c r="AM16" s="10">
        <f>897017/100</f>
        <v>8970.17</v>
      </c>
      <c r="AN16" s="31">
        <v>807314</v>
      </c>
      <c r="AO16" s="15">
        <f t="shared" si="11"/>
        <v>807314</v>
      </c>
      <c r="AP16" s="9">
        <f t="shared" si="18"/>
        <v>0</v>
      </c>
      <c r="AQ16" s="28">
        <f t="shared" si="13"/>
        <v>8970.1700000000037</v>
      </c>
      <c r="AR16" s="8">
        <f t="shared" si="19"/>
        <v>0</v>
      </c>
      <c r="AS16" s="29">
        <f t="shared" si="4"/>
        <v>807315.30000000028</v>
      </c>
      <c r="AT16" s="13">
        <f t="shared" si="20"/>
        <v>-1.3000000002793968</v>
      </c>
      <c r="AU16" s="2" t="str">
        <f t="shared" si="5"/>
        <v>erreur de calcul</v>
      </c>
      <c r="AV16" s="2"/>
    </row>
    <row r="17" spans="1:48" ht="16.5">
      <c r="A17" s="1" t="s">
        <v>12</v>
      </c>
      <c r="B17" s="3" t="s">
        <v>29</v>
      </c>
      <c r="C17" s="3" t="s">
        <v>219</v>
      </c>
      <c r="D17" s="4">
        <v>1789</v>
      </c>
      <c r="E17" s="3" t="s">
        <v>22</v>
      </c>
      <c r="F17" s="3" t="s">
        <v>22</v>
      </c>
      <c r="G17" s="31">
        <v>19</v>
      </c>
      <c r="H17" s="31" t="s">
        <v>40</v>
      </c>
      <c r="I17" s="5">
        <v>15</v>
      </c>
      <c r="J17" s="5"/>
      <c r="K17" s="6"/>
      <c r="L17" s="11">
        <f t="shared" si="17"/>
        <v>15</v>
      </c>
      <c r="M17" s="7" t="s">
        <v>14</v>
      </c>
      <c r="N17" s="31"/>
      <c r="O17" s="9"/>
      <c r="P17" s="9" t="str">
        <f t="shared" si="7"/>
        <v/>
      </c>
      <c r="Q17" s="9"/>
      <c r="R17" s="30">
        <f t="shared" si="0"/>
        <v>0</v>
      </c>
      <c r="S17" s="9"/>
      <c r="T17" s="30">
        <f t="shared" si="8"/>
        <v>0</v>
      </c>
      <c r="U17" s="9">
        <f>5400/100</f>
        <v>54</v>
      </c>
      <c r="V17" s="30">
        <v>810</v>
      </c>
      <c r="W17" s="9"/>
      <c r="X17" s="30">
        <f>W17*$L17</f>
        <v>0</v>
      </c>
      <c r="Y17" s="9"/>
      <c r="Z17" s="30">
        <f>Y17*$L17</f>
        <v>0</v>
      </c>
      <c r="AA17" s="9"/>
      <c r="AB17" s="30">
        <f>AA17*$L17</f>
        <v>0</v>
      </c>
      <c r="AC17" s="9"/>
      <c r="AD17" s="30">
        <f>AC17*$L17</f>
        <v>0</v>
      </c>
      <c r="AE17" s="9"/>
      <c r="AF17" s="30">
        <f t="shared" si="16"/>
        <v>0</v>
      </c>
      <c r="AG17" s="9"/>
      <c r="AH17" s="30">
        <f>AG17*$L17</f>
        <v>0</v>
      </c>
      <c r="AI17" s="9"/>
      <c r="AJ17" s="30">
        <f t="shared" si="3"/>
        <v>0</v>
      </c>
      <c r="AK17" s="9"/>
      <c r="AL17" s="30">
        <f>AK17*$L17</f>
        <v>0</v>
      </c>
      <c r="AM17" s="10">
        <f>5400/100</f>
        <v>54</v>
      </c>
      <c r="AN17" s="31">
        <v>810</v>
      </c>
      <c r="AO17" s="15">
        <f t="shared" si="11"/>
        <v>810</v>
      </c>
      <c r="AP17" s="9">
        <f t="shared" si="18"/>
        <v>0</v>
      </c>
      <c r="AQ17" s="28">
        <f t="shared" si="13"/>
        <v>54</v>
      </c>
      <c r="AR17" s="8">
        <f t="shared" si="19"/>
        <v>0</v>
      </c>
      <c r="AS17" s="29">
        <f t="shared" si="4"/>
        <v>810</v>
      </c>
      <c r="AT17" s="13">
        <f t="shared" si="20"/>
        <v>0</v>
      </c>
      <c r="AU17" s="2" t="str">
        <f t="shared" si="5"/>
        <v/>
      </c>
      <c r="AV17" s="2"/>
    </row>
    <row r="18" spans="1:48" ht="16.5">
      <c r="A18" s="1" t="s">
        <v>12</v>
      </c>
      <c r="B18" s="3" t="s">
        <v>29</v>
      </c>
      <c r="C18" s="3" t="s">
        <v>219</v>
      </c>
      <c r="D18" s="4">
        <v>1789</v>
      </c>
      <c r="E18" s="3" t="s">
        <v>22</v>
      </c>
      <c r="F18" s="3" t="s">
        <v>22</v>
      </c>
      <c r="G18" s="31">
        <v>19</v>
      </c>
      <c r="H18" s="31" t="s">
        <v>39</v>
      </c>
      <c r="I18" s="5"/>
      <c r="J18" s="5"/>
      <c r="K18" s="6"/>
      <c r="L18" s="11">
        <f t="shared" si="17"/>
        <v>0</v>
      </c>
      <c r="M18" s="7" t="s">
        <v>42</v>
      </c>
      <c r="N18" s="31"/>
      <c r="O18" s="9"/>
      <c r="P18" s="9" t="str">
        <f t="shared" si="7"/>
        <v/>
      </c>
      <c r="Q18" s="9"/>
      <c r="R18" s="30">
        <f t="shared" si="0"/>
        <v>0</v>
      </c>
      <c r="S18" s="9"/>
      <c r="T18" s="30">
        <f t="shared" si="8"/>
        <v>0</v>
      </c>
      <c r="U18" s="9">
        <f>47+24/288</f>
        <v>47.083333333333336</v>
      </c>
      <c r="V18" s="30">
        <v>3050</v>
      </c>
      <c r="W18" s="9">
        <f>2812+144/288</f>
        <v>2812.5</v>
      </c>
      <c r="X18" s="30">
        <v>162000</v>
      </c>
      <c r="Y18" s="9">
        <f>379+223/288</f>
        <v>379.77430555555554</v>
      </c>
      <c r="Z18" s="30">
        <v>21875</v>
      </c>
      <c r="AA18" s="9">
        <f>20+240/100</f>
        <v>22.4</v>
      </c>
      <c r="AB18" s="30">
        <v>1200</v>
      </c>
      <c r="AC18" s="9">
        <f>17+229/288</f>
        <v>17.795138888888889</v>
      </c>
      <c r="AD18" s="30">
        <v>1025</v>
      </c>
      <c r="AE18" s="9"/>
      <c r="AF18" s="30">
        <f t="shared" si="16"/>
        <v>0</v>
      </c>
      <c r="AG18" s="9"/>
      <c r="AH18" s="30">
        <f>AG18*$L18</f>
        <v>0</v>
      </c>
      <c r="AI18" s="9"/>
      <c r="AJ18" s="30">
        <f t="shared" si="3"/>
        <v>0</v>
      </c>
      <c r="AK18" s="9"/>
      <c r="AL18" s="30">
        <f>AK18*$L18</f>
        <v>0</v>
      </c>
      <c r="AM18" s="10">
        <v>3278</v>
      </c>
      <c r="AN18" s="31">
        <v>189150</v>
      </c>
      <c r="AO18" s="15">
        <f t="shared" si="11"/>
        <v>189150</v>
      </c>
      <c r="AP18" s="9">
        <f t="shared" si="18"/>
        <v>0</v>
      </c>
      <c r="AQ18" s="28">
        <f t="shared" si="13"/>
        <v>3279.5527777777779</v>
      </c>
      <c r="AR18" s="8">
        <f t="shared" si="19"/>
        <v>-1.5527777777779193</v>
      </c>
      <c r="AS18" s="29">
        <f t="shared" si="4"/>
        <v>0</v>
      </c>
      <c r="AT18" s="13">
        <f t="shared" si="20"/>
        <v>189150</v>
      </c>
      <c r="AU18" s="2" t="str">
        <f t="shared" si="5"/>
        <v>pas de prix</v>
      </c>
      <c r="AV18" s="2" t="s">
        <v>299</v>
      </c>
    </row>
    <row r="19" spans="1:48" ht="16.5">
      <c r="A19" s="1" t="s">
        <v>12</v>
      </c>
      <c r="B19" s="3" t="s">
        <v>29</v>
      </c>
      <c r="C19" s="3" t="s">
        <v>219</v>
      </c>
      <c r="D19" s="4">
        <v>1789</v>
      </c>
      <c r="E19" s="3" t="s">
        <v>22</v>
      </c>
      <c r="F19" s="3" t="s">
        <v>22</v>
      </c>
      <c r="G19" s="31">
        <v>19</v>
      </c>
      <c r="H19" s="31" t="s">
        <v>72</v>
      </c>
      <c r="I19" s="5"/>
      <c r="J19" s="5"/>
      <c r="K19" s="6"/>
      <c r="L19" s="11">
        <f t="shared" si="17"/>
        <v>0</v>
      </c>
      <c r="M19" s="7"/>
      <c r="N19" s="31"/>
      <c r="O19" s="9"/>
      <c r="P19" s="9" t="str">
        <f t="shared" si="7"/>
        <v/>
      </c>
      <c r="Q19" s="9"/>
      <c r="R19" s="30">
        <v>596</v>
      </c>
      <c r="S19" s="9"/>
      <c r="T19" s="30">
        <f t="shared" si="8"/>
        <v>0</v>
      </c>
      <c r="U19" s="9"/>
      <c r="V19" s="30">
        <v>900</v>
      </c>
      <c r="W19" s="9"/>
      <c r="X19" s="30">
        <v>2908</v>
      </c>
      <c r="Y19" s="9"/>
      <c r="Z19" s="30">
        <v>40016</v>
      </c>
      <c r="AA19" s="9"/>
      <c r="AB19" s="30">
        <f>AA19*$L19</f>
        <v>0</v>
      </c>
      <c r="AC19" s="9"/>
      <c r="AD19" s="30">
        <v>13584</v>
      </c>
      <c r="AE19" s="9"/>
      <c r="AF19" s="30">
        <f t="shared" si="16"/>
        <v>0</v>
      </c>
      <c r="AG19" s="9"/>
      <c r="AH19" s="30">
        <v>60483</v>
      </c>
      <c r="AI19" s="9"/>
      <c r="AJ19" s="30">
        <v>834</v>
      </c>
      <c r="AK19" s="9"/>
      <c r="AL19" s="30">
        <v>18013</v>
      </c>
      <c r="AM19" s="10"/>
      <c r="AN19" s="31">
        <v>137334</v>
      </c>
      <c r="AO19" s="15">
        <f t="shared" si="11"/>
        <v>137334</v>
      </c>
      <c r="AP19" s="9">
        <f t="shared" si="18"/>
        <v>0</v>
      </c>
      <c r="AQ19" s="28">
        <f t="shared" si="13"/>
        <v>0</v>
      </c>
      <c r="AR19" s="8">
        <f t="shared" si="19"/>
        <v>0</v>
      </c>
      <c r="AS19" s="29">
        <f t="shared" si="4"/>
        <v>0</v>
      </c>
      <c r="AT19" s="13">
        <f t="shared" si="20"/>
        <v>137334</v>
      </c>
      <c r="AU19" s="2" t="str">
        <f t="shared" si="5"/>
        <v>pas de prix, ni de quantité</v>
      </c>
      <c r="AV19" s="2"/>
    </row>
    <row r="20" spans="1:48" ht="16.5">
      <c r="A20" s="1" t="s">
        <v>12</v>
      </c>
      <c r="B20" s="3" t="s">
        <v>29</v>
      </c>
      <c r="C20" s="3" t="s">
        <v>219</v>
      </c>
      <c r="D20" s="4">
        <v>1789</v>
      </c>
      <c r="E20" s="3" t="s">
        <v>22</v>
      </c>
      <c r="F20" s="3" t="s">
        <v>22</v>
      </c>
      <c r="G20" s="31">
        <v>19</v>
      </c>
      <c r="H20" s="31" t="s">
        <v>73</v>
      </c>
      <c r="I20" s="5"/>
      <c r="J20" s="5">
        <v>50</v>
      </c>
      <c r="K20" s="6"/>
      <c r="L20" s="11">
        <f t="shared" si="17"/>
        <v>2.5</v>
      </c>
      <c r="M20" s="7" t="s">
        <v>41</v>
      </c>
      <c r="N20" s="31" t="s">
        <v>23</v>
      </c>
      <c r="O20" s="9">
        <v>382</v>
      </c>
      <c r="P20" s="9">
        <v>955</v>
      </c>
      <c r="Q20" s="9">
        <v>2219</v>
      </c>
      <c r="R20" s="32">
        <v>6657</v>
      </c>
      <c r="S20" s="9"/>
      <c r="T20" s="30">
        <f t="shared" si="8"/>
        <v>0</v>
      </c>
      <c r="U20" s="9"/>
      <c r="V20" s="30">
        <f>U20*$L20</f>
        <v>0</v>
      </c>
      <c r="W20" s="9">
        <v>672</v>
      </c>
      <c r="X20" s="30">
        <v>1680</v>
      </c>
      <c r="Y20" s="9">
        <v>108</v>
      </c>
      <c r="Z20" s="30">
        <v>270</v>
      </c>
      <c r="AA20" s="9"/>
      <c r="AB20" s="30">
        <f>AA20*$L20</f>
        <v>0</v>
      </c>
      <c r="AC20" s="9">
        <v>362</v>
      </c>
      <c r="AD20" s="30">
        <v>905</v>
      </c>
      <c r="AE20" s="9">
        <v>48</v>
      </c>
      <c r="AF20" s="30">
        <v>120</v>
      </c>
      <c r="AG20" s="9">
        <v>56</v>
      </c>
      <c r="AH20" s="30">
        <v>140</v>
      </c>
      <c r="AI20" s="9">
        <v>980</v>
      </c>
      <c r="AJ20" s="30">
        <v>2450</v>
      </c>
      <c r="AK20" s="9">
        <v>626</v>
      </c>
      <c r="AL20" s="30">
        <v>1565</v>
      </c>
      <c r="AM20" s="10">
        <v>5071</v>
      </c>
      <c r="AN20" s="31">
        <v>13787</v>
      </c>
      <c r="AO20" s="15">
        <f t="shared" si="11"/>
        <v>13787</v>
      </c>
      <c r="AP20" s="9">
        <f t="shared" si="18"/>
        <v>0</v>
      </c>
      <c r="AQ20" s="28">
        <f t="shared" si="13"/>
        <v>5071</v>
      </c>
      <c r="AR20" s="8">
        <f t="shared" si="19"/>
        <v>0</v>
      </c>
      <c r="AS20" s="29">
        <f t="shared" si="4"/>
        <v>12677.5</v>
      </c>
      <c r="AT20" s="13">
        <f t="shared" si="20"/>
        <v>1109.5</v>
      </c>
      <c r="AU20" s="2" t="str">
        <f t="shared" si="5"/>
        <v>erreur de calcul</v>
      </c>
      <c r="AV20" s="2" t="s">
        <v>293</v>
      </c>
    </row>
    <row r="21" spans="1:48" ht="16.5">
      <c r="A21" s="1" t="s">
        <v>12</v>
      </c>
      <c r="B21" s="3" t="s">
        <v>29</v>
      </c>
      <c r="C21" s="3" t="s">
        <v>219</v>
      </c>
      <c r="D21" s="4">
        <v>1789</v>
      </c>
      <c r="E21" s="3" t="s">
        <v>22</v>
      </c>
      <c r="F21" s="3" t="s">
        <v>22</v>
      </c>
      <c r="G21" s="31">
        <v>19</v>
      </c>
      <c r="H21" s="31" t="s">
        <v>204</v>
      </c>
      <c r="I21" s="5"/>
      <c r="J21" s="5"/>
      <c r="K21" s="6"/>
      <c r="L21" s="11">
        <f t="shared" si="17"/>
        <v>0</v>
      </c>
      <c r="M21" s="7" t="s">
        <v>49</v>
      </c>
      <c r="N21" s="31"/>
      <c r="O21" s="9"/>
      <c r="P21" s="9" t="str">
        <f t="shared" si="7"/>
        <v/>
      </c>
      <c r="Q21" s="9"/>
      <c r="R21" s="30">
        <f>Q21*$L21</f>
        <v>0</v>
      </c>
      <c r="S21" s="9"/>
      <c r="T21" s="30">
        <f t="shared" si="8"/>
        <v>0</v>
      </c>
      <c r="U21" s="9"/>
      <c r="V21" s="30">
        <f>U21*$L21</f>
        <v>0</v>
      </c>
      <c r="W21" s="9"/>
      <c r="X21" s="30">
        <f>W21*$L21</f>
        <v>0</v>
      </c>
      <c r="Y21" s="9">
        <v>31</v>
      </c>
      <c r="Z21" s="30">
        <v>2675</v>
      </c>
      <c r="AA21" s="9"/>
      <c r="AB21" s="30">
        <f>AA21*$L21</f>
        <v>0</v>
      </c>
      <c r="AC21" s="9"/>
      <c r="AD21" s="30">
        <f>AC21*$L21</f>
        <v>0</v>
      </c>
      <c r="AE21" s="9"/>
      <c r="AF21" s="30">
        <f>AE21*$L21</f>
        <v>0</v>
      </c>
      <c r="AG21" s="9">
        <v>29</v>
      </c>
      <c r="AH21" s="30">
        <v>3693</v>
      </c>
      <c r="AI21" s="9">
        <v>8</v>
      </c>
      <c r="AJ21" s="30">
        <v>320</v>
      </c>
      <c r="AK21" s="9"/>
      <c r="AL21" s="30">
        <v>1440</v>
      </c>
      <c r="AM21" s="10"/>
      <c r="AN21" s="31">
        <v>8128</v>
      </c>
      <c r="AO21" s="15">
        <f t="shared" si="11"/>
        <v>8128</v>
      </c>
      <c r="AP21" s="9">
        <f t="shared" si="18"/>
        <v>0</v>
      </c>
      <c r="AQ21" s="28">
        <f t="shared" si="13"/>
        <v>68</v>
      </c>
      <c r="AR21" s="8">
        <f t="shared" si="19"/>
        <v>-68</v>
      </c>
      <c r="AS21" s="29">
        <f t="shared" si="4"/>
        <v>0</v>
      </c>
      <c r="AT21" s="13">
        <f t="shared" si="20"/>
        <v>8128</v>
      </c>
      <c r="AU21" s="2" t="str">
        <f t="shared" si="5"/>
        <v>pas de prix</v>
      </c>
      <c r="AV21" s="2" t="s">
        <v>296</v>
      </c>
    </row>
    <row r="22" spans="1:48" ht="16.5">
      <c r="A22" s="1" t="s">
        <v>12</v>
      </c>
      <c r="B22" s="3" t="s">
        <v>29</v>
      </c>
      <c r="C22" s="3" t="s">
        <v>219</v>
      </c>
      <c r="D22" s="4">
        <v>1789</v>
      </c>
      <c r="E22" s="3" t="s">
        <v>22</v>
      </c>
      <c r="F22" s="3" t="s">
        <v>22</v>
      </c>
      <c r="G22" s="31">
        <v>19</v>
      </c>
      <c r="H22" s="31" t="s">
        <v>205</v>
      </c>
      <c r="I22" s="5"/>
      <c r="J22" s="5">
        <v>20</v>
      </c>
      <c r="K22" s="6"/>
      <c r="L22" s="11">
        <f t="shared" si="17"/>
        <v>1</v>
      </c>
      <c r="M22" s="7" t="s">
        <v>41</v>
      </c>
      <c r="N22" s="31"/>
      <c r="O22" s="9"/>
      <c r="P22" s="9" t="str">
        <f t="shared" si="7"/>
        <v/>
      </c>
      <c r="Q22" s="9">
        <v>120</v>
      </c>
      <c r="R22" s="30">
        <v>120</v>
      </c>
      <c r="S22" s="9"/>
      <c r="T22" s="30">
        <f t="shared" si="8"/>
        <v>0</v>
      </c>
      <c r="U22" s="9"/>
      <c r="V22" s="30">
        <f>U22*$L22</f>
        <v>0</v>
      </c>
      <c r="W22" s="9">
        <v>204</v>
      </c>
      <c r="X22" s="30">
        <v>204</v>
      </c>
      <c r="Y22" s="9">
        <v>1200</v>
      </c>
      <c r="Z22" s="30">
        <v>1200</v>
      </c>
      <c r="AA22" s="9"/>
      <c r="AB22" s="30">
        <f>AA22*$L22</f>
        <v>0</v>
      </c>
      <c r="AC22" s="9">
        <v>814</v>
      </c>
      <c r="AD22" s="30">
        <v>814</v>
      </c>
      <c r="AE22" s="9"/>
      <c r="AF22" s="30">
        <f>AE22*$L22</f>
        <v>0</v>
      </c>
      <c r="AG22" s="9">
        <v>285</v>
      </c>
      <c r="AH22" s="30">
        <v>285</v>
      </c>
      <c r="AI22" s="9"/>
      <c r="AJ22" s="30">
        <f>AI22*$L22</f>
        <v>0</v>
      </c>
      <c r="AK22" s="9"/>
      <c r="AL22" s="30">
        <f>AK22*$L22</f>
        <v>0</v>
      </c>
      <c r="AM22" s="10">
        <v>2623</v>
      </c>
      <c r="AN22" s="31">
        <v>2623</v>
      </c>
      <c r="AO22" s="15">
        <f t="shared" si="11"/>
        <v>2623</v>
      </c>
      <c r="AP22" s="9">
        <f t="shared" si="18"/>
        <v>0</v>
      </c>
      <c r="AQ22" s="28">
        <f t="shared" si="13"/>
        <v>2623</v>
      </c>
      <c r="AR22" s="8">
        <f t="shared" si="19"/>
        <v>0</v>
      </c>
      <c r="AS22" s="29">
        <f t="shared" si="4"/>
        <v>2623</v>
      </c>
      <c r="AT22" s="13">
        <f t="shared" si="20"/>
        <v>0</v>
      </c>
      <c r="AU22" s="2" t="str">
        <f t="shared" si="5"/>
        <v/>
      </c>
      <c r="AV22" s="2"/>
    </row>
    <row r="23" spans="1:48" ht="16.5">
      <c r="A23" s="1" t="s">
        <v>12</v>
      </c>
      <c r="B23" s="3" t="s">
        <v>29</v>
      </c>
      <c r="C23" s="3" t="s">
        <v>219</v>
      </c>
      <c r="D23" s="4">
        <v>1789</v>
      </c>
      <c r="E23" s="3" t="s">
        <v>22</v>
      </c>
      <c r="F23" s="3" t="s">
        <v>22</v>
      </c>
      <c r="G23" s="31">
        <v>19</v>
      </c>
      <c r="H23" s="31" t="s">
        <v>74</v>
      </c>
      <c r="I23" s="5"/>
      <c r="J23" s="5"/>
      <c r="K23" s="6"/>
      <c r="L23" s="11">
        <f t="shared" si="17"/>
        <v>0</v>
      </c>
      <c r="M23" s="7" t="s">
        <v>49</v>
      </c>
      <c r="N23" s="31"/>
      <c r="O23" s="9"/>
      <c r="P23" s="9" t="str">
        <f t="shared" si="7"/>
        <v/>
      </c>
      <c r="Q23" s="9">
        <v>1700</v>
      </c>
      <c r="R23" s="30">
        <v>2125</v>
      </c>
      <c r="S23" s="9"/>
      <c r="T23" s="30">
        <f t="shared" si="8"/>
        <v>0</v>
      </c>
      <c r="U23" s="9">
        <v>400</v>
      </c>
      <c r="V23" s="30">
        <v>500</v>
      </c>
      <c r="W23" s="9">
        <v>32433</v>
      </c>
      <c r="X23" s="30">
        <v>40541</v>
      </c>
      <c r="Y23" s="9">
        <v>43389</v>
      </c>
      <c r="Z23" s="30">
        <v>54236</v>
      </c>
      <c r="AA23" s="9">
        <v>4575</v>
      </c>
      <c r="AB23" s="30">
        <v>4575</v>
      </c>
      <c r="AC23" s="9">
        <v>131969</v>
      </c>
      <c r="AD23" s="30">
        <v>131969</v>
      </c>
      <c r="AE23" s="9">
        <v>21856</v>
      </c>
      <c r="AF23" s="30">
        <v>27320</v>
      </c>
      <c r="AG23" s="9">
        <v>42112</v>
      </c>
      <c r="AH23" s="30">
        <v>52640</v>
      </c>
      <c r="AI23" s="9">
        <v>47130</v>
      </c>
      <c r="AJ23" s="30">
        <v>51843</v>
      </c>
      <c r="AK23" s="9"/>
      <c r="AL23" s="30">
        <f>AK23*$L23</f>
        <v>0</v>
      </c>
      <c r="AM23" s="10">
        <v>325564</v>
      </c>
      <c r="AN23" s="31">
        <v>365749</v>
      </c>
      <c r="AO23" s="15">
        <f t="shared" si="11"/>
        <v>365749</v>
      </c>
      <c r="AP23" s="9">
        <f t="shared" si="18"/>
        <v>0</v>
      </c>
      <c r="AQ23" s="28">
        <f t="shared" si="13"/>
        <v>325564</v>
      </c>
      <c r="AR23" s="8">
        <f t="shared" si="19"/>
        <v>0</v>
      </c>
      <c r="AS23" s="29">
        <f t="shared" si="4"/>
        <v>0</v>
      </c>
      <c r="AT23" s="13">
        <f t="shared" si="20"/>
        <v>365749</v>
      </c>
      <c r="AU23" s="2" t="str">
        <f t="shared" si="5"/>
        <v>pas de prix</v>
      </c>
      <c r="AV23" s="2"/>
    </row>
    <row r="24" spans="1:48" ht="16.5">
      <c r="A24" s="1" t="s">
        <v>12</v>
      </c>
      <c r="B24" s="3" t="s">
        <v>29</v>
      </c>
      <c r="C24" s="3" t="s">
        <v>219</v>
      </c>
      <c r="D24" s="4">
        <v>1789</v>
      </c>
      <c r="E24" s="3" t="s">
        <v>22</v>
      </c>
      <c r="F24" s="3" t="s">
        <v>22</v>
      </c>
      <c r="G24" s="31">
        <v>19</v>
      </c>
      <c r="H24" s="31" t="s">
        <v>75</v>
      </c>
      <c r="I24" s="5">
        <v>20</v>
      </c>
      <c r="J24" s="5"/>
      <c r="K24" s="6"/>
      <c r="L24" s="11">
        <f t="shared" si="17"/>
        <v>20</v>
      </c>
      <c r="M24" s="7" t="s">
        <v>14</v>
      </c>
      <c r="N24" s="31"/>
      <c r="O24" s="9"/>
      <c r="P24" s="9" t="str">
        <f t="shared" si="7"/>
        <v/>
      </c>
      <c r="Q24" s="9">
        <f>327388/100</f>
        <v>3273.88</v>
      </c>
      <c r="R24" s="30">
        <v>65477</v>
      </c>
      <c r="S24" s="9"/>
      <c r="T24" s="30">
        <f t="shared" si="8"/>
        <v>0</v>
      </c>
      <c r="U24" s="9"/>
      <c r="V24" s="30">
        <f>U24*$L24</f>
        <v>0</v>
      </c>
      <c r="W24" s="9"/>
      <c r="X24" s="30">
        <f>W24*$L24</f>
        <v>0</v>
      </c>
      <c r="Y24" s="9"/>
      <c r="Z24" s="30">
        <f>Y24*$L24</f>
        <v>0</v>
      </c>
      <c r="AA24" s="9"/>
      <c r="AB24" s="30">
        <f>AA24*$L24</f>
        <v>0</v>
      </c>
      <c r="AC24" s="9"/>
      <c r="AD24" s="30">
        <f>AC24*$L24</f>
        <v>0</v>
      </c>
      <c r="AE24" s="9"/>
      <c r="AF24" s="30">
        <f>AE24*$L24</f>
        <v>0</v>
      </c>
      <c r="AG24" s="9"/>
      <c r="AH24" s="30">
        <f>AG24*$L24</f>
        <v>0</v>
      </c>
      <c r="AI24" s="9"/>
      <c r="AJ24" s="30">
        <f>AI24*$L24</f>
        <v>0</v>
      </c>
      <c r="AK24" s="9">
        <f>1800/100</f>
        <v>18</v>
      </c>
      <c r="AL24" s="30">
        <v>360</v>
      </c>
      <c r="AM24" s="10">
        <f>329188/100</f>
        <v>3291.88</v>
      </c>
      <c r="AN24" s="31">
        <v>65837</v>
      </c>
      <c r="AO24" s="15">
        <f t="shared" si="11"/>
        <v>65837</v>
      </c>
      <c r="AP24" s="9">
        <f t="shared" si="18"/>
        <v>0</v>
      </c>
      <c r="AQ24" s="28">
        <f t="shared" si="13"/>
        <v>3291.88</v>
      </c>
      <c r="AR24" s="8">
        <f t="shared" si="19"/>
        <v>0</v>
      </c>
      <c r="AS24" s="29">
        <f t="shared" si="4"/>
        <v>65837.600000000006</v>
      </c>
      <c r="AT24" s="13">
        <f t="shared" si="20"/>
        <v>-0.60000000000582077</v>
      </c>
      <c r="AU24" s="2" t="str">
        <f t="shared" si="5"/>
        <v>erreur de calcul</v>
      </c>
      <c r="AV24" s="2"/>
    </row>
    <row r="25" spans="1:48" ht="16.5">
      <c r="A25" s="1" t="s">
        <v>12</v>
      </c>
      <c r="B25" s="3" t="s">
        <v>29</v>
      </c>
      <c r="C25" s="3" t="s">
        <v>219</v>
      </c>
      <c r="D25" s="4">
        <v>1789</v>
      </c>
      <c r="E25" s="3" t="s">
        <v>22</v>
      </c>
      <c r="F25" s="3" t="s">
        <v>22</v>
      </c>
      <c r="G25" s="31">
        <v>19</v>
      </c>
      <c r="H25" s="31" t="s">
        <v>76</v>
      </c>
      <c r="I25" s="5">
        <v>20</v>
      </c>
      <c r="J25" s="5"/>
      <c r="K25" s="6"/>
      <c r="L25" s="11">
        <f t="shared" si="17"/>
        <v>20</v>
      </c>
      <c r="M25" s="7" t="s">
        <v>14</v>
      </c>
      <c r="N25" s="31"/>
      <c r="O25" s="9"/>
      <c r="P25" s="9" t="str">
        <f t="shared" si="7"/>
        <v/>
      </c>
      <c r="Q25" s="9"/>
      <c r="R25" s="30">
        <f>Q25*$L25</f>
        <v>0</v>
      </c>
      <c r="S25" s="9"/>
      <c r="T25" s="30">
        <f t="shared" si="8"/>
        <v>0</v>
      </c>
      <c r="U25" s="9">
        <f>34160/100</f>
        <v>341.6</v>
      </c>
      <c r="V25" s="30">
        <v>6832</v>
      </c>
      <c r="W25" s="9">
        <f>15993/100</f>
        <v>159.93</v>
      </c>
      <c r="X25" s="30">
        <v>3198</v>
      </c>
      <c r="Y25" s="9"/>
      <c r="Z25" s="30">
        <f>Y25*$L25</f>
        <v>0</v>
      </c>
      <c r="AA25" s="9"/>
      <c r="AB25" s="30">
        <f>AA25*$L25</f>
        <v>0</v>
      </c>
      <c r="AC25" s="9"/>
      <c r="AD25" s="30">
        <f>AC25*$L25</f>
        <v>0</v>
      </c>
      <c r="AE25" s="9"/>
      <c r="AF25" s="30">
        <f>AE25*$L25</f>
        <v>0</v>
      </c>
      <c r="AG25" s="9"/>
      <c r="AH25" s="30">
        <f>AG25*$L25</f>
        <v>0</v>
      </c>
      <c r="AI25" s="9"/>
      <c r="AJ25" s="30">
        <f>AI25*$L25</f>
        <v>0</v>
      </c>
      <c r="AK25" s="9"/>
      <c r="AL25" s="30">
        <f>AK25*$L25</f>
        <v>0</v>
      </c>
      <c r="AM25" s="10">
        <f>50153/100</f>
        <v>501.53</v>
      </c>
      <c r="AN25" s="31">
        <v>10030</v>
      </c>
      <c r="AO25" s="15">
        <f t="shared" si="11"/>
        <v>10030</v>
      </c>
      <c r="AP25" s="9">
        <f t="shared" si="18"/>
        <v>0</v>
      </c>
      <c r="AQ25" s="28">
        <f t="shared" si="13"/>
        <v>501.53000000000003</v>
      </c>
      <c r="AR25" s="8">
        <f t="shared" si="19"/>
        <v>0</v>
      </c>
      <c r="AS25" s="29">
        <f t="shared" si="4"/>
        <v>10030.6</v>
      </c>
      <c r="AT25" s="13">
        <f t="shared" si="20"/>
        <v>-0.6000000000003638</v>
      </c>
      <c r="AU25" s="2" t="str">
        <f t="shared" si="5"/>
        <v>erreur de calcul</v>
      </c>
      <c r="AV25" s="2"/>
    </row>
    <row r="26" spans="1:48" ht="16.5">
      <c r="A26" s="1" t="s">
        <v>12</v>
      </c>
      <c r="B26" s="3" t="s">
        <v>29</v>
      </c>
      <c r="C26" s="3" t="s">
        <v>219</v>
      </c>
      <c r="D26" s="4">
        <v>1789</v>
      </c>
      <c r="E26" s="3" t="s">
        <v>22</v>
      </c>
      <c r="F26" s="3" t="s">
        <v>22</v>
      </c>
      <c r="G26" s="31">
        <v>19</v>
      </c>
      <c r="H26" s="31" t="s">
        <v>77</v>
      </c>
      <c r="I26" s="5">
        <v>45</v>
      </c>
      <c r="J26" s="5"/>
      <c r="K26" s="6"/>
      <c r="L26" s="11">
        <f t="shared" si="17"/>
        <v>45</v>
      </c>
      <c r="M26" s="7" t="s">
        <v>14</v>
      </c>
      <c r="N26" s="31"/>
      <c r="O26" s="9"/>
      <c r="P26" s="9" t="str">
        <f t="shared" si="7"/>
        <v/>
      </c>
      <c r="Q26" s="9"/>
      <c r="R26" s="30">
        <f>Q26*$L26</f>
        <v>0</v>
      </c>
      <c r="S26" s="9"/>
      <c r="T26" s="30">
        <f t="shared" si="8"/>
        <v>0</v>
      </c>
      <c r="U26" s="9">
        <f>56344/100</f>
        <v>563.44000000000005</v>
      </c>
      <c r="V26" s="30">
        <v>25355</v>
      </c>
      <c r="W26" s="9">
        <f>59024/100</f>
        <v>590.24</v>
      </c>
      <c r="X26" s="30">
        <v>26561</v>
      </c>
      <c r="Y26" s="9"/>
      <c r="Z26" s="30">
        <f>Y26*$L26</f>
        <v>0</v>
      </c>
      <c r="AA26" s="9"/>
      <c r="AB26" s="30">
        <f>AA26*$L26</f>
        <v>0</v>
      </c>
      <c r="AC26" s="9"/>
      <c r="AD26" s="30">
        <f>AC26*$L26</f>
        <v>0</v>
      </c>
      <c r="AE26" s="9"/>
      <c r="AF26" s="30">
        <f>AE26*$L26</f>
        <v>0</v>
      </c>
      <c r="AG26" s="9"/>
      <c r="AH26" s="30">
        <f>AG26*$L26</f>
        <v>0</v>
      </c>
      <c r="AI26" s="9"/>
      <c r="AJ26" s="30">
        <f>AI26*$L26</f>
        <v>0</v>
      </c>
      <c r="AK26" s="9"/>
      <c r="AL26" s="30">
        <f>AK26*$L26</f>
        <v>0</v>
      </c>
      <c r="AM26" s="10">
        <f>115368/100</f>
        <v>1153.68</v>
      </c>
      <c r="AN26" s="31">
        <v>51916</v>
      </c>
      <c r="AO26" s="15">
        <f t="shared" si="11"/>
        <v>51916</v>
      </c>
      <c r="AP26" s="9">
        <f t="shared" si="18"/>
        <v>0</v>
      </c>
      <c r="AQ26" s="28">
        <f t="shared" si="13"/>
        <v>1153.68</v>
      </c>
      <c r="AR26" s="8">
        <f t="shared" si="19"/>
        <v>0</v>
      </c>
      <c r="AS26" s="29">
        <f t="shared" si="4"/>
        <v>51915.600000000006</v>
      </c>
      <c r="AT26" s="13">
        <f t="shared" si="20"/>
        <v>0.39999999999417923</v>
      </c>
      <c r="AU26" s="2" t="str">
        <f t="shared" si="5"/>
        <v>erreur de calcul</v>
      </c>
      <c r="AV26" s="2"/>
    </row>
    <row r="27" spans="1:48" ht="16.5">
      <c r="A27" s="1" t="s">
        <v>12</v>
      </c>
      <c r="B27" s="3" t="s">
        <v>29</v>
      </c>
      <c r="C27" s="3" t="s">
        <v>219</v>
      </c>
      <c r="D27" s="4">
        <v>1789</v>
      </c>
      <c r="E27" s="3" t="s">
        <v>22</v>
      </c>
      <c r="F27" s="3" t="s">
        <v>22</v>
      </c>
      <c r="G27" s="31">
        <v>19</v>
      </c>
      <c r="H27" s="31" t="s">
        <v>78</v>
      </c>
      <c r="I27" s="5">
        <v>50</v>
      </c>
      <c r="J27" s="5"/>
      <c r="K27" s="6"/>
      <c r="L27" s="11">
        <f t="shared" si="17"/>
        <v>50</v>
      </c>
      <c r="M27" s="7" t="s">
        <v>14</v>
      </c>
      <c r="N27" s="31"/>
      <c r="O27" s="9"/>
      <c r="P27" s="9" t="str">
        <f t="shared" si="7"/>
        <v/>
      </c>
      <c r="Q27" s="9"/>
      <c r="R27" s="30">
        <f>Q27*$L27</f>
        <v>0</v>
      </c>
      <c r="S27" s="9"/>
      <c r="T27" s="30">
        <f t="shared" si="8"/>
        <v>0</v>
      </c>
      <c r="U27" s="9"/>
      <c r="V27" s="30">
        <f>U27*$L27</f>
        <v>0</v>
      </c>
      <c r="W27" s="9">
        <f>149517/100</f>
        <v>1495.17</v>
      </c>
      <c r="X27" s="30">
        <v>74758</v>
      </c>
      <c r="Y27" s="9"/>
      <c r="Z27" s="30">
        <f>Y27*$L27</f>
        <v>0</v>
      </c>
      <c r="AA27" s="9"/>
      <c r="AB27" s="30">
        <f>AA27*$L27</f>
        <v>0</v>
      </c>
      <c r="AC27" s="9"/>
      <c r="AD27" s="30">
        <f>AC27*$L27</f>
        <v>0</v>
      </c>
      <c r="AE27" s="9"/>
      <c r="AF27" s="30">
        <f>AE27*$L27</f>
        <v>0</v>
      </c>
      <c r="AG27" s="9"/>
      <c r="AH27" s="30">
        <f>AG27*$L27</f>
        <v>0</v>
      </c>
      <c r="AI27" s="9"/>
      <c r="AJ27" s="30">
        <f>AI27*$L27</f>
        <v>0</v>
      </c>
      <c r="AK27" s="9"/>
      <c r="AL27" s="30">
        <f>AK27*$L27</f>
        <v>0</v>
      </c>
      <c r="AM27" s="10">
        <f>149517/100</f>
        <v>1495.17</v>
      </c>
      <c r="AN27" s="31">
        <v>74758</v>
      </c>
      <c r="AO27" s="15">
        <f t="shared" si="11"/>
        <v>74758</v>
      </c>
      <c r="AP27" s="9">
        <f t="shared" si="18"/>
        <v>0</v>
      </c>
      <c r="AQ27" s="28">
        <f t="shared" si="13"/>
        <v>1495.17</v>
      </c>
      <c r="AR27" s="8">
        <f t="shared" si="19"/>
        <v>0</v>
      </c>
      <c r="AS27" s="29">
        <f t="shared" si="4"/>
        <v>74758.5</v>
      </c>
      <c r="AT27" s="13">
        <f t="shared" si="20"/>
        <v>-0.5</v>
      </c>
      <c r="AU27" s="2" t="str">
        <f t="shared" si="5"/>
        <v>erreur de calcul</v>
      </c>
      <c r="AV27" s="2"/>
    </row>
    <row r="28" spans="1:48" ht="16.5">
      <c r="A28" s="1" t="s">
        <v>12</v>
      </c>
      <c r="B28" s="3" t="s">
        <v>29</v>
      </c>
      <c r="C28" s="3" t="s">
        <v>219</v>
      </c>
      <c r="D28" s="4">
        <v>1789</v>
      </c>
      <c r="E28" s="3" t="s">
        <v>22</v>
      </c>
      <c r="F28" s="3" t="s">
        <v>22</v>
      </c>
      <c r="G28" s="31">
        <v>19</v>
      </c>
      <c r="H28" s="31" t="s">
        <v>79</v>
      </c>
      <c r="I28" s="5"/>
      <c r="J28" s="5"/>
      <c r="K28" s="6"/>
      <c r="L28" s="11">
        <f t="shared" si="17"/>
        <v>0</v>
      </c>
      <c r="M28" s="31" t="s">
        <v>49</v>
      </c>
      <c r="N28" s="31" t="s">
        <v>278</v>
      </c>
      <c r="O28" s="9">
        <f>375+8911</f>
        <v>9286</v>
      </c>
      <c r="P28" s="9">
        <v>4029</v>
      </c>
      <c r="Q28" s="9"/>
      <c r="R28" s="30">
        <f>Q28*$L28</f>
        <v>0</v>
      </c>
      <c r="S28" s="9"/>
      <c r="T28" s="30">
        <f t="shared" si="8"/>
        <v>0</v>
      </c>
      <c r="U28" s="9"/>
      <c r="V28" s="30">
        <f>U28*$L28</f>
        <v>0</v>
      </c>
      <c r="W28" s="9">
        <v>90725</v>
      </c>
      <c r="X28" s="30">
        <v>34475</v>
      </c>
      <c r="Y28" s="9">
        <v>736513</v>
      </c>
      <c r="Z28" s="30">
        <v>279875</v>
      </c>
      <c r="AA28" s="9">
        <v>4875</v>
      </c>
      <c r="AB28" s="30">
        <v>1852</v>
      </c>
      <c r="AC28" s="9">
        <v>19000</v>
      </c>
      <c r="AD28" s="30">
        <v>7220</v>
      </c>
      <c r="AE28" s="9">
        <v>141265</v>
      </c>
      <c r="AF28" s="30">
        <v>53681</v>
      </c>
      <c r="AG28" s="9">
        <v>868977</v>
      </c>
      <c r="AH28" s="30">
        <v>330211</v>
      </c>
      <c r="AI28" s="9">
        <v>2250</v>
      </c>
      <c r="AJ28" s="30">
        <v>1125</v>
      </c>
      <c r="AK28" s="9">
        <v>281898</v>
      </c>
      <c r="AL28" s="30">
        <v>107121</v>
      </c>
      <c r="AM28" s="10">
        <v>2145503</v>
      </c>
      <c r="AN28" s="31">
        <v>815560</v>
      </c>
      <c r="AO28" s="15">
        <f t="shared" si="11"/>
        <v>815560</v>
      </c>
      <c r="AP28" s="9">
        <f t="shared" si="18"/>
        <v>0</v>
      </c>
      <c r="AQ28" s="28">
        <f t="shared" si="13"/>
        <v>2145503</v>
      </c>
      <c r="AR28" s="8">
        <f t="shared" si="19"/>
        <v>0</v>
      </c>
      <c r="AS28" s="29">
        <f t="shared" si="4"/>
        <v>0</v>
      </c>
      <c r="AT28" s="13">
        <f t="shared" si="20"/>
        <v>815560</v>
      </c>
      <c r="AU28" s="2" t="str">
        <f t="shared" si="5"/>
        <v>pas de prix</v>
      </c>
      <c r="AV28" s="2"/>
    </row>
    <row r="29" spans="1:48" ht="16.5">
      <c r="A29" s="1" t="s">
        <v>12</v>
      </c>
      <c r="B29" s="3" t="s">
        <v>29</v>
      </c>
      <c r="C29" s="3" t="s">
        <v>219</v>
      </c>
      <c r="D29" s="4">
        <v>1789</v>
      </c>
      <c r="E29" s="3" t="s">
        <v>22</v>
      </c>
      <c r="F29" s="3" t="s">
        <v>22</v>
      </c>
      <c r="G29" s="31">
        <v>19</v>
      </c>
      <c r="H29" s="31" t="s">
        <v>80</v>
      </c>
      <c r="I29" s="5"/>
      <c r="J29" s="5"/>
      <c r="K29" s="6"/>
      <c r="L29" s="11">
        <f t="shared" si="17"/>
        <v>0</v>
      </c>
      <c r="M29" s="31" t="s">
        <v>49</v>
      </c>
      <c r="N29" s="31" t="s">
        <v>23</v>
      </c>
      <c r="O29" s="9">
        <v>3600</v>
      </c>
      <c r="P29" s="9">
        <v>180</v>
      </c>
      <c r="Q29" s="9">
        <v>17500</v>
      </c>
      <c r="R29" s="30">
        <v>875</v>
      </c>
      <c r="S29" s="9"/>
      <c r="T29" s="30">
        <f t="shared" si="8"/>
        <v>0</v>
      </c>
      <c r="U29" s="9"/>
      <c r="V29" s="30">
        <f>U29*$L29</f>
        <v>0</v>
      </c>
      <c r="W29" s="9"/>
      <c r="X29" s="30">
        <f>W29*$L29</f>
        <v>0</v>
      </c>
      <c r="Y29" s="9"/>
      <c r="Z29" s="30">
        <f>Y29*$L29</f>
        <v>0</v>
      </c>
      <c r="AA29" s="9"/>
      <c r="AB29" s="30">
        <f t="shared" ref="AB29:AB35" si="22">AA29*$L29</f>
        <v>0</v>
      </c>
      <c r="AC29" s="9"/>
      <c r="AD29" s="30">
        <f>AC29*$L29</f>
        <v>0</v>
      </c>
      <c r="AE29" s="9"/>
      <c r="AF29" s="30">
        <f t="shared" ref="AF29:AF35" si="23">AE29*$L29</f>
        <v>0</v>
      </c>
      <c r="AG29" s="9"/>
      <c r="AH29" s="30">
        <f>AG29*$L29</f>
        <v>0</v>
      </c>
      <c r="AI29" s="9"/>
      <c r="AJ29" s="30">
        <f>AI29*$L29</f>
        <v>0</v>
      </c>
      <c r="AK29" s="9"/>
      <c r="AL29" s="30">
        <f t="shared" ref="AL29:AL35" si="24">AK29*$L29</f>
        <v>0</v>
      </c>
      <c r="AM29" s="10">
        <v>17500</v>
      </c>
      <c r="AN29" s="31">
        <v>875</v>
      </c>
      <c r="AO29" s="15">
        <f t="shared" si="11"/>
        <v>875</v>
      </c>
      <c r="AP29" s="9">
        <f t="shared" si="18"/>
        <v>0</v>
      </c>
      <c r="AQ29" s="28">
        <f t="shared" si="13"/>
        <v>17500</v>
      </c>
      <c r="AR29" s="8">
        <f t="shared" si="19"/>
        <v>0</v>
      </c>
      <c r="AS29" s="29">
        <f t="shared" si="4"/>
        <v>0</v>
      </c>
      <c r="AT29" s="13">
        <f t="shared" si="20"/>
        <v>875</v>
      </c>
      <c r="AU29" s="2" t="str">
        <f t="shared" si="5"/>
        <v>pas de prix</v>
      </c>
      <c r="AV29" s="2"/>
    </row>
    <row r="30" spans="1:48" ht="16.5">
      <c r="A30" s="1" t="s">
        <v>12</v>
      </c>
      <c r="B30" s="3" t="s">
        <v>29</v>
      </c>
      <c r="C30" s="3" t="s">
        <v>219</v>
      </c>
      <c r="D30" s="4">
        <v>1789</v>
      </c>
      <c r="E30" s="3" t="s">
        <v>22</v>
      </c>
      <c r="F30" s="3" t="s">
        <v>22</v>
      </c>
      <c r="G30" s="31">
        <v>19</v>
      </c>
      <c r="H30" s="31" t="s">
        <v>206</v>
      </c>
      <c r="I30" s="5"/>
      <c r="J30" s="5">
        <v>36</v>
      </c>
      <c r="K30" s="6"/>
      <c r="L30" s="11">
        <f t="shared" si="17"/>
        <v>1.8</v>
      </c>
      <c r="M30" s="7" t="s">
        <v>48</v>
      </c>
      <c r="N30" s="31" t="s">
        <v>23</v>
      </c>
      <c r="O30" s="9">
        <v>1322</v>
      </c>
      <c r="P30" s="9">
        <v>2380</v>
      </c>
      <c r="Q30" s="9"/>
      <c r="R30" s="30">
        <f t="shared" ref="R30:R59" si="25">Q30*$L30</f>
        <v>0</v>
      </c>
      <c r="S30" s="9"/>
      <c r="T30" s="30">
        <f t="shared" si="8"/>
        <v>0</v>
      </c>
      <c r="U30" s="9"/>
      <c r="V30" s="30">
        <f>U30*$L30</f>
        <v>0</v>
      </c>
      <c r="W30" s="9"/>
      <c r="X30" s="30">
        <f>W30*$L30</f>
        <v>0</v>
      </c>
      <c r="Y30" s="9">
        <v>16147</v>
      </c>
      <c r="Z30" s="32">
        <v>29066</v>
      </c>
      <c r="AA30" s="9"/>
      <c r="AB30" s="30">
        <f t="shared" si="22"/>
        <v>0</v>
      </c>
      <c r="AC30" s="9">
        <v>124</v>
      </c>
      <c r="AD30" s="30">
        <v>223</v>
      </c>
      <c r="AE30" s="9"/>
      <c r="AF30" s="30">
        <f t="shared" si="23"/>
        <v>0</v>
      </c>
      <c r="AG30" s="9">
        <v>37356</v>
      </c>
      <c r="AH30" s="30">
        <v>67240</v>
      </c>
      <c r="AI30" s="9"/>
      <c r="AJ30" s="30">
        <f>AI30*$L30</f>
        <v>0</v>
      </c>
      <c r="AK30" s="9"/>
      <c r="AL30" s="30">
        <f t="shared" si="24"/>
        <v>0</v>
      </c>
      <c r="AM30" s="10">
        <v>53627</v>
      </c>
      <c r="AN30" s="31">
        <v>96529</v>
      </c>
      <c r="AO30" s="15">
        <f t="shared" si="11"/>
        <v>96529</v>
      </c>
      <c r="AP30" s="9">
        <f t="shared" si="18"/>
        <v>0</v>
      </c>
      <c r="AQ30" s="28">
        <f t="shared" si="13"/>
        <v>53627</v>
      </c>
      <c r="AR30" s="8">
        <f t="shared" si="19"/>
        <v>0</v>
      </c>
      <c r="AS30" s="29">
        <f t="shared" si="4"/>
        <v>96528.6</v>
      </c>
      <c r="AT30" s="13">
        <f t="shared" si="20"/>
        <v>0.39999999999417923</v>
      </c>
      <c r="AU30" s="2" t="str">
        <f t="shared" si="5"/>
        <v>erreur de calcul</v>
      </c>
      <c r="AV30" s="2"/>
    </row>
    <row r="31" spans="1:48" ht="16.5">
      <c r="A31" s="1" t="s">
        <v>12</v>
      </c>
      <c r="B31" s="3" t="s">
        <v>29</v>
      </c>
      <c r="C31" s="3" t="s">
        <v>219</v>
      </c>
      <c r="D31" s="4">
        <v>1789</v>
      </c>
      <c r="E31" s="3" t="s">
        <v>22</v>
      </c>
      <c r="F31" s="3" t="s">
        <v>22</v>
      </c>
      <c r="G31" s="31">
        <v>19</v>
      </c>
      <c r="H31" s="31" t="s">
        <v>81</v>
      </c>
      <c r="I31" s="5"/>
      <c r="J31" s="5"/>
      <c r="K31" s="6"/>
      <c r="L31" s="11">
        <f t="shared" si="17"/>
        <v>0</v>
      </c>
      <c r="M31" s="7"/>
      <c r="N31" s="31"/>
      <c r="O31" s="9"/>
      <c r="P31" s="9" t="str">
        <f t="shared" si="7"/>
        <v/>
      </c>
      <c r="Q31" s="9"/>
      <c r="R31" s="30">
        <f t="shared" si="25"/>
        <v>0</v>
      </c>
      <c r="S31" s="9"/>
      <c r="T31" s="30">
        <f t="shared" si="8"/>
        <v>0</v>
      </c>
      <c r="U31" s="9"/>
      <c r="V31" s="30">
        <v>3161</v>
      </c>
      <c r="W31" s="9"/>
      <c r="X31" s="30">
        <f>W31*$L31</f>
        <v>0</v>
      </c>
      <c r="Y31" s="9"/>
      <c r="Z31" s="30">
        <f>Y31*$L31</f>
        <v>0</v>
      </c>
      <c r="AA31" s="9"/>
      <c r="AB31" s="30">
        <f t="shared" si="22"/>
        <v>0</v>
      </c>
      <c r="AC31" s="9"/>
      <c r="AD31" s="30">
        <f>AC31*$L31</f>
        <v>0</v>
      </c>
      <c r="AE31" s="9"/>
      <c r="AF31" s="30">
        <f t="shared" si="23"/>
        <v>0</v>
      </c>
      <c r="AG31" s="9"/>
      <c r="AH31" s="30">
        <f>AG31*$L31</f>
        <v>0</v>
      </c>
      <c r="AI31" s="9"/>
      <c r="AJ31" s="30">
        <f>AI31*$L31</f>
        <v>0</v>
      </c>
      <c r="AK31" s="9"/>
      <c r="AL31" s="30">
        <f t="shared" si="24"/>
        <v>0</v>
      </c>
      <c r="AM31" s="10"/>
      <c r="AN31" s="31">
        <v>3161</v>
      </c>
      <c r="AO31" s="15">
        <f t="shared" si="11"/>
        <v>3161</v>
      </c>
      <c r="AP31" s="9">
        <f t="shared" si="18"/>
        <v>0</v>
      </c>
      <c r="AQ31" s="28">
        <f t="shared" si="13"/>
        <v>0</v>
      </c>
      <c r="AR31" s="8">
        <f t="shared" si="19"/>
        <v>0</v>
      </c>
      <c r="AS31" s="29">
        <f t="shared" si="4"/>
        <v>0</v>
      </c>
      <c r="AT31" s="13">
        <f t="shared" si="20"/>
        <v>3161</v>
      </c>
      <c r="AU31" s="2" t="str">
        <f t="shared" si="5"/>
        <v>pas de prix, ni de quantité</v>
      </c>
      <c r="AV31" s="2"/>
    </row>
    <row r="32" spans="1:48" ht="16.5">
      <c r="A32" s="1" t="s">
        <v>12</v>
      </c>
      <c r="B32" s="3" t="s">
        <v>29</v>
      </c>
      <c r="C32" s="3" t="s">
        <v>219</v>
      </c>
      <c r="D32" s="4">
        <v>1789</v>
      </c>
      <c r="E32" s="3" t="s">
        <v>22</v>
      </c>
      <c r="F32" s="3" t="s">
        <v>22</v>
      </c>
      <c r="G32" s="31">
        <v>19</v>
      </c>
      <c r="H32" s="31" t="s">
        <v>82</v>
      </c>
      <c r="I32" s="5"/>
      <c r="J32" s="5"/>
      <c r="K32" s="6"/>
      <c r="L32" s="11">
        <f t="shared" si="17"/>
        <v>0</v>
      </c>
      <c r="M32" s="7"/>
      <c r="N32" s="31"/>
      <c r="O32" s="9"/>
      <c r="P32" s="9" t="str">
        <f t="shared" si="7"/>
        <v/>
      </c>
      <c r="Q32" s="9"/>
      <c r="R32" s="30">
        <f t="shared" si="25"/>
        <v>0</v>
      </c>
      <c r="S32" s="9"/>
      <c r="T32" s="30">
        <f t="shared" si="8"/>
        <v>0</v>
      </c>
      <c r="U32" s="9"/>
      <c r="V32" s="30">
        <v>9935</v>
      </c>
      <c r="W32" s="9"/>
      <c r="X32" s="30">
        <f>W32*$L32</f>
        <v>0</v>
      </c>
      <c r="Y32" s="9"/>
      <c r="Z32" s="30">
        <f>Y32*$L32</f>
        <v>0</v>
      </c>
      <c r="AA32" s="9"/>
      <c r="AB32" s="30">
        <f t="shared" si="22"/>
        <v>0</v>
      </c>
      <c r="AC32" s="9"/>
      <c r="AD32" s="30">
        <f>AC32*$L32</f>
        <v>0</v>
      </c>
      <c r="AE32" s="9"/>
      <c r="AF32" s="30">
        <f t="shared" si="23"/>
        <v>0</v>
      </c>
      <c r="AG32" s="9"/>
      <c r="AH32" s="30">
        <f>AG32*$L32</f>
        <v>0</v>
      </c>
      <c r="AI32" s="9"/>
      <c r="AJ32" s="30">
        <f>AI32*$L32</f>
        <v>0</v>
      </c>
      <c r="AK32" s="9"/>
      <c r="AL32" s="30">
        <f t="shared" si="24"/>
        <v>0</v>
      </c>
      <c r="AM32" s="10"/>
      <c r="AN32" s="31">
        <v>9935</v>
      </c>
      <c r="AO32" s="15">
        <f t="shared" si="11"/>
        <v>9935</v>
      </c>
      <c r="AP32" s="9">
        <f t="shared" si="18"/>
        <v>0</v>
      </c>
      <c r="AQ32" s="28">
        <f t="shared" si="13"/>
        <v>0</v>
      </c>
      <c r="AR32" s="8">
        <f t="shared" si="19"/>
        <v>0</v>
      </c>
      <c r="AS32" s="29">
        <f t="shared" si="4"/>
        <v>0</v>
      </c>
      <c r="AT32" s="13">
        <f t="shared" si="20"/>
        <v>9935</v>
      </c>
      <c r="AU32" s="2" t="str">
        <f t="shared" si="5"/>
        <v>pas de prix, ni de quantité</v>
      </c>
      <c r="AV32" s="2"/>
    </row>
    <row r="33" spans="1:48" ht="16.5">
      <c r="A33" s="1" t="s">
        <v>12</v>
      </c>
      <c r="B33" s="3" t="s">
        <v>29</v>
      </c>
      <c r="C33" s="3" t="s">
        <v>219</v>
      </c>
      <c r="D33" s="4">
        <v>1789</v>
      </c>
      <c r="E33" s="3" t="s">
        <v>22</v>
      </c>
      <c r="F33" s="3" t="s">
        <v>22</v>
      </c>
      <c r="G33" s="31">
        <v>19</v>
      </c>
      <c r="H33" s="31" t="s">
        <v>83</v>
      </c>
      <c r="I33" s="5"/>
      <c r="J33" s="5"/>
      <c r="K33" s="6"/>
      <c r="L33" s="11">
        <f t="shared" si="17"/>
        <v>0</v>
      </c>
      <c r="M33" s="7"/>
      <c r="N33" s="31"/>
      <c r="O33" s="9"/>
      <c r="P33" s="9" t="str">
        <f t="shared" si="7"/>
        <v/>
      </c>
      <c r="Q33" s="9"/>
      <c r="R33" s="30">
        <f t="shared" si="25"/>
        <v>0</v>
      </c>
      <c r="S33" s="9"/>
      <c r="T33" s="30">
        <f t="shared" si="8"/>
        <v>0</v>
      </c>
      <c r="U33" s="9"/>
      <c r="V33" s="30">
        <v>15644</v>
      </c>
      <c r="W33" s="9"/>
      <c r="X33" s="30">
        <v>720</v>
      </c>
      <c r="Y33" s="9"/>
      <c r="Z33" s="30">
        <f>Y33*$L33</f>
        <v>0</v>
      </c>
      <c r="AA33" s="9"/>
      <c r="AB33" s="30">
        <f t="shared" si="22"/>
        <v>0</v>
      </c>
      <c r="AC33" s="9"/>
      <c r="AD33" s="30">
        <f>AC33*$L33</f>
        <v>0</v>
      </c>
      <c r="AE33" s="9"/>
      <c r="AF33" s="30">
        <f t="shared" si="23"/>
        <v>0</v>
      </c>
      <c r="AG33" s="9"/>
      <c r="AH33" s="30">
        <f>AG33*$L33</f>
        <v>0</v>
      </c>
      <c r="AI33" s="9"/>
      <c r="AJ33" s="30">
        <f>AI33*$L33</f>
        <v>0</v>
      </c>
      <c r="AK33" s="9"/>
      <c r="AL33" s="30">
        <f t="shared" si="24"/>
        <v>0</v>
      </c>
      <c r="AM33" s="10"/>
      <c r="AN33" s="31">
        <v>16364</v>
      </c>
      <c r="AO33" s="15">
        <f t="shared" si="11"/>
        <v>16364</v>
      </c>
      <c r="AP33" s="9">
        <f t="shared" si="18"/>
        <v>0</v>
      </c>
      <c r="AQ33" s="28">
        <f t="shared" si="13"/>
        <v>0</v>
      </c>
      <c r="AR33" s="8">
        <f t="shared" si="19"/>
        <v>0</v>
      </c>
      <c r="AS33" s="29">
        <f t="shared" si="4"/>
        <v>0</v>
      </c>
      <c r="AT33" s="13">
        <f t="shared" si="20"/>
        <v>16364</v>
      </c>
      <c r="AU33" s="2" t="str">
        <f t="shared" si="5"/>
        <v>pas de prix, ni de quantité</v>
      </c>
      <c r="AV33" s="2"/>
    </row>
    <row r="34" spans="1:48" ht="16.5">
      <c r="A34" s="1" t="s">
        <v>12</v>
      </c>
      <c r="B34" s="3" t="s">
        <v>29</v>
      </c>
      <c r="C34" s="3" t="s">
        <v>219</v>
      </c>
      <c r="D34" s="4">
        <v>1789</v>
      </c>
      <c r="E34" s="3" t="s">
        <v>22</v>
      </c>
      <c r="F34" s="3" t="s">
        <v>22</v>
      </c>
      <c r="G34" s="31">
        <v>19</v>
      </c>
      <c r="H34" s="31" t="s">
        <v>84</v>
      </c>
      <c r="I34" s="5">
        <v>15</v>
      </c>
      <c r="J34" s="5"/>
      <c r="K34" s="6"/>
      <c r="L34" s="11">
        <f t="shared" si="17"/>
        <v>15</v>
      </c>
      <c r="M34" s="7" t="s">
        <v>14</v>
      </c>
      <c r="N34" s="31"/>
      <c r="O34" s="9"/>
      <c r="P34" s="9" t="str">
        <f t="shared" si="7"/>
        <v/>
      </c>
      <c r="Q34" s="9"/>
      <c r="R34" s="30">
        <f t="shared" si="25"/>
        <v>0</v>
      </c>
      <c r="S34" s="9"/>
      <c r="T34" s="30">
        <f t="shared" si="8"/>
        <v>0</v>
      </c>
      <c r="U34" s="9"/>
      <c r="V34" s="30">
        <f>U34*$L34</f>
        <v>0</v>
      </c>
      <c r="W34" s="9">
        <f>13762/100</f>
        <v>137.62</v>
      </c>
      <c r="X34" s="30">
        <v>2064</v>
      </c>
      <c r="Y34" s="9">
        <f>8328/100</f>
        <v>83.28</v>
      </c>
      <c r="Z34" s="30">
        <v>1249</v>
      </c>
      <c r="AA34" s="9"/>
      <c r="AB34" s="30">
        <f t="shared" si="22"/>
        <v>0</v>
      </c>
      <c r="AC34" s="9"/>
      <c r="AD34" s="30">
        <f>AC34*$L34</f>
        <v>0</v>
      </c>
      <c r="AE34" s="9"/>
      <c r="AF34" s="30">
        <f t="shared" si="23"/>
        <v>0</v>
      </c>
      <c r="AG34" s="9"/>
      <c r="AH34" s="30">
        <f>AG34*$L34</f>
        <v>0</v>
      </c>
      <c r="AI34" s="9">
        <f>15600/100</f>
        <v>156</v>
      </c>
      <c r="AJ34" s="30">
        <v>2340</v>
      </c>
      <c r="AK34" s="9"/>
      <c r="AL34" s="30">
        <f t="shared" si="24"/>
        <v>0</v>
      </c>
      <c r="AM34" s="10">
        <f>37690</f>
        <v>37690</v>
      </c>
      <c r="AN34" s="31">
        <v>5653</v>
      </c>
      <c r="AO34" s="15">
        <f t="shared" si="11"/>
        <v>5653</v>
      </c>
      <c r="AP34" s="9">
        <f t="shared" si="18"/>
        <v>0</v>
      </c>
      <c r="AQ34" s="28">
        <f t="shared" si="13"/>
        <v>376.9</v>
      </c>
      <c r="AR34" s="8">
        <f t="shared" si="19"/>
        <v>37313.1</v>
      </c>
      <c r="AS34" s="29">
        <f t="shared" si="4"/>
        <v>5653.5</v>
      </c>
      <c r="AT34" s="13">
        <f t="shared" si="20"/>
        <v>-0.5</v>
      </c>
      <c r="AU34" s="2" t="str">
        <f t="shared" si="5"/>
        <v>erreur de calcul</v>
      </c>
      <c r="AV34" s="2"/>
    </row>
    <row r="35" spans="1:48" ht="16.5">
      <c r="A35" s="1" t="s">
        <v>12</v>
      </c>
      <c r="B35" s="3" t="s">
        <v>29</v>
      </c>
      <c r="C35" s="3" t="s">
        <v>219</v>
      </c>
      <c r="D35" s="4">
        <v>1789</v>
      </c>
      <c r="E35" s="3" t="s">
        <v>22</v>
      </c>
      <c r="F35" s="3" t="s">
        <v>22</v>
      </c>
      <c r="G35" s="31">
        <v>19</v>
      </c>
      <c r="H35" s="31" t="s">
        <v>43</v>
      </c>
      <c r="I35" s="5"/>
      <c r="J35" s="5">
        <v>30</v>
      </c>
      <c r="K35" s="6"/>
      <c r="L35" s="11">
        <f t="shared" si="17"/>
        <v>1.5</v>
      </c>
      <c r="M35" s="7" t="s">
        <v>15</v>
      </c>
      <c r="N35" s="31"/>
      <c r="O35" s="9"/>
      <c r="P35" s="9" t="str">
        <f t="shared" si="7"/>
        <v/>
      </c>
      <c r="Q35" s="9"/>
      <c r="R35" s="30">
        <f t="shared" si="25"/>
        <v>0</v>
      </c>
      <c r="S35" s="9"/>
      <c r="T35" s="30">
        <f t="shared" si="8"/>
        <v>0</v>
      </c>
      <c r="U35" s="9"/>
      <c r="V35" s="30">
        <f>U35*$L35</f>
        <v>0</v>
      </c>
      <c r="W35" s="9">
        <v>6615</v>
      </c>
      <c r="X35" s="30">
        <v>9922</v>
      </c>
      <c r="Y35" s="9"/>
      <c r="Z35" s="30">
        <f>Y35*$L35</f>
        <v>0</v>
      </c>
      <c r="AA35" s="9"/>
      <c r="AB35" s="30">
        <f t="shared" si="22"/>
        <v>0</v>
      </c>
      <c r="AC35" s="9"/>
      <c r="AD35" s="30">
        <f>AC35*$L35</f>
        <v>0</v>
      </c>
      <c r="AE35" s="9"/>
      <c r="AF35" s="30">
        <f t="shared" si="23"/>
        <v>0</v>
      </c>
      <c r="AG35" s="9"/>
      <c r="AH35" s="30">
        <f>AG35*$L35</f>
        <v>0</v>
      </c>
      <c r="AI35" s="9"/>
      <c r="AJ35" s="30">
        <f>AI35*$L35</f>
        <v>0</v>
      </c>
      <c r="AK35" s="9"/>
      <c r="AL35" s="30">
        <f t="shared" si="24"/>
        <v>0</v>
      </c>
      <c r="AM35" s="10">
        <v>6615</v>
      </c>
      <c r="AN35" s="31">
        <v>9922</v>
      </c>
      <c r="AO35" s="15">
        <f t="shared" si="11"/>
        <v>9922</v>
      </c>
      <c r="AP35" s="9">
        <f t="shared" si="18"/>
        <v>0</v>
      </c>
      <c r="AQ35" s="28">
        <f t="shared" si="13"/>
        <v>6615</v>
      </c>
      <c r="AR35" s="8">
        <f t="shared" si="19"/>
        <v>0</v>
      </c>
      <c r="AS35" s="29">
        <f t="shared" si="4"/>
        <v>9922.5</v>
      </c>
      <c r="AT35" s="13">
        <f t="shared" si="20"/>
        <v>-0.5</v>
      </c>
      <c r="AU35" s="2" t="str">
        <f t="shared" si="5"/>
        <v>erreur de calcul</v>
      </c>
      <c r="AV35" s="2"/>
    </row>
    <row r="36" spans="1:48" ht="16.5">
      <c r="A36" s="1" t="s">
        <v>12</v>
      </c>
      <c r="B36" s="3" t="s">
        <v>29</v>
      </c>
      <c r="C36" s="3" t="s">
        <v>219</v>
      </c>
      <c r="D36" s="4">
        <v>1789</v>
      </c>
      <c r="E36" s="3" t="s">
        <v>22</v>
      </c>
      <c r="F36" s="3" t="s">
        <v>22</v>
      </c>
      <c r="G36" s="31">
        <v>19</v>
      </c>
      <c r="H36" s="31" t="s">
        <v>85</v>
      </c>
      <c r="I36" s="5">
        <v>10</v>
      </c>
      <c r="J36" s="5"/>
      <c r="K36" s="6"/>
      <c r="L36" s="11">
        <f t="shared" si="17"/>
        <v>10</v>
      </c>
      <c r="M36" s="7" t="s">
        <v>14</v>
      </c>
      <c r="N36" s="31"/>
      <c r="O36" s="9"/>
      <c r="P36" s="9" t="str">
        <f t="shared" si="7"/>
        <v/>
      </c>
      <c r="Q36" s="9">
        <f>1650/100</f>
        <v>16.5</v>
      </c>
      <c r="R36" s="30">
        <f t="shared" si="25"/>
        <v>165</v>
      </c>
      <c r="S36" s="9"/>
      <c r="T36" s="30">
        <f t="shared" si="8"/>
        <v>0</v>
      </c>
      <c r="U36" s="9">
        <f>91200/100</f>
        <v>912</v>
      </c>
      <c r="V36" s="30">
        <v>9120</v>
      </c>
      <c r="W36" s="9">
        <f>164850/100</f>
        <v>1648.5</v>
      </c>
      <c r="X36" s="30">
        <v>16485</v>
      </c>
      <c r="Y36" s="9">
        <f>350850/100</f>
        <v>3508.5</v>
      </c>
      <c r="Z36" s="30">
        <v>35085</v>
      </c>
      <c r="AA36" s="9">
        <f>1800/100</f>
        <v>18</v>
      </c>
      <c r="AB36" s="30">
        <v>180</v>
      </c>
      <c r="AC36" s="9">
        <f>26400/100</f>
        <v>264</v>
      </c>
      <c r="AD36" s="30">
        <v>2640</v>
      </c>
      <c r="AE36" s="9">
        <f>626100/100</f>
        <v>6261</v>
      </c>
      <c r="AF36" s="30">
        <v>62610</v>
      </c>
      <c r="AG36" s="9">
        <f>15500/100</f>
        <v>155</v>
      </c>
      <c r="AH36" s="30">
        <v>1550</v>
      </c>
      <c r="AI36" s="9">
        <f>478650/100</f>
        <v>4786.5</v>
      </c>
      <c r="AJ36" s="30">
        <v>47865</v>
      </c>
      <c r="AK36" s="9">
        <f>440140/100</f>
        <v>4401.3999999999996</v>
      </c>
      <c r="AL36" s="30">
        <v>44014</v>
      </c>
      <c r="AM36" s="10">
        <f>2197140/100</f>
        <v>21971.4</v>
      </c>
      <c r="AN36" s="31">
        <v>219714</v>
      </c>
      <c r="AO36" s="15">
        <f t="shared" si="11"/>
        <v>219714</v>
      </c>
      <c r="AP36" s="9">
        <f t="shared" si="18"/>
        <v>0</v>
      </c>
      <c r="AQ36" s="28">
        <f t="shared" si="13"/>
        <v>21971.4</v>
      </c>
      <c r="AR36" s="8">
        <f t="shared" si="19"/>
        <v>0</v>
      </c>
      <c r="AS36" s="29">
        <f t="shared" si="4"/>
        <v>219714</v>
      </c>
      <c r="AT36" s="13">
        <f t="shared" si="20"/>
        <v>0</v>
      </c>
      <c r="AU36" s="2" t="str">
        <f t="shared" si="5"/>
        <v/>
      </c>
      <c r="AV36" s="2"/>
    </row>
    <row r="37" spans="1:48" ht="16.5">
      <c r="A37" s="1" t="s">
        <v>12</v>
      </c>
      <c r="B37" s="3" t="s">
        <v>29</v>
      </c>
      <c r="C37" s="3" t="s">
        <v>219</v>
      </c>
      <c r="D37" s="4">
        <v>1789</v>
      </c>
      <c r="E37" s="3" t="s">
        <v>22</v>
      </c>
      <c r="F37" s="3" t="s">
        <v>22</v>
      </c>
      <c r="G37" s="31">
        <v>19</v>
      </c>
      <c r="H37" s="31" t="s">
        <v>207</v>
      </c>
      <c r="I37" s="5"/>
      <c r="J37" s="5">
        <v>9</v>
      </c>
      <c r="K37" s="6"/>
      <c r="L37" s="11">
        <f t="shared" si="17"/>
        <v>0.45</v>
      </c>
      <c r="M37" s="7" t="s">
        <v>15</v>
      </c>
      <c r="N37" s="31"/>
      <c r="O37" s="9"/>
      <c r="P37" s="9" t="str">
        <f t="shared" si="7"/>
        <v/>
      </c>
      <c r="Q37" s="9"/>
      <c r="R37" s="30">
        <f t="shared" si="25"/>
        <v>0</v>
      </c>
      <c r="S37" s="9"/>
      <c r="T37" s="30">
        <f t="shared" si="8"/>
        <v>0</v>
      </c>
      <c r="U37" s="9"/>
      <c r="V37" s="30">
        <f>U37*$L37</f>
        <v>0</v>
      </c>
      <c r="W37" s="9">
        <v>11083</v>
      </c>
      <c r="X37" s="30">
        <v>4987</v>
      </c>
      <c r="Y37" s="9"/>
      <c r="Z37" s="30">
        <f>Y37*$L37</f>
        <v>0</v>
      </c>
      <c r="AA37" s="9"/>
      <c r="AB37" s="30">
        <f>AA37*$L37</f>
        <v>0</v>
      </c>
      <c r="AC37" s="9"/>
      <c r="AD37" s="30">
        <f t="shared" ref="AD37:AD67" si="26">AC37*$L37</f>
        <v>0</v>
      </c>
      <c r="AE37" s="9"/>
      <c r="AF37" s="30">
        <f t="shared" ref="AF37:AF52" si="27">AE37*$L37</f>
        <v>0</v>
      </c>
      <c r="AG37" s="9"/>
      <c r="AH37" s="30">
        <f t="shared" ref="AH37:AH45" si="28">AG37*$L37</f>
        <v>0</v>
      </c>
      <c r="AI37" s="9"/>
      <c r="AJ37" s="30">
        <f t="shared" ref="AJ37:AJ45" si="29">AI37*$L37</f>
        <v>0</v>
      </c>
      <c r="AK37" s="9"/>
      <c r="AL37" s="30">
        <f t="shared" ref="AL37:AL42" si="30">AK37*$L37</f>
        <v>0</v>
      </c>
      <c r="AM37" s="10">
        <v>11083</v>
      </c>
      <c r="AN37" s="31">
        <v>4987</v>
      </c>
      <c r="AO37" s="15">
        <f t="shared" si="11"/>
        <v>4987</v>
      </c>
      <c r="AP37" s="9">
        <f t="shared" si="18"/>
        <v>0</v>
      </c>
      <c r="AQ37" s="28">
        <f t="shared" si="13"/>
        <v>11083</v>
      </c>
      <c r="AR37" s="8">
        <f t="shared" si="19"/>
        <v>0</v>
      </c>
      <c r="AS37" s="29">
        <f t="shared" si="4"/>
        <v>4987.3500000000004</v>
      </c>
      <c r="AT37" s="13">
        <f t="shared" si="20"/>
        <v>-0.3500000000003638</v>
      </c>
      <c r="AU37" s="2" t="str">
        <f t="shared" si="5"/>
        <v>erreur de calcul</v>
      </c>
      <c r="AV37" s="2"/>
    </row>
    <row r="38" spans="1:48" ht="16.5">
      <c r="A38" s="1" t="s">
        <v>12</v>
      </c>
      <c r="B38" s="3" t="s">
        <v>29</v>
      </c>
      <c r="C38" s="3" t="s">
        <v>219</v>
      </c>
      <c r="D38" s="4">
        <v>1789</v>
      </c>
      <c r="E38" s="3" t="s">
        <v>22</v>
      </c>
      <c r="F38" s="3" t="s">
        <v>22</v>
      </c>
      <c r="G38" s="31">
        <v>19</v>
      </c>
      <c r="H38" s="31" t="s">
        <v>86</v>
      </c>
      <c r="I38" s="5">
        <v>60</v>
      </c>
      <c r="J38" s="5"/>
      <c r="K38" s="6"/>
      <c r="L38" s="11">
        <f t="shared" si="17"/>
        <v>60</v>
      </c>
      <c r="M38" s="7" t="s">
        <v>14</v>
      </c>
      <c r="N38" s="31"/>
      <c r="O38" s="9"/>
      <c r="P38" s="9" t="str">
        <f t="shared" si="7"/>
        <v/>
      </c>
      <c r="Q38" s="9"/>
      <c r="R38" s="30">
        <f t="shared" si="25"/>
        <v>0</v>
      </c>
      <c r="S38" s="9"/>
      <c r="T38" s="30">
        <f t="shared" si="8"/>
        <v>0</v>
      </c>
      <c r="U38" s="9">
        <f>400/100</f>
        <v>4</v>
      </c>
      <c r="V38" s="30">
        <v>240</v>
      </c>
      <c r="W38" s="9">
        <f>74480/100</f>
        <v>744.8</v>
      </c>
      <c r="X38" s="30">
        <v>44688</v>
      </c>
      <c r="Y38" s="9"/>
      <c r="Z38" s="30">
        <f>Y38*$L38</f>
        <v>0</v>
      </c>
      <c r="AA38" s="9">
        <f>42200/100</f>
        <v>422</v>
      </c>
      <c r="AB38" s="30">
        <v>25320</v>
      </c>
      <c r="AC38" s="9"/>
      <c r="AD38" s="30">
        <f t="shared" si="26"/>
        <v>0</v>
      </c>
      <c r="AE38" s="9"/>
      <c r="AF38" s="30">
        <f t="shared" si="27"/>
        <v>0</v>
      </c>
      <c r="AG38" s="9"/>
      <c r="AH38" s="30">
        <f t="shared" si="28"/>
        <v>0</v>
      </c>
      <c r="AI38" s="9"/>
      <c r="AJ38" s="30">
        <f t="shared" si="29"/>
        <v>0</v>
      </c>
      <c r="AK38" s="9"/>
      <c r="AL38" s="30">
        <f t="shared" si="30"/>
        <v>0</v>
      </c>
      <c r="AM38" s="10">
        <f>117080/100</f>
        <v>1170.8</v>
      </c>
      <c r="AN38" s="31">
        <v>70248</v>
      </c>
      <c r="AO38" s="15">
        <f t="shared" si="11"/>
        <v>70248</v>
      </c>
      <c r="AP38" s="9">
        <f t="shared" si="18"/>
        <v>0</v>
      </c>
      <c r="AQ38" s="28">
        <f t="shared" si="13"/>
        <v>1170.8</v>
      </c>
      <c r="AR38" s="8">
        <f t="shared" si="19"/>
        <v>0</v>
      </c>
      <c r="AS38" s="29">
        <f t="shared" si="4"/>
        <v>70248</v>
      </c>
      <c r="AT38" s="13">
        <f t="shared" si="20"/>
        <v>0</v>
      </c>
      <c r="AU38" s="2" t="str">
        <f t="shared" si="5"/>
        <v/>
      </c>
      <c r="AV38" s="2"/>
    </row>
    <row r="39" spans="1:48" ht="16.5">
      <c r="A39" s="1" t="s">
        <v>12</v>
      </c>
      <c r="B39" s="3" t="s">
        <v>29</v>
      </c>
      <c r="C39" s="3" t="s">
        <v>219</v>
      </c>
      <c r="D39" s="4">
        <v>1789</v>
      </c>
      <c r="E39" s="3" t="s">
        <v>22</v>
      </c>
      <c r="F39" s="3" t="s">
        <v>22</v>
      </c>
      <c r="G39" s="31">
        <v>19</v>
      </c>
      <c r="H39" s="31" t="s">
        <v>87</v>
      </c>
      <c r="I39" s="5">
        <v>4</v>
      </c>
      <c r="J39" s="5"/>
      <c r="K39" s="6"/>
      <c r="L39" s="11">
        <f t="shared" si="17"/>
        <v>4</v>
      </c>
      <c r="M39" s="7" t="s">
        <v>41</v>
      </c>
      <c r="N39" s="31"/>
      <c r="O39" s="9"/>
      <c r="P39" s="9" t="str">
        <f t="shared" si="7"/>
        <v/>
      </c>
      <c r="Q39" s="9"/>
      <c r="R39" s="30">
        <f t="shared" si="25"/>
        <v>0</v>
      </c>
      <c r="S39" s="9"/>
      <c r="T39" s="30">
        <f t="shared" si="8"/>
        <v>0</v>
      </c>
      <c r="U39" s="9"/>
      <c r="V39" s="30">
        <f>U39*$L39</f>
        <v>0</v>
      </c>
      <c r="W39" s="9">
        <v>4450</v>
      </c>
      <c r="X39" s="30">
        <v>17800</v>
      </c>
      <c r="Y39" s="9"/>
      <c r="Z39" s="30">
        <f>Y39*$L39</f>
        <v>0</v>
      </c>
      <c r="AA39" s="9"/>
      <c r="AB39" s="30">
        <f t="shared" ref="AB39:AB45" si="31">AA39*$L39</f>
        <v>0</v>
      </c>
      <c r="AC39" s="9"/>
      <c r="AD39" s="30">
        <f t="shared" si="26"/>
        <v>0</v>
      </c>
      <c r="AE39" s="9"/>
      <c r="AF39" s="30">
        <f t="shared" si="27"/>
        <v>0</v>
      </c>
      <c r="AG39" s="9"/>
      <c r="AH39" s="30">
        <f t="shared" si="28"/>
        <v>0</v>
      </c>
      <c r="AI39" s="9"/>
      <c r="AJ39" s="30">
        <f t="shared" si="29"/>
        <v>0</v>
      </c>
      <c r="AK39" s="9"/>
      <c r="AL39" s="30">
        <f t="shared" si="30"/>
        <v>0</v>
      </c>
      <c r="AM39" s="10">
        <v>4450</v>
      </c>
      <c r="AN39" s="31">
        <v>17800</v>
      </c>
      <c r="AO39" s="15">
        <f t="shared" si="11"/>
        <v>17800</v>
      </c>
      <c r="AP39" s="9">
        <f t="shared" si="18"/>
        <v>0</v>
      </c>
      <c r="AQ39" s="28">
        <f t="shared" si="13"/>
        <v>4450</v>
      </c>
      <c r="AR39" s="8">
        <f t="shared" si="19"/>
        <v>0</v>
      </c>
      <c r="AS39" s="29">
        <f t="shared" si="4"/>
        <v>17800</v>
      </c>
      <c r="AT39" s="13">
        <f t="shared" si="20"/>
        <v>0</v>
      </c>
      <c r="AU39" s="2" t="str">
        <f t="shared" si="5"/>
        <v/>
      </c>
      <c r="AV39" s="2"/>
    </row>
    <row r="40" spans="1:48" ht="16.5">
      <c r="A40" s="1" t="s">
        <v>12</v>
      </c>
      <c r="B40" s="3" t="s">
        <v>29</v>
      </c>
      <c r="C40" s="3" t="s">
        <v>219</v>
      </c>
      <c r="D40" s="4">
        <v>1789</v>
      </c>
      <c r="E40" s="3" t="s">
        <v>22</v>
      </c>
      <c r="F40" s="3" t="s">
        <v>22</v>
      </c>
      <c r="G40" s="31">
        <v>19</v>
      </c>
      <c r="H40" s="31" t="s">
        <v>88</v>
      </c>
      <c r="I40" s="5">
        <v>35</v>
      </c>
      <c r="J40" s="5"/>
      <c r="K40" s="6"/>
      <c r="L40" s="11">
        <f t="shared" si="17"/>
        <v>35</v>
      </c>
      <c r="M40" s="7" t="s">
        <v>14</v>
      </c>
      <c r="N40" s="31" t="s">
        <v>19</v>
      </c>
      <c r="O40" s="9">
        <f>78000/100</f>
        <v>780</v>
      </c>
      <c r="P40" s="9">
        <v>27300</v>
      </c>
      <c r="Q40" s="9"/>
      <c r="R40" s="30">
        <f t="shared" si="25"/>
        <v>0</v>
      </c>
      <c r="S40" s="9"/>
      <c r="T40" s="30">
        <f t="shared" si="8"/>
        <v>0</v>
      </c>
      <c r="U40" s="9"/>
      <c r="V40" s="30">
        <f>U40*$L40</f>
        <v>0</v>
      </c>
      <c r="W40" s="9"/>
      <c r="X40" s="30">
        <f>W40*$L40</f>
        <v>0</v>
      </c>
      <c r="Y40" s="9"/>
      <c r="Z40" s="30">
        <f>Y40*$L40</f>
        <v>0</v>
      </c>
      <c r="AA40" s="9"/>
      <c r="AB40" s="30">
        <f t="shared" si="31"/>
        <v>0</v>
      </c>
      <c r="AC40" s="9"/>
      <c r="AD40" s="30">
        <f t="shared" si="26"/>
        <v>0</v>
      </c>
      <c r="AE40" s="9"/>
      <c r="AF40" s="30">
        <f t="shared" si="27"/>
        <v>0</v>
      </c>
      <c r="AG40" s="9"/>
      <c r="AH40" s="30">
        <f t="shared" si="28"/>
        <v>0</v>
      </c>
      <c r="AI40" s="9"/>
      <c r="AJ40" s="30">
        <f t="shared" si="29"/>
        <v>0</v>
      </c>
      <c r="AK40" s="9"/>
      <c r="AL40" s="30">
        <f t="shared" si="30"/>
        <v>0</v>
      </c>
      <c r="AM40" s="10"/>
      <c r="AN40" s="31"/>
      <c r="AO40" s="15">
        <f t="shared" si="11"/>
        <v>0</v>
      </c>
      <c r="AP40" s="9">
        <f t="shared" si="18"/>
        <v>0</v>
      </c>
      <c r="AQ40" s="28">
        <f t="shared" si="13"/>
        <v>0</v>
      </c>
      <c r="AR40" s="8">
        <f t="shared" si="19"/>
        <v>0</v>
      </c>
      <c r="AS40" s="29">
        <f t="shared" si="4"/>
        <v>0</v>
      </c>
      <c r="AT40" s="13">
        <f t="shared" si="20"/>
        <v>0</v>
      </c>
      <c r="AU40" s="2" t="str">
        <f t="shared" si="5"/>
        <v/>
      </c>
      <c r="AV40" s="2"/>
    </row>
    <row r="41" spans="1:48" ht="16.5">
      <c r="A41" s="1" t="s">
        <v>12</v>
      </c>
      <c r="B41" s="3" t="s">
        <v>29</v>
      </c>
      <c r="C41" s="3" t="s">
        <v>219</v>
      </c>
      <c r="D41" s="4">
        <v>1789</v>
      </c>
      <c r="E41" s="3" t="s">
        <v>22</v>
      </c>
      <c r="F41" s="3" t="s">
        <v>22</v>
      </c>
      <c r="G41" s="31">
        <v>19</v>
      </c>
      <c r="H41" s="31" t="s">
        <v>286</v>
      </c>
      <c r="I41" s="5">
        <v>30</v>
      </c>
      <c r="J41" s="5"/>
      <c r="K41" s="6"/>
      <c r="L41" s="11">
        <f t="shared" si="17"/>
        <v>30</v>
      </c>
      <c r="M41" s="7" t="s">
        <v>14</v>
      </c>
      <c r="N41" s="31"/>
      <c r="O41" s="9"/>
      <c r="P41" s="9" t="str">
        <f t="shared" si="7"/>
        <v/>
      </c>
      <c r="Q41" s="9"/>
      <c r="R41" s="30">
        <f t="shared" si="25"/>
        <v>0</v>
      </c>
      <c r="S41" s="9"/>
      <c r="T41" s="30">
        <f t="shared" si="8"/>
        <v>0</v>
      </c>
      <c r="U41" s="9">
        <f>237562/100</f>
        <v>2375.62</v>
      </c>
      <c r="V41" s="30">
        <v>71269</v>
      </c>
      <c r="W41" s="9"/>
      <c r="X41" s="30">
        <f>W41*$L41</f>
        <v>0</v>
      </c>
      <c r="Y41" s="9"/>
      <c r="Z41" s="30">
        <f>Y41*$L41</f>
        <v>0</v>
      </c>
      <c r="AA41" s="9"/>
      <c r="AB41" s="30">
        <f t="shared" si="31"/>
        <v>0</v>
      </c>
      <c r="AC41" s="9"/>
      <c r="AD41" s="30">
        <f t="shared" si="26"/>
        <v>0</v>
      </c>
      <c r="AE41" s="9"/>
      <c r="AF41" s="30">
        <f t="shared" si="27"/>
        <v>0</v>
      </c>
      <c r="AG41" s="9"/>
      <c r="AH41" s="30">
        <f t="shared" si="28"/>
        <v>0</v>
      </c>
      <c r="AI41" s="9"/>
      <c r="AJ41" s="30">
        <f t="shared" si="29"/>
        <v>0</v>
      </c>
      <c r="AK41" s="9"/>
      <c r="AL41" s="30">
        <f t="shared" si="30"/>
        <v>0</v>
      </c>
      <c r="AM41" s="10">
        <f>237562/100</f>
        <v>2375.62</v>
      </c>
      <c r="AN41" s="31">
        <v>71269</v>
      </c>
      <c r="AO41" s="15">
        <f t="shared" si="11"/>
        <v>71269</v>
      </c>
      <c r="AP41" s="9">
        <f t="shared" si="18"/>
        <v>0</v>
      </c>
      <c r="AQ41" s="28">
        <f t="shared" si="13"/>
        <v>2375.62</v>
      </c>
      <c r="AR41" s="8">
        <f t="shared" si="19"/>
        <v>0</v>
      </c>
      <c r="AS41" s="29">
        <f t="shared" si="4"/>
        <v>71268.599999999991</v>
      </c>
      <c r="AT41" s="13">
        <f t="shared" si="20"/>
        <v>0.40000000000873115</v>
      </c>
      <c r="AU41" s="2" t="str">
        <f t="shared" si="5"/>
        <v>erreur de calcul</v>
      </c>
      <c r="AV41" s="2"/>
    </row>
    <row r="42" spans="1:48" ht="16.5">
      <c r="A42" s="1" t="s">
        <v>12</v>
      </c>
      <c r="B42" s="3" t="s">
        <v>29</v>
      </c>
      <c r="C42" s="3" t="s">
        <v>219</v>
      </c>
      <c r="D42" s="4">
        <v>1789</v>
      </c>
      <c r="E42" s="3" t="s">
        <v>22</v>
      </c>
      <c r="F42" s="3" t="s">
        <v>22</v>
      </c>
      <c r="G42" s="31">
        <v>19</v>
      </c>
      <c r="H42" s="31" t="s">
        <v>89</v>
      </c>
      <c r="I42" s="5"/>
      <c r="J42" s="5"/>
      <c r="K42" s="6"/>
      <c r="L42" s="11">
        <f t="shared" si="17"/>
        <v>0</v>
      </c>
      <c r="M42" s="7"/>
      <c r="N42" s="31"/>
      <c r="O42" s="9"/>
      <c r="P42" s="9" t="str">
        <f t="shared" si="7"/>
        <v/>
      </c>
      <c r="Q42" s="9"/>
      <c r="R42" s="30">
        <f t="shared" si="25"/>
        <v>0</v>
      </c>
      <c r="S42" s="9"/>
      <c r="T42" s="30">
        <f t="shared" si="8"/>
        <v>0</v>
      </c>
      <c r="U42" s="9"/>
      <c r="V42" s="30">
        <v>7683</v>
      </c>
      <c r="W42" s="9"/>
      <c r="X42" s="30">
        <v>4330</v>
      </c>
      <c r="Y42" s="9"/>
      <c r="Z42" s="30">
        <v>2420</v>
      </c>
      <c r="AA42" s="9"/>
      <c r="AB42" s="30">
        <f t="shared" si="31"/>
        <v>0</v>
      </c>
      <c r="AC42" s="9"/>
      <c r="AD42" s="30">
        <f t="shared" si="26"/>
        <v>0</v>
      </c>
      <c r="AE42" s="9"/>
      <c r="AF42" s="30">
        <f t="shared" si="27"/>
        <v>0</v>
      </c>
      <c r="AG42" s="9"/>
      <c r="AH42" s="30">
        <f t="shared" si="28"/>
        <v>0</v>
      </c>
      <c r="AI42" s="9"/>
      <c r="AJ42" s="30">
        <f t="shared" si="29"/>
        <v>0</v>
      </c>
      <c r="AK42" s="9"/>
      <c r="AL42" s="30">
        <f t="shared" si="30"/>
        <v>0</v>
      </c>
      <c r="AM42" s="10"/>
      <c r="AN42" s="31">
        <v>14433</v>
      </c>
      <c r="AO42" s="15">
        <f t="shared" si="11"/>
        <v>14433</v>
      </c>
      <c r="AP42" s="9">
        <f t="shared" si="18"/>
        <v>0</v>
      </c>
      <c r="AQ42" s="28">
        <f t="shared" si="13"/>
        <v>0</v>
      </c>
      <c r="AR42" s="8">
        <f t="shared" si="19"/>
        <v>0</v>
      </c>
      <c r="AS42" s="29">
        <f t="shared" si="4"/>
        <v>0</v>
      </c>
      <c r="AT42" s="13">
        <f t="shared" si="20"/>
        <v>14433</v>
      </c>
      <c r="AU42" s="2" t="str">
        <f t="shared" si="5"/>
        <v>pas de prix, ni de quantité</v>
      </c>
      <c r="AV42" s="2"/>
    </row>
    <row r="43" spans="1:48" ht="16.5">
      <c r="A43" s="1" t="s">
        <v>12</v>
      </c>
      <c r="B43" s="3" t="s">
        <v>29</v>
      </c>
      <c r="C43" s="3" t="s">
        <v>219</v>
      </c>
      <c r="D43" s="4">
        <v>1789</v>
      </c>
      <c r="E43" s="3" t="s">
        <v>22</v>
      </c>
      <c r="F43" s="3" t="s">
        <v>22</v>
      </c>
      <c r="G43" s="31">
        <v>20</v>
      </c>
      <c r="H43" s="31" t="s">
        <v>224</v>
      </c>
      <c r="I43" s="5"/>
      <c r="J43" s="5"/>
      <c r="K43" s="6"/>
      <c r="L43" s="11">
        <f t="shared" si="17"/>
        <v>0</v>
      </c>
      <c r="M43" s="7" t="s">
        <v>15</v>
      </c>
      <c r="N43" s="31"/>
      <c r="O43" s="9"/>
      <c r="P43" s="9" t="str">
        <f t="shared" si="7"/>
        <v/>
      </c>
      <c r="Q43" s="9"/>
      <c r="R43" s="30">
        <f t="shared" si="25"/>
        <v>0</v>
      </c>
      <c r="S43" s="9"/>
      <c r="T43" s="30">
        <f t="shared" si="8"/>
        <v>0</v>
      </c>
      <c r="U43" s="9">
        <f>1985590</f>
        <v>1985590</v>
      </c>
      <c r="V43" s="30">
        <v>552655</v>
      </c>
      <c r="W43" s="9"/>
      <c r="X43" s="30">
        <f>W43*$L43</f>
        <v>0</v>
      </c>
      <c r="Y43" s="9"/>
      <c r="Z43" s="30">
        <f>Y43*$L43</f>
        <v>0</v>
      </c>
      <c r="AA43" s="9"/>
      <c r="AB43" s="30">
        <f t="shared" si="31"/>
        <v>0</v>
      </c>
      <c r="AC43" s="9"/>
      <c r="AD43" s="30">
        <f t="shared" si="26"/>
        <v>0</v>
      </c>
      <c r="AE43" s="9"/>
      <c r="AF43" s="30">
        <f t="shared" si="27"/>
        <v>0</v>
      </c>
      <c r="AG43" s="9"/>
      <c r="AH43" s="30">
        <f t="shared" si="28"/>
        <v>0</v>
      </c>
      <c r="AI43" s="9"/>
      <c r="AJ43" s="30">
        <f t="shared" si="29"/>
        <v>0</v>
      </c>
      <c r="AK43" s="9">
        <v>215100</v>
      </c>
      <c r="AL43" s="30">
        <v>59750</v>
      </c>
      <c r="AM43" s="10">
        <v>2200690</v>
      </c>
      <c r="AN43" s="31">
        <v>612405</v>
      </c>
      <c r="AO43" s="15">
        <f t="shared" si="11"/>
        <v>612405</v>
      </c>
      <c r="AP43" s="9">
        <f t="shared" si="18"/>
        <v>0</v>
      </c>
      <c r="AQ43" s="28">
        <f t="shared" si="13"/>
        <v>2200690</v>
      </c>
      <c r="AR43" s="8">
        <f t="shared" si="19"/>
        <v>0</v>
      </c>
      <c r="AS43" s="29">
        <f t="shared" si="4"/>
        <v>0</v>
      </c>
      <c r="AT43" s="13">
        <f t="shared" si="20"/>
        <v>612405</v>
      </c>
      <c r="AU43" s="2" t="str">
        <f t="shared" si="5"/>
        <v>pas de prix</v>
      </c>
      <c r="AV43" s="2"/>
    </row>
    <row r="44" spans="1:48" ht="16.5">
      <c r="A44" s="1" t="s">
        <v>12</v>
      </c>
      <c r="B44" s="3" t="s">
        <v>29</v>
      </c>
      <c r="C44" s="3" t="s">
        <v>219</v>
      </c>
      <c r="D44" s="4">
        <v>1789</v>
      </c>
      <c r="E44" s="3" t="s">
        <v>22</v>
      </c>
      <c r="F44" s="3" t="s">
        <v>22</v>
      </c>
      <c r="G44" s="31">
        <v>20</v>
      </c>
      <c r="H44" s="31" t="s">
        <v>225</v>
      </c>
      <c r="I44" s="5"/>
      <c r="J44" s="5">
        <v>8</v>
      </c>
      <c r="K44" s="6"/>
      <c r="L44" s="11">
        <f t="shared" si="17"/>
        <v>0.4</v>
      </c>
      <c r="M44" s="7" t="s">
        <v>15</v>
      </c>
      <c r="N44" s="31"/>
      <c r="O44" s="9"/>
      <c r="P44" s="9" t="str">
        <f t="shared" si="7"/>
        <v/>
      </c>
      <c r="Q44" s="9"/>
      <c r="R44" s="30">
        <f t="shared" si="25"/>
        <v>0</v>
      </c>
      <c r="S44" s="9"/>
      <c r="T44" s="30">
        <f t="shared" si="8"/>
        <v>0</v>
      </c>
      <c r="U44" s="9">
        <v>774647</v>
      </c>
      <c r="V44" s="30">
        <v>309859</v>
      </c>
      <c r="W44" s="9"/>
      <c r="X44" s="30">
        <f>W44*$L44</f>
        <v>0</v>
      </c>
      <c r="Y44" s="9"/>
      <c r="Z44" s="30">
        <f>Y44*$L44</f>
        <v>0</v>
      </c>
      <c r="AA44" s="9"/>
      <c r="AB44" s="30">
        <f t="shared" si="31"/>
        <v>0</v>
      </c>
      <c r="AC44" s="9"/>
      <c r="AD44" s="30">
        <f t="shared" si="26"/>
        <v>0</v>
      </c>
      <c r="AE44" s="9"/>
      <c r="AF44" s="30">
        <f t="shared" si="27"/>
        <v>0</v>
      </c>
      <c r="AG44" s="9"/>
      <c r="AH44" s="30">
        <f t="shared" si="28"/>
        <v>0</v>
      </c>
      <c r="AI44" s="9"/>
      <c r="AJ44" s="30">
        <f t="shared" si="29"/>
        <v>0</v>
      </c>
      <c r="AK44" s="9">
        <v>44720</v>
      </c>
      <c r="AL44" s="30">
        <v>17888</v>
      </c>
      <c r="AM44" s="10">
        <v>819367</v>
      </c>
      <c r="AN44" s="31">
        <v>327747</v>
      </c>
      <c r="AO44" s="15">
        <f t="shared" si="11"/>
        <v>327747</v>
      </c>
      <c r="AP44" s="9">
        <f t="shared" si="18"/>
        <v>0</v>
      </c>
      <c r="AQ44" s="28">
        <f t="shared" si="13"/>
        <v>819367</v>
      </c>
      <c r="AR44" s="8">
        <f t="shared" si="19"/>
        <v>0</v>
      </c>
      <c r="AS44" s="29">
        <f t="shared" si="4"/>
        <v>327746.80000000005</v>
      </c>
      <c r="AT44" s="13">
        <f t="shared" si="20"/>
        <v>0.19999999995343387</v>
      </c>
      <c r="AU44" s="2" t="str">
        <f t="shared" si="5"/>
        <v>erreur de calcul</v>
      </c>
      <c r="AV44" s="2"/>
    </row>
    <row r="45" spans="1:48" ht="16.5">
      <c r="A45" s="1" t="s">
        <v>12</v>
      </c>
      <c r="B45" s="3" t="s">
        <v>29</v>
      </c>
      <c r="C45" s="3" t="s">
        <v>219</v>
      </c>
      <c r="D45" s="4">
        <v>1789</v>
      </c>
      <c r="E45" s="3" t="s">
        <v>22</v>
      </c>
      <c r="F45" s="3" t="s">
        <v>22</v>
      </c>
      <c r="G45" s="31">
        <v>20</v>
      </c>
      <c r="H45" s="31" t="s">
        <v>226</v>
      </c>
      <c r="I45" s="5"/>
      <c r="J45" s="5">
        <v>12</v>
      </c>
      <c r="K45" s="6"/>
      <c r="L45" s="11">
        <f t="shared" si="17"/>
        <v>0.6</v>
      </c>
      <c r="M45" s="7" t="s">
        <v>15</v>
      </c>
      <c r="N45" s="31"/>
      <c r="O45" s="9"/>
      <c r="P45" s="9" t="str">
        <f t="shared" si="7"/>
        <v/>
      </c>
      <c r="Q45" s="9"/>
      <c r="R45" s="30">
        <f t="shared" si="25"/>
        <v>0</v>
      </c>
      <c r="S45" s="9"/>
      <c r="T45" s="30">
        <f t="shared" si="8"/>
        <v>0</v>
      </c>
      <c r="U45" s="9"/>
      <c r="V45" s="30">
        <f>U45*$L45</f>
        <v>0</v>
      </c>
      <c r="W45" s="9">
        <v>255</v>
      </c>
      <c r="X45" s="30">
        <v>153</v>
      </c>
      <c r="Y45" s="9">
        <v>538</v>
      </c>
      <c r="Z45" s="30">
        <v>322</v>
      </c>
      <c r="AA45" s="9"/>
      <c r="AB45" s="30">
        <f t="shared" si="31"/>
        <v>0</v>
      </c>
      <c r="AC45" s="9"/>
      <c r="AD45" s="30">
        <f t="shared" si="26"/>
        <v>0</v>
      </c>
      <c r="AE45" s="9"/>
      <c r="AF45" s="30">
        <f t="shared" si="27"/>
        <v>0</v>
      </c>
      <c r="AG45" s="9"/>
      <c r="AH45" s="30">
        <f t="shared" si="28"/>
        <v>0</v>
      </c>
      <c r="AI45" s="9"/>
      <c r="AJ45" s="30">
        <f t="shared" si="29"/>
        <v>0</v>
      </c>
      <c r="AK45" s="9">
        <v>1393</v>
      </c>
      <c r="AL45" s="30">
        <v>836</v>
      </c>
      <c r="AM45" s="10">
        <v>2186</v>
      </c>
      <c r="AN45" s="31">
        <v>1311</v>
      </c>
      <c r="AO45" s="15">
        <f t="shared" si="11"/>
        <v>1311</v>
      </c>
      <c r="AP45" s="9">
        <f t="shared" si="18"/>
        <v>0</v>
      </c>
      <c r="AQ45" s="28">
        <f t="shared" si="13"/>
        <v>2186</v>
      </c>
      <c r="AR45" s="8">
        <f t="shared" si="19"/>
        <v>0</v>
      </c>
      <c r="AS45" s="29">
        <f t="shared" si="4"/>
        <v>1311.6</v>
      </c>
      <c r="AT45" s="13">
        <f t="shared" si="20"/>
        <v>-0.59999999999990905</v>
      </c>
      <c r="AU45" s="2" t="str">
        <f t="shared" si="5"/>
        <v>erreur de calcul</v>
      </c>
      <c r="AV45" s="2"/>
    </row>
    <row r="46" spans="1:48" ht="16.5">
      <c r="A46" s="1" t="s">
        <v>12</v>
      </c>
      <c r="B46" s="3" t="s">
        <v>29</v>
      </c>
      <c r="C46" s="3" t="s">
        <v>219</v>
      </c>
      <c r="D46" s="4">
        <v>1789</v>
      </c>
      <c r="E46" s="3" t="s">
        <v>22</v>
      </c>
      <c r="F46" s="3" t="s">
        <v>22</v>
      </c>
      <c r="G46" s="31">
        <v>20</v>
      </c>
      <c r="H46" s="31" t="s">
        <v>44</v>
      </c>
      <c r="I46" s="5">
        <v>37</v>
      </c>
      <c r="J46" s="5">
        <v>10</v>
      </c>
      <c r="K46" s="6"/>
      <c r="L46" s="11">
        <f t="shared" si="17"/>
        <v>37.5</v>
      </c>
      <c r="M46" s="7" t="s">
        <v>14</v>
      </c>
      <c r="N46" s="31"/>
      <c r="O46" s="9"/>
      <c r="P46" s="9" t="str">
        <f t="shared" si="7"/>
        <v/>
      </c>
      <c r="Q46" s="9">
        <f>10000/100</f>
        <v>100</v>
      </c>
      <c r="R46" s="30">
        <f t="shared" si="25"/>
        <v>3750</v>
      </c>
      <c r="S46" s="9"/>
      <c r="T46" s="30">
        <f t="shared" si="8"/>
        <v>0</v>
      </c>
      <c r="U46" s="9">
        <f>10000/100</f>
        <v>100</v>
      </c>
      <c r="V46" s="30">
        <v>3750</v>
      </c>
      <c r="W46" s="9">
        <f>64675/100</f>
        <v>646.75</v>
      </c>
      <c r="X46" s="30">
        <v>24253</v>
      </c>
      <c r="Y46" s="9">
        <f>131440/100</f>
        <v>1314.4</v>
      </c>
      <c r="Z46" s="30">
        <v>49290</v>
      </c>
      <c r="AA46" s="9">
        <f>58860/100</f>
        <v>588.6</v>
      </c>
      <c r="AB46" s="30">
        <v>22072</v>
      </c>
      <c r="AC46" s="9"/>
      <c r="AD46" s="30">
        <f t="shared" si="26"/>
        <v>0</v>
      </c>
      <c r="AE46" s="9"/>
      <c r="AF46" s="30">
        <f t="shared" si="27"/>
        <v>0</v>
      </c>
      <c r="AG46" s="9">
        <f>171550/100</f>
        <v>1715.5</v>
      </c>
      <c r="AH46" s="30">
        <v>64331</v>
      </c>
      <c r="AI46" s="9">
        <f>872520/100</f>
        <v>8725.2000000000007</v>
      </c>
      <c r="AJ46" s="30">
        <v>327195</v>
      </c>
      <c r="AK46" s="9"/>
      <c r="AL46" s="30">
        <f>AK46*$L46</f>
        <v>0</v>
      </c>
      <c r="AM46" s="10">
        <f>1309045/100</f>
        <v>13090.45</v>
      </c>
      <c r="AN46" s="31">
        <v>490891</v>
      </c>
      <c r="AO46" s="15">
        <f t="shared" si="11"/>
        <v>494641</v>
      </c>
      <c r="AP46" s="9">
        <f t="shared" si="18"/>
        <v>-3750</v>
      </c>
      <c r="AQ46" s="28">
        <f t="shared" si="13"/>
        <v>13190.45</v>
      </c>
      <c r="AR46" s="8">
        <f t="shared" si="19"/>
        <v>-100</v>
      </c>
      <c r="AS46" s="29">
        <f t="shared" si="4"/>
        <v>494641.875</v>
      </c>
      <c r="AT46" s="13">
        <f t="shared" si="20"/>
        <v>-3750.875</v>
      </c>
      <c r="AU46" s="2" t="str">
        <f t="shared" si="5"/>
        <v>erreur de calcul</v>
      </c>
      <c r="AV46" s="2" t="s">
        <v>292</v>
      </c>
    </row>
    <row r="47" spans="1:48" ht="16.5">
      <c r="A47" s="1" t="s">
        <v>12</v>
      </c>
      <c r="B47" s="3" t="s">
        <v>29</v>
      </c>
      <c r="C47" s="3" t="s">
        <v>219</v>
      </c>
      <c r="D47" s="4">
        <v>1789</v>
      </c>
      <c r="E47" s="3" t="s">
        <v>22</v>
      </c>
      <c r="F47" s="3" t="s">
        <v>22</v>
      </c>
      <c r="G47" s="31">
        <v>20</v>
      </c>
      <c r="H47" s="31" t="s">
        <v>275</v>
      </c>
      <c r="I47" s="5"/>
      <c r="J47" s="5"/>
      <c r="K47" s="6"/>
      <c r="L47" s="11">
        <f t="shared" si="17"/>
        <v>0</v>
      </c>
      <c r="M47" s="7" t="s">
        <v>15</v>
      </c>
      <c r="N47" s="31"/>
      <c r="O47" s="9"/>
      <c r="P47" s="9" t="str">
        <f t="shared" si="7"/>
        <v/>
      </c>
      <c r="Q47" s="9"/>
      <c r="R47" s="30">
        <f t="shared" si="25"/>
        <v>0</v>
      </c>
      <c r="S47" s="9"/>
      <c r="T47" s="30">
        <f t="shared" si="8"/>
        <v>0</v>
      </c>
      <c r="U47" s="9">
        <v>163104600</v>
      </c>
      <c r="V47" s="30">
        <v>2515296</v>
      </c>
      <c r="W47" s="9"/>
      <c r="X47" s="30">
        <f>W47*$L47</f>
        <v>0</v>
      </c>
      <c r="Y47" s="9"/>
      <c r="Z47" s="30">
        <f>Y47*$L47</f>
        <v>0</v>
      </c>
      <c r="AA47" s="9"/>
      <c r="AB47" s="30">
        <f t="shared" ref="AB47:AB56" si="32">AA47*$L47</f>
        <v>0</v>
      </c>
      <c r="AC47" s="9"/>
      <c r="AD47" s="30">
        <f t="shared" si="26"/>
        <v>0</v>
      </c>
      <c r="AE47" s="9"/>
      <c r="AF47" s="30">
        <f t="shared" si="27"/>
        <v>0</v>
      </c>
      <c r="AG47" s="9"/>
      <c r="AH47" s="30">
        <f t="shared" ref="AH47:AH67" si="33">AG47*$L47</f>
        <v>0</v>
      </c>
      <c r="AI47" s="9"/>
      <c r="AJ47" s="30">
        <f t="shared" ref="AJ47:AJ57" si="34">AI47*$L47</f>
        <v>0</v>
      </c>
      <c r="AK47" s="9"/>
      <c r="AL47" s="30">
        <f>AK47*$L47</f>
        <v>0</v>
      </c>
      <c r="AM47" s="10">
        <v>163104600</v>
      </c>
      <c r="AN47" s="31">
        <v>2515296</v>
      </c>
      <c r="AO47" s="15">
        <f t="shared" si="11"/>
        <v>2515296</v>
      </c>
      <c r="AP47" s="9">
        <f t="shared" si="18"/>
        <v>0</v>
      </c>
      <c r="AQ47" s="28">
        <f t="shared" si="13"/>
        <v>163104600</v>
      </c>
      <c r="AR47" s="8">
        <f t="shared" si="19"/>
        <v>0</v>
      </c>
      <c r="AS47" s="29">
        <f t="shared" si="4"/>
        <v>0</v>
      </c>
      <c r="AT47" s="13">
        <f t="shared" si="20"/>
        <v>2515296</v>
      </c>
      <c r="AU47" s="2" t="str">
        <f t="shared" si="5"/>
        <v>pas de prix</v>
      </c>
      <c r="AV47" s="2"/>
    </row>
    <row r="48" spans="1:48" ht="16.5">
      <c r="A48" s="1" t="s">
        <v>12</v>
      </c>
      <c r="B48" s="3" t="s">
        <v>29</v>
      </c>
      <c r="C48" s="3" t="s">
        <v>219</v>
      </c>
      <c r="D48" s="4">
        <v>1789</v>
      </c>
      <c r="E48" s="3" t="s">
        <v>22</v>
      </c>
      <c r="F48" s="3" t="s">
        <v>22</v>
      </c>
      <c r="G48" s="31">
        <v>20</v>
      </c>
      <c r="H48" s="31" t="s">
        <v>90</v>
      </c>
      <c r="I48" s="5"/>
      <c r="J48" s="5">
        <v>42</v>
      </c>
      <c r="K48" s="6"/>
      <c r="L48" s="11">
        <f t="shared" si="17"/>
        <v>2.1</v>
      </c>
      <c r="M48" s="7" t="s">
        <v>15</v>
      </c>
      <c r="N48" s="31"/>
      <c r="O48" s="9"/>
      <c r="P48" s="9" t="str">
        <f t="shared" si="7"/>
        <v/>
      </c>
      <c r="Q48" s="9"/>
      <c r="R48" s="30">
        <f t="shared" si="25"/>
        <v>0</v>
      </c>
      <c r="S48" s="9"/>
      <c r="T48" s="30">
        <f t="shared" si="8"/>
        <v>0</v>
      </c>
      <c r="U48" s="9"/>
      <c r="V48" s="30">
        <f>U48*$L48</f>
        <v>0</v>
      </c>
      <c r="W48" s="9"/>
      <c r="X48" s="30">
        <f>W48*$L48</f>
        <v>0</v>
      </c>
      <c r="Y48" s="9"/>
      <c r="Z48" s="30">
        <f>Y48*$L48</f>
        <v>0</v>
      </c>
      <c r="AA48" s="9"/>
      <c r="AB48" s="30">
        <f t="shared" si="32"/>
        <v>0</v>
      </c>
      <c r="AC48" s="9"/>
      <c r="AD48" s="30">
        <f t="shared" si="26"/>
        <v>0</v>
      </c>
      <c r="AE48" s="9"/>
      <c r="AF48" s="30">
        <f t="shared" si="27"/>
        <v>0</v>
      </c>
      <c r="AG48" s="9"/>
      <c r="AH48" s="30">
        <f t="shared" si="33"/>
        <v>0</v>
      </c>
      <c r="AI48" s="9"/>
      <c r="AJ48" s="30">
        <f t="shared" si="34"/>
        <v>0</v>
      </c>
      <c r="AK48" s="9">
        <v>5246</v>
      </c>
      <c r="AL48" s="32">
        <v>11015</v>
      </c>
      <c r="AM48" s="10">
        <v>5246</v>
      </c>
      <c r="AN48" s="31">
        <v>11015</v>
      </c>
      <c r="AO48" s="15">
        <f t="shared" si="11"/>
        <v>11015</v>
      </c>
      <c r="AP48" s="9">
        <f t="shared" si="18"/>
        <v>0</v>
      </c>
      <c r="AQ48" s="28">
        <f t="shared" si="13"/>
        <v>5246</v>
      </c>
      <c r="AR48" s="8">
        <f t="shared" si="19"/>
        <v>0</v>
      </c>
      <c r="AS48" s="29">
        <f t="shared" si="4"/>
        <v>11016.6</v>
      </c>
      <c r="AT48" s="13">
        <f t="shared" si="20"/>
        <v>-1.6000000000003638</v>
      </c>
      <c r="AU48" s="2" t="str">
        <f t="shared" si="5"/>
        <v>erreur de calcul</v>
      </c>
      <c r="AV48" s="2"/>
    </row>
    <row r="49" spans="1:48" ht="16.5">
      <c r="A49" s="1" t="s">
        <v>12</v>
      </c>
      <c r="B49" s="3" t="s">
        <v>29</v>
      </c>
      <c r="C49" s="3" t="s">
        <v>219</v>
      </c>
      <c r="D49" s="4">
        <v>1789</v>
      </c>
      <c r="E49" s="3" t="s">
        <v>22</v>
      </c>
      <c r="F49" s="3" t="s">
        <v>22</v>
      </c>
      <c r="G49" s="31">
        <v>20</v>
      </c>
      <c r="H49" s="31" t="s">
        <v>91</v>
      </c>
      <c r="I49" s="5">
        <v>3</v>
      </c>
      <c r="J49" s="5"/>
      <c r="K49" s="6"/>
      <c r="L49" s="11">
        <f t="shared" si="17"/>
        <v>3</v>
      </c>
      <c r="M49" s="7" t="s">
        <v>15</v>
      </c>
      <c r="N49" s="31"/>
      <c r="O49" s="9"/>
      <c r="P49" s="9" t="str">
        <f t="shared" si="7"/>
        <v/>
      </c>
      <c r="Q49" s="9"/>
      <c r="R49" s="30">
        <f t="shared" si="25"/>
        <v>0</v>
      </c>
      <c r="S49" s="9"/>
      <c r="T49" s="30">
        <f t="shared" si="8"/>
        <v>0</v>
      </c>
      <c r="U49" s="9"/>
      <c r="V49" s="30">
        <f>U49*$L49</f>
        <v>0</v>
      </c>
      <c r="W49" s="9"/>
      <c r="X49" s="30">
        <f>W49*$L49</f>
        <v>0</v>
      </c>
      <c r="Y49" s="9">
        <v>976</v>
      </c>
      <c r="Z49" s="30">
        <v>2928</v>
      </c>
      <c r="AA49" s="9"/>
      <c r="AB49" s="30">
        <f t="shared" si="32"/>
        <v>0</v>
      </c>
      <c r="AC49" s="9"/>
      <c r="AD49" s="30">
        <f t="shared" si="26"/>
        <v>0</v>
      </c>
      <c r="AE49" s="9"/>
      <c r="AF49" s="30">
        <f t="shared" si="27"/>
        <v>0</v>
      </c>
      <c r="AG49" s="9"/>
      <c r="AH49" s="30">
        <f t="shared" si="33"/>
        <v>0</v>
      </c>
      <c r="AI49" s="9"/>
      <c r="AJ49" s="30">
        <f t="shared" si="34"/>
        <v>0</v>
      </c>
      <c r="AK49" s="9">
        <v>137</v>
      </c>
      <c r="AL49" s="30">
        <v>411</v>
      </c>
      <c r="AM49" s="10">
        <v>1113</v>
      </c>
      <c r="AN49" s="31">
        <v>3339</v>
      </c>
      <c r="AO49" s="15">
        <f t="shared" si="11"/>
        <v>3339</v>
      </c>
      <c r="AP49" s="9">
        <f t="shared" si="18"/>
        <v>0</v>
      </c>
      <c r="AQ49" s="28">
        <f t="shared" si="13"/>
        <v>1113</v>
      </c>
      <c r="AR49" s="8">
        <f t="shared" si="19"/>
        <v>0</v>
      </c>
      <c r="AS49" s="29">
        <f t="shared" si="4"/>
        <v>3339</v>
      </c>
      <c r="AT49" s="13">
        <f t="shared" si="20"/>
        <v>0</v>
      </c>
      <c r="AU49" s="2" t="str">
        <f t="shared" si="5"/>
        <v/>
      </c>
      <c r="AV49" s="2"/>
    </row>
    <row r="50" spans="1:48" ht="16.5">
      <c r="A50" s="1" t="s">
        <v>12</v>
      </c>
      <c r="B50" s="3" t="s">
        <v>29</v>
      </c>
      <c r="C50" s="3" t="s">
        <v>219</v>
      </c>
      <c r="D50" s="4">
        <v>1789</v>
      </c>
      <c r="E50" s="3" t="s">
        <v>22</v>
      </c>
      <c r="F50" s="3" t="s">
        <v>22</v>
      </c>
      <c r="G50" s="31">
        <v>20</v>
      </c>
      <c r="H50" s="31" t="s">
        <v>92</v>
      </c>
      <c r="I50" s="5"/>
      <c r="J50" s="5">
        <v>50</v>
      </c>
      <c r="K50" s="6"/>
      <c r="L50" s="11">
        <f t="shared" si="17"/>
        <v>2.5</v>
      </c>
      <c r="M50" s="7" t="s">
        <v>15</v>
      </c>
      <c r="N50" s="31"/>
      <c r="O50" s="9"/>
      <c r="P50" s="9" t="str">
        <f t="shared" si="7"/>
        <v/>
      </c>
      <c r="Q50" s="9"/>
      <c r="R50" s="30">
        <f t="shared" si="25"/>
        <v>0</v>
      </c>
      <c r="S50" s="9"/>
      <c r="T50" s="30">
        <f t="shared" si="8"/>
        <v>0</v>
      </c>
      <c r="U50" s="9"/>
      <c r="V50" s="30">
        <f>U50*$L50</f>
        <v>0</v>
      </c>
      <c r="W50" s="9"/>
      <c r="X50" s="30">
        <f>W50*$L50</f>
        <v>0</v>
      </c>
      <c r="Y50" s="9">
        <v>3424</v>
      </c>
      <c r="Z50" s="30">
        <v>8560</v>
      </c>
      <c r="AA50" s="9"/>
      <c r="AB50" s="30">
        <f t="shared" si="32"/>
        <v>0</v>
      </c>
      <c r="AC50" s="9"/>
      <c r="AD50" s="30">
        <f t="shared" si="26"/>
        <v>0</v>
      </c>
      <c r="AE50" s="9"/>
      <c r="AF50" s="30">
        <f t="shared" si="27"/>
        <v>0</v>
      </c>
      <c r="AG50" s="9"/>
      <c r="AH50" s="30">
        <f t="shared" si="33"/>
        <v>0</v>
      </c>
      <c r="AI50" s="9"/>
      <c r="AJ50" s="30">
        <f t="shared" si="34"/>
        <v>0</v>
      </c>
      <c r="AK50" s="9"/>
      <c r="AL50" s="30">
        <f t="shared" ref="AL50:AL60" si="35">AK50*$L50</f>
        <v>0</v>
      </c>
      <c r="AM50" s="10">
        <v>3424</v>
      </c>
      <c r="AN50" s="31">
        <v>8560</v>
      </c>
      <c r="AO50" s="15">
        <f t="shared" si="11"/>
        <v>8560</v>
      </c>
      <c r="AP50" s="9">
        <f t="shared" si="18"/>
        <v>0</v>
      </c>
      <c r="AQ50" s="28">
        <f t="shared" si="13"/>
        <v>3424</v>
      </c>
      <c r="AR50" s="8">
        <f t="shared" si="19"/>
        <v>0</v>
      </c>
      <c r="AS50" s="29">
        <f t="shared" si="4"/>
        <v>8560</v>
      </c>
      <c r="AT50" s="13">
        <f t="shared" si="20"/>
        <v>0</v>
      </c>
      <c r="AU50" s="2" t="str">
        <f t="shared" si="5"/>
        <v/>
      </c>
      <c r="AV50" s="2"/>
    </row>
    <row r="51" spans="1:48" ht="16.5">
      <c r="A51" s="1" t="s">
        <v>12</v>
      </c>
      <c r="B51" s="3" t="s">
        <v>29</v>
      </c>
      <c r="C51" s="3" t="s">
        <v>219</v>
      </c>
      <c r="D51" s="4">
        <v>1789</v>
      </c>
      <c r="E51" s="3" t="s">
        <v>22</v>
      </c>
      <c r="F51" s="3" t="s">
        <v>22</v>
      </c>
      <c r="G51" s="31">
        <v>20</v>
      </c>
      <c r="H51" s="31" t="s">
        <v>93</v>
      </c>
      <c r="I51" s="5">
        <v>70</v>
      </c>
      <c r="J51" s="5"/>
      <c r="K51" s="6"/>
      <c r="L51" s="11">
        <f t="shared" si="17"/>
        <v>70</v>
      </c>
      <c r="M51" s="7" t="s">
        <v>14</v>
      </c>
      <c r="N51" s="31"/>
      <c r="O51" s="9"/>
      <c r="P51" s="9" t="str">
        <f t="shared" si="7"/>
        <v/>
      </c>
      <c r="Q51" s="9"/>
      <c r="R51" s="30">
        <f t="shared" si="25"/>
        <v>0</v>
      </c>
      <c r="S51" s="9"/>
      <c r="T51" s="30">
        <f t="shared" si="8"/>
        <v>0</v>
      </c>
      <c r="U51" s="9"/>
      <c r="V51" s="30">
        <f>U51*$L51</f>
        <v>0</v>
      </c>
      <c r="W51" s="9">
        <f>7147/100</f>
        <v>71.47</v>
      </c>
      <c r="X51" s="30">
        <v>5003</v>
      </c>
      <c r="Y51" s="9"/>
      <c r="Z51" s="30">
        <f>Y51*$L51</f>
        <v>0</v>
      </c>
      <c r="AA51" s="9"/>
      <c r="AB51" s="30">
        <f t="shared" si="32"/>
        <v>0</v>
      </c>
      <c r="AC51" s="9"/>
      <c r="AD51" s="30">
        <f t="shared" si="26"/>
        <v>0</v>
      </c>
      <c r="AE51" s="9"/>
      <c r="AF51" s="30">
        <f t="shared" si="27"/>
        <v>0</v>
      </c>
      <c r="AG51" s="9"/>
      <c r="AH51" s="30">
        <f t="shared" si="33"/>
        <v>0</v>
      </c>
      <c r="AI51" s="9"/>
      <c r="AJ51" s="30">
        <f t="shared" si="34"/>
        <v>0</v>
      </c>
      <c r="AK51" s="9"/>
      <c r="AL51" s="30">
        <f t="shared" si="35"/>
        <v>0</v>
      </c>
      <c r="AM51" s="10">
        <f>7147/100</f>
        <v>71.47</v>
      </c>
      <c r="AN51" s="31">
        <v>5003</v>
      </c>
      <c r="AO51" s="15">
        <f t="shared" si="11"/>
        <v>5003</v>
      </c>
      <c r="AP51" s="9">
        <f t="shared" si="18"/>
        <v>0</v>
      </c>
      <c r="AQ51" s="28">
        <f t="shared" si="13"/>
        <v>71.47</v>
      </c>
      <c r="AR51" s="8">
        <f t="shared" si="19"/>
        <v>0</v>
      </c>
      <c r="AS51" s="29">
        <f t="shared" si="4"/>
        <v>5002.8999999999996</v>
      </c>
      <c r="AT51" s="13">
        <f t="shared" si="20"/>
        <v>0.1000000000003638</v>
      </c>
      <c r="AU51" s="2" t="str">
        <f t="shared" si="5"/>
        <v>erreur de calcul</v>
      </c>
      <c r="AV51" s="2"/>
    </row>
    <row r="52" spans="1:48" ht="16.5">
      <c r="A52" s="1" t="s">
        <v>12</v>
      </c>
      <c r="B52" s="3" t="s">
        <v>29</v>
      </c>
      <c r="C52" s="3" t="s">
        <v>219</v>
      </c>
      <c r="D52" s="4">
        <v>1789</v>
      </c>
      <c r="E52" s="3" t="s">
        <v>22</v>
      </c>
      <c r="F52" s="3" t="s">
        <v>22</v>
      </c>
      <c r="G52" s="31">
        <v>20</v>
      </c>
      <c r="H52" s="31" t="s">
        <v>94</v>
      </c>
      <c r="I52" s="5">
        <v>80</v>
      </c>
      <c r="J52" s="5"/>
      <c r="K52" s="6"/>
      <c r="L52" s="11">
        <f t="shared" si="17"/>
        <v>80</v>
      </c>
      <c r="M52" s="7" t="s">
        <v>14</v>
      </c>
      <c r="N52" s="31"/>
      <c r="O52" s="9"/>
      <c r="P52" s="9" t="str">
        <f t="shared" si="7"/>
        <v/>
      </c>
      <c r="Q52" s="9"/>
      <c r="R52" s="30">
        <f t="shared" si="25"/>
        <v>0</v>
      </c>
      <c r="S52" s="9"/>
      <c r="T52" s="30">
        <f t="shared" si="8"/>
        <v>0</v>
      </c>
      <c r="U52" s="9">
        <f>1797/100</f>
        <v>17.97</v>
      </c>
      <c r="V52" s="30">
        <v>1437</v>
      </c>
      <c r="W52" s="9">
        <f>15032/100</f>
        <v>150.32</v>
      </c>
      <c r="X52" s="30">
        <v>12026</v>
      </c>
      <c r="Y52" s="9">
        <f>212/100</f>
        <v>2.12</v>
      </c>
      <c r="Z52" s="30">
        <v>170</v>
      </c>
      <c r="AA52" s="9"/>
      <c r="AB52" s="30">
        <f t="shared" si="32"/>
        <v>0</v>
      </c>
      <c r="AC52" s="9"/>
      <c r="AD52" s="30">
        <f t="shared" si="26"/>
        <v>0</v>
      </c>
      <c r="AE52" s="9"/>
      <c r="AF52" s="30">
        <f t="shared" si="27"/>
        <v>0</v>
      </c>
      <c r="AG52" s="9"/>
      <c r="AH52" s="30">
        <f t="shared" si="33"/>
        <v>0</v>
      </c>
      <c r="AI52" s="9"/>
      <c r="AJ52" s="30">
        <f t="shared" si="34"/>
        <v>0</v>
      </c>
      <c r="AK52" s="9"/>
      <c r="AL52" s="30">
        <f t="shared" si="35"/>
        <v>0</v>
      </c>
      <c r="AM52" s="10">
        <f>17041/100</f>
        <v>170.41</v>
      </c>
      <c r="AN52" s="31">
        <v>13633</v>
      </c>
      <c r="AO52" s="15">
        <f t="shared" si="11"/>
        <v>13633</v>
      </c>
      <c r="AP52" s="9">
        <f t="shared" si="18"/>
        <v>0</v>
      </c>
      <c r="AQ52" s="28">
        <f t="shared" si="13"/>
        <v>170.41</v>
      </c>
      <c r="AR52" s="8">
        <f t="shared" si="19"/>
        <v>0</v>
      </c>
      <c r="AS52" s="29">
        <f t="shared" si="4"/>
        <v>13632.8</v>
      </c>
      <c r="AT52" s="13">
        <f t="shared" si="20"/>
        <v>0.2000000000007276</v>
      </c>
      <c r="AU52" s="2" t="str">
        <f t="shared" si="5"/>
        <v>erreur de calcul</v>
      </c>
      <c r="AV52" s="2"/>
    </row>
    <row r="53" spans="1:48" ht="16.5">
      <c r="A53" s="1" t="s">
        <v>12</v>
      </c>
      <c r="B53" s="3" t="s">
        <v>29</v>
      </c>
      <c r="C53" s="3" t="s">
        <v>219</v>
      </c>
      <c r="D53" s="4">
        <v>1789</v>
      </c>
      <c r="E53" s="3" t="s">
        <v>22</v>
      </c>
      <c r="F53" s="3" t="s">
        <v>22</v>
      </c>
      <c r="G53" s="31">
        <v>20</v>
      </c>
      <c r="H53" s="31" t="s">
        <v>95</v>
      </c>
      <c r="I53" s="5">
        <v>9</v>
      </c>
      <c r="J53" s="5"/>
      <c r="K53" s="6"/>
      <c r="L53" s="11">
        <f t="shared" si="17"/>
        <v>9</v>
      </c>
      <c r="M53" s="7" t="s">
        <v>15</v>
      </c>
      <c r="N53" s="31"/>
      <c r="O53" s="9"/>
      <c r="P53" s="9" t="str">
        <f t="shared" si="7"/>
        <v/>
      </c>
      <c r="Q53" s="9"/>
      <c r="R53" s="30">
        <f t="shared" si="25"/>
        <v>0</v>
      </c>
      <c r="S53" s="9"/>
      <c r="T53" s="30">
        <f t="shared" si="8"/>
        <v>0</v>
      </c>
      <c r="U53" s="9">
        <v>297</v>
      </c>
      <c r="V53" s="30">
        <v>2673</v>
      </c>
      <c r="W53" s="9">
        <v>605</v>
      </c>
      <c r="X53" s="30">
        <v>5445</v>
      </c>
      <c r="Y53" s="9">
        <v>100</v>
      </c>
      <c r="Z53" s="30">
        <v>900</v>
      </c>
      <c r="AA53" s="9"/>
      <c r="AB53" s="30">
        <f t="shared" si="32"/>
        <v>0</v>
      </c>
      <c r="AC53" s="9"/>
      <c r="AD53" s="30">
        <f t="shared" si="26"/>
        <v>0</v>
      </c>
      <c r="AE53" s="9">
        <v>45</v>
      </c>
      <c r="AF53" s="30">
        <v>405</v>
      </c>
      <c r="AG53" s="9"/>
      <c r="AH53" s="30">
        <f t="shared" si="33"/>
        <v>0</v>
      </c>
      <c r="AI53" s="9"/>
      <c r="AJ53" s="30">
        <f t="shared" si="34"/>
        <v>0</v>
      </c>
      <c r="AK53" s="9"/>
      <c r="AL53" s="30">
        <f t="shared" si="35"/>
        <v>0</v>
      </c>
      <c r="AM53" s="10">
        <v>1047</v>
      </c>
      <c r="AN53" s="31">
        <v>9423</v>
      </c>
      <c r="AO53" s="15">
        <f t="shared" si="11"/>
        <v>9423</v>
      </c>
      <c r="AP53" s="9">
        <f t="shared" si="18"/>
        <v>0</v>
      </c>
      <c r="AQ53" s="28">
        <f t="shared" si="13"/>
        <v>1047</v>
      </c>
      <c r="AR53" s="8">
        <f t="shared" si="19"/>
        <v>0</v>
      </c>
      <c r="AS53" s="29">
        <f t="shared" si="4"/>
        <v>9423</v>
      </c>
      <c r="AT53" s="13">
        <f t="shared" si="20"/>
        <v>0</v>
      </c>
      <c r="AU53" s="2" t="str">
        <f t="shared" si="5"/>
        <v/>
      </c>
      <c r="AV53" s="2"/>
    </row>
    <row r="54" spans="1:48" ht="16.5">
      <c r="A54" s="1" t="s">
        <v>12</v>
      </c>
      <c r="B54" s="3" t="s">
        <v>29</v>
      </c>
      <c r="C54" s="3" t="s">
        <v>219</v>
      </c>
      <c r="D54" s="4">
        <v>1789</v>
      </c>
      <c r="E54" s="3" t="s">
        <v>22</v>
      </c>
      <c r="F54" s="3" t="s">
        <v>22</v>
      </c>
      <c r="G54" s="31">
        <v>20</v>
      </c>
      <c r="H54" s="31" t="s">
        <v>96</v>
      </c>
      <c r="I54" s="5">
        <v>50</v>
      </c>
      <c r="J54" s="5"/>
      <c r="K54" s="6"/>
      <c r="L54" s="11">
        <f t="shared" si="17"/>
        <v>50</v>
      </c>
      <c r="M54" s="7" t="s">
        <v>14</v>
      </c>
      <c r="N54" s="31"/>
      <c r="O54" s="9"/>
      <c r="P54" s="9" t="str">
        <f t="shared" si="7"/>
        <v/>
      </c>
      <c r="Q54" s="9"/>
      <c r="R54" s="30">
        <f t="shared" si="25"/>
        <v>0</v>
      </c>
      <c r="S54" s="9"/>
      <c r="T54" s="30">
        <f t="shared" si="8"/>
        <v>0</v>
      </c>
      <c r="U54" s="9">
        <f>4000/100</f>
        <v>40</v>
      </c>
      <c r="V54" s="30">
        <v>2000</v>
      </c>
      <c r="W54" s="9">
        <f>11975/100</f>
        <v>119.75</v>
      </c>
      <c r="X54" s="30">
        <v>5987</v>
      </c>
      <c r="Y54" s="9"/>
      <c r="Z54" s="30">
        <f>Y54*$L54</f>
        <v>0</v>
      </c>
      <c r="AA54" s="9"/>
      <c r="AB54" s="30">
        <f t="shared" si="32"/>
        <v>0</v>
      </c>
      <c r="AC54" s="9"/>
      <c r="AD54" s="30">
        <f t="shared" si="26"/>
        <v>0</v>
      </c>
      <c r="AE54" s="9"/>
      <c r="AF54" s="30">
        <f t="shared" ref="AF54:AF59" si="36">AE54*$L54</f>
        <v>0</v>
      </c>
      <c r="AG54" s="9"/>
      <c r="AH54" s="30">
        <f t="shared" si="33"/>
        <v>0</v>
      </c>
      <c r="AI54" s="9"/>
      <c r="AJ54" s="30">
        <f t="shared" si="34"/>
        <v>0</v>
      </c>
      <c r="AK54" s="9"/>
      <c r="AL54" s="30">
        <f t="shared" si="35"/>
        <v>0</v>
      </c>
      <c r="AM54" s="10">
        <f>15975/100</f>
        <v>159.75</v>
      </c>
      <c r="AN54" s="31">
        <v>7987</v>
      </c>
      <c r="AO54" s="15">
        <f t="shared" si="11"/>
        <v>7987</v>
      </c>
      <c r="AP54" s="9">
        <f t="shared" si="18"/>
        <v>0</v>
      </c>
      <c r="AQ54" s="28">
        <f t="shared" si="13"/>
        <v>159.75</v>
      </c>
      <c r="AR54" s="8">
        <f t="shared" si="19"/>
        <v>0</v>
      </c>
      <c r="AS54" s="29">
        <f t="shared" si="4"/>
        <v>7987.5</v>
      </c>
      <c r="AT54" s="13">
        <f t="shared" si="20"/>
        <v>-0.5</v>
      </c>
      <c r="AU54" s="2" t="str">
        <f t="shared" si="5"/>
        <v>erreur de calcul</v>
      </c>
      <c r="AV54" s="2"/>
    </row>
    <row r="55" spans="1:48" ht="16.5">
      <c r="A55" s="1" t="s">
        <v>12</v>
      </c>
      <c r="B55" s="3" t="s">
        <v>29</v>
      </c>
      <c r="C55" s="3" t="s">
        <v>219</v>
      </c>
      <c r="D55" s="4">
        <v>1789</v>
      </c>
      <c r="E55" s="3" t="s">
        <v>22</v>
      </c>
      <c r="F55" s="3" t="s">
        <v>22</v>
      </c>
      <c r="G55" s="31">
        <v>20</v>
      </c>
      <c r="H55" s="31" t="s">
        <v>97</v>
      </c>
      <c r="I55" s="5"/>
      <c r="J55" s="5">
        <v>30</v>
      </c>
      <c r="K55" s="6"/>
      <c r="L55" s="11">
        <f t="shared" si="17"/>
        <v>1.5</v>
      </c>
      <c r="M55" s="7" t="s">
        <v>41</v>
      </c>
      <c r="N55" s="31"/>
      <c r="O55" s="9"/>
      <c r="P55" s="9" t="str">
        <f t="shared" si="7"/>
        <v/>
      </c>
      <c r="Q55" s="9"/>
      <c r="R55" s="30">
        <f t="shared" si="25"/>
        <v>0</v>
      </c>
      <c r="S55" s="9"/>
      <c r="T55" s="30">
        <f t="shared" si="8"/>
        <v>0</v>
      </c>
      <c r="U55" s="9">
        <v>8200</v>
      </c>
      <c r="V55" s="30">
        <v>12300</v>
      </c>
      <c r="W55" s="9"/>
      <c r="X55" s="30">
        <f>W55*$L55</f>
        <v>0</v>
      </c>
      <c r="Y55" s="9">
        <v>500</v>
      </c>
      <c r="Z55" s="30">
        <v>750</v>
      </c>
      <c r="AA55" s="9"/>
      <c r="AB55" s="30">
        <f t="shared" si="32"/>
        <v>0</v>
      </c>
      <c r="AC55" s="9"/>
      <c r="AD55" s="30">
        <f t="shared" si="26"/>
        <v>0</v>
      </c>
      <c r="AE55" s="9"/>
      <c r="AF55" s="30">
        <f t="shared" si="36"/>
        <v>0</v>
      </c>
      <c r="AG55" s="9"/>
      <c r="AH55" s="30">
        <f t="shared" si="33"/>
        <v>0</v>
      </c>
      <c r="AI55" s="9"/>
      <c r="AJ55" s="30">
        <f t="shared" si="34"/>
        <v>0</v>
      </c>
      <c r="AK55" s="9"/>
      <c r="AL55" s="30">
        <f t="shared" si="35"/>
        <v>0</v>
      </c>
      <c r="AM55" s="10">
        <v>8700</v>
      </c>
      <c r="AN55" s="31">
        <v>13050</v>
      </c>
      <c r="AO55" s="15">
        <f t="shared" si="11"/>
        <v>13050</v>
      </c>
      <c r="AP55" s="9">
        <f t="shared" si="18"/>
        <v>0</v>
      </c>
      <c r="AQ55" s="28">
        <f t="shared" si="13"/>
        <v>8700</v>
      </c>
      <c r="AR55" s="8">
        <f t="shared" si="19"/>
        <v>0</v>
      </c>
      <c r="AS55" s="29">
        <f t="shared" si="4"/>
        <v>13050</v>
      </c>
      <c r="AT55" s="13">
        <f t="shared" si="20"/>
        <v>0</v>
      </c>
      <c r="AU55" s="2" t="str">
        <f t="shared" si="5"/>
        <v/>
      </c>
      <c r="AV55" s="2"/>
    </row>
    <row r="56" spans="1:48" ht="16.5">
      <c r="A56" s="1" t="s">
        <v>12</v>
      </c>
      <c r="B56" s="3" t="s">
        <v>29</v>
      </c>
      <c r="C56" s="3" t="s">
        <v>219</v>
      </c>
      <c r="D56" s="4">
        <v>1789</v>
      </c>
      <c r="E56" s="3" t="s">
        <v>22</v>
      </c>
      <c r="F56" s="3" t="s">
        <v>22</v>
      </c>
      <c r="G56" s="31">
        <v>20</v>
      </c>
      <c r="H56" s="31" t="s">
        <v>98</v>
      </c>
      <c r="I56" s="5">
        <v>15</v>
      </c>
      <c r="J56" s="5"/>
      <c r="K56" s="6"/>
      <c r="L56" s="11">
        <f t="shared" si="17"/>
        <v>15</v>
      </c>
      <c r="M56" s="7" t="s">
        <v>276</v>
      </c>
      <c r="N56" s="31"/>
      <c r="O56" s="9"/>
      <c r="P56" s="9" t="str">
        <f t="shared" si="7"/>
        <v/>
      </c>
      <c r="Q56" s="9"/>
      <c r="R56" s="30">
        <f t="shared" si="25"/>
        <v>0</v>
      </c>
      <c r="S56" s="9"/>
      <c r="T56" s="30">
        <f t="shared" si="8"/>
        <v>0</v>
      </c>
      <c r="U56" s="9">
        <f>1510/100</f>
        <v>15.1</v>
      </c>
      <c r="V56" s="30">
        <v>226</v>
      </c>
      <c r="W56" s="9"/>
      <c r="X56" s="30">
        <f>W56*$L56</f>
        <v>0</v>
      </c>
      <c r="Y56" s="9"/>
      <c r="Z56" s="30">
        <f>Y56*$L56</f>
        <v>0</v>
      </c>
      <c r="AA56" s="9"/>
      <c r="AB56" s="30">
        <f t="shared" si="32"/>
        <v>0</v>
      </c>
      <c r="AC56" s="9"/>
      <c r="AD56" s="30">
        <f t="shared" si="26"/>
        <v>0</v>
      </c>
      <c r="AE56" s="9"/>
      <c r="AF56" s="30">
        <f t="shared" si="36"/>
        <v>0</v>
      </c>
      <c r="AG56" s="9"/>
      <c r="AH56" s="30">
        <f t="shared" si="33"/>
        <v>0</v>
      </c>
      <c r="AI56" s="9"/>
      <c r="AJ56" s="30">
        <f t="shared" si="34"/>
        <v>0</v>
      </c>
      <c r="AK56" s="9"/>
      <c r="AL56" s="30">
        <f t="shared" si="35"/>
        <v>0</v>
      </c>
      <c r="AM56" s="10">
        <f>1510/100</f>
        <v>15.1</v>
      </c>
      <c r="AN56" s="31">
        <v>226</v>
      </c>
      <c r="AO56" s="15">
        <f t="shared" si="11"/>
        <v>226</v>
      </c>
      <c r="AP56" s="9">
        <f t="shared" si="18"/>
        <v>0</v>
      </c>
      <c r="AQ56" s="28">
        <f t="shared" si="13"/>
        <v>15.1</v>
      </c>
      <c r="AR56" s="8">
        <f t="shared" si="19"/>
        <v>0</v>
      </c>
      <c r="AS56" s="29">
        <f t="shared" si="4"/>
        <v>226.5</v>
      </c>
      <c r="AT56" s="13">
        <f t="shared" si="20"/>
        <v>-0.5</v>
      </c>
      <c r="AU56" s="2" t="str">
        <f t="shared" si="5"/>
        <v>erreur de calcul</v>
      </c>
      <c r="AV56" s="2"/>
    </row>
    <row r="57" spans="1:48" ht="16.5">
      <c r="A57" s="1" t="s">
        <v>12</v>
      </c>
      <c r="B57" s="3" t="s">
        <v>29</v>
      </c>
      <c r="C57" s="3" t="s">
        <v>219</v>
      </c>
      <c r="D57" s="4">
        <v>1789</v>
      </c>
      <c r="E57" s="3" t="s">
        <v>22</v>
      </c>
      <c r="F57" s="3" t="s">
        <v>22</v>
      </c>
      <c r="G57" s="31">
        <v>20</v>
      </c>
      <c r="H57" s="31" t="s">
        <v>99</v>
      </c>
      <c r="I57" s="5">
        <v>6</v>
      </c>
      <c r="J57" s="5"/>
      <c r="K57" s="6"/>
      <c r="L57" s="11">
        <f t="shared" si="17"/>
        <v>6</v>
      </c>
      <c r="M57" s="7" t="s">
        <v>15</v>
      </c>
      <c r="N57" s="31"/>
      <c r="O57" s="9"/>
      <c r="P57" s="9" t="str">
        <f t="shared" si="7"/>
        <v/>
      </c>
      <c r="Q57" s="9"/>
      <c r="R57" s="30">
        <f t="shared" si="25"/>
        <v>0</v>
      </c>
      <c r="S57" s="9"/>
      <c r="T57" s="30">
        <f t="shared" si="8"/>
        <v>0</v>
      </c>
      <c r="U57" s="9">
        <v>186</v>
      </c>
      <c r="V57" s="30">
        <v>1116</v>
      </c>
      <c r="W57" s="9">
        <v>62</v>
      </c>
      <c r="X57" s="30">
        <v>372</v>
      </c>
      <c r="Y57" s="9">
        <v>40</v>
      </c>
      <c r="Z57" s="30">
        <v>240</v>
      </c>
      <c r="AA57" s="9">
        <v>58</v>
      </c>
      <c r="AB57" s="30">
        <v>348</v>
      </c>
      <c r="AC57" s="9"/>
      <c r="AD57" s="30">
        <f t="shared" si="26"/>
        <v>0</v>
      </c>
      <c r="AE57" s="9"/>
      <c r="AF57" s="30">
        <f t="shared" si="36"/>
        <v>0</v>
      </c>
      <c r="AG57" s="9"/>
      <c r="AH57" s="30">
        <f t="shared" si="33"/>
        <v>0</v>
      </c>
      <c r="AI57" s="9"/>
      <c r="AJ57" s="30">
        <f t="shared" si="34"/>
        <v>0</v>
      </c>
      <c r="AK57" s="9"/>
      <c r="AL57" s="30">
        <f t="shared" si="35"/>
        <v>0</v>
      </c>
      <c r="AM57" s="10">
        <v>346</v>
      </c>
      <c r="AN57" s="31">
        <v>2076</v>
      </c>
      <c r="AO57" s="15">
        <f t="shared" si="11"/>
        <v>2076</v>
      </c>
      <c r="AP57" s="9">
        <f t="shared" si="18"/>
        <v>0</v>
      </c>
      <c r="AQ57" s="28">
        <f t="shared" si="13"/>
        <v>346</v>
      </c>
      <c r="AR57" s="8">
        <f t="shared" si="19"/>
        <v>0</v>
      </c>
      <c r="AS57" s="29">
        <f t="shared" si="4"/>
        <v>2076</v>
      </c>
      <c r="AT57" s="13">
        <f t="shared" si="20"/>
        <v>0</v>
      </c>
      <c r="AU57" s="2" t="str">
        <f t="shared" si="5"/>
        <v/>
      </c>
      <c r="AV57" s="2"/>
    </row>
    <row r="58" spans="1:48" ht="16.5">
      <c r="A58" s="1" t="s">
        <v>12</v>
      </c>
      <c r="B58" s="3" t="s">
        <v>29</v>
      </c>
      <c r="C58" s="3" t="s">
        <v>219</v>
      </c>
      <c r="D58" s="4">
        <v>1789</v>
      </c>
      <c r="E58" s="3" t="s">
        <v>22</v>
      </c>
      <c r="F58" s="3" t="s">
        <v>22</v>
      </c>
      <c r="G58" s="31">
        <v>20</v>
      </c>
      <c r="H58" s="31" t="s">
        <v>100</v>
      </c>
      <c r="I58" s="5">
        <v>75</v>
      </c>
      <c r="J58" s="5"/>
      <c r="K58" s="6"/>
      <c r="L58" s="11">
        <f t="shared" si="17"/>
        <v>75</v>
      </c>
      <c r="M58" s="7" t="s">
        <v>14</v>
      </c>
      <c r="N58" s="31"/>
      <c r="O58" s="9"/>
      <c r="P58" s="9" t="str">
        <f t="shared" si="7"/>
        <v/>
      </c>
      <c r="Q58" s="9"/>
      <c r="R58" s="30">
        <f t="shared" si="25"/>
        <v>0</v>
      </c>
      <c r="S58" s="9"/>
      <c r="T58" s="30">
        <f t="shared" si="8"/>
        <v>0</v>
      </c>
      <c r="U58" s="9"/>
      <c r="V58" s="30">
        <f>U58*$L58</f>
        <v>0</v>
      </c>
      <c r="W58" s="9">
        <f>5640/100</f>
        <v>56.4</v>
      </c>
      <c r="X58" s="30">
        <v>4230</v>
      </c>
      <c r="Y58" s="9">
        <f>20900/100</f>
        <v>209</v>
      </c>
      <c r="Z58" s="30">
        <v>15675</v>
      </c>
      <c r="AA58" s="9"/>
      <c r="AB58" s="30">
        <f>AA58*$L58</f>
        <v>0</v>
      </c>
      <c r="AC58" s="9"/>
      <c r="AD58" s="30">
        <f t="shared" si="26"/>
        <v>0</v>
      </c>
      <c r="AE58" s="9"/>
      <c r="AF58" s="30">
        <f t="shared" si="36"/>
        <v>0</v>
      </c>
      <c r="AG58" s="9"/>
      <c r="AH58" s="30">
        <f t="shared" si="33"/>
        <v>0</v>
      </c>
      <c r="AI58" s="9">
        <f>24410/100</f>
        <v>244.1</v>
      </c>
      <c r="AJ58" s="30">
        <v>18307</v>
      </c>
      <c r="AK58" s="9"/>
      <c r="AL58" s="30">
        <f t="shared" si="35"/>
        <v>0</v>
      </c>
      <c r="AM58" s="10">
        <f>50950/100</f>
        <v>509.5</v>
      </c>
      <c r="AN58" s="31">
        <v>38212</v>
      </c>
      <c r="AO58" s="15">
        <f t="shared" si="11"/>
        <v>38212</v>
      </c>
      <c r="AP58" s="9">
        <f t="shared" si="18"/>
        <v>0</v>
      </c>
      <c r="AQ58" s="28">
        <f t="shared" si="13"/>
        <v>509.5</v>
      </c>
      <c r="AR58" s="8">
        <f t="shared" si="19"/>
        <v>0</v>
      </c>
      <c r="AS58" s="29">
        <f t="shared" si="4"/>
        <v>38212.5</v>
      </c>
      <c r="AT58" s="13">
        <f t="shared" si="20"/>
        <v>-0.5</v>
      </c>
      <c r="AU58" s="2" t="str">
        <f t="shared" si="5"/>
        <v>erreur de calcul</v>
      </c>
      <c r="AV58" s="2"/>
    </row>
    <row r="59" spans="1:48" ht="16.5">
      <c r="A59" s="1" t="s">
        <v>12</v>
      </c>
      <c r="B59" s="3" t="s">
        <v>29</v>
      </c>
      <c r="C59" s="3" t="s">
        <v>219</v>
      </c>
      <c r="D59" s="4">
        <v>1789</v>
      </c>
      <c r="E59" s="3" t="s">
        <v>22</v>
      </c>
      <c r="F59" s="3" t="s">
        <v>22</v>
      </c>
      <c r="G59" s="31">
        <v>20</v>
      </c>
      <c r="H59" s="31" t="s">
        <v>101</v>
      </c>
      <c r="I59" s="5"/>
      <c r="J59" s="5"/>
      <c r="K59" s="6"/>
      <c r="L59" s="11">
        <f t="shared" si="17"/>
        <v>0</v>
      </c>
      <c r="M59" s="7"/>
      <c r="N59" s="31"/>
      <c r="O59" s="9"/>
      <c r="P59" s="9" t="str">
        <f t="shared" si="7"/>
        <v/>
      </c>
      <c r="Q59" s="9"/>
      <c r="R59" s="30">
        <f t="shared" si="25"/>
        <v>0</v>
      </c>
      <c r="S59" s="9"/>
      <c r="T59" s="30">
        <f t="shared" si="8"/>
        <v>0</v>
      </c>
      <c r="U59" s="9"/>
      <c r="V59" s="30">
        <v>16754</v>
      </c>
      <c r="W59" s="9"/>
      <c r="X59" s="30">
        <f>W59*$L59</f>
        <v>0</v>
      </c>
      <c r="Y59" s="9"/>
      <c r="Z59" s="30">
        <f>Y59*$L59</f>
        <v>0</v>
      </c>
      <c r="AA59" s="9"/>
      <c r="AB59" s="30">
        <v>600</v>
      </c>
      <c r="AC59" s="9"/>
      <c r="AD59" s="30">
        <f t="shared" si="26"/>
        <v>0</v>
      </c>
      <c r="AE59" s="9"/>
      <c r="AF59" s="30">
        <f t="shared" si="36"/>
        <v>0</v>
      </c>
      <c r="AG59" s="9"/>
      <c r="AH59" s="30">
        <f t="shared" si="33"/>
        <v>0</v>
      </c>
      <c r="AI59" s="9"/>
      <c r="AJ59" s="30">
        <f t="shared" ref="AJ59:AJ67" si="37">AI59*$L59</f>
        <v>0</v>
      </c>
      <c r="AK59" s="9"/>
      <c r="AL59" s="30">
        <f t="shared" si="35"/>
        <v>0</v>
      </c>
      <c r="AM59" s="10"/>
      <c r="AN59" s="31">
        <v>17354</v>
      </c>
      <c r="AO59" s="15">
        <f t="shared" si="11"/>
        <v>17354</v>
      </c>
      <c r="AP59" s="9">
        <f t="shared" si="18"/>
        <v>0</v>
      </c>
      <c r="AQ59" s="28">
        <f t="shared" si="13"/>
        <v>0</v>
      </c>
      <c r="AR59" s="8">
        <f t="shared" si="19"/>
        <v>0</v>
      </c>
      <c r="AS59" s="29">
        <f t="shared" si="4"/>
        <v>0</v>
      </c>
      <c r="AT59" s="13">
        <f t="shared" si="20"/>
        <v>17354</v>
      </c>
      <c r="AU59" s="2" t="str">
        <f t="shared" si="5"/>
        <v>pas de prix, ni de quantité</v>
      </c>
      <c r="AV59" s="2"/>
    </row>
    <row r="60" spans="1:48" ht="16.5">
      <c r="A60" s="1" t="s">
        <v>12</v>
      </c>
      <c r="B60" s="3" t="s">
        <v>29</v>
      </c>
      <c r="C60" s="3" t="s">
        <v>219</v>
      </c>
      <c r="D60" s="4">
        <v>1789</v>
      </c>
      <c r="E60" s="3" t="s">
        <v>22</v>
      </c>
      <c r="F60" s="3" t="s">
        <v>22</v>
      </c>
      <c r="G60" s="31">
        <v>20</v>
      </c>
      <c r="H60" s="31" t="s">
        <v>102</v>
      </c>
      <c r="I60" s="5">
        <v>21</v>
      </c>
      <c r="J60" s="5"/>
      <c r="K60" s="6"/>
      <c r="L60" s="11">
        <f t="shared" si="17"/>
        <v>21</v>
      </c>
      <c r="M60" s="7" t="s">
        <v>41</v>
      </c>
      <c r="N60" s="31"/>
      <c r="O60" s="9"/>
      <c r="P60" s="9" t="str">
        <f t="shared" si="7"/>
        <v/>
      </c>
      <c r="Q60" s="9">
        <v>2738</v>
      </c>
      <c r="R60" s="30">
        <v>57498</v>
      </c>
      <c r="S60" s="9"/>
      <c r="T60" s="30">
        <f t="shared" si="8"/>
        <v>0</v>
      </c>
      <c r="U60" s="9">
        <v>10</v>
      </c>
      <c r="V60" s="30">
        <v>210</v>
      </c>
      <c r="W60" s="9">
        <v>50</v>
      </c>
      <c r="X60" s="30">
        <v>1050</v>
      </c>
      <c r="Y60" s="9">
        <v>12</v>
      </c>
      <c r="Z60" s="30">
        <v>252</v>
      </c>
      <c r="AA60" s="9"/>
      <c r="AB60" s="30">
        <f t="shared" ref="AB60:AB67" si="38">AA60*$L60</f>
        <v>0</v>
      </c>
      <c r="AC60" s="9"/>
      <c r="AD60" s="30">
        <f t="shared" si="26"/>
        <v>0</v>
      </c>
      <c r="AE60" s="9">
        <v>200</v>
      </c>
      <c r="AF60" s="30">
        <v>4200</v>
      </c>
      <c r="AG60" s="9"/>
      <c r="AH60" s="30">
        <f t="shared" si="33"/>
        <v>0</v>
      </c>
      <c r="AI60" s="9"/>
      <c r="AJ60" s="30">
        <f t="shared" si="37"/>
        <v>0</v>
      </c>
      <c r="AK60" s="9"/>
      <c r="AL60" s="30">
        <f t="shared" si="35"/>
        <v>0</v>
      </c>
      <c r="AM60" s="10">
        <v>3010</v>
      </c>
      <c r="AN60" s="31">
        <v>63210</v>
      </c>
      <c r="AO60" s="15">
        <f t="shared" si="11"/>
        <v>63210</v>
      </c>
      <c r="AP60" s="9">
        <f t="shared" si="18"/>
        <v>0</v>
      </c>
      <c r="AQ60" s="28">
        <f t="shared" si="13"/>
        <v>3010</v>
      </c>
      <c r="AR60" s="8">
        <f t="shared" si="19"/>
        <v>0</v>
      </c>
      <c r="AS60" s="29">
        <f t="shared" si="4"/>
        <v>63210</v>
      </c>
      <c r="AT60" s="13">
        <f t="shared" si="20"/>
        <v>0</v>
      </c>
      <c r="AU60" s="2" t="str">
        <f t="shared" si="5"/>
        <v/>
      </c>
      <c r="AV60" s="2"/>
    </row>
    <row r="61" spans="1:48" ht="16.5">
      <c r="A61" s="1" t="s">
        <v>12</v>
      </c>
      <c r="B61" s="3" t="s">
        <v>29</v>
      </c>
      <c r="C61" s="3" t="s">
        <v>219</v>
      </c>
      <c r="D61" s="4">
        <v>1789</v>
      </c>
      <c r="E61" s="3" t="s">
        <v>22</v>
      </c>
      <c r="F61" s="3" t="s">
        <v>22</v>
      </c>
      <c r="G61" s="31">
        <v>20</v>
      </c>
      <c r="H61" s="31" t="s">
        <v>103</v>
      </c>
      <c r="I61" s="5">
        <v>20</v>
      </c>
      <c r="J61" s="5"/>
      <c r="K61" s="6"/>
      <c r="L61" s="11">
        <f t="shared" si="17"/>
        <v>20</v>
      </c>
      <c r="M61" s="7" t="s">
        <v>41</v>
      </c>
      <c r="N61" s="31"/>
      <c r="O61" s="9"/>
      <c r="P61" s="9" t="str">
        <f t="shared" si="7"/>
        <v/>
      </c>
      <c r="Q61" s="9">
        <v>2964</v>
      </c>
      <c r="R61" s="30">
        <v>59280</v>
      </c>
      <c r="S61" s="9"/>
      <c r="T61" s="30">
        <f t="shared" si="8"/>
        <v>0</v>
      </c>
      <c r="U61" s="9"/>
      <c r="V61" s="30">
        <f>U61*$L61</f>
        <v>0</v>
      </c>
      <c r="W61" s="9">
        <v>75</v>
      </c>
      <c r="X61" s="30">
        <v>1500</v>
      </c>
      <c r="Y61" s="9">
        <v>169</v>
      </c>
      <c r="Z61" s="30">
        <v>3380</v>
      </c>
      <c r="AA61" s="9"/>
      <c r="AB61" s="30">
        <f t="shared" si="38"/>
        <v>0</v>
      </c>
      <c r="AC61" s="9"/>
      <c r="AD61" s="30">
        <f t="shared" si="26"/>
        <v>0</v>
      </c>
      <c r="AE61" s="9">
        <v>100</v>
      </c>
      <c r="AF61" s="30">
        <v>2000</v>
      </c>
      <c r="AG61" s="9"/>
      <c r="AH61" s="30">
        <f t="shared" si="33"/>
        <v>0</v>
      </c>
      <c r="AI61" s="9"/>
      <c r="AJ61" s="30">
        <f t="shared" si="37"/>
        <v>0</v>
      </c>
      <c r="AK61" s="9">
        <v>300</v>
      </c>
      <c r="AL61" s="30">
        <v>6000</v>
      </c>
      <c r="AM61" s="10">
        <v>3608</v>
      </c>
      <c r="AN61" s="31">
        <v>72160</v>
      </c>
      <c r="AO61" s="15">
        <f t="shared" si="11"/>
        <v>72160</v>
      </c>
      <c r="AP61" s="9">
        <f t="shared" si="18"/>
        <v>0</v>
      </c>
      <c r="AQ61" s="28">
        <f t="shared" si="13"/>
        <v>3608</v>
      </c>
      <c r="AR61" s="8">
        <f t="shared" si="19"/>
        <v>0</v>
      </c>
      <c r="AS61" s="29">
        <f t="shared" si="4"/>
        <v>72160</v>
      </c>
      <c r="AT61" s="13">
        <f t="shared" si="20"/>
        <v>0</v>
      </c>
      <c r="AU61" s="2" t="str">
        <f t="shared" si="5"/>
        <v/>
      </c>
      <c r="AV61" s="2"/>
    </row>
    <row r="62" spans="1:48" ht="16.5">
      <c r="A62" s="1" t="s">
        <v>12</v>
      </c>
      <c r="B62" s="3" t="s">
        <v>29</v>
      </c>
      <c r="C62" s="3" t="s">
        <v>219</v>
      </c>
      <c r="D62" s="4">
        <v>1789</v>
      </c>
      <c r="E62" s="3" t="s">
        <v>22</v>
      </c>
      <c r="F62" s="3" t="s">
        <v>22</v>
      </c>
      <c r="G62" s="31">
        <v>20</v>
      </c>
      <c r="H62" s="31" t="s">
        <v>104</v>
      </c>
      <c r="I62" s="5"/>
      <c r="J62" s="5">
        <v>24</v>
      </c>
      <c r="K62" s="6"/>
      <c r="L62" s="11">
        <f t="shared" si="17"/>
        <v>1.2</v>
      </c>
      <c r="M62" s="7" t="s">
        <v>15</v>
      </c>
      <c r="N62" s="31"/>
      <c r="O62" s="9"/>
      <c r="P62" s="9" t="str">
        <f t="shared" si="7"/>
        <v/>
      </c>
      <c r="Q62" s="9"/>
      <c r="R62" s="30">
        <f>Q62*$L62</f>
        <v>0</v>
      </c>
      <c r="S62" s="9"/>
      <c r="T62" s="30">
        <f t="shared" si="8"/>
        <v>0</v>
      </c>
      <c r="U62" s="9"/>
      <c r="V62" s="30">
        <f>U62*$L62</f>
        <v>0</v>
      </c>
      <c r="W62" s="9">
        <v>1165</v>
      </c>
      <c r="X62" s="32">
        <v>1397</v>
      </c>
      <c r="Y62" s="9"/>
      <c r="Z62" s="30">
        <f>Y62*$L62</f>
        <v>0</v>
      </c>
      <c r="AA62" s="9"/>
      <c r="AB62" s="30">
        <f t="shared" si="38"/>
        <v>0</v>
      </c>
      <c r="AC62" s="9"/>
      <c r="AD62" s="30">
        <f t="shared" si="26"/>
        <v>0</v>
      </c>
      <c r="AE62" s="9"/>
      <c r="AF62" s="30">
        <f>AE62*$L62</f>
        <v>0</v>
      </c>
      <c r="AG62" s="9"/>
      <c r="AH62" s="30">
        <f t="shared" si="33"/>
        <v>0</v>
      </c>
      <c r="AI62" s="9"/>
      <c r="AJ62" s="30">
        <f t="shared" si="37"/>
        <v>0</v>
      </c>
      <c r="AK62" s="9"/>
      <c r="AL62" s="30">
        <f>AK62*$L62</f>
        <v>0</v>
      </c>
      <c r="AM62" s="10">
        <v>1165</v>
      </c>
      <c r="AN62" s="31">
        <v>1397</v>
      </c>
      <c r="AO62" s="15">
        <f t="shared" si="11"/>
        <v>1397</v>
      </c>
      <c r="AP62" s="9">
        <f t="shared" si="18"/>
        <v>0</v>
      </c>
      <c r="AQ62" s="28">
        <f t="shared" si="13"/>
        <v>1165</v>
      </c>
      <c r="AR62" s="8">
        <f t="shared" si="19"/>
        <v>0</v>
      </c>
      <c r="AS62" s="29">
        <f t="shared" si="4"/>
        <v>1398</v>
      </c>
      <c r="AT62" s="13">
        <f t="shared" si="20"/>
        <v>-1</v>
      </c>
      <c r="AU62" s="2" t="str">
        <f t="shared" si="5"/>
        <v>erreur de calcul</v>
      </c>
      <c r="AV62" s="2"/>
    </row>
    <row r="63" spans="1:48" ht="16.5">
      <c r="A63" s="1" t="s">
        <v>12</v>
      </c>
      <c r="B63" s="3" t="s">
        <v>29</v>
      </c>
      <c r="C63" s="3" t="s">
        <v>219</v>
      </c>
      <c r="D63" s="4">
        <v>1789</v>
      </c>
      <c r="E63" s="3" t="s">
        <v>22</v>
      </c>
      <c r="F63" s="3" t="s">
        <v>22</v>
      </c>
      <c r="G63" s="31">
        <v>20</v>
      </c>
      <c r="H63" s="31" t="s">
        <v>105</v>
      </c>
      <c r="I63" s="5">
        <v>160</v>
      </c>
      <c r="J63" s="5"/>
      <c r="K63" s="6"/>
      <c r="L63" s="11">
        <f t="shared" si="17"/>
        <v>160</v>
      </c>
      <c r="M63" s="7" t="s">
        <v>14</v>
      </c>
      <c r="N63" s="31"/>
      <c r="O63" s="9"/>
      <c r="P63" s="9" t="str">
        <f t="shared" si="7"/>
        <v/>
      </c>
      <c r="Q63" s="9"/>
      <c r="R63" s="30">
        <f>Q63*$L63</f>
        <v>0</v>
      </c>
      <c r="S63" s="9"/>
      <c r="T63" s="30">
        <f t="shared" si="8"/>
        <v>0</v>
      </c>
      <c r="U63" s="9">
        <f>40509/100</f>
        <v>405.09</v>
      </c>
      <c r="V63" s="30">
        <v>64814</v>
      </c>
      <c r="W63" s="9">
        <f>1545/100</f>
        <v>15.45</v>
      </c>
      <c r="X63" s="30">
        <v>2472</v>
      </c>
      <c r="Y63" s="9">
        <f>13836/100</f>
        <v>138.36000000000001</v>
      </c>
      <c r="Z63" s="30">
        <v>22137</v>
      </c>
      <c r="AA63" s="9"/>
      <c r="AB63" s="30">
        <f t="shared" si="38"/>
        <v>0</v>
      </c>
      <c r="AC63" s="9"/>
      <c r="AD63" s="30">
        <f t="shared" si="26"/>
        <v>0</v>
      </c>
      <c r="AE63" s="9">
        <f>8157/100</f>
        <v>81.569999999999993</v>
      </c>
      <c r="AF63" s="30">
        <v>13051</v>
      </c>
      <c r="AG63" s="9"/>
      <c r="AH63" s="30">
        <f t="shared" si="33"/>
        <v>0</v>
      </c>
      <c r="AI63" s="9"/>
      <c r="AJ63" s="30">
        <f t="shared" si="37"/>
        <v>0</v>
      </c>
      <c r="AK63" s="9"/>
      <c r="AL63" s="30">
        <f>AK63*$L63</f>
        <v>0</v>
      </c>
      <c r="AM63" s="10">
        <f>64047/100</f>
        <v>640.47</v>
      </c>
      <c r="AN63" s="31">
        <v>102474</v>
      </c>
      <c r="AO63" s="15">
        <f t="shared" si="11"/>
        <v>102474</v>
      </c>
      <c r="AP63" s="9">
        <f t="shared" si="18"/>
        <v>0</v>
      </c>
      <c r="AQ63" s="28">
        <f t="shared" si="13"/>
        <v>640.47</v>
      </c>
      <c r="AR63" s="8">
        <f t="shared" si="19"/>
        <v>0</v>
      </c>
      <c r="AS63" s="29">
        <f t="shared" si="4"/>
        <v>102475.20000000001</v>
      </c>
      <c r="AT63" s="13">
        <f t="shared" si="20"/>
        <v>-1.2000000000116415</v>
      </c>
      <c r="AU63" s="2" t="str">
        <f t="shared" si="5"/>
        <v>erreur de calcul</v>
      </c>
      <c r="AV63" s="2"/>
    </row>
    <row r="64" spans="1:48" ht="16.5">
      <c r="A64" s="1" t="s">
        <v>12</v>
      </c>
      <c r="B64" s="3" t="s">
        <v>29</v>
      </c>
      <c r="C64" s="3" t="s">
        <v>219</v>
      </c>
      <c r="D64" s="4">
        <v>1789</v>
      </c>
      <c r="E64" s="3" t="s">
        <v>22</v>
      </c>
      <c r="F64" s="3" t="s">
        <v>22</v>
      </c>
      <c r="G64" s="31">
        <v>20</v>
      </c>
      <c r="H64" s="31" t="s">
        <v>106</v>
      </c>
      <c r="I64" s="5"/>
      <c r="J64" s="5"/>
      <c r="K64" s="6"/>
      <c r="L64" s="11">
        <f t="shared" si="17"/>
        <v>0</v>
      </c>
      <c r="M64" s="7"/>
      <c r="N64" s="31"/>
      <c r="O64" s="9"/>
      <c r="P64" s="9" t="str">
        <f t="shared" si="7"/>
        <v/>
      </c>
      <c r="Q64" s="9"/>
      <c r="R64" s="30">
        <f>Q64*$L64</f>
        <v>0</v>
      </c>
      <c r="S64" s="9"/>
      <c r="T64" s="30">
        <f t="shared" si="8"/>
        <v>0</v>
      </c>
      <c r="U64" s="9"/>
      <c r="V64" s="30">
        <v>6875</v>
      </c>
      <c r="W64" s="9"/>
      <c r="X64" s="30">
        <f>W64*$L64</f>
        <v>0</v>
      </c>
      <c r="Y64" s="9"/>
      <c r="Z64" s="30">
        <f>Y64*$L64</f>
        <v>0</v>
      </c>
      <c r="AA64" s="9"/>
      <c r="AB64" s="30">
        <f t="shared" si="38"/>
        <v>0</v>
      </c>
      <c r="AC64" s="9"/>
      <c r="AD64" s="30">
        <f t="shared" si="26"/>
        <v>0</v>
      </c>
      <c r="AE64" s="9"/>
      <c r="AF64" s="30">
        <v>5485</v>
      </c>
      <c r="AG64" s="9"/>
      <c r="AH64" s="30">
        <f t="shared" si="33"/>
        <v>0</v>
      </c>
      <c r="AI64" s="9"/>
      <c r="AJ64" s="30">
        <f t="shared" si="37"/>
        <v>0</v>
      </c>
      <c r="AK64" s="9"/>
      <c r="AL64" s="30">
        <f>AK64*$L64</f>
        <v>0</v>
      </c>
      <c r="AM64" s="10"/>
      <c r="AN64" s="31">
        <v>12360</v>
      </c>
      <c r="AO64" s="15">
        <f t="shared" si="11"/>
        <v>12360</v>
      </c>
      <c r="AP64" s="9">
        <f t="shared" si="18"/>
        <v>0</v>
      </c>
      <c r="AQ64" s="28">
        <f t="shared" si="13"/>
        <v>0</v>
      </c>
      <c r="AR64" s="8">
        <f t="shared" si="19"/>
        <v>0</v>
      </c>
      <c r="AS64" s="29">
        <f t="shared" si="4"/>
        <v>0</v>
      </c>
      <c r="AT64" s="13">
        <f t="shared" si="20"/>
        <v>12360</v>
      </c>
      <c r="AU64" s="2" t="str">
        <f t="shared" si="5"/>
        <v>pas de prix, ni de quantité</v>
      </c>
      <c r="AV64" s="2"/>
    </row>
    <row r="65" spans="1:48" ht="16.5">
      <c r="A65" s="1" t="s">
        <v>12</v>
      </c>
      <c r="B65" s="3" t="s">
        <v>29</v>
      </c>
      <c r="C65" s="3" t="s">
        <v>219</v>
      </c>
      <c r="D65" s="4">
        <v>1789</v>
      </c>
      <c r="E65" s="3" t="s">
        <v>22</v>
      </c>
      <c r="F65" s="3" t="s">
        <v>22</v>
      </c>
      <c r="G65" s="31">
        <v>20</v>
      </c>
      <c r="H65" s="31" t="s">
        <v>107</v>
      </c>
      <c r="I65" s="5">
        <v>150</v>
      </c>
      <c r="J65" s="5"/>
      <c r="K65" s="6"/>
      <c r="L65" s="11">
        <f t="shared" si="17"/>
        <v>150</v>
      </c>
      <c r="M65" s="7" t="s">
        <v>14</v>
      </c>
      <c r="N65" s="31"/>
      <c r="O65" s="9"/>
      <c r="P65" s="9" t="str">
        <f t="shared" si="7"/>
        <v/>
      </c>
      <c r="Q65" s="9"/>
      <c r="R65" s="30">
        <f>Q65*$L65</f>
        <v>0</v>
      </c>
      <c r="S65" s="9"/>
      <c r="T65" s="30">
        <f t="shared" si="8"/>
        <v>0</v>
      </c>
      <c r="U65" s="9"/>
      <c r="V65" s="30">
        <f>U65*$L65</f>
        <v>0</v>
      </c>
      <c r="W65" s="9"/>
      <c r="X65" s="30">
        <f>W65*$L65</f>
        <v>0</v>
      </c>
      <c r="Y65" s="9">
        <f>465/100</f>
        <v>4.6500000000000004</v>
      </c>
      <c r="Z65" s="32">
        <v>707</v>
      </c>
      <c r="AA65" s="9"/>
      <c r="AB65" s="30">
        <f t="shared" si="38"/>
        <v>0</v>
      </c>
      <c r="AC65" s="9"/>
      <c r="AD65" s="30">
        <f t="shared" si="26"/>
        <v>0</v>
      </c>
      <c r="AE65" s="9"/>
      <c r="AF65" s="30">
        <f>AE65*$L65</f>
        <v>0</v>
      </c>
      <c r="AG65" s="9"/>
      <c r="AH65" s="30">
        <f t="shared" si="33"/>
        <v>0</v>
      </c>
      <c r="AI65" s="9"/>
      <c r="AJ65" s="30">
        <f t="shared" si="37"/>
        <v>0</v>
      </c>
      <c r="AK65" s="9"/>
      <c r="AL65" s="30">
        <f>AK65*$L65</f>
        <v>0</v>
      </c>
      <c r="AM65" s="10">
        <f>465/100</f>
        <v>4.6500000000000004</v>
      </c>
      <c r="AN65" s="31">
        <v>707</v>
      </c>
      <c r="AO65" s="15">
        <f t="shared" si="11"/>
        <v>707</v>
      </c>
      <c r="AP65" s="9">
        <f t="shared" si="18"/>
        <v>0</v>
      </c>
      <c r="AQ65" s="28">
        <f t="shared" si="13"/>
        <v>4.6500000000000004</v>
      </c>
      <c r="AR65" s="8">
        <f t="shared" si="19"/>
        <v>0</v>
      </c>
      <c r="AS65" s="29">
        <f t="shared" si="4"/>
        <v>697.5</v>
      </c>
      <c r="AT65" s="13">
        <f t="shared" si="20"/>
        <v>9.5</v>
      </c>
      <c r="AU65" s="2" t="str">
        <f t="shared" si="5"/>
        <v>erreur de calcul</v>
      </c>
      <c r="AV65" s="2"/>
    </row>
    <row r="66" spans="1:48" ht="16.5">
      <c r="A66" s="1" t="s">
        <v>12</v>
      </c>
      <c r="B66" s="3" t="s">
        <v>29</v>
      </c>
      <c r="C66" s="3" t="s">
        <v>219</v>
      </c>
      <c r="D66" s="4">
        <v>1789</v>
      </c>
      <c r="E66" s="3" t="s">
        <v>22</v>
      </c>
      <c r="F66" s="3" t="s">
        <v>22</v>
      </c>
      <c r="G66" s="31">
        <v>20</v>
      </c>
      <c r="H66" s="31" t="s">
        <v>108</v>
      </c>
      <c r="I66" s="5"/>
      <c r="J66" s="5">
        <v>20</v>
      </c>
      <c r="K66" s="6"/>
      <c r="L66" s="11">
        <f t="shared" si="17"/>
        <v>1</v>
      </c>
      <c r="M66" s="7" t="s">
        <v>15</v>
      </c>
      <c r="N66" s="31"/>
      <c r="O66" s="9"/>
      <c r="P66" s="9" t="str">
        <f t="shared" si="7"/>
        <v/>
      </c>
      <c r="Q66" s="9">
        <v>110</v>
      </c>
      <c r="R66" s="30">
        <v>110</v>
      </c>
      <c r="S66" s="9"/>
      <c r="T66" s="30">
        <f t="shared" si="8"/>
        <v>0</v>
      </c>
      <c r="U66" s="9"/>
      <c r="V66" s="30">
        <f>U66*$L66</f>
        <v>0</v>
      </c>
      <c r="W66" s="9">
        <v>12500</v>
      </c>
      <c r="X66" s="30">
        <v>12500</v>
      </c>
      <c r="Y66" s="9">
        <v>44525</v>
      </c>
      <c r="Z66" s="30">
        <v>44525</v>
      </c>
      <c r="AA66" s="9"/>
      <c r="AB66" s="30">
        <f t="shared" si="38"/>
        <v>0</v>
      </c>
      <c r="AC66" s="9"/>
      <c r="AD66" s="30">
        <f t="shared" si="26"/>
        <v>0</v>
      </c>
      <c r="AE66" s="9"/>
      <c r="AF66" s="30">
        <f>AE66*$L66</f>
        <v>0</v>
      </c>
      <c r="AG66" s="9"/>
      <c r="AH66" s="30">
        <f t="shared" si="33"/>
        <v>0</v>
      </c>
      <c r="AI66" s="9"/>
      <c r="AJ66" s="30">
        <f t="shared" si="37"/>
        <v>0</v>
      </c>
      <c r="AK66" s="9">
        <v>588</v>
      </c>
      <c r="AL66" s="30">
        <v>588</v>
      </c>
      <c r="AM66" s="10">
        <v>57723</v>
      </c>
      <c r="AN66" s="31">
        <v>57723</v>
      </c>
      <c r="AO66" s="15">
        <f t="shared" si="11"/>
        <v>57723</v>
      </c>
      <c r="AP66" s="9">
        <f t="shared" si="18"/>
        <v>0</v>
      </c>
      <c r="AQ66" s="28">
        <f t="shared" si="13"/>
        <v>57723</v>
      </c>
      <c r="AR66" s="8">
        <f t="shared" si="19"/>
        <v>0</v>
      </c>
      <c r="AS66" s="29">
        <f t="shared" si="4"/>
        <v>57723</v>
      </c>
      <c r="AT66" s="13">
        <f t="shared" si="20"/>
        <v>0</v>
      </c>
      <c r="AU66" s="2" t="str">
        <f t="shared" si="5"/>
        <v/>
      </c>
      <c r="AV66" s="2"/>
    </row>
    <row r="67" spans="1:48" ht="16.5">
      <c r="A67" s="1" t="s">
        <v>12</v>
      </c>
      <c r="B67" s="3" t="s">
        <v>29</v>
      </c>
      <c r="C67" s="3" t="s">
        <v>219</v>
      </c>
      <c r="D67" s="4">
        <v>1789</v>
      </c>
      <c r="E67" s="3" t="s">
        <v>22</v>
      </c>
      <c r="F67" s="3" t="s">
        <v>22</v>
      </c>
      <c r="G67" s="31">
        <v>20</v>
      </c>
      <c r="H67" s="31" t="s">
        <v>109</v>
      </c>
      <c r="I67" s="5">
        <v>110</v>
      </c>
      <c r="J67" s="5"/>
      <c r="K67" s="6"/>
      <c r="L67" s="11">
        <f t="shared" si="17"/>
        <v>110</v>
      </c>
      <c r="M67" s="7" t="s">
        <v>14</v>
      </c>
      <c r="N67" s="31" t="s">
        <v>23</v>
      </c>
      <c r="O67" s="9">
        <f>615/100</f>
        <v>6.15</v>
      </c>
      <c r="P67" s="12">
        <v>645</v>
      </c>
      <c r="Q67" s="9"/>
      <c r="R67" s="30">
        <f t="shared" ref="R67:R82" si="39">Q67*$L67</f>
        <v>0</v>
      </c>
      <c r="S67" s="9"/>
      <c r="T67" s="30">
        <f t="shared" si="8"/>
        <v>0</v>
      </c>
      <c r="U67" s="9">
        <f>6857/100</f>
        <v>68.569999999999993</v>
      </c>
      <c r="V67" s="30">
        <v>7543</v>
      </c>
      <c r="W67" s="9">
        <f>4900/100</f>
        <v>49</v>
      </c>
      <c r="X67" s="30">
        <v>5390</v>
      </c>
      <c r="Y67" s="9">
        <f>46892/100</f>
        <v>468.92</v>
      </c>
      <c r="Z67" s="32">
        <v>51542</v>
      </c>
      <c r="AA67" s="9"/>
      <c r="AB67" s="30">
        <f t="shared" si="38"/>
        <v>0</v>
      </c>
      <c r="AC67" s="9"/>
      <c r="AD67" s="30">
        <f t="shared" si="26"/>
        <v>0</v>
      </c>
      <c r="AE67" s="9"/>
      <c r="AF67" s="30">
        <f>AE67*$L67</f>
        <v>0</v>
      </c>
      <c r="AG67" s="9"/>
      <c r="AH67" s="30">
        <f t="shared" si="33"/>
        <v>0</v>
      </c>
      <c r="AI67" s="9"/>
      <c r="AJ67" s="30">
        <f t="shared" si="37"/>
        <v>0</v>
      </c>
      <c r="AK67" s="9"/>
      <c r="AL67" s="30">
        <f>AK67*$L67</f>
        <v>0</v>
      </c>
      <c r="AM67" s="10">
        <f>58649/100</f>
        <v>586.49</v>
      </c>
      <c r="AN67" s="31">
        <v>64475</v>
      </c>
      <c r="AO67" s="15">
        <f t="shared" si="11"/>
        <v>64475</v>
      </c>
      <c r="AP67" s="9">
        <f t="shared" si="18"/>
        <v>0</v>
      </c>
      <c r="AQ67" s="28">
        <f t="shared" si="13"/>
        <v>586.49</v>
      </c>
      <c r="AR67" s="8">
        <f t="shared" si="19"/>
        <v>0</v>
      </c>
      <c r="AS67" s="29">
        <f t="shared" ref="AS67:AS130" si="40">AQ67*L67</f>
        <v>64513.9</v>
      </c>
      <c r="AT67" s="13">
        <f t="shared" si="20"/>
        <v>-38.900000000001455</v>
      </c>
      <c r="AU67" s="2" t="str">
        <f t="shared" ref="AU67:AU130" si="41">IF(AT67=0,"",IF(AT67&lt;&gt;AN67,"erreur de calcul",IF(AQ67&lt;&gt;0,"pas de prix",IF(L67&lt;&gt; 0,"pas de quantité","pas de prix, ni de quantité"))))</f>
        <v>erreur de calcul</v>
      </c>
      <c r="AV67" s="2"/>
    </row>
    <row r="68" spans="1:48" ht="16.5">
      <c r="A68" s="1" t="s">
        <v>12</v>
      </c>
      <c r="B68" s="3" t="s">
        <v>29</v>
      </c>
      <c r="C68" s="3" t="s">
        <v>219</v>
      </c>
      <c r="D68" s="4">
        <v>1789</v>
      </c>
      <c r="E68" s="3" t="s">
        <v>22</v>
      </c>
      <c r="F68" s="3" t="s">
        <v>22</v>
      </c>
      <c r="G68" s="31">
        <v>20</v>
      </c>
      <c r="H68" s="31" t="s">
        <v>110</v>
      </c>
      <c r="I68" s="5">
        <v>105</v>
      </c>
      <c r="J68" s="5"/>
      <c r="K68" s="6"/>
      <c r="L68" s="11">
        <f t="shared" si="17"/>
        <v>105</v>
      </c>
      <c r="M68" s="7" t="s">
        <v>14</v>
      </c>
      <c r="N68" s="31"/>
      <c r="O68" s="9"/>
      <c r="P68" s="9" t="str">
        <f t="shared" ref="P68:P131" si="42">IF(N68&lt;&gt;"",O68*L68,"")</f>
        <v/>
      </c>
      <c r="Q68" s="9"/>
      <c r="R68" s="30">
        <f t="shared" si="39"/>
        <v>0</v>
      </c>
      <c r="S68" s="9"/>
      <c r="T68" s="30">
        <f t="shared" ref="T68:T131" si="43">S68*$L68</f>
        <v>0</v>
      </c>
      <c r="U68" s="9"/>
      <c r="V68" s="30">
        <f t="shared" ref="V68:V128" si="44">U68*$L68</f>
        <v>0</v>
      </c>
      <c r="W68" s="9"/>
      <c r="X68" s="30">
        <f t="shared" ref="X68:X131" si="45">W68*$L68</f>
        <v>0</v>
      </c>
      <c r="Y68" s="9"/>
      <c r="Z68" s="30">
        <f t="shared" ref="Z68:Z131" si="46">Y68*$L68</f>
        <v>0</v>
      </c>
      <c r="AA68" s="9"/>
      <c r="AB68" s="30">
        <f t="shared" ref="AB68:AB131" si="47">AA68*$L68</f>
        <v>0</v>
      </c>
      <c r="AC68" s="9">
        <f>960/100</f>
        <v>9.6</v>
      </c>
      <c r="AD68" s="30">
        <v>1008</v>
      </c>
      <c r="AE68" s="9"/>
      <c r="AF68" s="30">
        <f t="shared" ref="AF68:AF131" si="48">AE68*$L68</f>
        <v>0</v>
      </c>
      <c r="AG68" s="9"/>
      <c r="AH68" s="30">
        <f t="shared" ref="AH68:AH131" si="49">AG68*$L68</f>
        <v>0</v>
      </c>
      <c r="AI68" s="9"/>
      <c r="AJ68" s="30">
        <f t="shared" ref="AJ68:AJ131" si="50">AI68*$L68</f>
        <v>0</v>
      </c>
      <c r="AK68" s="9"/>
      <c r="AL68" s="30">
        <f t="shared" ref="AL68:AL131" si="51">AK68*$L68</f>
        <v>0</v>
      </c>
      <c r="AM68" s="10">
        <f>960/100</f>
        <v>9.6</v>
      </c>
      <c r="AN68" s="31">
        <v>1008</v>
      </c>
      <c r="AO68" s="15">
        <f t="shared" si="11"/>
        <v>1008</v>
      </c>
      <c r="AP68" s="9">
        <f t="shared" si="18"/>
        <v>0</v>
      </c>
      <c r="AQ68" s="28">
        <f t="shared" ref="AQ68:AQ131" si="52">SUM(Q68,S68,U68,W68,Y68,AA68,AC68,AE68,AG68,AI68,AK68)</f>
        <v>9.6</v>
      </c>
      <c r="AR68" s="8">
        <f t="shared" si="19"/>
        <v>0</v>
      </c>
      <c r="AS68" s="29">
        <f t="shared" si="40"/>
        <v>1008</v>
      </c>
      <c r="AT68" s="13">
        <f t="shared" si="20"/>
        <v>0</v>
      </c>
      <c r="AU68" s="2" t="str">
        <f t="shared" si="41"/>
        <v/>
      </c>
      <c r="AV68" s="2"/>
    </row>
    <row r="69" spans="1:48" ht="16.5">
      <c r="A69" s="1" t="s">
        <v>12</v>
      </c>
      <c r="B69" s="3" t="s">
        <v>29</v>
      </c>
      <c r="C69" s="3" t="s">
        <v>219</v>
      </c>
      <c r="D69" s="4">
        <v>1789</v>
      </c>
      <c r="E69" s="3" t="s">
        <v>22</v>
      </c>
      <c r="F69" s="3" t="s">
        <v>22</v>
      </c>
      <c r="G69" s="31">
        <v>20</v>
      </c>
      <c r="H69" s="31" t="s">
        <v>111</v>
      </c>
      <c r="I69" s="5">
        <v>2</v>
      </c>
      <c r="J69" s="5"/>
      <c r="K69" s="6"/>
      <c r="L69" s="11">
        <f t="shared" si="17"/>
        <v>2</v>
      </c>
      <c r="M69" s="7" t="s">
        <v>15</v>
      </c>
      <c r="N69" s="31"/>
      <c r="O69" s="9"/>
      <c r="P69" s="9" t="str">
        <f t="shared" si="42"/>
        <v/>
      </c>
      <c r="Q69" s="9"/>
      <c r="R69" s="30">
        <f t="shared" si="39"/>
        <v>0</v>
      </c>
      <c r="S69" s="9"/>
      <c r="T69" s="30">
        <f t="shared" si="43"/>
        <v>0</v>
      </c>
      <c r="U69" s="9"/>
      <c r="V69" s="30">
        <f t="shared" si="44"/>
        <v>0</v>
      </c>
      <c r="W69" s="9"/>
      <c r="X69" s="30">
        <f t="shared" si="45"/>
        <v>0</v>
      </c>
      <c r="Y69" s="9">
        <v>155243</v>
      </c>
      <c r="Z69" s="30">
        <v>310486</v>
      </c>
      <c r="AA69" s="9"/>
      <c r="AB69" s="30">
        <f t="shared" si="47"/>
        <v>0</v>
      </c>
      <c r="AC69" s="9"/>
      <c r="AD69" s="30">
        <f t="shared" ref="AD69:AD131" si="53">AC69*$L69</f>
        <v>0</v>
      </c>
      <c r="AE69" s="9">
        <v>27940</v>
      </c>
      <c r="AF69" s="30">
        <v>55880</v>
      </c>
      <c r="AG69" s="9"/>
      <c r="AH69" s="30">
        <f t="shared" si="49"/>
        <v>0</v>
      </c>
      <c r="AI69" s="9"/>
      <c r="AJ69" s="30">
        <f t="shared" si="50"/>
        <v>0</v>
      </c>
      <c r="AK69" s="9"/>
      <c r="AL69" s="30">
        <f t="shared" si="51"/>
        <v>0</v>
      </c>
      <c r="AM69" s="10">
        <v>183183</v>
      </c>
      <c r="AN69" s="31">
        <v>366366</v>
      </c>
      <c r="AO69" s="15">
        <f t="shared" ref="AO69:AO131" si="54">SUM(R69,T69,V69,X69,Z69,AB69,AD69,AF69,AH69,AJ69,AL69)</f>
        <v>366366</v>
      </c>
      <c r="AP69" s="9">
        <f t="shared" si="18"/>
        <v>0</v>
      </c>
      <c r="AQ69" s="28">
        <f t="shared" si="52"/>
        <v>183183</v>
      </c>
      <c r="AR69" s="8">
        <f t="shared" si="19"/>
        <v>0</v>
      </c>
      <c r="AS69" s="29">
        <f t="shared" si="40"/>
        <v>366366</v>
      </c>
      <c r="AT69" s="13">
        <f t="shared" si="20"/>
        <v>0</v>
      </c>
      <c r="AU69" s="2" t="str">
        <f t="shared" si="41"/>
        <v/>
      </c>
      <c r="AV69" s="2"/>
    </row>
    <row r="70" spans="1:48" ht="16.5">
      <c r="A70" s="1" t="s">
        <v>12</v>
      </c>
      <c r="B70" s="3" t="s">
        <v>29</v>
      </c>
      <c r="C70" s="3" t="s">
        <v>219</v>
      </c>
      <c r="D70" s="4">
        <v>1789</v>
      </c>
      <c r="E70" s="3" t="s">
        <v>22</v>
      </c>
      <c r="F70" s="3" t="s">
        <v>22</v>
      </c>
      <c r="G70" s="31">
        <v>20</v>
      </c>
      <c r="H70" s="31" t="s">
        <v>277</v>
      </c>
      <c r="I70" s="5"/>
      <c r="J70" s="5">
        <v>50</v>
      </c>
      <c r="K70" s="6"/>
      <c r="L70" s="11">
        <f t="shared" si="17"/>
        <v>2.5</v>
      </c>
      <c r="M70" s="7" t="s">
        <v>15</v>
      </c>
      <c r="N70" s="31"/>
      <c r="O70" s="9"/>
      <c r="P70" s="9" t="str">
        <f t="shared" si="42"/>
        <v/>
      </c>
      <c r="Q70" s="9"/>
      <c r="R70" s="30">
        <f t="shared" si="39"/>
        <v>0</v>
      </c>
      <c r="S70" s="9"/>
      <c r="T70" s="30">
        <f t="shared" si="43"/>
        <v>0</v>
      </c>
      <c r="U70" s="9"/>
      <c r="V70" s="30">
        <f t="shared" si="44"/>
        <v>0</v>
      </c>
      <c r="W70" s="9"/>
      <c r="X70" s="30">
        <f t="shared" si="45"/>
        <v>0</v>
      </c>
      <c r="Y70" s="9">
        <v>41451</v>
      </c>
      <c r="Z70" s="32">
        <v>103637</v>
      </c>
      <c r="AA70" s="9"/>
      <c r="AB70" s="30">
        <f t="shared" si="47"/>
        <v>0</v>
      </c>
      <c r="AC70" s="9">
        <v>1100</v>
      </c>
      <c r="AD70" s="30">
        <v>2750</v>
      </c>
      <c r="AE70" s="9"/>
      <c r="AF70" s="30">
        <f t="shared" si="48"/>
        <v>0</v>
      </c>
      <c r="AG70" s="9"/>
      <c r="AH70" s="30">
        <f t="shared" si="49"/>
        <v>0</v>
      </c>
      <c r="AI70" s="9"/>
      <c r="AJ70" s="30">
        <f t="shared" si="50"/>
        <v>0</v>
      </c>
      <c r="AK70" s="9"/>
      <c r="AL70" s="30">
        <f t="shared" si="51"/>
        <v>0</v>
      </c>
      <c r="AM70" s="10">
        <v>42551</v>
      </c>
      <c r="AN70" s="31">
        <v>106387</v>
      </c>
      <c r="AO70" s="15">
        <f t="shared" si="54"/>
        <v>106387</v>
      </c>
      <c r="AP70" s="9">
        <f t="shared" si="18"/>
        <v>0</v>
      </c>
      <c r="AQ70" s="28">
        <f t="shared" si="52"/>
        <v>42551</v>
      </c>
      <c r="AR70" s="8">
        <f t="shared" si="19"/>
        <v>0</v>
      </c>
      <c r="AS70" s="29">
        <f t="shared" si="40"/>
        <v>106377.5</v>
      </c>
      <c r="AT70" s="13">
        <f t="shared" si="20"/>
        <v>9.5</v>
      </c>
      <c r="AU70" s="2" t="str">
        <f t="shared" si="41"/>
        <v>erreur de calcul</v>
      </c>
      <c r="AV70" s="2"/>
    </row>
    <row r="71" spans="1:48" ht="16.5">
      <c r="A71" s="1" t="s">
        <v>12</v>
      </c>
      <c r="B71" s="3" t="s">
        <v>29</v>
      </c>
      <c r="C71" s="3" t="s">
        <v>219</v>
      </c>
      <c r="D71" s="4">
        <v>1789</v>
      </c>
      <c r="E71" s="3" t="s">
        <v>22</v>
      </c>
      <c r="F71" s="3" t="s">
        <v>22</v>
      </c>
      <c r="G71" s="31">
        <v>20</v>
      </c>
      <c r="H71" s="31" t="s">
        <v>112</v>
      </c>
      <c r="I71" s="5"/>
      <c r="J71" s="5"/>
      <c r="K71" s="6"/>
      <c r="L71" s="11">
        <f t="shared" ref="L71:L134" si="55">I71+(J71/20)+(K71/240)</f>
        <v>0</v>
      </c>
      <c r="M71" s="7"/>
      <c r="N71" s="31"/>
      <c r="O71" s="9"/>
      <c r="P71" s="9" t="str">
        <f t="shared" si="42"/>
        <v/>
      </c>
      <c r="Q71" s="9"/>
      <c r="R71" s="30">
        <f t="shared" si="39"/>
        <v>0</v>
      </c>
      <c r="S71" s="9"/>
      <c r="T71" s="30">
        <f t="shared" si="43"/>
        <v>0</v>
      </c>
      <c r="U71" s="9"/>
      <c r="V71" s="30">
        <v>17187</v>
      </c>
      <c r="W71" s="9"/>
      <c r="X71" s="30">
        <v>12460</v>
      </c>
      <c r="Y71" s="9"/>
      <c r="Z71" s="30">
        <v>3564</v>
      </c>
      <c r="AA71" s="9"/>
      <c r="AB71" s="30">
        <f t="shared" si="47"/>
        <v>0</v>
      </c>
      <c r="AC71" s="9"/>
      <c r="AD71" s="30">
        <f t="shared" si="53"/>
        <v>0</v>
      </c>
      <c r="AE71" s="9"/>
      <c r="AF71" s="30">
        <f t="shared" si="48"/>
        <v>0</v>
      </c>
      <c r="AG71" s="9"/>
      <c r="AH71" s="30">
        <f t="shared" si="49"/>
        <v>0</v>
      </c>
      <c r="AI71" s="9"/>
      <c r="AJ71" s="30">
        <f t="shared" si="50"/>
        <v>0</v>
      </c>
      <c r="AK71" s="9"/>
      <c r="AL71" s="30">
        <f t="shared" si="51"/>
        <v>0</v>
      </c>
      <c r="AM71" s="10"/>
      <c r="AN71" s="31">
        <v>33211</v>
      </c>
      <c r="AO71" s="15">
        <f t="shared" si="54"/>
        <v>33211</v>
      </c>
      <c r="AP71" s="9">
        <f t="shared" ref="AP71:AP134" si="56">AN71-AO71</f>
        <v>0</v>
      </c>
      <c r="AQ71" s="28">
        <f t="shared" si="52"/>
        <v>0</v>
      </c>
      <c r="AR71" s="8">
        <f t="shared" ref="AR71:AR134" si="57">AM71-AQ71</f>
        <v>0</v>
      </c>
      <c r="AS71" s="29">
        <f t="shared" si="40"/>
        <v>0</v>
      </c>
      <c r="AT71" s="13">
        <f t="shared" ref="AT71:AT134" si="58">AN71-AS71</f>
        <v>33211</v>
      </c>
      <c r="AU71" s="2" t="str">
        <f t="shared" si="41"/>
        <v>pas de prix, ni de quantité</v>
      </c>
      <c r="AV71" s="2"/>
    </row>
    <row r="72" spans="1:48" ht="16.5">
      <c r="A72" s="1" t="s">
        <v>12</v>
      </c>
      <c r="B72" s="3" t="s">
        <v>29</v>
      </c>
      <c r="C72" s="3" t="s">
        <v>219</v>
      </c>
      <c r="D72" s="4">
        <v>1789</v>
      </c>
      <c r="E72" s="3" t="s">
        <v>22</v>
      </c>
      <c r="F72" s="3" t="s">
        <v>22</v>
      </c>
      <c r="G72" s="31">
        <v>20</v>
      </c>
      <c r="H72" s="31" t="s">
        <v>28</v>
      </c>
      <c r="I72" s="5"/>
      <c r="J72" s="5"/>
      <c r="K72" s="6"/>
      <c r="L72" s="11">
        <f t="shared" si="55"/>
        <v>0</v>
      </c>
      <c r="M72" s="7"/>
      <c r="N72" s="31"/>
      <c r="O72" s="9"/>
      <c r="P72" s="9" t="str">
        <f t="shared" si="42"/>
        <v/>
      </c>
      <c r="Q72" s="9"/>
      <c r="R72" s="30">
        <f t="shared" si="39"/>
        <v>0</v>
      </c>
      <c r="S72" s="9"/>
      <c r="T72" s="30">
        <f t="shared" si="43"/>
        <v>0</v>
      </c>
      <c r="U72" s="9"/>
      <c r="V72" s="30">
        <v>28076</v>
      </c>
      <c r="W72" s="9"/>
      <c r="X72" s="30">
        <f t="shared" si="45"/>
        <v>0</v>
      </c>
      <c r="Y72" s="9"/>
      <c r="Z72" s="30">
        <f t="shared" si="46"/>
        <v>0</v>
      </c>
      <c r="AA72" s="9"/>
      <c r="AB72" s="30">
        <f t="shared" si="47"/>
        <v>0</v>
      </c>
      <c r="AC72" s="9"/>
      <c r="AD72" s="30">
        <f t="shared" si="53"/>
        <v>0</v>
      </c>
      <c r="AE72" s="9"/>
      <c r="AF72" s="30">
        <f t="shared" si="48"/>
        <v>0</v>
      </c>
      <c r="AG72" s="9"/>
      <c r="AH72" s="30">
        <f t="shared" si="49"/>
        <v>0</v>
      </c>
      <c r="AI72" s="9"/>
      <c r="AJ72" s="30">
        <f t="shared" si="50"/>
        <v>0</v>
      </c>
      <c r="AK72" s="9"/>
      <c r="AL72" s="30">
        <f t="shared" si="51"/>
        <v>0</v>
      </c>
      <c r="AM72" s="10"/>
      <c r="AN72" s="31">
        <v>28076</v>
      </c>
      <c r="AO72" s="15">
        <f t="shared" si="54"/>
        <v>28076</v>
      </c>
      <c r="AP72" s="9">
        <f t="shared" si="56"/>
        <v>0</v>
      </c>
      <c r="AQ72" s="28">
        <f t="shared" si="52"/>
        <v>0</v>
      </c>
      <c r="AR72" s="8">
        <f t="shared" si="57"/>
        <v>0</v>
      </c>
      <c r="AS72" s="29">
        <f t="shared" si="40"/>
        <v>0</v>
      </c>
      <c r="AT72" s="13">
        <f t="shared" si="58"/>
        <v>28076</v>
      </c>
      <c r="AU72" s="2" t="str">
        <f t="shared" si="41"/>
        <v>pas de prix, ni de quantité</v>
      </c>
      <c r="AV72" s="2"/>
    </row>
    <row r="73" spans="1:48" ht="16.5">
      <c r="A73" s="1" t="s">
        <v>12</v>
      </c>
      <c r="B73" s="3" t="s">
        <v>29</v>
      </c>
      <c r="C73" s="3" t="s">
        <v>219</v>
      </c>
      <c r="D73" s="4">
        <v>1789</v>
      </c>
      <c r="E73" s="3" t="s">
        <v>22</v>
      </c>
      <c r="F73" s="3" t="s">
        <v>22</v>
      </c>
      <c r="G73" s="31">
        <v>20</v>
      </c>
      <c r="H73" s="31" t="s">
        <v>113</v>
      </c>
      <c r="I73" s="5"/>
      <c r="J73" s="5"/>
      <c r="K73" s="6"/>
      <c r="L73" s="11">
        <f t="shared" si="55"/>
        <v>0</v>
      </c>
      <c r="M73" s="7"/>
      <c r="N73" s="31"/>
      <c r="O73" s="9"/>
      <c r="P73" s="9" t="str">
        <f t="shared" si="42"/>
        <v/>
      </c>
      <c r="Q73" s="9"/>
      <c r="R73" s="30">
        <f t="shared" si="39"/>
        <v>0</v>
      </c>
      <c r="S73" s="9"/>
      <c r="T73" s="30">
        <f t="shared" si="43"/>
        <v>0</v>
      </c>
      <c r="U73" s="9"/>
      <c r="V73" s="30">
        <v>2020</v>
      </c>
      <c r="W73" s="9"/>
      <c r="X73" s="30">
        <v>4163</v>
      </c>
      <c r="Y73" s="9"/>
      <c r="Z73" s="30">
        <v>300</v>
      </c>
      <c r="AA73" s="9"/>
      <c r="AB73" s="30">
        <f t="shared" si="47"/>
        <v>0</v>
      </c>
      <c r="AC73" s="9"/>
      <c r="AD73" s="30">
        <f t="shared" si="53"/>
        <v>0</v>
      </c>
      <c r="AE73" s="9"/>
      <c r="AF73" s="30">
        <v>175</v>
      </c>
      <c r="AG73" s="9"/>
      <c r="AH73" s="30">
        <f t="shared" si="49"/>
        <v>0</v>
      </c>
      <c r="AI73" s="9"/>
      <c r="AJ73" s="30">
        <f t="shared" si="50"/>
        <v>0</v>
      </c>
      <c r="AK73" s="9"/>
      <c r="AL73" s="30">
        <f t="shared" si="51"/>
        <v>0</v>
      </c>
      <c r="AM73" s="10"/>
      <c r="AN73" s="31">
        <v>6658</v>
      </c>
      <c r="AO73" s="15">
        <f t="shared" si="54"/>
        <v>6658</v>
      </c>
      <c r="AP73" s="9">
        <f t="shared" si="56"/>
        <v>0</v>
      </c>
      <c r="AQ73" s="28">
        <f t="shared" si="52"/>
        <v>0</v>
      </c>
      <c r="AR73" s="8">
        <f t="shared" si="57"/>
        <v>0</v>
      </c>
      <c r="AS73" s="29">
        <f t="shared" si="40"/>
        <v>0</v>
      </c>
      <c r="AT73" s="13">
        <f t="shared" si="58"/>
        <v>6658</v>
      </c>
      <c r="AU73" s="2" t="str">
        <f t="shared" si="41"/>
        <v>pas de prix, ni de quantité</v>
      </c>
      <c r="AV73" s="2"/>
    </row>
    <row r="74" spans="1:48" ht="16.5">
      <c r="A74" s="1" t="s">
        <v>12</v>
      </c>
      <c r="B74" s="3" t="s">
        <v>29</v>
      </c>
      <c r="C74" s="3" t="s">
        <v>219</v>
      </c>
      <c r="D74" s="4">
        <v>1789</v>
      </c>
      <c r="E74" s="3" t="s">
        <v>22</v>
      </c>
      <c r="F74" s="3" t="s">
        <v>22</v>
      </c>
      <c r="G74" s="31">
        <v>20</v>
      </c>
      <c r="H74" s="31" t="s">
        <v>227</v>
      </c>
      <c r="I74" s="5">
        <v>35</v>
      </c>
      <c r="J74" s="5"/>
      <c r="K74" s="6"/>
      <c r="L74" s="11">
        <f t="shared" si="55"/>
        <v>35</v>
      </c>
      <c r="M74" s="7" t="s">
        <v>14</v>
      </c>
      <c r="N74" s="31"/>
      <c r="O74" s="9"/>
      <c r="P74" s="9" t="str">
        <f t="shared" si="42"/>
        <v/>
      </c>
      <c r="Q74" s="9"/>
      <c r="R74" s="30">
        <f t="shared" si="39"/>
        <v>0</v>
      </c>
      <c r="S74" s="9"/>
      <c r="T74" s="30">
        <f t="shared" si="43"/>
        <v>0</v>
      </c>
      <c r="U74" s="9">
        <f>6800/100</f>
        <v>68</v>
      </c>
      <c r="V74" s="30">
        <v>2380</v>
      </c>
      <c r="W74" s="9"/>
      <c r="X74" s="30">
        <f t="shared" si="45"/>
        <v>0</v>
      </c>
      <c r="Y74" s="9">
        <f>4025/100</f>
        <v>40.25</v>
      </c>
      <c r="Z74" s="30">
        <v>1409</v>
      </c>
      <c r="AA74" s="9"/>
      <c r="AB74" s="30">
        <f t="shared" si="47"/>
        <v>0</v>
      </c>
      <c r="AC74" s="9"/>
      <c r="AD74" s="30">
        <f t="shared" si="53"/>
        <v>0</v>
      </c>
      <c r="AE74" s="9"/>
      <c r="AF74" s="30">
        <f t="shared" si="48"/>
        <v>0</v>
      </c>
      <c r="AG74" s="9"/>
      <c r="AH74" s="30">
        <f t="shared" si="49"/>
        <v>0</v>
      </c>
      <c r="AI74" s="9"/>
      <c r="AJ74" s="30">
        <f t="shared" si="50"/>
        <v>0</v>
      </c>
      <c r="AK74" s="9"/>
      <c r="AL74" s="30">
        <f t="shared" si="51"/>
        <v>0</v>
      </c>
      <c r="AM74" s="10">
        <f>10825/100</f>
        <v>108.25</v>
      </c>
      <c r="AN74" s="31">
        <v>3789</v>
      </c>
      <c r="AO74" s="15">
        <f t="shared" si="54"/>
        <v>3789</v>
      </c>
      <c r="AP74" s="9">
        <f t="shared" si="56"/>
        <v>0</v>
      </c>
      <c r="AQ74" s="28">
        <f t="shared" si="52"/>
        <v>108.25</v>
      </c>
      <c r="AR74" s="8">
        <f t="shared" si="57"/>
        <v>0</v>
      </c>
      <c r="AS74" s="29">
        <f t="shared" si="40"/>
        <v>3788.75</v>
      </c>
      <c r="AT74" s="13">
        <f t="shared" si="58"/>
        <v>0.25</v>
      </c>
      <c r="AU74" s="2" t="str">
        <f t="shared" si="41"/>
        <v>erreur de calcul</v>
      </c>
      <c r="AV74" s="2"/>
    </row>
    <row r="75" spans="1:48" ht="16.5">
      <c r="A75" s="1" t="s">
        <v>12</v>
      </c>
      <c r="B75" s="3" t="s">
        <v>29</v>
      </c>
      <c r="C75" s="3" t="s">
        <v>219</v>
      </c>
      <c r="D75" s="4">
        <v>1789</v>
      </c>
      <c r="E75" s="3" t="s">
        <v>22</v>
      </c>
      <c r="F75" s="3" t="s">
        <v>22</v>
      </c>
      <c r="G75" s="31">
        <v>20</v>
      </c>
      <c r="H75" s="31" t="s">
        <v>228</v>
      </c>
      <c r="I75" s="5"/>
      <c r="J75" s="5">
        <v>15</v>
      </c>
      <c r="K75" s="6"/>
      <c r="L75" s="11">
        <f t="shared" si="55"/>
        <v>0.75</v>
      </c>
      <c r="M75" s="7" t="s">
        <v>15</v>
      </c>
      <c r="N75" s="31"/>
      <c r="O75" s="9"/>
      <c r="P75" s="9" t="str">
        <f t="shared" si="42"/>
        <v/>
      </c>
      <c r="Q75" s="9"/>
      <c r="R75" s="30">
        <f t="shared" si="39"/>
        <v>0</v>
      </c>
      <c r="S75" s="9"/>
      <c r="T75" s="30">
        <f t="shared" si="43"/>
        <v>0</v>
      </c>
      <c r="U75" s="9"/>
      <c r="V75" s="30">
        <f t="shared" si="44"/>
        <v>0</v>
      </c>
      <c r="W75" s="9">
        <v>3000</v>
      </c>
      <c r="X75" s="30">
        <v>2250</v>
      </c>
      <c r="Y75" s="9"/>
      <c r="Z75" s="30">
        <f t="shared" si="46"/>
        <v>0</v>
      </c>
      <c r="AA75" s="9"/>
      <c r="AB75" s="30">
        <f t="shared" si="47"/>
        <v>0</v>
      </c>
      <c r="AC75" s="9"/>
      <c r="AD75" s="30">
        <f t="shared" si="53"/>
        <v>0</v>
      </c>
      <c r="AE75" s="9"/>
      <c r="AF75" s="30">
        <f t="shared" si="48"/>
        <v>0</v>
      </c>
      <c r="AG75" s="9"/>
      <c r="AH75" s="30">
        <f t="shared" si="49"/>
        <v>0</v>
      </c>
      <c r="AI75" s="9"/>
      <c r="AJ75" s="30">
        <f t="shared" si="50"/>
        <v>0</v>
      </c>
      <c r="AK75" s="9"/>
      <c r="AL75" s="30">
        <f t="shared" si="51"/>
        <v>0</v>
      </c>
      <c r="AM75" s="10">
        <v>3000</v>
      </c>
      <c r="AN75" s="31">
        <v>2250</v>
      </c>
      <c r="AO75" s="15">
        <f t="shared" si="54"/>
        <v>2250</v>
      </c>
      <c r="AP75" s="9">
        <f t="shared" si="56"/>
        <v>0</v>
      </c>
      <c r="AQ75" s="28">
        <f t="shared" si="52"/>
        <v>3000</v>
      </c>
      <c r="AR75" s="8">
        <f t="shared" si="57"/>
        <v>0</v>
      </c>
      <c r="AS75" s="29">
        <f t="shared" si="40"/>
        <v>2250</v>
      </c>
      <c r="AT75" s="13">
        <f t="shared" si="58"/>
        <v>0</v>
      </c>
      <c r="AU75" s="2" t="str">
        <f t="shared" si="41"/>
        <v/>
      </c>
      <c r="AV75" s="2"/>
    </row>
    <row r="76" spans="1:48" ht="16.5">
      <c r="A76" s="1" t="s">
        <v>12</v>
      </c>
      <c r="B76" s="3" t="s">
        <v>29</v>
      </c>
      <c r="C76" s="3" t="s">
        <v>219</v>
      </c>
      <c r="D76" s="4">
        <v>1789</v>
      </c>
      <c r="E76" s="3" t="s">
        <v>22</v>
      </c>
      <c r="F76" s="3" t="s">
        <v>22</v>
      </c>
      <c r="G76" s="31">
        <v>20</v>
      </c>
      <c r="H76" s="31" t="s">
        <v>208</v>
      </c>
      <c r="I76" s="5"/>
      <c r="J76" s="5"/>
      <c r="K76" s="6"/>
      <c r="L76" s="11">
        <f t="shared" si="55"/>
        <v>0</v>
      </c>
      <c r="M76" s="7" t="s">
        <v>15</v>
      </c>
      <c r="N76" s="31"/>
      <c r="O76" s="9"/>
      <c r="P76" s="9" t="str">
        <f t="shared" si="42"/>
        <v/>
      </c>
      <c r="Q76" s="9"/>
      <c r="R76" s="30">
        <f t="shared" si="39"/>
        <v>0</v>
      </c>
      <c r="S76" s="9"/>
      <c r="T76" s="30">
        <f t="shared" si="43"/>
        <v>0</v>
      </c>
      <c r="U76" s="9">
        <v>140</v>
      </c>
      <c r="V76" s="30">
        <v>630</v>
      </c>
      <c r="W76" s="9"/>
      <c r="X76" s="30">
        <f t="shared" si="45"/>
        <v>0</v>
      </c>
      <c r="Y76" s="9"/>
      <c r="Z76" s="30">
        <f t="shared" si="46"/>
        <v>0</v>
      </c>
      <c r="AA76" s="9"/>
      <c r="AB76" s="30">
        <f t="shared" si="47"/>
        <v>0</v>
      </c>
      <c r="AC76" s="9"/>
      <c r="AD76" s="30">
        <f t="shared" si="53"/>
        <v>0</v>
      </c>
      <c r="AE76" s="9"/>
      <c r="AF76" s="30">
        <f t="shared" si="48"/>
        <v>0</v>
      </c>
      <c r="AG76" s="9"/>
      <c r="AH76" s="30">
        <f t="shared" si="49"/>
        <v>0</v>
      </c>
      <c r="AI76" s="9"/>
      <c r="AJ76" s="30">
        <f t="shared" si="50"/>
        <v>0</v>
      </c>
      <c r="AK76" s="9">
        <v>292</v>
      </c>
      <c r="AL76" s="30">
        <v>1314</v>
      </c>
      <c r="AM76" s="10">
        <v>432</v>
      </c>
      <c r="AN76" s="31">
        <v>1944</v>
      </c>
      <c r="AO76" s="15">
        <f t="shared" si="54"/>
        <v>1944</v>
      </c>
      <c r="AP76" s="9">
        <f t="shared" si="56"/>
        <v>0</v>
      </c>
      <c r="AQ76" s="28">
        <f t="shared" si="52"/>
        <v>432</v>
      </c>
      <c r="AR76" s="8">
        <f t="shared" si="57"/>
        <v>0</v>
      </c>
      <c r="AS76" s="29">
        <f t="shared" si="40"/>
        <v>0</v>
      </c>
      <c r="AT76" s="13">
        <f t="shared" si="58"/>
        <v>1944</v>
      </c>
      <c r="AU76" s="2" t="str">
        <f t="shared" si="41"/>
        <v>pas de prix</v>
      </c>
      <c r="AV76" s="2"/>
    </row>
    <row r="77" spans="1:48" ht="16.5">
      <c r="A77" s="1" t="s">
        <v>12</v>
      </c>
      <c r="B77" s="3" t="s">
        <v>29</v>
      </c>
      <c r="C77" s="3" t="s">
        <v>219</v>
      </c>
      <c r="D77" s="4">
        <v>1789</v>
      </c>
      <c r="E77" s="3" t="s">
        <v>22</v>
      </c>
      <c r="F77" s="3" t="s">
        <v>22</v>
      </c>
      <c r="G77" s="31">
        <v>20</v>
      </c>
      <c r="H77" s="31" t="s">
        <v>229</v>
      </c>
      <c r="I77" s="5"/>
      <c r="J77" s="5">
        <v>24</v>
      </c>
      <c r="K77" s="6"/>
      <c r="L77" s="11">
        <f t="shared" si="55"/>
        <v>1.2</v>
      </c>
      <c r="M77" s="7" t="s">
        <v>15</v>
      </c>
      <c r="N77" s="31"/>
      <c r="O77" s="9"/>
      <c r="P77" s="9" t="str">
        <f t="shared" si="42"/>
        <v/>
      </c>
      <c r="Q77" s="9"/>
      <c r="R77" s="30">
        <f t="shared" si="39"/>
        <v>0</v>
      </c>
      <c r="S77" s="9"/>
      <c r="T77" s="30">
        <f t="shared" si="43"/>
        <v>0</v>
      </c>
      <c r="U77" s="9">
        <v>1400</v>
      </c>
      <c r="V77" s="30">
        <v>1680</v>
      </c>
      <c r="W77" s="9"/>
      <c r="X77" s="30">
        <f t="shared" si="45"/>
        <v>0</v>
      </c>
      <c r="Y77" s="9"/>
      <c r="Z77" s="30">
        <f t="shared" si="46"/>
        <v>0</v>
      </c>
      <c r="AA77" s="9"/>
      <c r="AB77" s="30">
        <f t="shared" si="47"/>
        <v>0</v>
      </c>
      <c r="AC77" s="9"/>
      <c r="AD77" s="30">
        <f t="shared" si="53"/>
        <v>0</v>
      </c>
      <c r="AE77" s="9"/>
      <c r="AF77" s="30">
        <f t="shared" si="48"/>
        <v>0</v>
      </c>
      <c r="AG77" s="9"/>
      <c r="AH77" s="30">
        <f t="shared" si="49"/>
        <v>0</v>
      </c>
      <c r="AI77" s="9"/>
      <c r="AJ77" s="30">
        <f t="shared" si="50"/>
        <v>0</v>
      </c>
      <c r="AK77" s="9"/>
      <c r="AL77" s="30">
        <f t="shared" si="51"/>
        <v>0</v>
      </c>
      <c r="AM77" s="10">
        <v>1400</v>
      </c>
      <c r="AN77" s="31">
        <v>1680</v>
      </c>
      <c r="AO77" s="15">
        <f t="shared" si="54"/>
        <v>1680</v>
      </c>
      <c r="AP77" s="9">
        <f t="shared" si="56"/>
        <v>0</v>
      </c>
      <c r="AQ77" s="28">
        <f t="shared" si="52"/>
        <v>1400</v>
      </c>
      <c r="AR77" s="8">
        <f t="shared" si="57"/>
        <v>0</v>
      </c>
      <c r="AS77" s="29">
        <f t="shared" si="40"/>
        <v>1680</v>
      </c>
      <c r="AT77" s="13">
        <f t="shared" si="58"/>
        <v>0</v>
      </c>
      <c r="AU77" s="2" t="str">
        <f t="shared" si="41"/>
        <v/>
      </c>
      <c r="AV77" s="2"/>
    </row>
    <row r="78" spans="1:48" ht="16.5">
      <c r="A78" s="1" t="s">
        <v>12</v>
      </c>
      <c r="B78" s="3" t="s">
        <v>29</v>
      </c>
      <c r="C78" s="3" t="s">
        <v>219</v>
      </c>
      <c r="D78" s="4">
        <v>1789</v>
      </c>
      <c r="E78" s="3" t="s">
        <v>22</v>
      </c>
      <c r="F78" s="3" t="s">
        <v>22</v>
      </c>
      <c r="G78" s="31">
        <v>20</v>
      </c>
      <c r="H78" s="31" t="s">
        <v>230</v>
      </c>
      <c r="I78" s="5">
        <v>75</v>
      </c>
      <c r="J78" s="5"/>
      <c r="K78" s="6"/>
      <c r="L78" s="11">
        <f t="shared" si="55"/>
        <v>75</v>
      </c>
      <c r="M78" s="7" t="s">
        <v>14</v>
      </c>
      <c r="N78" s="31"/>
      <c r="O78" s="9"/>
      <c r="P78" s="9" t="str">
        <f t="shared" si="42"/>
        <v/>
      </c>
      <c r="Q78" s="9"/>
      <c r="R78" s="30">
        <f t="shared" si="39"/>
        <v>0</v>
      </c>
      <c r="S78" s="9"/>
      <c r="T78" s="30">
        <f t="shared" si="43"/>
        <v>0</v>
      </c>
      <c r="U78" s="9"/>
      <c r="V78" s="30">
        <f t="shared" si="44"/>
        <v>0</v>
      </c>
      <c r="W78" s="9"/>
      <c r="X78" s="30">
        <f t="shared" si="45"/>
        <v>0</v>
      </c>
      <c r="Y78" s="9">
        <f>2521/100</f>
        <v>25.21</v>
      </c>
      <c r="Z78" s="30">
        <v>1891</v>
      </c>
      <c r="AA78" s="9"/>
      <c r="AB78" s="30">
        <f t="shared" si="47"/>
        <v>0</v>
      </c>
      <c r="AC78" s="9"/>
      <c r="AD78" s="30">
        <f t="shared" si="53"/>
        <v>0</v>
      </c>
      <c r="AE78" s="9"/>
      <c r="AF78" s="30">
        <f t="shared" si="48"/>
        <v>0</v>
      </c>
      <c r="AG78" s="9"/>
      <c r="AH78" s="30">
        <f t="shared" si="49"/>
        <v>0</v>
      </c>
      <c r="AI78" s="9"/>
      <c r="AJ78" s="30">
        <f t="shared" si="50"/>
        <v>0</v>
      </c>
      <c r="AK78" s="9"/>
      <c r="AL78" s="30">
        <f t="shared" si="51"/>
        <v>0</v>
      </c>
      <c r="AM78" s="10">
        <f>2521/100</f>
        <v>25.21</v>
      </c>
      <c r="AN78" s="31">
        <v>1891</v>
      </c>
      <c r="AO78" s="15">
        <f t="shared" si="54"/>
        <v>1891</v>
      </c>
      <c r="AP78" s="9">
        <f t="shared" si="56"/>
        <v>0</v>
      </c>
      <c r="AQ78" s="28">
        <f t="shared" si="52"/>
        <v>25.21</v>
      </c>
      <c r="AR78" s="8">
        <f t="shared" si="57"/>
        <v>0</v>
      </c>
      <c r="AS78" s="29">
        <f t="shared" si="40"/>
        <v>1890.75</v>
      </c>
      <c r="AT78" s="13">
        <f t="shared" si="58"/>
        <v>0.25</v>
      </c>
      <c r="AU78" s="2" t="str">
        <f t="shared" si="41"/>
        <v>erreur de calcul</v>
      </c>
      <c r="AV78" s="2"/>
    </row>
    <row r="79" spans="1:48" ht="16.5">
      <c r="A79" s="1" t="s">
        <v>12</v>
      </c>
      <c r="B79" s="3" t="s">
        <v>29</v>
      </c>
      <c r="C79" s="3" t="s">
        <v>219</v>
      </c>
      <c r="D79" s="4">
        <v>1789</v>
      </c>
      <c r="E79" s="3" t="s">
        <v>22</v>
      </c>
      <c r="F79" s="3" t="s">
        <v>22</v>
      </c>
      <c r="G79" s="31">
        <v>20</v>
      </c>
      <c r="H79" s="31" t="s">
        <v>231</v>
      </c>
      <c r="I79" s="5">
        <v>6</v>
      </c>
      <c r="J79" s="5"/>
      <c r="K79" s="6"/>
      <c r="L79" s="11">
        <f t="shared" si="55"/>
        <v>6</v>
      </c>
      <c r="M79" s="7" t="s">
        <v>15</v>
      </c>
      <c r="N79" s="31"/>
      <c r="O79" s="9"/>
      <c r="P79" s="9" t="str">
        <f t="shared" si="42"/>
        <v/>
      </c>
      <c r="Q79" s="9"/>
      <c r="R79" s="30">
        <f t="shared" si="39"/>
        <v>0</v>
      </c>
      <c r="S79" s="9"/>
      <c r="T79" s="30">
        <f t="shared" si="43"/>
        <v>0</v>
      </c>
      <c r="U79" s="9"/>
      <c r="V79" s="30">
        <f t="shared" si="44"/>
        <v>0</v>
      </c>
      <c r="W79" s="9">
        <v>1220</v>
      </c>
      <c r="X79" s="30">
        <v>7320</v>
      </c>
      <c r="Y79" s="9"/>
      <c r="Z79" s="30">
        <f t="shared" si="46"/>
        <v>0</v>
      </c>
      <c r="AA79" s="9"/>
      <c r="AB79" s="30">
        <f t="shared" si="47"/>
        <v>0</v>
      </c>
      <c r="AC79" s="9"/>
      <c r="AD79" s="30">
        <f t="shared" si="53"/>
        <v>0</v>
      </c>
      <c r="AE79" s="9"/>
      <c r="AF79" s="30">
        <f t="shared" si="48"/>
        <v>0</v>
      </c>
      <c r="AG79" s="9"/>
      <c r="AH79" s="30">
        <f t="shared" si="49"/>
        <v>0</v>
      </c>
      <c r="AI79" s="9"/>
      <c r="AJ79" s="30">
        <f t="shared" si="50"/>
        <v>0</v>
      </c>
      <c r="AK79" s="9"/>
      <c r="AL79" s="30">
        <f t="shared" si="51"/>
        <v>0</v>
      </c>
      <c r="AM79" s="10">
        <v>1220</v>
      </c>
      <c r="AN79" s="31">
        <v>7320</v>
      </c>
      <c r="AO79" s="15">
        <f t="shared" si="54"/>
        <v>7320</v>
      </c>
      <c r="AP79" s="9">
        <f t="shared" si="56"/>
        <v>0</v>
      </c>
      <c r="AQ79" s="28">
        <f t="shared" si="52"/>
        <v>1220</v>
      </c>
      <c r="AR79" s="8">
        <f t="shared" si="57"/>
        <v>0</v>
      </c>
      <c r="AS79" s="29">
        <f t="shared" si="40"/>
        <v>7320</v>
      </c>
      <c r="AT79" s="13">
        <f t="shared" si="58"/>
        <v>0</v>
      </c>
      <c r="AU79" s="2" t="str">
        <f t="shared" si="41"/>
        <v/>
      </c>
      <c r="AV79" s="2"/>
    </row>
    <row r="80" spans="1:48" ht="16.5">
      <c r="A80" s="1" t="s">
        <v>12</v>
      </c>
      <c r="B80" s="3" t="s">
        <v>29</v>
      </c>
      <c r="C80" s="3" t="s">
        <v>219</v>
      </c>
      <c r="D80" s="4">
        <v>1789</v>
      </c>
      <c r="E80" s="3" t="s">
        <v>22</v>
      </c>
      <c r="F80" s="3" t="s">
        <v>22</v>
      </c>
      <c r="G80" s="31">
        <v>20</v>
      </c>
      <c r="H80" s="31" t="s">
        <v>232</v>
      </c>
      <c r="I80" s="5">
        <v>3</v>
      </c>
      <c r="J80" s="5">
        <v>10</v>
      </c>
      <c r="K80" s="6"/>
      <c r="L80" s="11">
        <f t="shared" si="55"/>
        <v>3.5</v>
      </c>
      <c r="M80" s="7" t="s">
        <v>15</v>
      </c>
      <c r="N80" s="31"/>
      <c r="O80" s="9"/>
      <c r="P80" s="9" t="str">
        <f t="shared" si="42"/>
        <v/>
      </c>
      <c r="Q80" s="9"/>
      <c r="R80" s="30">
        <f t="shared" si="39"/>
        <v>0</v>
      </c>
      <c r="S80" s="9"/>
      <c r="T80" s="30">
        <f t="shared" si="43"/>
        <v>0</v>
      </c>
      <c r="U80" s="9"/>
      <c r="V80" s="30">
        <f t="shared" si="44"/>
        <v>0</v>
      </c>
      <c r="W80" s="9">
        <v>687</v>
      </c>
      <c r="X80" s="30">
        <v>2404</v>
      </c>
      <c r="Y80" s="9"/>
      <c r="Z80" s="30">
        <f t="shared" si="46"/>
        <v>0</v>
      </c>
      <c r="AA80" s="9"/>
      <c r="AB80" s="30">
        <f t="shared" si="47"/>
        <v>0</v>
      </c>
      <c r="AC80" s="9"/>
      <c r="AD80" s="30">
        <f t="shared" si="53"/>
        <v>0</v>
      </c>
      <c r="AE80" s="9"/>
      <c r="AF80" s="30">
        <f t="shared" si="48"/>
        <v>0</v>
      </c>
      <c r="AG80" s="9"/>
      <c r="AH80" s="30">
        <f t="shared" si="49"/>
        <v>0</v>
      </c>
      <c r="AI80" s="9"/>
      <c r="AJ80" s="30">
        <f t="shared" si="50"/>
        <v>0</v>
      </c>
      <c r="AK80" s="9"/>
      <c r="AL80" s="30">
        <f t="shared" si="51"/>
        <v>0</v>
      </c>
      <c r="AM80" s="10">
        <v>687</v>
      </c>
      <c r="AN80" s="31">
        <v>2404</v>
      </c>
      <c r="AO80" s="15">
        <f t="shared" si="54"/>
        <v>2404</v>
      </c>
      <c r="AP80" s="9">
        <f t="shared" si="56"/>
        <v>0</v>
      </c>
      <c r="AQ80" s="28">
        <f t="shared" si="52"/>
        <v>687</v>
      </c>
      <c r="AR80" s="8">
        <f t="shared" si="57"/>
        <v>0</v>
      </c>
      <c r="AS80" s="29">
        <f t="shared" si="40"/>
        <v>2404.5</v>
      </c>
      <c r="AT80" s="13">
        <f t="shared" si="58"/>
        <v>-0.5</v>
      </c>
      <c r="AU80" s="2" t="str">
        <f t="shared" si="41"/>
        <v>erreur de calcul</v>
      </c>
      <c r="AV80" s="2"/>
    </row>
    <row r="81" spans="1:48" ht="16.5">
      <c r="A81" s="1" t="s">
        <v>12</v>
      </c>
      <c r="B81" s="3" t="s">
        <v>29</v>
      </c>
      <c r="C81" s="3" t="s">
        <v>219</v>
      </c>
      <c r="D81" s="4">
        <v>1789</v>
      </c>
      <c r="E81" s="3" t="s">
        <v>22</v>
      </c>
      <c r="F81" s="3" t="s">
        <v>22</v>
      </c>
      <c r="G81" s="31">
        <v>20</v>
      </c>
      <c r="H81" s="31" t="s">
        <v>233</v>
      </c>
      <c r="I81" s="5">
        <v>8</v>
      </c>
      <c r="J81" s="5"/>
      <c r="K81" s="6"/>
      <c r="L81" s="11">
        <f t="shared" si="55"/>
        <v>8</v>
      </c>
      <c r="M81" s="7" t="s">
        <v>15</v>
      </c>
      <c r="N81" s="31"/>
      <c r="O81" s="9"/>
      <c r="P81" s="9" t="str">
        <f t="shared" si="42"/>
        <v/>
      </c>
      <c r="Q81" s="9"/>
      <c r="R81" s="30">
        <f t="shared" si="39"/>
        <v>0</v>
      </c>
      <c r="S81" s="9"/>
      <c r="T81" s="30">
        <f t="shared" si="43"/>
        <v>0</v>
      </c>
      <c r="U81" s="9">
        <v>155</v>
      </c>
      <c r="V81" s="30">
        <v>1240</v>
      </c>
      <c r="W81" s="9"/>
      <c r="X81" s="30">
        <f t="shared" si="45"/>
        <v>0</v>
      </c>
      <c r="Y81" s="9"/>
      <c r="Z81" s="30">
        <f t="shared" si="46"/>
        <v>0</v>
      </c>
      <c r="AA81" s="9"/>
      <c r="AB81" s="30">
        <f t="shared" si="47"/>
        <v>0</v>
      </c>
      <c r="AC81" s="9"/>
      <c r="AD81" s="30">
        <f t="shared" si="53"/>
        <v>0</v>
      </c>
      <c r="AE81" s="9"/>
      <c r="AF81" s="30">
        <f t="shared" si="48"/>
        <v>0</v>
      </c>
      <c r="AG81" s="9"/>
      <c r="AH81" s="30">
        <f t="shared" si="49"/>
        <v>0</v>
      </c>
      <c r="AI81" s="9"/>
      <c r="AJ81" s="30">
        <f t="shared" si="50"/>
        <v>0</v>
      </c>
      <c r="AK81" s="9"/>
      <c r="AL81" s="30">
        <f t="shared" si="51"/>
        <v>0</v>
      </c>
      <c r="AM81" s="10">
        <v>155</v>
      </c>
      <c r="AN81" s="31">
        <v>1240</v>
      </c>
      <c r="AO81" s="15">
        <f t="shared" si="54"/>
        <v>1240</v>
      </c>
      <c r="AP81" s="9">
        <f t="shared" si="56"/>
        <v>0</v>
      </c>
      <c r="AQ81" s="28">
        <f t="shared" si="52"/>
        <v>155</v>
      </c>
      <c r="AR81" s="8">
        <f t="shared" si="57"/>
        <v>0</v>
      </c>
      <c r="AS81" s="29">
        <f t="shared" si="40"/>
        <v>1240</v>
      </c>
      <c r="AT81" s="13">
        <f t="shared" si="58"/>
        <v>0</v>
      </c>
      <c r="AU81" s="2" t="str">
        <f t="shared" si="41"/>
        <v/>
      </c>
      <c r="AV81" s="2"/>
    </row>
    <row r="82" spans="1:48" ht="16.5">
      <c r="A82" s="1" t="s">
        <v>12</v>
      </c>
      <c r="B82" s="3" t="s">
        <v>29</v>
      </c>
      <c r="C82" s="3" t="s">
        <v>219</v>
      </c>
      <c r="D82" s="4">
        <v>1789</v>
      </c>
      <c r="E82" s="3" t="s">
        <v>22</v>
      </c>
      <c r="F82" s="3" t="s">
        <v>22</v>
      </c>
      <c r="G82" s="31">
        <v>20</v>
      </c>
      <c r="H82" s="31" t="s">
        <v>234</v>
      </c>
      <c r="I82" s="5">
        <v>15</v>
      </c>
      <c r="J82" s="5"/>
      <c r="K82" s="6"/>
      <c r="L82" s="11">
        <f t="shared" si="55"/>
        <v>15</v>
      </c>
      <c r="M82" s="7" t="s">
        <v>14</v>
      </c>
      <c r="N82" s="31" t="s">
        <v>23</v>
      </c>
      <c r="O82" s="9">
        <f>7224/100</f>
        <v>72.239999999999995</v>
      </c>
      <c r="P82" s="9">
        <v>1083</v>
      </c>
      <c r="Q82" s="9"/>
      <c r="R82" s="30">
        <f t="shared" si="39"/>
        <v>0</v>
      </c>
      <c r="S82" s="9"/>
      <c r="T82" s="30">
        <f t="shared" si="43"/>
        <v>0</v>
      </c>
      <c r="U82" s="9"/>
      <c r="V82" s="30">
        <f t="shared" si="44"/>
        <v>0</v>
      </c>
      <c r="W82" s="9"/>
      <c r="X82" s="30">
        <f t="shared" si="45"/>
        <v>0</v>
      </c>
      <c r="Y82" s="9"/>
      <c r="Z82" s="30">
        <f t="shared" si="46"/>
        <v>0</v>
      </c>
      <c r="AA82" s="9"/>
      <c r="AB82" s="30">
        <f t="shared" si="47"/>
        <v>0</v>
      </c>
      <c r="AC82" s="9"/>
      <c r="AD82" s="30">
        <f t="shared" si="53"/>
        <v>0</v>
      </c>
      <c r="AE82" s="9"/>
      <c r="AF82" s="30">
        <f t="shared" si="48"/>
        <v>0</v>
      </c>
      <c r="AG82" s="9"/>
      <c r="AH82" s="30">
        <f t="shared" si="49"/>
        <v>0</v>
      </c>
      <c r="AI82" s="9"/>
      <c r="AJ82" s="30">
        <f t="shared" si="50"/>
        <v>0</v>
      </c>
      <c r="AK82" s="9"/>
      <c r="AL82" s="30">
        <f t="shared" si="51"/>
        <v>0</v>
      </c>
      <c r="AM82" s="10"/>
      <c r="AN82" s="31"/>
      <c r="AO82" s="15">
        <f t="shared" si="54"/>
        <v>0</v>
      </c>
      <c r="AP82" s="9">
        <f t="shared" si="56"/>
        <v>0</v>
      </c>
      <c r="AQ82" s="28">
        <f t="shared" si="52"/>
        <v>0</v>
      </c>
      <c r="AR82" s="8">
        <f t="shared" si="57"/>
        <v>0</v>
      </c>
      <c r="AS82" s="29">
        <f t="shared" si="40"/>
        <v>0</v>
      </c>
      <c r="AT82" s="13">
        <f t="shared" si="58"/>
        <v>0</v>
      </c>
      <c r="AU82" s="2" t="str">
        <f t="shared" si="41"/>
        <v/>
      </c>
      <c r="AV82" s="2"/>
    </row>
    <row r="83" spans="1:48" ht="16.5">
      <c r="A83" s="1" t="s">
        <v>12</v>
      </c>
      <c r="B83" s="3" t="s">
        <v>29</v>
      </c>
      <c r="C83" s="3" t="s">
        <v>219</v>
      </c>
      <c r="D83" s="4">
        <v>1789</v>
      </c>
      <c r="E83" s="3" t="s">
        <v>22</v>
      </c>
      <c r="F83" s="3" t="s">
        <v>22</v>
      </c>
      <c r="G83" s="31">
        <v>20</v>
      </c>
      <c r="H83" s="31" t="s">
        <v>235</v>
      </c>
      <c r="I83" s="5">
        <v>3</v>
      </c>
      <c r="J83" s="5"/>
      <c r="K83" s="6"/>
      <c r="L83" s="11">
        <f t="shared" si="55"/>
        <v>3</v>
      </c>
      <c r="M83" s="7" t="s">
        <v>15</v>
      </c>
      <c r="N83" s="31" t="s">
        <v>23</v>
      </c>
      <c r="O83" s="9">
        <v>570</v>
      </c>
      <c r="P83" s="9">
        <v>1710</v>
      </c>
      <c r="Q83" s="9">
        <v>1436</v>
      </c>
      <c r="R83" s="30">
        <v>4308</v>
      </c>
      <c r="S83" s="9"/>
      <c r="T83" s="30">
        <f t="shared" si="43"/>
        <v>0</v>
      </c>
      <c r="U83" s="9"/>
      <c r="V83" s="30">
        <f t="shared" si="44"/>
        <v>0</v>
      </c>
      <c r="W83" s="9"/>
      <c r="X83" s="30">
        <f t="shared" si="45"/>
        <v>0</v>
      </c>
      <c r="Y83" s="9"/>
      <c r="Z83" s="30">
        <f t="shared" si="46"/>
        <v>0</v>
      </c>
      <c r="AA83" s="9"/>
      <c r="AB83" s="30">
        <f t="shared" si="47"/>
        <v>0</v>
      </c>
      <c r="AC83" s="9"/>
      <c r="AD83" s="30">
        <f t="shared" si="53"/>
        <v>0</v>
      </c>
      <c r="AE83" s="9"/>
      <c r="AF83" s="30">
        <f t="shared" si="48"/>
        <v>0</v>
      </c>
      <c r="AG83" s="9"/>
      <c r="AH83" s="30">
        <f t="shared" si="49"/>
        <v>0</v>
      </c>
      <c r="AI83" s="9"/>
      <c r="AJ83" s="30">
        <f t="shared" si="50"/>
        <v>0</v>
      </c>
      <c r="AK83" s="9"/>
      <c r="AL83" s="30">
        <f t="shared" si="51"/>
        <v>0</v>
      </c>
      <c r="AM83" s="10">
        <v>1436</v>
      </c>
      <c r="AN83" s="31">
        <v>4308</v>
      </c>
      <c r="AO83" s="15">
        <f t="shared" si="54"/>
        <v>4308</v>
      </c>
      <c r="AP83" s="9">
        <f t="shared" si="56"/>
        <v>0</v>
      </c>
      <c r="AQ83" s="28">
        <f t="shared" si="52"/>
        <v>1436</v>
      </c>
      <c r="AR83" s="8">
        <f t="shared" si="57"/>
        <v>0</v>
      </c>
      <c r="AS83" s="29">
        <f t="shared" si="40"/>
        <v>4308</v>
      </c>
      <c r="AT83" s="13">
        <f t="shared" si="58"/>
        <v>0</v>
      </c>
      <c r="AU83" s="2" t="str">
        <f t="shared" si="41"/>
        <v/>
      </c>
      <c r="AV83" s="2"/>
    </row>
    <row r="84" spans="1:48" ht="16.5">
      <c r="A84" s="1" t="s">
        <v>12</v>
      </c>
      <c r="B84" s="3" t="s">
        <v>29</v>
      </c>
      <c r="C84" s="3" t="s">
        <v>219</v>
      </c>
      <c r="D84" s="4">
        <v>1789</v>
      </c>
      <c r="E84" s="3" t="s">
        <v>22</v>
      </c>
      <c r="F84" s="3" t="s">
        <v>22</v>
      </c>
      <c r="G84" s="31">
        <v>20</v>
      </c>
      <c r="H84" s="31" t="s">
        <v>236</v>
      </c>
      <c r="I84" s="5">
        <v>2</v>
      </c>
      <c r="J84" s="5"/>
      <c r="K84" s="6"/>
      <c r="L84" s="11">
        <f t="shared" si="55"/>
        <v>2</v>
      </c>
      <c r="M84" s="7" t="s">
        <v>15</v>
      </c>
      <c r="N84" s="31"/>
      <c r="O84" s="9"/>
      <c r="P84" s="9" t="str">
        <f t="shared" si="42"/>
        <v/>
      </c>
      <c r="Q84" s="9"/>
      <c r="R84" s="30">
        <f t="shared" ref="R84:R93" si="59">Q84*$L84</f>
        <v>0</v>
      </c>
      <c r="S84" s="9"/>
      <c r="T84" s="30">
        <f t="shared" si="43"/>
        <v>0</v>
      </c>
      <c r="U84" s="9">
        <v>600</v>
      </c>
      <c r="V84" s="30">
        <v>1200</v>
      </c>
      <c r="W84" s="9">
        <v>686</v>
      </c>
      <c r="X84" s="30">
        <v>1372</v>
      </c>
      <c r="Y84" s="9"/>
      <c r="Z84" s="30">
        <f t="shared" si="46"/>
        <v>0</v>
      </c>
      <c r="AA84" s="9"/>
      <c r="AB84" s="30">
        <f t="shared" si="47"/>
        <v>0</v>
      </c>
      <c r="AC84" s="9"/>
      <c r="AD84" s="30">
        <f t="shared" si="53"/>
        <v>0</v>
      </c>
      <c r="AE84" s="9"/>
      <c r="AF84" s="30">
        <f t="shared" si="48"/>
        <v>0</v>
      </c>
      <c r="AG84" s="9"/>
      <c r="AH84" s="30">
        <f t="shared" si="49"/>
        <v>0</v>
      </c>
      <c r="AI84" s="9"/>
      <c r="AJ84" s="30">
        <f t="shared" si="50"/>
        <v>0</v>
      </c>
      <c r="AK84" s="9"/>
      <c r="AL84" s="30">
        <f t="shared" si="51"/>
        <v>0</v>
      </c>
      <c r="AM84" s="10">
        <v>1286</v>
      </c>
      <c r="AN84" s="31">
        <v>2572</v>
      </c>
      <c r="AO84" s="15">
        <f t="shared" si="54"/>
        <v>2572</v>
      </c>
      <c r="AP84" s="9">
        <f t="shared" si="56"/>
        <v>0</v>
      </c>
      <c r="AQ84" s="28">
        <f t="shared" si="52"/>
        <v>1286</v>
      </c>
      <c r="AR84" s="8">
        <f t="shared" si="57"/>
        <v>0</v>
      </c>
      <c r="AS84" s="29">
        <f t="shared" si="40"/>
        <v>2572</v>
      </c>
      <c r="AT84" s="13">
        <f t="shared" si="58"/>
        <v>0</v>
      </c>
      <c r="AU84" s="2" t="str">
        <f t="shared" si="41"/>
        <v/>
      </c>
      <c r="AV84" s="2"/>
    </row>
    <row r="85" spans="1:48" ht="16.5">
      <c r="A85" s="1" t="s">
        <v>12</v>
      </c>
      <c r="B85" s="3" t="s">
        <v>29</v>
      </c>
      <c r="C85" s="3" t="s">
        <v>219</v>
      </c>
      <c r="D85" s="4">
        <v>1789</v>
      </c>
      <c r="E85" s="3" t="s">
        <v>22</v>
      </c>
      <c r="F85" s="3" t="s">
        <v>22</v>
      </c>
      <c r="G85" s="31">
        <v>20</v>
      </c>
      <c r="H85" s="31" t="s">
        <v>209</v>
      </c>
      <c r="I85" s="5"/>
      <c r="J85" s="5"/>
      <c r="K85" s="6"/>
      <c r="L85" s="11">
        <f t="shared" si="55"/>
        <v>0</v>
      </c>
      <c r="M85" s="7"/>
      <c r="N85" s="31"/>
      <c r="O85" s="9"/>
      <c r="P85" s="9" t="str">
        <f t="shared" si="42"/>
        <v/>
      </c>
      <c r="Q85" s="9"/>
      <c r="R85" s="30">
        <f t="shared" si="59"/>
        <v>0</v>
      </c>
      <c r="S85" s="9"/>
      <c r="T85" s="30">
        <f t="shared" si="43"/>
        <v>0</v>
      </c>
      <c r="U85" s="9"/>
      <c r="V85" s="30">
        <v>1045</v>
      </c>
      <c r="W85" s="9"/>
      <c r="X85" s="30">
        <v>1974</v>
      </c>
      <c r="Y85" s="9"/>
      <c r="Z85" s="30">
        <f t="shared" si="46"/>
        <v>0</v>
      </c>
      <c r="AA85" s="9"/>
      <c r="AB85" s="30">
        <f t="shared" si="47"/>
        <v>0</v>
      </c>
      <c r="AC85" s="9"/>
      <c r="AD85" s="30">
        <f t="shared" si="53"/>
        <v>0</v>
      </c>
      <c r="AE85" s="9"/>
      <c r="AF85" s="30">
        <f t="shared" si="48"/>
        <v>0</v>
      </c>
      <c r="AG85" s="9"/>
      <c r="AH85" s="30">
        <f t="shared" si="49"/>
        <v>0</v>
      </c>
      <c r="AI85" s="9"/>
      <c r="AJ85" s="30">
        <f t="shared" si="50"/>
        <v>0</v>
      </c>
      <c r="AK85" s="9"/>
      <c r="AL85" s="30">
        <f t="shared" si="51"/>
        <v>0</v>
      </c>
      <c r="AM85" s="10"/>
      <c r="AN85" s="31">
        <v>3019</v>
      </c>
      <c r="AO85" s="15">
        <f t="shared" si="54"/>
        <v>3019</v>
      </c>
      <c r="AP85" s="9">
        <f t="shared" si="56"/>
        <v>0</v>
      </c>
      <c r="AQ85" s="28">
        <f t="shared" si="52"/>
        <v>0</v>
      </c>
      <c r="AR85" s="8">
        <f t="shared" si="57"/>
        <v>0</v>
      </c>
      <c r="AS85" s="29">
        <f t="shared" si="40"/>
        <v>0</v>
      </c>
      <c r="AT85" s="13">
        <f t="shared" si="58"/>
        <v>3019</v>
      </c>
      <c r="AU85" s="2" t="str">
        <f t="shared" si="41"/>
        <v>pas de prix, ni de quantité</v>
      </c>
      <c r="AV85" s="2"/>
    </row>
    <row r="86" spans="1:48" ht="16.5">
      <c r="A86" s="1" t="s">
        <v>12</v>
      </c>
      <c r="B86" s="3" t="s">
        <v>29</v>
      </c>
      <c r="C86" s="3" t="s">
        <v>219</v>
      </c>
      <c r="D86" s="4">
        <v>1789</v>
      </c>
      <c r="E86" s="3" t="s">
        <v>22</v>
      </c>
      <c r="F86" s="3" t="s">
        <v>22</v>
      </c>
      <c r="G86" s="31">
        <v>21</v>
      </c>
      <c r="H86" s="31" t="s">
        <v>237</v>
      </c>
      <c r="I86" s="5">
        <v>1</v>
      </c>
      <c r="J86" s="5"/>
      <c r="K86" s="6"/>
      <c r="L86" s="11">
        <f t="shared" si="55"/>
        <v>1</v>
      </c>
      <c r="M86" s="7" t="s">
        <v>15</v>
      </c>
      <c r="N86" s="31"/>
      <c r="O86" s="9"/>
      <c r="P86" s="9" t="str">
        <f t="shared" si="42"/>
        <v/>
      </c>
      <c r="Q86" s="9"/>
      <c r="R86" s="30">
        <f t="shared" si="59"/>
        <v>0</v>
      </c>
      <c r="S86" s="9"/>
      <c r="T86" s="30">
        <f t="shared" si="43"/>
        <v>0</v>
      </c>
      <c r="U86" s="9"/>
      <c r="V86" s="30">
        <f t="shared" si="44"/>
        <v>0</v>
      </c>
      <c r="W86" s="9">
        <v>3500</v>
      </c>
      <c r="X86" s="30">
        <v>3500</v>
      </c>
      <c r="Y86" s="9">
        <v>6488</v>
      </c>
      <c r="Z86" s="30">
        <v>6488</v>
      </c>
      <c r="AA86" s="9"/>
      <c r="AB86" s="30">
        <f t="shared" si="47"/>
        <v>0</v>
      </c>
      <c r="AC86" s="9"/>
      <c r="AD86" s="30">
        <f t="shared" si="53"/>
        <v>0</v>
      </c>
      <c r="AE86" s="9"/>
      <c r="AF86" s="30">
        <f t="shared" si="48"/>
        <v>0</v>
      </c>
      <c r="AG86" s="9"/>
      <c r="AH86" s="30">
        <f t="shared" si="49"/>
        <v>0</v>
      </c>
      <c r="AI86" s="9"/>
      <c r="AJ86" s="30">
        <f t="shared" si="50"/>
        <v>0</v>
      </c>
      <c r="AK86" s="9"/>
      <c r="AL86" s="30">
        <f t="shared" si="51"/>
        <v>0</v>
      </c>
      <c r="AM86" s="10">
        <v>9988</v>
      </c>
      <c r="AN86" s="31">
        <v>9988</v>
      </c>
      <c r="AO86" s="15">
        <f t="shared" si="54"/>
        <v>9988</v>
      </c>
      <c r="AP86" s="9">
        <f t="shared" si="56"/>
        <v>0</v>
      </c>
      <c r="AQ86" s="28">
        <f t="shared" si="52"/>
        <v>9988</v>
      </c>
      <c r="AR86" s="8">
        <f t="shared" si="57"/>
        <v>0</v>
      </c>
      <c r="AS86" s="29">
        <f t="shared" si="40"/>
        <v>9988</v>
      </c>
      <c r="AT86" s="13">
        <f t="shared" si="58"/>
        <v>0</v>
      </c>
      <c r="AU86" s="2" t="str">
        <f t="shared" si="41"/>
        <v/>
      </c>
      <c r="AV86" s="2"/>
    </row>
    <row r="87" spans="1:48" ht="16.5">
      <c r="A87" s="1" t="s">
        <v>12</v>
      </c>
      <c r="B87" s="3" t="s">
        <v>29</v>
      </c>
      <c r="C87" s="3" t="s">
        <v>219</v>
      </c>
      <c r="D87" s="4">
        <v>1789</v>
      </c>
      <c r="E87" s="3" t="s">
        <v>22</v>
      </c>
      <c r="F87" s="3" t="s">
        <v>22</v>
      </c>
      <c r="G87" s="31">
        <v>21</v>
      </c>
      <c r="H87" s="31" t="s">
        <v>238</v>
      </c>
      <c r="I87" s="5">
        <v>45</v>
      </c>
      <c r="J87" s="5"/>
      <c r="K87" s="6"/>
      <c r="L87" s="11">
        <f t="shared" si="55"/>
        <v>45</v>
      </c>
      <c r="M87" s="7" t="s">
        <v>14</v>
      </c>
      <c r="N87" s="31"/>
      <c r="O87" s="9"/>
      <c r="P87" s="9" t="str">
        <f t="shared" si="42"/>
        <v/>
      </c>
      <c r="Q87" s="9"/>
      <c r="R87" s="30">
        <f t="shared" si="59"/>
        <v>0</v>
      </c>
      <c r="S87" s="9"/>
      <c r="T87" s="30">
        <f t="shared" si="43"/>
        <v>0</v>
      </c>
      <c r="U87" s="9">
        <f>29150/100</f>
        <v>291.5</v>
      </c>
      <c r="V87" s="30">
        <v>13117</v>
      </c>
      <c r="W87" s="9"/>
      <c r="X87" s="30">
        <f t="shared" si="45"/>
        <v>0</v>
      </c>
      <c r="Y87" s="9">
        <f>3235/100</f>
        <v>32.35</v>
      </c>
      <c r="Z87" s="30">
        <v>1456</v>
      </c>
      <c r="AA87" s="9"/>
      <c r="AB87" s="30">
        <f t="shared" si="47"/>
        <v>0</v>
      </c>
      <c r="AC87" s="9"/>
      <c r="AD87" s="30">
        <f t="shared" si="53"/>
        <v>0</v>
      </c>
      <c r="AE87" s="9">
        <f>28700/100</f>
        <v>287</v>
      </c>
      <c r="AF87" s="30">
        <v>12915</v>
      </c>
      <c r="AG87" s="9">
        <f>5029/100</f>
        <v>50.29</v>
      </c>
      <c r="AH87" s="30">
        <v>2263</v>
      </c>
      <c r="AI87" s="9">
        <f>18322/100</f>
        <v>183.22</v>
      </c>
      <c r="AJ87" s="30">
        <v>8244</v>
      </c>
      <c r="AK87" s="9"/>
      <c r="AL87" s="30">
        <f t="shared" si="51"/>
        <v>0</v>
      </c>
      <c r="AM87" s="10">
        <f>84436/100</f>
        <v>844.36</v>
      </c>
      <c r="AN87" s="31">
        <v>37995</v>
      </c>
      <c r="AO87" s="15">
        <f t="shared" si="54"/>
        <v>37995</v>
      </c>
      <c r="AP87" s="9">
        <f t="shared" si="56"/>
        <v>0</v>
      </c>
      <c r="AQ87" s="28">
        <f t="shared" si="52"/>
        <v>844.36</v>
      </c>
      <c r="AR87" s="8">
        <f t="shared" si="57"/>
        <v>0</v>
      </c>
      <c r="AS87" s="29">
        <f t="shared" si="40"/>
        <v>37996.199999999997</v>
      </c>
      <c r="AT87" s="13">
        <f t="shared" si="58"/>
        <v>-1.1999999999970896</v>
      </c>
      <c r="AU87" s="2" t="str">
        <f t="shared" si="41"/>
        <v>erreur de calcul</v>
      </c>
      <c r="AV87" s="2"/>
    </row>
    <row r="88" spans="1:48" ht="16.5">
      <c r="A88" s="1" t="s">
        <v>12</v>
      </c>
      <c r="B88" s="3" t="s">
        <v>29</v>
      </c>
      <c r="C88" s="3" t="s">
        <v>219</v>
      </c>
      <c r="D88" s="4">
        <v>1789</v>
      </c>
      <c r="E88" s="3" t="s">
        <v>22</v>
      </c>
      <c r="F88" s="3" t="s">
        <v>22</v>
      </c>
      <c r="G88" s="31">
        <v>21</v>
      </c>
      <c r="H88" s="31" t="s">
        <v>239</v>
      </c>
      <c r="I88" s="5">
        <v>9</v>
      </c>
      <c r="J88" s="5"/>
      <c r="K88" s="6"/>
      <c r="L88" s="11">
        <f t="shared" si="55"/>
        <v>9</v>
      </c>
      <c r="M88" s="7" t="s">
        <v>15</v>
      </c>
      <c r="N88" s="31"/>
      <c r="O88" s="9"/>
      <c r="P88" s="9" t="str">
        <f t="shared" si="42"/>
        <v/>
      </c>
      <c r="Q88" s="9"/>
      <c r="R88" s="30">
        <f t="shared" si="59"/>
        <v>0</v>
      </c>
      <c r="S88" s="9"/>
      <c r="T88" s="30">
        <f t="shared" si="43"/>
        <v>0</v>
      </c>
      <c r="U88" s="9"/>
      <c r="V88" s="30">
        <f t="shared" si="44"/>
        <v>0</v>
      </c>
      <c r="W88" s="9"/>
      <c r="X88" s="30">
        <f t="shared" si="45"/>
        <v>0</v>
      </c>
      <c r="Y88" s="9">
        <v>795</v>
      </c>
      <c r="Z88" s="30">
        <v>7155</v>
      </c>
      <c r="AA88" s="9"/>
      <c r="AB88" s="30">
        <f t="shared" si="47"/>
        <v>0</v>
      </c>
      <c r="AC88" s="9"/>
      <c r="AD88" s="30">
        <f t="shared" si="53"/>
        <v>0</v>
      </c>
      <c r="AE88" s="9"/>
      <c r="AF88" s="30">
        <f t="shared" si="48"/>
        <v>0</v>
      </c>
      <c r="AG88" s="9"/>
      <c r="AH88" s="30">
        <f t="shared" si="49"/>
        <v>0</v>
      </c>
      <c r="AI88" s="9"/>
      <c r="AJ88" s="30">
        <f t="shared" si="50"/>
        <v>0</v>
      </c>
      <c r="AK88" s="9"/>
      <c r="AL88" s="30">
        <f t="shared" si="51"/>
        <v>0</v>
      </c>
      <c r="AM88" s="10">
        <v>795</v>
      </c>
      <c r="AN88" s="31">
        <v>7155</v>
      </c>
      <c r="AO88" s="15">
        <f t="shared" si="54"/>
        <v>7155</v>
      </c>
      <c r="AP88" s="9">
        <f t="shared" si="56"/>
        <v>0</v>
      </c>
      <c r="AQ88" s="28">
        <f t="shared" si="52"/>
        <v>795</v>
      </c>
      <c r="AR88" s="8">
        <f t="shared" si="57"/>
        <v>0</v>
      </c>
      <c r="AS88" s="29">
        <f t="shared" si="40"/>
        <v>7155</v>
      </c>
      <c r="AT88" s="13">
        <f t="shared" si="58"/>
        <v>0</v>
      </c>
      <c r="AU88" s="2" t="str">
        <f t="shared" si="41"/>
        <v/>
      </c>
      <c r="AV88" s="2"/>
    </row>
    <row r="89" spans="1:48" ht="16.5">
      <c r="A89" s="1" t="s">
        <v>12</v>
      </c>
      <c r="B89" s="3" t="s">
        <v>29</v>
      </c>
      <c r="C89" s="3" t="s">
        <v>219</v>
      </c>
      <c r="D89" s="4">
        <v>1789</v>
      </c>
      <c r="E89" s="3" t="s">
        <v>22</v>
      </c>
      <c r="F89" s="3" t="s">
        <v>22</v>
      </c>
      <c r="G89" s="31">
        <v>21</v>
      </c>
      <c r="H89" s="31" t="s">
        <v>240</v>
      </c>
      <c r="I89" s="5">
        <v>15</v>
      </c>
      <c r="J89" s="5"/>
      <c r="K89" s="6"/>
      <c r="L89" s="11">
        <f t="shared" si="55"/>
        <v>15</v>
      </c>
      <c r="M89" s="7" t="s">
        <v>14</v>
      </c>
      <c r="N89" s="31"/>
      <c r="O89" s="9"/>
      <c r="P89" s="9" t="str">
        <f t="shared" si="42"/>
        <v/>
      </c>
      <c r="Q89" s="9"/>
      <c r="R89" s="30">
        <f t="shared" si="59"/>
        <v>0</v>
      </c>
      <c r="S89" s="9"/>
      <c r="T89" s="30">
        <f t="shared" si="43"/>
        <v>0</v>
      </c>
      <c r="U89" s="9"/>
      <c r="V89" s="30">
        <f t="shared" si="44"/>
        <v>0</v>
      </c>
      <c r="W89" s="9">
        <f>79347/100</f>
        <v>793.47</v>
      </c>
      <c r="X89" s="30">
        <v>11902</v>
      </c>
      <c r="Y89" s="9">
        <f>73144/100</f>
        <v>731.44</v>
      </c>
      <c r="Z89" s="30">
        <v>10972</v>
      </c>
      <c r="AA89" s="9"/>
      <c r="AB89" s="30">
        <f t="shared" si="47"/>
        <v>0</v>
      </c>
      <c r="AC89" s="9"/>
      <c r="AD89" s="30">
        <f t="shared" si="53"/>
        <v>0</v>
      </c>
      <c r="AE89" s="9">
        <f>3057/100</f>
        <v>30.57</v>
      </c>
      <c r="AF89" s="30">
        <v>459</v>
      </c>
      <c r="AG89" s="9"/>
      <c r="AH89" s="30">
        <f t="shared" si="49"/>
        <v>0</v>
      </c>
      <c r="AI89" s="9"/>
      <c r="AJ89" s="30">
        <f t="shared" si="50"/>
        <v>0</v>
      </c>
      <c r="AK89" s="9"/>
      <c r="AL89" s="30">
        <f t="shared" si="51"/>
        <v>0</v>
      </c>
      <c r="AM89" s="10">
        <f>155548/100</f>
        <v>1555.48</v>
      </c>
      <c r="AN89" s="31">
        <v>23333</v>
      </c>
      <c r="AO89" s="15">
        <f t="shared" si="54"/>
        <v>23333</v>
      </c>
      <c r="AP89" s="9">
        <f t="shared" si="56"/>
        <v>0</v>
      </c>
      <c r="AQ89" s="28">
        <f t="shared" si="52"/>
        <v>1555.48</v>
      </c>
      <c r="AR89" s="8">
        <f t="shared" si="57"/>
        <v>0</v>
      </c>
      <c r="AS89" s="29">
        <f t="shared" si="40"/>
        <v>23332.2</v>
      </c>
      <c r="AT89" s="13">
        <f t="shared" si="58"/>
        <v>0.7999999999992724</v>
      </c>
      <c r="AU89" s="2" t="str">
        <f t="shared" si="41"/>
        <v>erreur de calcul</v>
      </c>
      <c r="AV89" s="2"/>
    </row>
    <row r="90" spans="1:48" ht="16.5">
      <c r="A90" s="1" t="s">
        <v>12</v>
      </c>
      <c r="B90" s="3" t="s">
        <v>29</v>
      </c>
      <c r="C90" s="3" t="s">
        <v>219</v>
      </c>
      <c r="D90" s="4">
        <v>1789</v>
      </c>
      <c r="E90" s="3" t="s">
        <v>22</v>
      </c>
      <c r="F90" s="3" t="s">
        <v>22</v>
      </c>
      <c r="G90" s="31">
        <v>21</v>
      </c>
      <c r="H90" s="31" t="s">
        <v>241</v>
      </c>
      <c r="I90" s="5">
        <v>40</v>
      </c>
      <c r="J90" s="5"/>
      <c r="K90" s="6"/>
      <c r="L90" s="11">
        <f t="shared" si="55"/>
        <v>40</v>
      </c>
      <c r="M90" s="7" t="s">
        <v>14</v>
      </c>
      <c r="N90" s="31"/>
      <c r="O90" s="9"/>
      <c r="P90" s="9" t="str">
        <f t="shared" si="42"/>
        <v/>
      </c>
      <c r="Q90" s="9"/>
      <c r="R90" s="30">
        <f t="shared" si="59"/>
        <v>0</v>
      </c>
      <c r="S90" s="9"/>
      <c r="T90" s="30">
        <f t="shared" si="43"/>
        <v>0</v>
      </c>
      <c r="U90" s="9">
        <f>3250/100</f>
        <v>32.5</v>
      </c>
      <c r="V90" s="30">
        <v>1300</v>
      </c>
      <c r="W90" s="9">
        <f>165137/100</f>
        <v>1651.37</v>
      </c>
      <c r="X90" s="30">
        <v>66055</v>
      </c>
      <c r="Y90" s="9"/>
      <c r="Z90" s="30">
        <f t="shared" si="46"/>
        <v>0</v>
      </c>
      <c r="AA90" s="9"/>
      <c r="AB90" s="30">
        <f t="shared" si="47"/>
        <v>0</v>
      </c>
      <c r="AC90" s="9"/>
      <c r="AD90" s="30">
        <f t="shared" si="53"/>
        <v>0</v>
      </c>
      <c r="AE90" s="9"/>
      <c r="AF90" s="30">
        <f t="shared" si="48"/>
        <v>0</v>
      </c>
      <c r="AG90" s="9"/>
      <c r="AH90" s="30">
        <f t="shared" si="49"/>
        <v>0</v>
      </c>
      <c r="AI90" s="9"/>
      <c r="AJ90" s="30">
        <f t="shared" si="50"/>
        <v>0</v>
      </c>
      <c r="AK90" s="9"/>
      <c r="AL90" s="30">
        <f t="shared" si="51"/>
        <v>0</v>
      </c>
      <c r="AM90" s="10">
        <f>168387/100</f>
        <v>1683.87</v>
      </c>
      <c r="AN90" s="31">
        <v>67355</v>
      </c>
      <c r="AO90" s="15">
        <f t="shared" si="54"/>
        <v>67355</v>
      </c>
      <c r="AP90" s="9">
        <f t="shared" si="56"/>
        <v>0</v>
      </c>
      <c r="AQ90" s="28">
        <f t="shared" si="52"/>
        <v>1683.87</v>
      </c>
      <c r="AR90" s="8">
        <f t="shared" si="57"/>
        <v>0</v>
      </c>
      <c r="AS90" s="29">
        <f t="shared" si="40"/>
        <v>67354.799999999988</v>
      </c>
      <c r="AT90" s="13">
        <f t="shared" si="58"/>
        <v>0.20000000001164153</v>
      </c>
      <c r="AU90" s="2" t="str">
        <f t="shared" si="41"/>
        <v>erreur de calcul</v>
      </c>
      <c r="AV90" s="2"/>
    </row>
    <row r="91" spans="1:48" ht="16.5">
      <c r="A91" s="1" t="s">
        <v>12</v>
      </c>
      <c r="B91" s="3" t="s">
        <v>29</v>
      </c>
      <c r="C91" s="3" t="s">
        <v>219</v>
      </c>
      <c r="D91" s="4">
        <v>1789</v>
      </c>
      <c r="E91" s="3" t="s">
        <v>22</v>
      </c>
      <c r="F91" s="3" t="s">
        <v>22</v>
      </c>
      <c r="G91" s="31">
        <v>21</v>
      </c>
      <c r="H91" s="31" t="s">
        <v>242</v>
      </c>
      <c r="I91" s="5">
        <v>6</v>
      </c>
      <c r="J91" s="5"/>
      <c r="K91" s="6"/>
      <c r="L91" s="11">
        <f t="shared" si="55"/>
        <v>6</v>
      </c>
      <c r="M91" s="7" t="s">
        <v>15</v>
      </c>
      <c r="N91" s="31"/>
      <c r="O91" s="9"/>
      <c r="P91" s="9" t="str">
        <f t="shared" si="42"/>
        <v/>
      </c>
      <c r="Q91" s="9"/>
      <c r="R91" s="30">
        <f t="shared" si="59"/>
        <v>0</v>
      </c>
      <c r="S91" s="9"/>
      <c r="T91" s="30">
        <f t="shared" si="43"/>
        <v>0</v>
      </c>
      <c r="U91" s="9"/>
      <c r="V91" s="30">
        <f t="shared" si="44"/>
        <v>0</v>
      </c>
      <c r="W91" s="9">
        <v>1143</v>
      </c>
      <c r="X91" s="30">
        <v>6858</v>
      </c>
      <c r="Y91" s="9"/>
      <c r="Z91" s="30">
        <f t="shared" si="46"/>
        <v>0</v>
      </c>
      <c r="AA91" s="9"/>
      <c r="AB91" s="30">
        <f t="shared" si="47"/>
        <v>0</v>
      </c>
      <c r="AC91" s="9"/>
      <c r="AD91" s="30">
        <f t="shared" si="53"/>
        <v>0</v>
      </c>
      <c r="AE91" s="9"/>
      <c r="AF91" s="30">
        <f t="shared" si="48"/>
        <v>0</v>
      </c>
      <c r="AG91" s="9"/>
      <c r="AH91" s="30">
        <f t="shared" si="49"/>
        <v>0</v>
      </c>
      <c r="AI91" s="9"/>
      <c r="AJ91" s="30">
        <f t="shared" si="50"/>
        <v>0</v>
      </c>
      <c r="AK91" s="9"/>
      <c r="AL91" s="30">
        <f t="shared" si="51"/>
        <v>0</v>
      </c>
      <c r="AM91" s="10">
        <v>1143</v>
      </c>
      <c r="AN91" s="31">
        <v>6858</v>
      </c>
      <c r="AO91" s="15">
        <f t="shared" si="54"/>
        <v>6858</v>
      </c>
      <c r="AP91" s="9">
        <f t="shared" si="56"/>
        <v>0</v>
      </c>
      <c r="AQ91" s="28">
        <f t="shared" si="52"/>
        <v>1143</v>
      </c>
      <c r="AR91" s="8">
        <f t="shared" si="57"/>
        <v>0</v>
      </c>
      <c r="AS91" s="29">
        <f t="shared" si="40"/>
        <v>6858</v>
      </c>
      <c r="AT91" s="13">
        <f t="shared" si="58"/>
        <v>0</v>
      </c>
      <c r="AU91" s="2" t="str">
        <f t="shared" si="41"/>
        <v/>
      </c>
      <c r="AV91" s="2"/>
    </row>
    <row r="92" spans="1:48" ht="16.5">
      <c r="A92" s="1" t="s">
        <v>12</v>
      </c>
      <c r="B92" s="3" t="s">
        <v>29</v>
      </c>
      <c r="C92" s="3" t="s">
        <v>219</v>
      </c>
      <c r="D92" s="4">
        <v>1789</v>
      </c>
      <c r="E92" s="3" t="s">
        <v>22</v>
      </c>
      <c r="F92" s="3" t="s">
        <v>22</v>
      </c>
      <c r="G92" s="31">
        <v>21</v>
      </c>
      <c r="H92" s="31" t="s">
        <v>243</v>
      </c>
      <c r="I92" s="5">
        <v>15</v>
      </c>
      <c r="J92" s="5"/>
      <c r="K92" s="6"/>
      <c r="L92" s="11">
        <f t="shared" si="55"/>
        <v>15</v>
      </c>
      <c r="M92" s="7" t="s">
        <v>14</v>
      </c>
      <c r="N92" s="31"/>
      <c r="O92" s="9"/>
      <c r="P92" s="9" t="str">
        <f t="shared" si="42"/>
        <v/>
      </c>
      <c r="Q92" s="9"/>
      <c r="R92" s="30">
        <f t="shared" si="59"/>
        <v>0</v>
      </c>
      <c r="S92" s="9"/>
      <c r="T92" s="30">
        <f t="shared" si="43"/>
        <v>0</v>
      </c>
      <c r="U92" s="9">
        <f>33700/100</f>
        <v>337</v>
      </c>
      <c r="V92" s="30">
        <v>5055</v>
      </c>
      <c r="W92" s="9">
        <f>25370/100</f>
        <v>253.7</v>
      </c>
      <c r="X92" s="30">
        <v>3805</v>
      </c>
      <c r="Y92" s="9"/>
      <c r="Z92" s="30">
        <f t="shared" si="46"/>
        <v>0</v>
      </c>
      <c r="AA92" s="9"/>
      <c r="AB92" s="30">
        <f t="shared" si="47"/>
        <v>0</v>
      </c>
      <c r="AC92" s="9"/>
      <c r="AD92" s="30">
        <f t="shared" si="53"/>
        <v>0</v>
      </c>
      <c r="AE92" s="9"/>
      <c r="AF92" s="30">
        <f t="shared" si="48"/>
        <v>0</v>
      </c>
      <c r="AG92" s="9"/>
      <c r="AH92" s="30">
        <f t="shared" si="49"/>
        <v>0</v>
      </c>
      <c r="AI92" s="9"/>
      <c r="AJ92" s="30">
        <f t="shared" si="50"/>
        <v>0</v>
      </c>
      <c r="AK92" s="9"/>
      <c r="AL92" s="30">
        <f t="shared" si="51"/>
        <v>0</v>
      </c>
      <c r="AM92" s="10">
        <f>59070/100</f>
        <v>590.70000000000005</v>
      </c>
      <c r="AN92" s="31">
        <v>8860</v>
      </c>
      <c r="AO92" s="15">
        <f t="shared" si="54"/>
        <v>8860</v>
      </c>
      <c r="AP92" s="9">
        <f t="shared" si="56"/>
        <v>0</v>
      </c>
      <c r="AQ92" s="28">
        <f t="shared" si="52"/>
        <v>590.70000000000005</v>
      </c>
      <c r="AR92" s="8">
        <f t="shared" si="57"/>
        <v>0</v>
      </c>
      <c r="AS92" s="29">
        <f t="shared" si="40"/>
        <v>8860.5</v>
      </c>
      <c r="AT92" s="13">
        <f t="shared" si="58"/>
        <v>-0.5</v>
      </c>
      <c r="AU92" s="2" t="str">
        <f t="shared" si="41"/>
        <v>erreur de calcul</v>
      </c>
      <c r="AV92" s="2"/>
    </row>
    <row r="93" spans="1:48" ht="16.5">
      <c r="A93" s="1" t="s">
        <v>12</v>
      </c>
      <c r="B93" s="3" t="s">
        <v>29</v>
      </c>
      <c r="C93" s="3" t="s">
        <v>219</v>
      </c>
      <c r="D93" s="4">
        <v>1789</v>
      </c>
      <c r="E93" s="3" t="s">
        <v>22</v>
      </c>
      <c r="F93" s="3" t="s">
        <v>22</v>
      </c>
      <c r="G93" s="31">
        <v>21</v>
      </c>
      <c r="H93" s="31" t="s">
        <v>244</v>
      </c>
      <c r="I93" s="5">
        <v>50</v>
      </c>
      <c r="J93" s="5"/>
      <c r="K93" s="6"/>
      <c r="L93" s="11">
        <f t="shared" si="55"/>
        <v>50</v>
      </c>
      <c r="M93" s="7" t="s">
        <v>14</v>
      </c>
      <c r="N93" s="31"/>
      <c r="O93" s="9"/>
      <c r="P93" s="9" t="str">
        <f t="shared" si="42"/>
        <v/>
      </c>
      <c r="Q93" s="9"/>
      <c r="R93" s="30">
        <f t="shared" si="59"/>
        <v>0</v>
      </c>
      <c r="S93" s="9"/>
      <c r="T93" s="30">
        <f t="shared" si="43"/>
        <v>0</v>
      </c>
      <c r="U93" s="9"/>
      <c r="V93" s="30">
        <f t="shared" si="44"/>
        <v>0</v>
      </c>
      <c r="W93" s="9">
        <f>336161/100</f>
        <v>3361.61</v>
      </c>
      <c r="X93" s="30">
        <v>168080</v>
      </c>
      <c r="Y93" s="9"/>
      <c r="Z93" s="30">
        <f t="shared" si="46"/>
        <v>0</v>
      </c>
      <c r="AA93" s="9">
        <f>9200/100</f>
        <v>92</v>
      </c>
      <c r="AB93" s="30">
        <v>4600</v>
      </c>
      <c r="AC93" s="9"/>
      <c r="AD93" s="30">
        <f t="shared" si="53"/>
        <v>0</v>
      </c>
      <c r="AE93" s="9"/>
      <c r="AF93" s="30">
        <f t="shared" si="48"/>
        <v>0</v>
      </c>
      <c r="AG93" s="9"/>
      <c r="AH93" s="30">
        <f t="shared" si="49"/>
        <v>0</v>
      </c>
      <c r="AI93" s="9"/>
      <c r="AJ93" s="30">
        <f t="shared" si="50"/>
        <v>0</v>
      </c>
      <c r="AK93" s="9"/>
      <c r="AL93" s="30">
        <f t="shared" si="51"/>
        <v>0</v>
      </c>
      <c r="AM93" s="10">
        <f>345361/100</f>
        <v>3453.61</v>
      </c>
      <c r="AN93" s="31">
        <v>172680</v>
      </c>
      <c r="AO93" s="15">
        <f t="shared" si="54"/>
        <v>172680</v>
      </c>
      <c r="AP93" s="9">
        <f t="shared" si="56"/>
        <v>0</v>
      </c>
      <c r="AQ93" s="28">
        <f t="shared" si="52"/>
        <v>3453.61</v>
      </c>
      <c r="AR93" s="8">
        <f t="shared" si="57"/>
        <v>0</v>
      </c>
      <c r="AS93" s="29">
        <f t="shared" si="40"/>
        <v>172680.5</v>
      </c>
      <c r="AT93" s="13">
        <f t="shared" si="58"/>
        <v>-0.5</v>
      </c>
      <c r="AU93" s="2" t="str">
        <f t="shared" si="41"/>
        <v>erreur de calcul</v>
      </c>
      <c r="AV93" s="2"/>
    </row>
    <row r="94" spans="1:48" ht="16.5">
      <c r="A94" s="1" t="s">
        <v>12</v>
      </c>
      <c r="B94" s="3" t="s">
        <v>29</v>
      </c>
      <c r="C94" s="3" t="s">
        <v>219</v>
      </c>
      <c r="D94" s="4">
        <v>1789</v>
      </c>
      <c r="E94" s="3" t="s">
        <v>22</v>
      </c>
      <c r="F94" s="3" t="s">
        <v>22</v>
      </c>
      <c r="G94" s="31">
        <v>21</v>
      </c>
      <c r="H94" s="31" t="s">
        <v>245</v>
      </c>
      <c r="I94" s="5">
        <v>9</v>
      </c>
      <c r="J94" s="5"/>
      <c r="K94" s="6"/>
      <c r="L94" s="11">
        <f t="shared" si="55"/>
        <v>9</v>
      </c>
      <c r="M94" s="7" t="s">
        <v>15</v>
      </c>
      <c r="N94" s="31" t="s">
        <v>21</v>
      </c>
      <c r="O94" s="9">
        <v>6191</v>
      </c>
      <c r="P94" s="9">
        <v>55719</v>
      </c>
      <c r="Q94" s="9">
        <v>237020</v>
      </c>
      <c r="R94" s="30">
        <v>2133180</v>
      </c>
      <c r="S94" s="9"/>
      <c r="T94" s="30">
        <f t="shared" si="43"/>
        <v>0</v>
      </c>
      <c r="U94" s="9">
        <v>9259</v>
      </c>
      <c r="V94" s="30">
        <v>83331</v>
      </c>
      <c r="W94" s="9"/>
      <c r="X94" s="30">
        <f t="shared" si="45"/>
        <v>0</v>
      </c>
      <c r="Y94" s="9">
        <v>520</v>
      </c>
      <c r="Z94" s="30">
        <v>4680</v>
      </c>
      <c r="AA94" s="9"/>
      <c r="AB94" s="30">
        <f t="shared" si="47"/>
        <v>0</v>
      </c>
      <c r="AC94" s="9"/>
      <c r="AD94" s="30">
        <f t="shared" si="53"/>
        <v>0</v>
      </c>
      <c r="AE94" s="9"/>
      <c r="AF94" s="30">
        <f t="shared" si="48"/>
        <v>0</v>
      </c>
      <c r="AG94" s="9"/>
      <c r="AH94" s="30">
        <f t="shared" si="49"/>
        <v>0</v>
      </c>
      <c r="AI94" s="9"/>
      <c r="AJ94" s="30">
        <f t="shared" si="50"/>
        <v>0</v>
      </c>
      <c r="AK94" s="9">
        <v>11930</v>
      </c>
      <c r="AL94" s="30">
        <v>107370</v>
      </c>
      <c r="AM94" s="10">
        <v>258729</v>
      </c>
      <c r="AN94" s="31">
        <v>2328561</v>
      </c>
      <c r="AO94" s="15">
        <f t="shared" si="54"/>
        <v>2328561</v>
      </c>
      <c r="AP94" s="9">
        <f t="shared" si="56"/>
        <v>0</v>
      </c>
      <c r="AQ94" s="28">
        <f t="shared" si="52"/>
        <v>258729</v>
      </c>
      <c r="AR94" s="8">
        <f t="shared" si="57"/>
        <v>0</v>
      </c>
      <c r="AS94" s="29">
        <f t="shared" si="40"/>
        <v>2328561</v>
      </c>
      <c r="AT94" s="13">
        <f t="shared" si="58"/>
        <v>0</v>
      </c>
      <c r="AU94" s="2" t="str">
        <f t="shared" si="41"/>
        <v/>
      </c>
      <c r="AV94" s="2"/>
    </row>
    <row r="95" spans="1:48" ht="16.5">
      <c r="A95" s="1" t="s">
        <v>12</v>
      </c>
      <c r="B95" s="3" t="s">
        <v>29</v>
      </c>
      <c r="C95" s="3" t="s">
        <v>219</v>
      </c>
      <c r="D95" s="4">
        <v>1789</v>
      </c>
      <c r="E95" s="3" t="s">
        <v>22</v>
      </c>
      <c r="F95" s="3" t="s">
        <v>22</v>
      </c>
      <c r="G95" s="31">
        <v>21</v>
      </c>
      <c r="H95" s="31" t="s">
        <v>246</v>
      </c>
      <c r="I95" s="5"/>
      <c r="J95" s="5">
        <v>30</v>
      </c>
      <c r="K95" s="6"/>
      <c r="L95" s="11">
        <f t="shared" si="55"/>
        <v>1.5</v>
      </c>
      <c r="M95" s="7" t="s">
        <v>15</v>
      </c>
      <c r="N95" s="31"/>
      <c r="O95" s="9"/>
      <c r="P95" s="9" t="str">
        <f t="shared" si="42"/>
        <v/>
      </c>
      <c r="Q95" s="9"/>
      <c r="R95" s="30">
        <f t="shared" ref="R95:R103" si="60">Q95*$L95</f>
        <v>0</v>
      </c>
      <c r="S95" s="9"/>
      <c r="T95" s="30">
        <f t="shared" si="43"/>
        <v>0</v>
      </c>
      <c r="U95" s="9"/>
      <c r="V95" s="30">
        <f t="shared" si="44"/>
        <v>0</v>
      </c>
      <c r="W95" s="9">
        <v>13767</v>
      </c>
      <c r="X95" s="30">
        <v>20650</v>
      </c>
      <c r="Y95" s="9"/>
      <c r="Z95" s="30">
        <f t="shared" si="46"/>
        <v>0</v>
      </c>
      <c r="AA95" s="9"/>
      <c r="AB95" s="30">
        <f t="shared" si="47"/>
        <v>0</v>
      </c>
      <c r="AC95" s="9"/>
      <c r="AD95" s="30">
        <f t="shared" si="53"/>
        <v>0</v>
      </c>
      <c r="AE95" s="9"/>
      <c r="AF95" s="30">
        <f t="shared" si="48"/>
        <v>0</v>
      </c>
      <c r="AG95" s="9"/>
      <c r="AH95" s="30">
        <f t="shared" si="49"/>
        <v>0</v>
      </c>
      <c r="AI95" s="9"/>
      <c r="AJ95" s="30">
        <f t="shared" si="50"/>
        <v>0</v>
      </c>
      <c r="AK95" s="9"/>
      <c r="AL95" s="30">
        <f t="shared" si="51"/>
        <v>0</v>
      </c>
      <c r="AM95" s="10">
        <v>13767</v>
      </c>
      <c r="AN95" s="31">
        <v>20650</v>
      </c>
      <c r="AO95" s="15">
        <f t="shared" si="54"/>
        <v>20650</v>
      </c>
      <c r="AP95" s="9">
        <f t="shared" si="56"/>
        <v>0</v>
      </c>
      <c r="AQ95" s="28">
        <f t="shared" si="52"/>
        <v>13767</v>
      </c>
      <c r="AR95" s="8">
        <f t="shared" si="57"/>
        <v>0</v>
      </c>
      <c r="AS95" s="29">
        <f t="shared" si="40"/>
        <v>20650.5</v>
      </c>
      <c r="AT95" s="13">
        <f t="shared" si="58"/>
        <v>-0.5</v>
      </c>
      <c r="AU95" s="2" t="str">
        <f t="shared" si="41"/>
        <v>erreur de calcul</v>
      </c>
      <c r="AV95" s="2"/>
    </row>
    <row r="96" spans="1:48" ht="16.5">
      <c r="A96" s="1" t="s">
        <v>12</v>
      </c>
      <c r="B96" s="3" t="s">
        <v>29</v>
      </c>
      <c r="C96" s="3" t="s">
        <v>219</v>
      </c>
      <c r="D96" s="4">
        <v>1789</v>
      </c>
      <c r="E96" s="3" t="s">
        <v>22</v>
      </c>
      <c r="F96" s="3" t="s">
        <v>22</v>
      </c>
      <c r="G96" s="31">
        <v>21</v>
      </c>
      <c r="H96" s="31" t="s">
        <v>247</v>
      </c>
      <c r="I96" s="5">
        <v>35</v>
      </c>
      <c r="J96" s="5"/>
      <c r="K96" s="6"/>
      <c r="L96" s="11">
        <f t="shared" si="55"/>
        <v>35</v>
      </c>
      <c r="M96" s="7" t="s">
        <v>14</v>
      </c>
      <c r="N96" s="31"/>
      <c r="O96" s="9"/>
      <c r="P96" s="9" t="str">
        <f t="shared" si="42"/>
        <v/>
      </c>
      <c r="Q96" s="9"/>
      <c r="R96" s="30">
        <f t="shared" si="60"/>
        <v>0</v>
      </c>
      <c r="S96" s="9"/>
      <c r="T96" s="30">
        <f t="shared" si="43"/>
        <v>0</v>
      </c>
      <c r="U96" s="9">
        <f>16340/100</f>
        <v>163.4</v>
      </c>
      <c r="V96" s="30">
        <v>5719</v>
      </c>
      <c r="W96" s="9">
        <f>7145/100</f>
        <v>71.45</v>
      </c>
      <c r="X96" s="30">
        <v>2500</v>
      </c>
      <c r="Y96" s="9"/>
      <c r="Z96" s="30">
        <f t="shared" si="46"/>
        <v>0</v>
      </c>
      <c r="AA96" s="9"/>
      <c r="AB96" s="30">
        <f t="shared" si="47"/>
        <v>0</v>
      </c>
      <c r="AC96" s="9"/>
      <c r="AD96" s="30">
        <f t="shared" si="53"/>
        <v>0</v>
      </c>
      <c r="AE96" s="9"/>
      <c r="AF96" s="30">
        <f t="shared" si="48"/>
        <v>0</v>
      </c>
      <c r="AG96" s="9"/>
      <c r="AH96" s="30">
        <f t="shared" si="49"/>
        <v>0</v>
      </c>
      <c r="AI96" s="9"/>
      <c r="AJ96" s="30">
        <f t="shared" si="50"/>
        <v>0</v>
      </c>
      <c r="AK96" s="9"/>
      <c r="AL96" s="30">
        <f t="shared" si="51"/>
        <v>0</v>
      </c>
      <c r="AM96" s="10">
        <f>23485/100</f>
        <v>234.85</v>
      </c>
      <c r="AN96" s="31">
        <v>8219</v>
      </c>
      <c r="AO96" s="15">
        <f t="shared" si="54"/>
        <v>8219</v>
      </c>
      <c r="AP96" s="9">
        <f t="shared" si="56"/>
        <v>0</v>
      </c>
      <c r="AQ96" s="28">
        <f t="shared" si="52"/>
        <v>234.85000000000002</v>
      </c>
      <c r="AR96" s="8">
        <f t="shared" si="57"/>
        <v>0</v>
      </c>
      <c r="AS96" s="29">
        <f t="shared" si="40"/>
        <v>8219.75</v>
      </c>
      <c r="AT96" s="13">
        <f t="shared" si="58"/>
        <v>-0.75</v>
      </c>
      <c r="AU96" s="2" t="str">
        <f t="shared" si="41"/>
        <v>erreur de calcul</v>
      </c>
      <c r="AV96" s="2"/>
    </row>
    <row r="97" spans="1:48" ht="16.5">
      <c r="A97" s="1" t="s">
        <v>12</v>
      </c>
      <c r="B97" s="3" t="s">
        <v>29</v>
      </c>
      <c r="C97" s="3" t="s">
        <v>219</v>
      </c>
      <c r="D97" s="4">
        <v>1789</v>
      </c>
      <c r="E97" s="3" t="s">
        <v>22</v>
      </c>
      <c r="F97" s="3" t="s">
        <v>22</v>
      </c>
      <c r="G97" s="31">
        <v>21</v>
      </c>
      <c r="H97" s="31" t="s">
        <v>248</v>
      </c>
      <c r="I97" s="5">
        <v>40</v>
      </c>
      <c r="J97" s="5"/>
      <c r="K97" s="6"/>
      <c r="L97" s="11">
        <f t="shared" si="55"/>
        <v>40</v>
      </c>
      <c r="M97" s="7" t="s">
        <v>14</v>
      </c>
      <c r="N97" s="31"/>
      <c r="O97" s="9"/>
      <c r="P97" s="9" t="str">
        <f t="shared" si="42"/>
        <v/>
      </c>
      <c r="Q97" s="9"/>
      <c r="R97" s="30">
        <f t="shared" si="60"/>
        <v>0</v>
      </c>
      <c r="S97" s="9"/>
      <c r="T97" s="30">
        <f t="shared" si="43"/>
        <v>0</v>
      </c>
      <c r="U97" s="9">
        <f>10677/100</f>
        <v>106.77</v>
      </c>
      <c r="V97" s="30">
        <v>4271</v>
      </c>
      <c r="W97" s="9">
        <f>1900/100</f>
        <v>19</v>
      </c>
      <c r="X97" s="30">
        <v>760</v>
      </c>
      <c r="Y97" s="9"/>
      <c r="Z97" s="30">
        <f t="shared" si="46"/>
        <v>0</v>
      </c>
      <c r="AA97" s="9"/>
      <c r="AB97" s="30">
        <f t="shared" si="47"/>
        <v>0</v>
      </c>
      <c r="AC97" s="9"/>
      <c r="AD97" s="30">
        <f t="shared" si="53"/>
        <v>0</v>
      </c>
      <c r="AE97" s="9"/>
      <c r="AF97" s="30">
        <f t="shared" si="48"/>
        <v>0</v>
      </c>
      <c r="AG97" s="9"/>
      <c r="AH97" s="30">
        <f t="shared" si="49"/>
        <v>0</v>
      </c>
      <c r="AI97" s="9"/>
      <c r="AJ97" s="30">
        <f t="shared" si="50"/>
        <v>0</v>
      </c>
      <c r="AK97" s="9"/>
      <c r="AL97" s="30">
        <f t="shared" si="51"/>
        <v>0</v>
      </c>
      <c r="AM97" s="10">
        <f>12577/100</f>
        <v>125.77</v>
      </c>
      <c r="AN97" s="31">
        <v>5031</v>
      </c>
      <c r="AO97" s="15">
        <f t="shared" si="54"/>
        <v>5031</v>
      </c>
      <c r="AP97" s="9">
        <f t="shared" si="56"/>
        <v>0</v>
      </c>
      <c r="AQ97" s="28">
        <f t="shared" si="52"/>
        <v>125.77</v>
      </c>
      <c r="AR97" s="8">
        <f t="shared" si="57"/>
        <v>0</v>
      </c>
      <c r="AS97" s="29">
        <f t="shared" si="40"/>
        <v>5030.8</v>
      </c>
      <c r="AT97" s="13">
        <f t="shared" si="58"/>
        <v>0.1999999999998181</v>
      </c>
      <c r="AU97" s="2" t="str">
        <f t="shared" si="41"/>
        <v>erreur de calcul</v>
      </c>
      <c r="AV97" s="2"/>
    </row>
    <row r="98" spans="1:48" ht="16.5">
      <c r="A98" s="1" t="s">
        <v>12</v>
      </c>
      <c r="B98" s="3" t="s">
        <v>29</v>
      </c>
      <c r="C98" s="3" t="s">
        <v>219</v>
      </c>
      <c r="D98" s="4">
        <v>1789</v>
      </c>
      <c r="E98" s="3" t="s">
        <v>22</v>
      </c>
      <c r="F98" s="3" t="s">
        <v>22</v>
      </c>
      <c r="G98" s="31">
        <v>21</v>
      </c>
      <c r="H98" s="31" t="s">
        <v>249</v>
      </c>
      <c r="I98" s="5">
        <v>40</v>
      </c>
      <c r="J98" s="5"/>
      <c r="K98" s="6"/>
      <c r="L98" s="11">
        <f t="shared" si="55"/>
        <v>40</v>
      </c>
      <c r="M98" s="7" t="s">
        <v>14</v>
      </c>
      <c r="N98" s="31"/>
      <c r="O98" s="9"/>
      <c r="P98" s="9" t="str">
        <f t="shared" si="42"/>
        <v/>
      </c>
      <c r="Q98" s="9"/>
      <c r="R98" s="30">
        <f t="shared" si="60"/>
        <v>0</v>
      </c>
      <c r="S98" s="9"/>
      <c r="T98" s="30">
        <f t="shared" si="43"/>
        <v>0</v>
      </c>
      <c r="U98" s="9">
        <f>55728/100</f>
        <v>557.28</v>
      </c>
      <c r="V98" s="30">
        <v>22291</v>
      </c>
      <c r="W98" s="9">
        <f>10230/100</f>
        <v>102.3</v>
      </c>
      <c r="X98" s="30">
        <v>4092</v>
      </c>
      <c r="Y98" s="9"/>
      <c r="Z98" s="30">
        <f t="shared" si="46"/>
        <v>0</v>
      </c>
      <c r="AA98" s="9"/>
      <c r="AB98" s="30">
        <f t="shared" si="47"/>
        <v>0</v>
      </c>
      <c r="AC98" s="9"/>
      <c r="AD98" s="30">
        <f t="shared" si="53"/>
        <v>0</v>
      </c>
      <c r="AE98" s="9"/>
      <c r="AF98" s="30">
        <f t="shared" si="48"/>
        <v>0</v>
      </c>
      <c r="AG98" s="9"/>
      <c r="AH98" s="30">
        <f t="shared" si="49"/>
        <v>0</v>
      </c>
      <c r="AI98" s="9"/>
      <c r="AJ98" s="30">
        <f t="shared" si="50"/>
        <v>0</v>
      </c>
      <c r="AK98" s="9"/>
      <c r="AL98" s="30">
        <f t="shared" si="51"/>
        <v>0</v>
      </c>
      <c r="AM98" s="10">
        <f>65958/100</f>
        <v>659.58</v>
      </c>
      <c r="AN98" s="31">
        <v>26383</v>
      </c>
      <c r="AO98" s="15">
        <f t="shared" si="54"/>
        <v>26383</v>
      </c>
      <c r="AP98" s="9">
        <f t="shared" si="56"/>
        <v>0</v>
      </c>
      <c r="AQ98" s="28">
        <f t="shared" si="52"/>
        <v>659.57999999999993</v>
      </c>
      <c r="AR98" s="8">
        <f t="shared" si="57"/>
        <v>0</v>
      </c>
      <c r="AS98" s="29">
        <f t="shared" si="40"/>
        <v>26383.199999999997</v>
      </c>
      <c r="AT98" s="13">
        <f t="shared" si="58"/>
        <v>-0.19999999999708962</v>
      </c>
      <c r="AU98" s="2" t="str">
        <f t="shared" si="41"/>
        <v>erreur de calcul</v>
      </c>
      <c r="AV98" s="2"/>
    </row>
    <row r="99" spans="1:48" ht="16.5">
      <c r="A99" s="1" t="s">
        <v>12</v>
      </c>
      <c r="B99" s="3" t="s">
        <v>29</v>
      </c>
      <c r="C99" s="3" t="s">
        <v>219</v>
      </c>
      <c r="D99" s="4">
        <v>1789</v>
      </c>
      <c r="E99" s="3" t="s">
        <v>22</v>
      </c>
      <c r="F99" s="3" t="s">
        <v>22</v>
      </c>
      <c r="G99" s="31">
        <v>21</v>
      </c>
      <c r="H99" s="31" t="s">
        <v>250</v>
      </c>
      <c r="I99" s="5"/>
      <c r="J99" s="5">
        <v>30</v>
      </c>
      <c r="K99" s="6"/>
      <c r="L99" s="11">
        <f t="shared" si="55"/>
        <v>1.5</v>
      </c>
      <c r="M99" s="7" t="s">
        <v>15</v>
      </c>
      <c r="N99" s="31"/>
      <c r="O99" s="9"/>
      <c r="P99" s="9" t="str">
        <f t="shared" si="42"/>
        <v/>
      </c>
      <c r="Q99" s="9"/>
      <c r="R99" s="30">
        <f t="shared" si="60"/>
        <v>0</v>
      </c>
      <c r="S99" s="9"/>
      <c r="T99" s="30">
        <f t="shared" si="43"/>
        <v>0</v>
      </c>
      <c r="U99" s="9"/>
      <c r="V99" s="30">
        <f t="shared" si="44"/>
        <v>0</v>
      </c>
      <c r="W99" s="9"/>
      <c r="X99" s="30">
        <f t="shared" si="45"/>
        <v>0</v>
      </c>
      <c r="Y99" s="9">
        <v>940</v>
      </c>
      <c r="Z99" s="30">
        <v>1410</v>
      </c>
      <c r="AA99" s="9"/>
      <c r="AB99" s="30">
        <f t="shared" si="47"/>
        <v>0</v>
      </c>
      <c r="AC99" s="9"/>
      <c r="AD99" s="30">
        <f t="shared" si="53"/>
        <v>0</v>
      </c>
      <c r="AE99" s="9"/>
      <c r="AF99" s="30">
        <f t="shared" si="48"/>
        <v>0</v>
      </c>
      <c r="AG99" s="9"/>
      <c r="AH99" s="30">
        <f t="shared" si="49"/>
        <v>0</v>
      </c>
      <c r="AI99" s="9"/>
      <c r="AJ99" s="30">
        <f t="shared" si="50"/>
        <v>0</v>
      </c>
      <c r="AK99" s="9"/>
      <c r="AL99" s="30">
        <f t="shared" si="51"/>
        <v>0</v>
      </c>
      <c r="AM99" s="10">
        <f>940</f>
        <v>940</v>
      </c>
      <c r="AN99" s="31">
        <v>1410</v>
      </c>
      <c r="AO99" s="15">
        <f t="shared" si="54"/>
        <v>1410</v>
      </c>
      <c r="AP99" s="9">
        <f t="shared" si="56"/>
        <v>0</v>
      </c>
      <c r="AQ99" s="28">
        <f t="shared" si="52"/>
        <v>940</v>
      </c>
      <c r="AR99" s="8">
        <f t="shared" si="57"/>
        <v>0</v>
      </c>
      <c r="AS99" s="29">
        <f t="shared" si="40"/>
        <v>1410</v>
      </c>
      <c r="AT99" s="13">
        <f t="shared" si="58"/>
        <v>0</v>
      </c>
      <c r="AU99" s="2" t="str">
        <f t="shared" si="41"/>
        <v/>
      </c>
      <c r="AV99" s="2"/>
    </row>
    <row r="100" spans="1:48" ht="16.5">
      <c r="A100" s="1" t="s">
        <v>12</v>
      </c>
      <c r="B100" s="3" t="s">
        <v>29</v>
      </c>
      <c r="C100" s="3" t="s">
        <v>219</v>
      </c>
      <c r="D100" s="4">
        <v>1789</v>
      </c>
      <c r="E100" s="3" t="s">
        <v>22</v>
      </c>
      <c r="F100" s="3" t="s">
        <v>22</v>
      </c>
      <c r="G100" s="31">
        <v>21</v>
      </c>
      <c r="H100" s="31" t="s">
        <v>251</v>
      </c>
      <c r="I100" s="5">
        <v>60</v>
      </c>
      <c r="J100" s="5"/>
      <c r="K100" s="6"/>
      <c r="L100" s="11">
        <f t="shared" si="55"/>
        <v>60</v>
      </c>
      <c r="M100" s="7" t="s">
        <v>14</v>
      </c>
      <c r="N100" s="31"/>
      <c r="O100" s="9"/>
      <c r="P100" s="9" t="str">
        <f t="shared" si="42"/>
        <v/>
      </c>
      <c r="Q100" s="9"/>
      <c r="R100" s="30">
        <f t="shared" si="60"/>
        <v>0</v>
      </c>
      <c r="S100" s="9"/>
      <c r="T100" s="30">
        <f t="shared" si="43"/>
        <v>0</v>
      </c>
      <c r="U100" s="9">
        <f>400/100</f>
        <v>4</v>
      </c>
      <c r="V100" s="30">
        <v>240</v>
      </c>
      <c r="W100" s="9">
        <f>2220/100</f>
        <v>22.2</v>
      </c>
      <c r="X100" s="32">
        <v>2332</v>
      </c>
      <c r="Y100" s="9">
        <f>649/100</f>
        <v>6.49</v>
      </c>
      <c r="Z100" s="30">
        <v>389</v>
      </c>
      <c r="AA100" s="9"/>
      <c r="AB100" s="30">
        <f t="shared" si="47"/>
        <v>0</v>
      </c>
      <c r="AC100" s="9"/>
      <c r="AD100" s="30">
        <f t="shared" si="53"/>
        <v>0</v>
      </c>
      <c r="AE100" s="9">
        <f>20000/100</f>
        <v>200</v>
      </c>
      <c r="AF100" s="30">
        <v>12000</v>
      </c>
      <c r="AG100" s="9"/>
      <c r="AH100" s="30">
        <f t="shared" si="49"/>
        <v>0</v>
      </c>
      <c r="AI100" s="9"/>
      <c r="AJ100" s="30">
        <f t="shared" si="50"/>
        <v>0</v>
      </c>
      <c r="AK100" s="9"/>
      <c r="AL100" s="30">
        <f t="shared" si="51"/>
        <v>0</v>
      </c>
      <c r="AM100" s="10">
        <f>23269/100</f>
        <v>232.69</v>
      </c>
      <c r="AN100" s="31">
        <v>14961</v>
      </c>
      <c r="AO100" s="15">
        <f t="shared" si="54"/>
        <v>14961</v>
      </c>
      <c r="AP100" s="9">
        <f t="shared" si="56"/>
        <v>0</v>
      </c>
      <c r="AQ100" s="28">
        <f t="shared" si="52"/>
        <v>232.69</v>
      </c>
      <c r="AR100" s="8">
        <f t="shared" si="57"/>
        <v>0</v>
      </c>
      <c r="AS100" s="29">
        <f t="shared" si="40"/>
        <v>13961.4</v>
      </c>
      <c r="AT100" s="13">
        <f t="shared" si="58"/>
        <v>999.60000000000036</v>
      </c>
      <c r="AU100" s="2" t="str">
        <f>IF(AT100=0,"",IF(AT100&lt;&gt;AN100,"erreur de calcul",IF(AQ100&lt;&gt;0,"pas de prix",IF(L100&lt;&gt; 0,"pas de quantité","pas de prix, ni de quantité"))))</f>
        <v>erreur de calcul</v>
      </c>
      <c r="AV100" s="2" t="s">
        <v>294</v>
      </c>
    </row>
    <row r="101" spans="1:48" ht="16.5">
      <c r="A101" s="1" t="s">
        <v>12</v>
      </c>
      <c r="B101" s="3" t="s">
        <v>29</v>
      </c>
      <c r="C101" s="3" t="s">
        <v>219</v>
      </c>
      <c r="D101" s="4">
        <v>1789</v>
      </c>
      <c r="E101" s="3" t="s">
        <v>22</v>
      </c>
      <c r="F101" s="3" t="s">
        <v>22</v>
      </c>
      <c r="G101" s="31">
        <v>21</v>
      </c>
      <c r="H101" s="31" t="s">
        <v>252</v>
      </c>
      <c r="I101" s="5">
        <v>22</v>
      </c>
      <c r="J101" s="5"/>
      <c r="K101" s="6"/>
      <c r="L101" s="11">
        <f t="shared" si="55"/>
        <v>22</v>
      </c>
      <c r="M101" s="7" t="s">
        <v>14</v>
      </c>
      <c r="N101" s="31"/>
      <c r="O101" s="9"/>
      <c r="P101" s="9" t="str">
        <f t="shared" si="42"/>
        <v/>
      </c>
      <c r="Q101" s="9"/>
      <c r="R101" s="30">
        <f t="shared" si="60"/>
        <v>0</v>
      </c>
      <c r="S101" s="9"/>
      <c r="T101" s="30">
        <f t="shared" si="43"/>
        <v>0</v>
      </c>
      <c r="U101" s="9"/>
      <c r="V101" s="30">
        <f t="shared" si="44"/>
        <v>0</v>
      </c>
      <c r="W101" s="9">
        <f>7270/100</f>
        <v>72.7</v>
      </c>
      <c r="X101" s="30">
        <v>1599</v>
      </c>
      <c r="Y101" s="9"/>
      <c r="Z101" s="30">
        <f t="shared" si="46"/>
        <v>0</v>
      </c>
      <c r="AA101" s="9"/>
      <c r="AB101" s="30">
        <f t="shared" si="47"/>
        <v>0</v>
      </c>
      <c r="AC101" s="9"/>
      <c r="AD101" s="30">
        <f t="shared" si="53"/>
        <v>0</v>
      </c>
      <c r="AE101" s="9"/>
      <c r="AF101" s="30">
        <f t="shared" si="48"/>
        <v>0</v>
      </c>
      <c r="AG101" s="9"/>
      <c r="AH101" s="30">
        <f t="shared" si="49"/>
        <v>0</v>
      </c>
      <c r="AI101" s="9"/>
      <c r="AJ101" s="30">
        <f t="shared" si="50"/>
        <v>0</v>
      </c>
      <c r="AK101" s="9"/>
      <c r="AL101" s="30">
        <f t="shared" si="51"/>
        <v>0</v>
      </c>
      <c r="AM101" s="10">
        <f>7270/100</f>
        <v>72.7</v>
      </c>
      <c r="AN101" s="31">
        <v>1599</v>
      </c>
      <c r="AO101" s="15">
        <f t="shared" si="54"/>
        <v>1599</v>
      </c>
      <c r="AP101" s="9">
        <f t="shared" si="56"/>
        <v>0</v>
      </c>
      <c r="AQ101" s="28">
        <f t="shared" si="52"/>
        <v>72.7</v>
      </c>
      <c r="AR101" s="8">
        <f t="shared" si="57"/>
        <v>0</v>
      </c>
      <c r="AS101" s="29">
        <f t="shared" si="40"/>
        <v>1599.4</v>
      </c>
      <c r="AT101" s="13">
        <f t="shared" si="58"/>
        <v>-0.40000000000009095</v>
      </c>
      <c r="AU101" s="2" t="str">
        <f t="shared" si="41"/>
        <v>erreur de calcul</v>
      </c>
      <c r="AV101" s="2"/>
    </row>
    <row r="102" spans="1:48" ht="16.5">
      <c r="A102" s="1" t="s">
        <v>12</v>
      </c>
      <c r="B102" s="3" t="s">
        <v>29</v>
      </c>
      <c r="C102" s="3" t="s">
        <v>219</v>
      </c>
      <c r="D102" s="4">
        <v>1789</v>
      </c>
      <c r="E102" s="3" t="s">
        <v>22</v>
      </c>
      <c r="F102" s="3" t="s">
        <v>22</v>
      </c>
      <c r="G102" s="31">
        <v>21</v>
      </c>
      <c r="H102" s="31" t="s">
        <v>253</v>
      </c>
      <c r="I102" s="5"/>
      <c r="J102" s="5">
        <v>44</v>
      </c>
      <c r="K102" s="6"/>
      <c r="L102" s="11">
        <f t="shared" si="55"/>
        <v>2.2000000000000002</v>
      </c>
      <c r="M102" s="7" t="s">
        <v>15</v>
      </c>
      <c r="N102" s="31"/>
      <c r="O102" s="9"/>
      <c r="P102" s="9" t="str">
        <f t="shared" si="42"/>
        <v/>
      </c>
      <c r="Q102" s="9"/>
      <c r="R102" s="30">
        <f t="shared" si="60"/>
        <v>0</v>
      </c>
      <c r="S102" s="9"/>
      <c r="T102" s="30">
        <f t="shared" si="43"/>
        <v>0</v>
      </c>
      <c r="U102" s="9"/>
      <c r="V102" s="30">
        <f t="shared" si="44"/>
        <v>0</v>
      </c>
      <c r="W102" s="9">
        <v>4920</v>
      </c>
      <c r="X102" s="30">
        <v>10824</v>
      </c>
      <c r="Y102" s="9"/>
      <c r="Z102" s="30">
        <f t="shared" si="46"/>
        <v>0</v>
      </c>
      <c r="AA102" s="9"/>
      <c r="AB102" s="30">
        <f t="shared" si="47"/>
        <v>0</v>
      </c>
      <c r="AC102" s="9"/>
      <c r="AD102" s="30">
        <f t="shared" si="53"/>
        <v>0</v>
      </c>
      <c r="AE102" s="9"/>
      <c r="AF102" s="30">
        <f t="shared" si="48"/>
        <v>0</v>
      </c>
      <c r="AG102" s="9"/>
      <c r="AH102" s="30">
        <f t="shared" si="49"/>
        <v>0</v>
      </c>
      <c r="AI102" s="9"/>
      <c r="AJ102" s="30">
        <f t="shared" si="50"/>
        <v>0</v>
      </c>
      <c r="AK102" s="9"/>
      <c r="AL102" s="30">
        <f t="shared" si="51"/>
        <v>0</v>
      </c>
      <c r="AM102" s="10">
        <v>4920</v>
      </c>
      <c r="AN102" s="31">
        <v>10824</v>
      </c>
      <c r="AO102" s="15">
        <f t="shared" si="54"/>
        <v>10824</v>
      </c>
      <c r="AP102" s="9">
        <f t="shared" si="56"/>
        <v>0</v>
      </c>
      <c r="AQ102" s="28">
        <f t="shared" si="52"/>
        <v>4920</v>
      </c>
      <c r="AR102" s="8">
        <f t="shared" si="57"/>
        <v>0</v>
      </c>
      <c r="AS102" s="29">
        <f t="shared" si="40"/>
        <v>10824</v>
      </c>
      <c r="AT102" s="13">
        <f t="shared" si="58"/>
        <v>0</v>
      </c>
      <c r="AU102" s="2" t="str">
        <f t="shared" si="41"/>
        <v/>
      </c>
      <c r="AV102" s="2"/>
    </row>
    <row r="103" spans="1:48" ht="16.5">
      <c r="A103" s="1" t="s">
        <v>12</v>
      </c>
      <c r="B103" s="3" t="s">
        <v>29</v>
      </c>
      <c r="C103" s="3" t="s">
        <v>219</v>
      </c>
      <c r="D103" s="4">
        <v>1789</v>
      </c>
      <c r="E103" s="3" t="s">
        <v>22</v>
      </c>
      <c r="F103" s="3" t="s">
        <v>22</v>
      </c>
      <c r="G103" s="31">
        <v>21</v>
      </c>
      <c r="H103" s="31" t="s">
        <v>279</v>
      </c>
      <c r="I103" s="5"/>
      <c r="J103" s="5"/>
      <c r="K103" s="6"/>
      <c r="L103" s="11">
        <f t="shared" si="55"/>
        <v>0</v>
      </c>
      <c r="M103" s="7" t="s">
        <v>42</v>
      </c>
      <c r="N103" s="31" t="s">
        <v>23</v>
      </c>
      <c r="O103" s="9">
        <f>2+34/288</f>
        <v>2.1180555555555554</v>
      </c>
      <c r="P103" s="9">
        <v>610</v>
      </c>
      <c r="Q103" s="9"/>
      <c r="R103" s="30">
        <f t="shared" si="60"/>
        <v>0</v>
      </c>
      <c r="S103" s="9"/>
      <c r="T103" s="30">
        <f t="shared" si="43"/>
        <v>0</v>
      </c>
      <c r="U103" s="9"/>
      <c r="V103" s="30">
        <f t="shared" si="44"/>
        <v>0</v>
      </c>
      <c r="W103" s="9"/>
      <c r="X103" s="30">
        <f t="shared" si="45"/>
        <v>0</v>
      </c>
      <c r="Y103" s="9"/>
      <c r="Z103" s="30">
        <f t="shared" si="46"/>
        <v>0</v>
      </c>
      <c r="AA103" s="9"/>
      <c r="AB103" s="30">
        <f t="shared" si="47"/>
        <v>0</v>
      </c>
      <c r="AC103" s="9"/>
      <c r="AD103" s="30">
        <f t="shared" si="53"/>
        <v>0</v>
      </c>
      <c r="AE103" s="9"/>
      <c r="AF103" s="30">
        <f t="shared" si="48"/>
        <v>0</v>
      </c>
      <c r="AG103" s="9"/>
      <c r="AH103" s="30">
        <f t="shared" si="49"/>
        <v>0</v>
      </c>
      <c r="AI103" s="9"/>
      <c r="AJ103" s="30">
        <f t="shared" si="50"/>
        <v>0</v>
      </c>
      <c r="AK103" s="9"/>
      <c r="AL103" s="30">
        <f t="shared" si="51"/>
        <v>0</v>
      </c>
      <c r="AM103" s="10"/>
      <c r="AN103" s="31"/>
      <c r="AO103" s="15">
        <f t="shared" si="54"/>
        <v>0</v>
      </c>
      <c r="AP103" s="9">
        <f t="shared" si="56"/>
        <v>0</v>
      </c>
      <c r="AQ103" s="28">
        <f t="shared" si="52"/>
        <v>0</v>
      </c>
      <c r="AR103" s="8">
        <f t="shared" si="57"/>
        <v>0</v>
      </c>
      <c r="AS103" s="29">
        <f t="shared" si="40"/>
        <v>0</v>
      </c>
      <c r="AT103" s="13">
        <f t="shared" si="58"/>
        <v>0</v>
      </c>
      <c r="AU103" s="2" t="str">
        <f t="shared" si="41"/>
        <v/>
      </c>
      <c r="AV103" s="2"/>
    </row>
    <row r="104" spans="1:48" ht="16.5">
      <c r="A104" s="1" t="s">
        <v>12</v>
      </c>
      <c r="B104" s="3" t="s">
        <v>29</v>
      </c>
      <c r="C104" s="3" t="s">
        <v>219</v>
      </c>
      <c r="D104" s="4">
        <v>1789</v>
      </c>
      <c r="E104" s="3" t="s">
        <v>22</v>
      </c>
      <c r="F104" s="3" t="s">
        <v>22</v>
      </c>
      <c r="G104" s="31">
        <v>21</v>
      </c>
      <c r="H104" s="31" t="s">
        <v>114</v>
      </c>
      <c r="I104" s="5">
        <v>14</v>
      </c>
      <c r="J104" s="5"/>
      <c r="K104" s="6"/>
      <c r="L104" s="11">
        <f t="shared" si="55"/>
        <v>14</v>
      </c>
      <c r="M104" s="7" t="s">
        <v>15</v>
      </c>
      <c r="N104" s="31"/>
      <c r="O104" s="9"/>
      <c r="P104" s="9" t="str">
        <f t="shared" si="42"/>
        <v/>
      </c>
      <c r="Q104" s="9">
        <v>734</v>
      </c>
      <c r="R104" s="30">
        <v>10276</v>
      </c>
      <c r="S104" s="9"/>
      <c r="T104" s="30">
        <f t="shared" si="43"/>
        <v>0</v>
      </c>
      <c r="U104" s="9"/>
      <c r="V104" s="30">
        <f t="shared" si="44"/>
        <v>0</v>
      </c>
      <c r="W104" s="9"/>
      <c r="X104" s="30">
        <f t="shared" si="45"/>
        <v>0</v>
      </c>
      <c r="Y104" s="9"/>
      <c r="Z104" s="30">
        <f t="shared" si="46"/>
        <v>0</v>
      </c>
      <c r="AA104" s="9"/>
      <c r="AB104" s="30">
        <f t="shared" si="47"/>
        <v>0</v>
      </c>
      <c r="AC104" s="9"/>
      <c r="AD104" s="30">
        <f t="shared" si="53"/>
        <v>0</v>
      </c>
      <c r="AE104" s="9"/>
      <c r="AF104" s="30">
        <f t="shared" si="48"/>
        <v>0</v>
      </c>
      <c r="AG104" s="9"/>
      <c r="AH104" s="30">
        <f t="shared" si="49"/>
        <v>0</v>
      </c>
      <c r="AI104" s="9"/>
      <c r="AJ104" s="30">
        <f t="shared" si="50"/>
        <v>0</v>
      </c>
      <c r="AK104" s="9"/>
      <c r="AL104" s="30">
        <f t="shared" si="51"/>
        <v>0</v>
      </c>
      <c r="AM104" s="10">
        <v>734</v>
      </c>
      <c r="AN104" s="31">
        <v>10276</v>
      </c>
      <c r="AO104" s="15">
        <f t="shared" si="54"/>
        <v>10276</v>
      </c>
      <c r="AP104" s="9">
        <f t="shared" si="56"/>
        <v>0</v>
      </c>
      <c r="AQ104" s="28">
        <f t="shared" si="52"/>
        <v>734</v>
      </c>
      <c r="AR104" s="8">
        <f t="shared" si="57"/>
        <v>0</v>
      </c>
      <c r="AS104" s="29">
        <f t="shared" si="40"/>
        <v>10276</v>
      </c>
      <c r="AT104" s="13">
        <f t="shared" si="58"/>
        <v>0</v>
      </c>
      <c r="AU104" s="2" t="str">
        <f t="shared" si="41"/>
        <v/>
      </c>
      <c r="AV104" s="2"/>
    </row>
    <row r="105" spans="1:48" ht="16.5">
      <c r="A105" s="1" t="s">
        <v>12</v>
      </c>
      <c r="B105" s="3" t="s">
        <v>29</v>
      </c>
      <c r="C105" s="3" t="s">
        <v>219</v>
      </c>
      <c r="D105" s="4">
        <v>1789</v>
      </c>
      <c r="E105" s="3" t="s">
        <v>22</v>
      </c>
      <c r="F105" s="3" t="s">
        <v>22</v>
      </c>
      <c r="G105" s="31">
        <v>21</v>
      </c>
      <c r="H105" s="31" t="s">
        <v>115</v>
      </c>
      <c r="I105" s="5">
        <v>15</v>
      </c>
      <c r="J105" s="5"/>
      <c r="K105" s="6"/>
      <c r="L105" s="11">
        <f t="shared" si="55"/>
        <v>15</v>
      </c>
      <c r="M105" s="7" t="s">
        <v>15</v>
      </c>
      <c r="N105" s="31"/>
      <c r="O105" s="9"/>
      <c r="P105" s="9" t="str">
        <f t="shared" si="42"/>
        <v/>
      </c>
      <c r="Q105" s="9"/>
      <c r="R105" s="30">
        <f>Q105*$L105</f>
        <v>0</v>
      </c>
      <c r="S105" s="9"/>
      <c r="T105" s="30">
        <f t="shared" si="43"/>
        <v>0</v>
      </c>
      <c r="U105" s="9">
        <v>8</v>
      </c>
      <c r="V105" s="30">
        <v>120</v>
      </c>
      <c r="W105" s="9">
        <v>943</v>
      </c>
      <c r="X105" s="30">
        <v>14145</v>
      </c>
      <c r="Y105" s="9"/>
      <c r="Z105" s="30">
        <f t="shared" si="46"/>
        <v>0</v>
      </c>
      <c r="AA105" s="9"/>
      <c r="AB105" s="30">
        <f t="shared" si="47"/>
        <v>0</v>
      </c>
      <c r="AC105" s="9"/>
      <c r="AD105" s="30">
        <f t="shared" si="53"/>
        <v>0</v>
      </c>
      <c r="AE105" s="9"/>
      <c r="AF105" s="30">
        <f t="shared" si="48"/>
        <v>0</v>
      </c>
      <c r="AG105" s="9"/>
      <c r="AH105" s="30">
        <f t="shared" si="49"/>
        <v>0</v>
      </c>
      <c r="AI105" s="9"/>
      <c r="AJ105" s="30">
        <f t="shared" si="50"/>
        <v>0</v>
      </c>
      <c r="AK105" s="9"/>
      <c r="AL105" s="30">
        <f t="shared" si="51"/>
        <v>0</v>
      </c>
      <c r="AM105" s="10">
        <v>951</v>
      </c>
      <c r="AN105" s="31">
        <v>14265</v>
      </c>
      <c r="AO105" s="15">
        <f t="shared" si="54"/>
        <v>14265</v>
      </c>
      <c r="AP105" s="9">
        <f t="shared" si="56"/>
        <v>0</v>
      </c>
      <c r="AQ105" s="28">
        <f t="shared" si="52"/>
        <v>951</v>
      </c>
      <c r="AR105" s="8">
        <f t="shared" si="57"/>
        <v>0</v>
      </c>
      <c r="AS105" s="29">
        <f t="shared" si="40"/>
        <v>14265</v>
      </c>
      <c r="AT105" s="13">
        <f t="shared" si="58"/>
        <v>0</v>
      </c>
      <c r="AU105" s="2" t="str">
        <f t="shared" si="41"/>
        <v/>
      </c>
      <c r="AV105" s="2"/>
    </row>
    <row r="106" spans="1:48" ht="16.5">
      <c r="A106" s="1" t="s">
        <v>12</v>
      </c>
      <c r="B106" s="3" t="s">
        <v>29</v>
      </c>
      <c r="C106" s="3" t="s">
        <v>219</v>
      </c>
      <c r="D106" s="4">
        <v>1789</v>
      </c>
      <c r="E106" s="3" t="s">
        <v>22</v>
      </c>
      <c r="F106" s="3" t="s">
        <v>22</v>
      </c>
      <c r="G106" s="31">
        <v>21</v>
      </c>
      <c r="H106" s="31" t="s">
        <v>254</v>
      </c>
      <c r="I106" s="5">
        <v>11</v>
      </c>
      <c r="J106" s="5"/>
      <c r="K106" s="6"/>
      <c r="L106" s="11">
        <f t="shared" si="55"/>
        <v>11</v>
      </c>
      <c r="M106" s="7" t="s">
        <v>15</v>
      </c>
      <c r="N106" s="31"/>
      <c r="O106" s="9"/>
      <c r="P106" s="9" t="str">
        <f t="shared" si="42"/>
        <v/>
      </c>
      <c r="Q106" s="9"/>
      <c r="R106" s="30">
        <f>Q106*$L106</f>
        <v>0</v>
      </c>
      <c r="S106" s="9"/>
      <c r="T106" s="30">
        <f t="shared" si="43"/>
        <v>0</v>
      </c>
      <c r="U106" s="9"/>
      <c r="V106" s="30">
        <f t="shared" si="44"/>
        <v>0</v>
      </c>
      <c r="W106" s="9">
        <v>3022</v>
      </c>
      <c r="X106" s="30">
        <v>33242</v>
      </c>
      <c r="Y106" s="9"/>
      <c r="Z106" s="30">
        <f t="shared" si="46"/>
        <v>0</v>
      </c>
      <c r="AA106" s="9"/>
      <c r="AB106" s="30">
        <f t="shared" si="47"/>
        <v>0</v>
      </c>
      <c r="AC106" s="9"/>
      <c r="AD106" s="30">
        <f t="shared" si="53"/>
        <v>0</v>
      </c>
      <c r="AE106" s="9"/>
      <c r="AF106" s="30">
        <f t="shared" si="48"/>
        <v>0</v>
      </c>
      <c r="AG106" s="9"/>
      <c r="AH106" s="30">
        <f t="shared" si="49"/>
        <v>0</v>
      </c>
      <c r="AI106" s="9"/>
      <c r="AJ106" s="30">
        <f t="shared" si="50"/>
        <v>0</v>
      </c>
      <c r="AK106" s="9"/>
      <c r="AL106" s="30">
        <f t="shared" si="51"/>
        <v>0</v>
      </c>
      <c r="AM106" s="10">
        <v>3022</v>
      </c>
      <c r="AN106" s="31">
        <v>33242</v>
      </c>
      <c r="AO106" s="15">
        <f t="shared" si="54"/>
        <v>33242</v>
      </c>
      <c r="AP106" s="9">
        <f t="shared" si="56"/>
        <v>0</v>
      </c>
      <c r="AQ106" s="28">
        <f t="shared" si="52"/>
        <v>3022</v>
      </c>
      <c r="AR106" s="8">
        <f t="shared" si="57"/>
        <v>0</v>
      </c>
      <c r="AS106" s="29">
        <f t="shared" si="40"/>
        <v>33242</v>
      </c>
      <c r="AT106" s="13">
        <f t="shared" si="58"/>
        <v>0</v>
      </c>
      <c r="AU106" s="2" t="str">
        <f t="shared" si="41"/>
        <v/>
      </c>
      <c r="AV106" s="2"/>
    </row>
    <row r="107" spans="1:48" ht="16.5">
      <c r="A107" s="1" t="s">
        <v>12</v>
      </c>
      <c r="B107" s="3" t="s">
        <v>29</v>
      </c>
      <c r="C107" s="3" t="s">
        <v>219</v>
      </c>
      <c r="D107" s="4">
        <v>1789</v>
      </c>
      <c r="E107" s="3" t="s">
        <v>22</v>
      </c>
      <c r="F107" s="3" t="s">
        <v>22</v>
      </c>
      <c r="G107" s="31">
        <v>21</v>
      </c>
      <c r="H107" s="31" t="s">
        <v>255</v>
      </c>
      <c r="I107" s="5">
        <v>15</v>
      </c>
      <c r="J107" s="5"/>
      <c r="K107" s="6"/>
      <c r="L107" s="11">
        <f t="shared" si="55"/>
        <v>15</v>
      </c>
      <c r="M107" s="7" t="s">
        <v>15</v>
      </c>
      <c r="N107" s="31"/>
      <c r="O107" s="9"/>
      <c r="P107" s="9" t="str">
        <f t="shared" si="42"/>
        <v/>
      </c>
      <c r="Q107" s="9"/>
      <c r="R107" s="30">
        <f>Q107*$L107</f>
        <v>0</v>
      </c>
      <c r="S107" s="9"/>
      <c r="T107" s="30">
        <f t="shared" si="43"/>
        <v>0</v>
      </c>
      <c r="U107" s="9"/>
      <c r="V107" s="30">
        <f t="shared" si="44"/>
        <v>0</v>
      </c>
      <c r="W107" s="9">
        <v>678</v>
      </c>
      <c r="X107" s="30">
        <v>10170</v>
      </c>
      <c r="Y107" s="9"/>
      <c r="Z107" s="30">
        <f t="shared" si="46"/>
        <v>0</v>
      </c>
      <c r="AA107" s="9"/>
      <c r="AB107" s="30">
        <f t="shared" si="47"/>
        <v>0</v>
      </c>
      <c r="AC107" s="9"/>
      <c r="AD107" s="30">
        <f t="shared" si="53"/>
        <v>0</v>
      </c>
      <c r="AE107" s="9"/>
      <c r="AF107" s="30">
        <f t="shared" si="48"/>
        <v>0</v>
      </c>
      <c r="AG107" s="9"/>
      <c r="AH107" s="30">
        <f t="shared" si="49"/>
        <v>0</v>
      </c>
      <c r="AI107" s="9"/>
      <c r="AJ107" s="30">
        <f t="shared" si="50"/>
        <v>0</v>
      </c>
      <c r="AK107" s="9"/>
      <c r="AL107" s="30">
        <f t="shared" si="51"/>
        <v>0</v>
      </c>
      <c r="AM107" s="10">
        <v>678</v>
      </c>
      <c r="AN107" s="31">
        <v>10170</v>
      </c>
      <c r="AO107" s="15">
        <f t="shared" si="54"/>
        <v>10170</v>
      </c>
      <c r="AP107" s="9">
        <f t="shared" si="56"/>
        <v>0</v>
      </c>
      <c r="AQ107" s="28">
        <f t="shared" si="52"/>
        <v>678</v>
      </c>
      <c r="AR107" s="8">
        <f t="shared" si="57"/>
        <v>0</v>
      </c>
      <c r="AS107" s="29">
        <f t="shared" si="40"/>
        <v>10170</v>
      </c>
      <c r="AT107" s="13">
        <f t="shared" si="58"/>
        <v>0</v>
      </c>
      <c r="AU107" s="2" t="str">
        <f t="shared" si="41"/>
        <v/>
      </c>
      <c r="AV107" s="2"/>
    </row>
    <row r="108" spans="1:48" ht="16.5">
      <c r="A108" s="1" t="s">
        <v>12</v>
      </c>
      <c r="B108" s="3" t="s">
        <v>29</v>
      </c>
      <c r="C108" s="3" t="s">
        <v>219</v>
      </c>
      <c r="D108" s="4">
        <v>1789</v>
      </c>
      <c r="E108" s="3" t="s">
        <v>22</v>
      </c>
      <c r="F108" s="3" t="s">
        <v>22</v>
      </c>
      <c r="G108" s="31">
        <v>21</v>
      </c>
      <c r="H108" s="31" t="s">
        <v>256</v>
      </c>
      <c r="I108" s="5"/>
      <c r="J108" s="5">
        <v>20</v>
      </c>
      <c r="K108" s="6"/>
      <c r="L108" s="11">
        <f t="shared" si="55"/>
        <v>1</v>
      </c>
      <c r="M108" s="7" t="s">
        <v>15</v>
      </c>
      <c r="N108" s="31"/>
      <c r="O108" s="9"/>
      <c r="P108" s="9" t="str">
        <f t="shared" si="42"/>
        <v/>
      </c>
      <c r="Q108" s="9"/>
      <c r="R108" s="30">
        <f>Q108*$L108</f>
        <v>0</v>
      </c>
      <c r="S108" s="9"/>
      <c r="T108" s="30">
        <f t="shared" si="43"/>
        <v>0</v>
      </c>
      <c r="U108" s="9">
        <v>8607</v>
      </c>
      <c r="V108" s="30">
        <v>8607</v>
      </c>
      <c r="W108" s="9">
        <v>570</v>
      </c>
      <c r="X108" s="30">
        <v>570</v>
      </c>
      <c r="Y108" s="9"/>
      <c r="Z108" s="30">
        <f t="shared" si="46"/>
        <v>0</v>
      </c>
      <c r="AA108" s="9"/>
      <c r="AB108" s="30">
        <f t="shared" si="47"/>
        <v>0</v>
      </c>
      <c r="AC108" s="9"/>
      <c r="AD108" s="30">
        <f t="shared" si="53"/>
        <v>0</v>
      </c>
      <c r="AE108" s="9"/>
      <c r="AF108" s="30">
        <f t="shared" si="48"/>
        <v>0</v>
      </c>
      <c r="AG108" s="9"/>
      <c r="AH108" s="30">
        <f t="shared" si="49"/>
        <v>0</v>
      </c>
      <c r="AI108" s="9"/>
      <c r="AJ108" s="30">
        <f t="shared" si="50"/>
        <v>0</v>
      </c>
      <c r="AK108" s="9"/>
      <c r="AL108" s="30">
        <f t="shared" si="51"/>
        <v>0</v>
      </c>
      <c r="AM108" s="10">
        <v>9177</v>
      </c>
      <c r="AN108" s="31">
        <v>9177</v>
      </c>
      <c r="AO108" s="15">
        <f t="shared" si="54"/>
        <v>9177</v>
      </c>
      <c r="AP108" s="9">
        <f t="shared" si="56"/>
        <v>0</v>
      </c>
      <c r="AQ108" s="28">
        <f t="shared" si="52"/>
        <v>9177</v>
      </c>
      <c r="AR108" s="8">
        <f t="shared" si="57"/>
        <v>0</v>
      </c>
      <c r="AS108" s="29">
        <f t="shared" si="40"/>
        <v>9177</v>
      </c>
      <c r="AT108" s="13">
        <f t="shared" si="58"/>
        <v>0</v>
      </c>
      <c r="AU108" s="2" t="str">
        <f t="shared" si="41"/>
        <v/>
      </c>
      <c r="AV108" s="2"/>
    </row>
    <row r="109" spans="1:48" ht="16.5">
      <c r="A109" s="1" t="s">
        <v>12</v>
      </c>
      <c r="B109" s="3" t="s">
        <v>29</v>
      </c>
      <c r="C109" s="3" t="s">
        <v>219</v>
      </c>
      <c r="D109" s="4">
        <v>1789</v>
      </c>
      <c r="E109" s="3" t="s">
        <v>22</v>
      </c>
      <c r="F109" s="3" t="s">
        <v>22</v>
      </c>
      <c r="G109" s="31">
        <v>21</v>
      </c>
      <c r="H109" s="31" t="s">
        <v>257</v>
      </c>
      <c r="I109" s="5"/>
      <c r="J109" s="5">
        <v>50</v>
      </c>
      <c r="K109" s="6"/>
      <c r="L109" s="11">
        <f t="shared" si="55"/>
        <v>2.5</v>
      </c>
      <c r="M109" s="7" t="s">
        <v>15</v>
      </c>
      <c r="N109" s="31"/>
      <c r="O109" s="9"/>
      <c r="P109" s="9" t="str">
        <f t="shared" si="42"/>
        <v/>
      </c>
      <c r="Q109" s="9">
        <v>34040</v>
      </c>
      <c r="R109" s="30">
        <v>85100</v>
      </c>
      <c r="S109" s="9"/>
      <c r="T109" s="30">
        <f t="shared" si="43"/>
        <v>0</v>
      </c>
      <c r="U109" s="9"/>
      <c r="V109" s="30">
        <f t="shared" si="44"/>
        <v>0</v>
      </c>
      <c r="W109" s="9"/>
      <c r="X109" s="30">
        <f t="shared" si="45"/>
        <v>0</v>
      </c>
      <c r="Y109" s="9">
        <v>8246</v>
      </c>
      <c r="Z109" s="30">
        <v>20615</v>
      </c>
      <c r="AA109" s="9"/>
      <c r="AB109" s="30">
        <f t="shared" si="47"/>
        <v>0</v>
      </c>
      <c r="AC109" s="9"/>
      <c r="AD109" s="30">
        <f t="shared" si="53"/>
        <v>0</v>
      </c>
      <c r="AE109" s="9"/>
      <c r="AF109" s="30">
        <f t="shared" si="48"/>
        <v>0</v>
      </c>
      <c r="AG109" s="9"/>
      <c r="AH109" s="30">
        <f t="shared" si="49"/>
        <v>0</v>
      </c>
      <c r="AI109" s="9"/>
      <c r="AJ109" s="30">
        <f t="shared" si="50"/>
        <v>0</v>
      </c>
      <c r="AK109" s="9"/>
      <c r="AL109" s="30">
        <f t="shared" si="51"/>
        <v>0</v>
      </c>
      <c r="AM109" s="10">
        <v>38286</v>
      </c>
      <c r="AN109" s="31">
        <v>105715</v>
      </c>
      <c r="AO109" s="15">
        <f t="shared" si="54"/>
        <v>105715</v>
      </c>
      <c r="AP109" s="9">
        <f t="shared" si="56"/>
        <v>0</v>
      </c>
      <c r="AQ109" s="28">
        <f t="shared" si="52"/>
        <v>42286</v>
      </c>
      <c r="AR109" s="8">
        <f t="shared" si="57"/>
        <v>-4000</v>
      </c>
      <c r="AS109" s="29">
        <f t="shared" si="40"/>
        <v>105715</v>
      </c>
      <c r="AT109" s="13">
        <f t="shared" si="58"/>
        <v>0</v>
      </c>
      <c r="AU109" s="2" t="str">
        <f t="shared" si="41"/>
        <v/>
      </c>
      <c r="AV109" s="2"/>
    </row>
    <row r="110" spans="1:48" ht="16.5">
      <c r="A110" s="1" t="s">
        <v>12</v>
      </c>
      <c r="B110" s="3" t="s">
        <v>29</v>
      </c>
      <c r="C110" s="3" t="s">
        <v>219</v>
      </c>
      <c r="D110" s="4">
        <v>1789</v>
      </c>
      <c r="E110" s="3" t="s">
        <v>22</v>
      </c>
      <c r="F110" s="3" t="s">
        <v>22</v>
      </c>
      <c r="G110" s="31">
        <v>21</v>
      </c>
      <c r="H110" s="31" t="s">
        <v>258</v>
      </c>
      <c r="I110" s="5">
        <v>2</v>
      </c>
      <c r="J110" s="5"/>
      <c r="K110" s="6"/>
      <c r="L110" s="11">
        <f t="shared" si="55"/>
        <v>2</v>
      </c>
      <c r="M110" s="7" t="s">
        <v>15</v>
      </c>
      <c r="N110" s="31"/>
      <c r="O110" s="9"/>
      <c r="P110" s="9" t="str">
        <f t="shared" si="42"/>
        <v/>
      </c>
      <c r="Q110" s="9"/>
      <c r="R110" s="30">
        <f t="shared" ref="R110:R120" si="61">Q110*$L110</f>
        <v>0</v>
      </c>
      <c r="S110" s="9"/>
      <c r="T110" s="30">
        <f t="shared" si="43"/>
        <v>0</v>
      </c>
      <c r="U110" s="9">
        <v>4156</v>
      </c>
      <c r="V110" s="30">
        <v>8312</v>
      </c>
      <c r="W110" s="9">
        <v>5795</v>
      </c>
      <c r="X110" s="30">
        <v>11590</v>
      </c>
      <c r="Y110" s="9"/>
      <c r="Z110" s="30">
        <f t="shared" si="46"/>
        <v>0</v>
      </c>
      <c r="AA110" s="9"/>
      <c r="AB110" s="30">
        <f t="shared" si="47"/>
        <v>0</v>
      </c>
      <c r="AC110" s="9"/>
      <c r="AD110" s="30">
        <f t="shared" si="53"/>
        <v>0</v>
      </c>
      <c r="AE110" s="9"/>
      <c r="AF110" s="30">
        <f t="shared" si="48"/>
        <v>0</v>
      </c>
      <c r="AG110" s="9"/>
      <c r="AH110" s="30">
        <f t="shared" si="49"/>
        <v>0</v>
      </c>
      <c r="AI110" s="9"/>
      <c r="AJ110" s="30">
        <f t="shared" si="50"/>
        <v>0</v>
      </c>
      <c r="AK110" s="9"/>
      <c r="AL110" s="30">
        <f t="shared" si="51"/>
        <v>0</v>
      </c>
      <c r="AM110" s="10">
        <v>9951</v>
      </c>
      <c r="AN110" s="31">
        <v>19902</v>
      </c>
      <c r="AO110" s="15">
        <f t="shared" si="54"/>
        <v>19902</v>
      </c>
      <c r="AP110" s="9">
        <f t="shared" si="56"/>
        <v>0</v>
      </c>
      <c r="AQ110" s="28">
        <f t="shared" si="52"/>
        <v>9951</v>
      </c>
      <c r="AR110" s="8">
        <f t="shared" si="57"/>
        <v>0</v>
      </c>
      <c r="AS110" s="29">
        <f t="shared" si="40"/>
        <v>19902</v>
      </c>
      <c r="AT110" s="13">
        <f t="shared" si="58"/>
        <v>0</v>
      </c>
      <c r="AU110" s="2" t="str">
        <f t="shared" si="41"/>
        <v/>
      </c>
      <c r="AV110" s="2"/>
    </row>
    <row r="111" spans="1:48" ht="16.5">
      <c r="A111" s="1" t="s">
        <v>12</v>
      </c>
      <c r="B111" s="3" t="s">
        <v>29</v>
      </c>
      <c r="C111" s="3" t="s">
        <v>219</v>
      </c>
      <c r="D111" s="4">
        <v>1789</v>
      </c>
      <c r="E111" s="3" t="s">
        <v>22</v>
      </c>
      <c r="F111" s="3" t="s">
        <v>22</v>
      </c>
      <c r="G111" s="31">
        <v>21</v>
      </c>
      <c r="H111" s="31" t="s">
        <v>259</v>
      </c>
      <c r="I111" s="5"/>
      <c r="J111" s="5">
        <v>50</v>
      </c>
      <c r="K111" s="6"/>
      <c r="L111" s="11">
        <f t="shared" si="55"/>
        <v>2.5</v>
      </c>
      <c r="M111" s="7" t="s">
        <v>15</v>
      </c>
      <c r="N111" s="31"/>
      <c r="O111" s="9"/>
      <c r="P111" s="9" t="str">
        <f t="shared" si="42"/>
        <v/>
      </c>
      <c r="Q111" s="9"/>
      <c r="R111" s="30">
        <f t="shared" si="61"/>
        <v>0</v>
      </c>
      <c r="S111" s="9"/>
      <c r="T111" s="30">
        <f t="shared" si="43"/>
        <v>0</v>
      </c>
      <c r="U111" s="9"/>
      <c r="V111" s="30">
        <f t="shared" si="44"/>
        <v>0</v>
      </c>
      <c r="W111" s="9">
        <v>2048</v>
      </c>
      <c r="X111" s="30">
        <v>5120</v>
      </c>
      <c r="Y111" s="9"/>
      <c r="Z111" s="30">
        <f t="shared" si="46"/>
        <v>0</v>
      </c>
      <c r="AA111" s="9"/>
      <c r="AB111" s="30">
        <f t="shared" si="47"/>
        <v>0</v>
      </c>
      <c r="AC111" s="9"/>
      <c r="AD111" s="30">
        <f t="shared" si="53"/>
        <v>0</v>
      </c>
      <c r="AE111" s="9"/>
      <c r="AF111" s="30">
        <f t="shared" si="48"/>
        <v>0</v>
      </c>
      <c r="AG111" s="9"/>
      <c r="AH111" s="30">
        <f t="shared" si="49"/>
        <v>0</v>
      </c>
      <c r="AI111" s="9"/>
      <c r="AJ111" s="30">
        <f t="shared" si="50"/>
        <v>0</v>
      </c>
      <c r="AK111" s="9"/>
      <c r="AL111" s="30">
        <f t="shared" si="51"/>
        <v>0</v>
      </c>
      <c r="AM111" s="10">
        <v>2048</v>
      </c>
      <c r="AN111" s="31">
        <v>5120</v>
      </c>
      <c r="AO111" s="15">
        <f t="shared" si="54"/>
        <v>5120</v>
      </c>
      <c r="AP111" s="9">
        <f t="shared" si="56"/>
        <v>0</v>
      </c>
      <c r="AQ111" s="28">
        <f t="shared" si="52"/>
        <v>2048</v>
      </c>
      <c r="AR111" s="8">
        <f t="shared" si="57"/>
        <v>0</v>
      </c>
      <c r="AS111" s="29">
        <f t="shared" si="40"/>
        <v>5120</v>
      </c>
      <c r="AT111" s="13">
        <f t="shared" si="58"/>
        <v>0</v>
      </c>
      <c r="AU111" s="2" t="str">
        <f t="shared" si="41"/>
        <v/>
      </c>
      <c r="AV111" s="2"/>
    </row>
    <row r="112" spans="1:48" ht="16.5">
      <c r="A112" s="1" t="s">
        <v>12</v>
      </c>
      <c r="B112" s="3" t="s">
        <v>29</v>
      </c>
      <c r="C112" s="3" t="s">
        <v>219</v>
      </c>
      <c r="D112" s="4">
        <v>1789</v>
      </c>
      <c r="E112" s="3" t="s">
        <v>22</v>
      </c>
      <c r="F112" s="3" t="s">
        <v>22</v>
      </c>
      <c r="G112" s="31">
        <v>21</v>
      </c>
      <c r="H112" s="31" t="s">
        <v>210</v>
      </c>
      <c r="I112" s="5">
        <v>4</v>
      </c>
      <c r="J112" s="5"/>
      <c r="K112" s="6"/>
      <c r="L112" s="11">
        <f t="shared" si="55"/>
        <v>4</v>
      </c>
      <c r="M112" s="7" t="s">
        <v>15</v>
      </c>
      <c r="N112" s="31"/>
      <c r="O112" s="9"/>
      <c r="P112" s="9" t="str">
        <f t="shared" si="42"/>
        <v/>
      </c>
      <c r="Q112" s="9"/>
      <c r="R112" s="30">
        <f t="shared" si="61"/>
        <v>0</v>
      </c>
      <c r="S112" s="9"/>
      <c r="T112" s="30">
        <f t="shared" si="43"/>
        <v>0</v>
      </c>
      <c r="U112" s="9"/>
      <c r="V112" s="30">
        <f t="shared" si="44"/>
        <v>0</v>
      </c>
      <c r="W112" s="9">
        <v>35</v>
      </c>
      <c r="X112" s="30">
        <v>140</v>
      </c>
      <c r="Y112" s="9"/>
      <c r="Z112" s="30">
        <f t="shared" si="46"/>
        <v>0</v>
      </c>
      <c r="AA112" s="9"/>
      <c r="AB112" s="30">
        <f t="shared" si="47"/>
        <v>0</v>
      </c>
      <c r="AC112" s="9"/>
      <c r="AD112" s="30">
        <f t="shared" si="53"/>
        <v>0</v>
      </c>
      <c r="AE112" s="9"/>
      <c r="AF112" s="30">
        <f t="shared" si="48"/>
        <v>0</v>
      </c>
      <c r="AG112" s="9"/>
      <c r="AH112" s="30">
        <f t="shared" si="49"/>
        <v>0</v>
      </c>
      <c r="AI112" s="9"/>
      <c r="AJ112" s="30">
        <f t="shared" si="50"/>
        <v>0</v>
      </c>
      <c r="AK112" s="9"/>
      <c r="AL112" s="30">
        <f t="shared" si="51"/>
        <v>0</v>
      </c>
      <c r="AM112" s="10">
        <v>35</v>
      </c>
      <c r="AN112" s="31">
        <v>140</v>
      </c>
      <c r="AO112" s="15">
        <f t="shared" si="54"/>
        <v>140</v>
      </c>
      <c r="AP112" s="9">
        <f t="shared" si="56"/>
        <v>0</v>
      </c>
      <c r="AQ112" s="28">
        <f t="shared" si="52"/>
        <v>35</v>
      </c>
      <c r="AR112" s="8">
        <f t="shared" si="57"/>
        <v>0</v>
      </c>
      <c r="AS112" s="29">
        <f t="shared" si="40"/>
        <v>140</v>
      </c>
      <c r="AT112" s="13">
        <f t="shared" si="58"/>
        <v>0</v>
      </c>
      <c r="AU112" s="2" t="str">
        <f t="shared" si="41"/>
        <v/>
      </c>
      <c r="AV112" s="2"/>
    </row>
    <row r="113" spans="1:48" ht="16.5">
      <c r="A113" s="1" t="s">
        <v>12</v>
      </c>
      <c r="B113" s="3" t="s">
        <v>29</v>
      </c>
      <c r="C113" s="3" t="s">
        <v>219</v>
      </c>
      <c r="D113" s="4">
        <v>1789</v>
      </c>
      <c r="E113" s="3" t="s">
        <v>22</v>
      </c>
      <c r="F113" s="3" t="s">
        <v>22</v>
      </c>
      <c r="G113" s="31">
        <v>21</v>
      </c>
      <c r="H113" s="31" t="s">
        <v>116</v>
      </c>
      <c r="I113" s="5">
        <v>20</v>
      </c>
      <c r="J113" s="5"/>
      <c r="K113" s="6"/>
      <c r="L113" s="11">
        <f t="shared" si="55"/>
        <v>20</v>
      </c>
      <c r="M113" s="7" t="s">
        <v>15</v>
      </c>
      <c r="N113" s="31"/>
      <c r="O113" s="9"/>
      <c r="P113" s="9" t="str">
        <f t="shared" si="42"/>
        <v/>
      </c>
      <c r="Q113" s="9"/>
      <c r="R113" s="30">
        <f t="shared" si="61"/>
        <v>0</v>
      </c>
      <c r="S113" s="9"/>
      <c r="T113" s="30">
        <f t="shared" si="43"/>
        <v>0</v>
      </c>
      <c r="U113" s="9">
        <v>66</v>
      </c>
      <c r="V113" s="30">
        <v>1320</v>
      </c>
      <c r="W113" s="9"/>
      <c r="X113" s="30">
        <f t="shared" si="45"/>
        <v>0</v>
      </c>
      <c r="Y113" s="9"/>
      <c r="Z113" s="30">
        <f t="shared" si="46"/>
        <v>0</v>
      </c>
      <c r="AA113" s="9"/>
      <c r="AB113" s="30">
        <f t="shared" si="47"/>
        <v>0</v>
      </c>
      <c r="AC113" s="9"/>
      <c r="AD113" s="30">
        <f t="shared" si="53"/>
        <v>0</v>
      </c>
      <c r="AE113" s="9"/>
      <c r="AF113" s="30">
        <f t="shared" si="48"/>
        <v>0</v>
      </c>
      <c r="AG113" s="9"/>
      <c r="AH113" s="30">
        <f t="shared" si="49"/>
        <v>0</v>
      </c>
      <c r="AI113" s="9"/>
      <c r="AJ113" s="30">
        <f t="shared" si="50"/>
        <v>0</v>
      </c>
      <c r="AK113" s="9"/>
      <c r="AL113" s="30">
        <f t="shared" si="51"/>
        <v>0</v>
      </c>
      <c r="AM113" s="10">
        <v>66</v>
      </c>
      <c r="AN113" s="31">
        <v>1320</v>
      </c>
      <c r="AO113" s="15">
        <f t="shared" si="54"/>
        <v>1320</v>
      </c>
      <c r="AP113" s="9">
        <f t="shared" si="56"/>
        <v>0</v>
      </c>
      <c r="AQ113" s="28">
        <f t="shared" si="52"/>
        <v>66</v>
      </c>
      <c r="AR113" s="8">
        <f t="shared" si="57"/>
        <v>0</v>
      </c>
      <c r="AS113" s="29">
        <f t="shared" si="40"/>
        <v>1320</v>
      </c>
      <c r="AT113" s="13">
        <f t="shared" si="58"/>
        <v>0</v>
      </c>
      <c r="AU113" s="2" t="str">
        <f t="shared" si="41"/>
        <v/>
      </c>
      <c r="AV113" s="2"/>
    </row>
    <row r="114" spans="1:48" ht="16.5">
      <c r="A114" s="1" t="s">
        <v>12</v>
      </c>
      <c r="B114" s="3" t="s">
        <v>29</v>
      </c>
      <c r="C114" s="3" t="s">
        <v>219</v>
      </c>
      <c r="D114" s="4">
        <v>1789</v>
      </c>
      <c r="E114" s="3" t="s">
        <v>22</v>
      </c>
      <c r="F114" s="3" t="s">
        <v>22</v>
      </c>
      <c r="G114" s="31">
        <v>21</v>
      </c>
      <c r="H114" s="31" t="s">
        <v>117</v>
      </c>
      <c r="I114" s="5">
        <v>125</v>
      </c>
      <c r="J114" s="5"/>
      <c r="K114" s="6"/>
      <c r="L114" s="11">
        <f t="shared" si="55"/>
        <v>125</v>
      </c>
      <c r="M114" s="7" t="s">
        <v>14</v>
      </c>
      <c r="N114" s="31"/>
      <c r="O114" s="9"/>
      <c r="P114" s="9" t="str">
        <f t="shared" si="42"/>
        <v/>
      </c>
      <c r="Q114" s="9"/>
      <c r="R114" s="30">
        <f t="shared" si="61"/>
        <v>0</v>
      </c>
      <c r="S114" s="9"/>
      <c r="T114" s="30">
        <f t="shared" si="43"/>
        <v>0</v>
      </c>
      <c r="U114" s="9">
        <f>23610/100</f>
        <v>236.1</v>
      </c>
      <c r="V114" s="30">
        <v>29512</v>
      </c>
      <c r="W114" s="9">
        <f>1537/100</f>
        <v>15.37</v>
      </c>
      <c r="X114" s="30">
        <v>1921</v>
      </c>
      <c r="Y114" s="9"/>
      <c r="Z114" s="30">
        <f t="shared" si="46"/>
        <v>0</v>
      </c>
      <c r="AA114" s="9"/>
      <c r="AB114" s="30">
        <f t="shared" si="47"/>
        <v>0</v>
      </c>
      <c r="AC114" s="9"/>
      <c r="AD114" s="30">
        <f t="shared" si="53"/>
        <v>0</v>
      </c>
      <c r="AE114" s="9"/>
      <c r="AF114" s="30">
        <f t="shared" si="48"/>
        <v>0</v>
      </c>
      <c r="AG114" s="9"/>
      <c r="AH114" s="30">
        <f t="shared" si="49"/>
        <v>0</v>
      </c>
      <c r="AI114" s="9"/>
      <c r="AJ114" s="30">
        <f t="shared" si="50"/>
        <v>0</v>
      </c>
      <c r="AK114" s="9"/>
      <c r="AL114" s="30">
        <f t="shared" si="51"/>
        <v>0</v>
      </c>
      <c r="AM114" s="10">
        <f>25147/100</f>
        <v>251.47</v>
      </c>
      <c r="AN114" s="31">
        <v>31433</v>
      </c>
      <c r="AO114" s="15">
        <f t="shared" si="54"/>
        <v>31433</v>
      </c>
      <c r="AP114" s="9">
        <f t="shared" si="56"/>
        <v>0</v>
      </c>
      <c r="AQ114" s="28">
        <f t="shared" si="52"/>
        <v>251.47</v>
      </c>
      <c r="AR114" s="8">
        <f t="shared" si="57"/>
        <v>0</v>
      </c>
      <c r="AS114" s="29">
        <f t="shared" si="40"/>
        <v>31433.75</v>
      </c>
      <c r="AT114" s="13">
        <f t="shared" si="58"/>
        <v>-0.75</v>
      </c>
      <c r="AU114" s="2" t="str">
        <f t="shared" si="41"/>
        <v>erreur de calcul</v>
      </c>
      <c r="AV114" s="2"/>
    </row>
    <row r="115" spans="1:48" ht="16.5">
      <c r="A115" s="1" t="s">
        <v>12</v>
      </c>
      <c r="B115" s="3" t="s">
        <v>29</v>
      </c>
      <c r="C115" s="3" t="s">
        <v>219</v>
      </c>
      <c r="D115" s="4">
        <v>1789</v>
      </c>
      <c r="E115" s="3" t="s">
        <v>22</v>
      </c>
      <c r="F115" s="3" t="s">
        <v>22</v>
      </c>
      <c r="G115" s="31">
        <v>21</v>
      </c>
      <c r="H115" s="31" t="s">
        <v>118</v>
      </c>
      <c r="I115" s="5">
        <v>6</v>
      </c>
      <c r="J115" s="5"/>
      <c r="K115" s="6"/>
      <c r="L115" s="11">
        <f t="shared" si="55"/>
        <v>6</v>
      </c>
      <c r="M115" s="7" t="s">
        <v>15</v>
      </c>
      <c r="N115" s="31"/>
      <c r="O115" s="9"/>
      <c r="P115" s="9" t="str">
        <f t="shared" si="42"/>
        <v/>
      </c>
      <c r="Q115" s="9"/>
      <c r="R115" s="30">
        <f t="shared" si="61"/>
        <v>0</v>
      </c>
      <c r="S115" s="9"/>
      <c r="T115" s="30">
        <f t="shared" si="43"/>
        <v>0</v>
      </c>
      <c r="U115" s="9"/>
      <c r="V115" s="30">
        <f t="shared" si="44"/>
        <v>0</v>
      </c>
      <c r="W115" s="9">
        <v>20</v>
      </c>
      <c r="X115" s="30">
        <v>120</v>
      </c>
      <c r="Y115" s="9"/>
      <c r="Z115" s="30">
        <f t="shared" si="46"/>
        <v>0</v>
      </c>
      <c r="AA115" s="9"/>
      <c r="AB115" s="30">
        <f t="shared" si="47"/>
        <v>0</v>
      </c>
      <c r="AC115" s="9"/>
      <c r="AD115" s="30">
        <f t="shared" si="53"/>
        <v>0</v>
      </c>
      <c r="AE115" s="9"/>
      <c r="AF115" s="30">
        <f t="shared" si="48"/>
        <v>0</v>
      </c>
      <c r="AG115" s="9"/>
      <c r="AH115" s="30">
        <f t="shared" si="49"/>
        <v>0</v>
      </c>
      <c r="AI115" s="9"/>
      <c r="AJ115" s="30">
        <f t="shared" si="50"/>
        <v>0</v>
      </c>
      <c r="AK115" s="9"/>
      <c r="AL115" s="30">
        <f t="shared" si="51"/>
        <v>0</v>
      </c>
      <c r="AM115" s="10">
        <v>20</v>
      </c>
      <c r="AN115" s="31">
        <v>120</v>
      </c>
      <c r="AO115" s="15">
        <f t="shared" si="54"/>
        <v>120</v>
      </c>
      <c r="AP115" s="9">
        <f t="shared" si="56"/>
        <v>0</v>
      </c>
      <c r="AQ115" s="28">
        <f t="shared" si="52"/>
        <v>20</v>
      </c>
      <c r="AR115" s="8">
        <f t="shared" si="57"/>
        <v>0</v>
      </c>
      <c r="AS115" s="29">
        <f t="shared" si="40"/>
        <v>120</v>
      </c>
      <c r="AT115" s="13">
        <f t="shared" si="58"/>
        <v>0</v>
      </c>
      <c r="AU115" s="2" t="str">
        <f t="shared" si="41"/>
        <v/>
      </c>
      <c r="AV115" s="2"/>
    </row>
    <row r="116" spans="1:48" ht="16.5">
      <c r="A116" s="1" t="s">
        <v>12</v>
      </c>
      <c r="B116" s="3" t="s">
        <v>29</v>
      </c>
      <c r="C116" s="3" t="s">
        <v>219</v>
      </c>
      <c r="D116" s="4">
        <v>1789</v>
      </c>
      <c r="E116" s="3" t="s">
        <v>22</v>
      </c>
      <c r="F116" s="3" t="s">
        <v>22</v>
      </c>
      <c r="G116" s="31">
        <v>21</v>
      </c>
      <c r="H116" s="31" t="s">
        <v>119</v>
      </c>
      <c r="I116" s="5">
        <v>160</v>
      </c>
      <c r="J116" s="5"/>
      <c r="K116" s="6"/>
      <c r="L116" s="11">
        <f t="shared" si="55"/>
        <v>160</v>
      </c>
      <c r="M116" s="7" t="s">
        <v>14</v>
      </c>
      <c r="N116" s="31"/>
      <c r="O116" s="9"/>
      <c r="P116" s="9" t="str">
        <f t="shared" si="42"/>
        <v/>
      </c>
      <c r="Q116" s="9"/>
      <c r="R116" s="30">
        <f t="shared" si="61"/>
        <v>0</v>
      </c>
      <c r="S116" s="9"/>
      <c r="T116" s="30">
        <f t="shared" si="43"/>
        <v>0</v>
      </c>
      <c r="U116" s="9">
        <f>2435/100</f>
        <v>24.35</v>
      </c>
      <c r="V116" s="30">
        <v>3896</v>
      </c>
      <c r="W116" s="9">
        <f>230/100</f>
        <v>2.2999999999999998</v>
      </c>
      <c r="X116" s="30">
        <v>368</v>
      </c>
      <c r="Y116" s="9"/>
      <c r="Z116" s="30">
        <f t="shared" si="46"/>
        <v>0</v>
      </c>
      <c r="AA116" s="9"/>
      <c r="AB116" s="30">
        <f t="shared" si="47"/>
        <v>0</v>
      </c>
      <c r="AC116" s="9"/>
      <c r="AD116" s="30">
        <f t="shared" si="53"/>
        <v>0</v>
      </c>
      <c r="AE116" s="9"/>
      <c r="AF116" s="30">
        <f t="shared" si="48"/>
        <v>0</v>
      </c>
      <c r="AG116" s="9"/>
      <c r="AH116" s="30">
        <f t="shared" si="49"/>
        <v>0</v>
      </c>
      <c r="AI116" s="9"/>
      <c r="AJ116" s="30">
        <f t="shared" si="50"/>
        <v>0</v>
      </c>
      <c r="AK116" s="9"/>
      <c r="AL116" s="30">
        <f t="shared" si="51"/>
        <v>0</v>
      </c>
      <c r="AM116" s="10">
        <f>2665/100</f>
        <v>26.65</v>
      </c>
      <c r="AN116" s="31">
        <v>4264</v>
      </c>
      <c r="AO116" s="15">
        <f t="shared" si="54"/>
        <v>4264</v>
      </c>
      <c r="AP116" s="9">
        <f t="shared" si="56"/>
        <v>0</v>
      </c>
      <c r="AQ116" s="28">
        <f t="shared" si="52"/>
        <v>26.650000000000002</v>
      </c>
      <c r="AR116" s="8">
        <f t="shared" si="57"/>
        <v>0</v>
      </c>
      <c r="AS116" s="29">
        <f t="shared" si="40"/>
        <v>4264</v>
      </c>
      <c r="AT116" s="13">
        <f t="shared" si="58"/>
        <v>0</v>
      </c>
      <c r="AU116" s="2" t="str">
        <f t="shared" si="41"/>
        <v/>
      </c>
      <c r="AV116" s="2"/>
    </row>
    <row r="117" spans="1:48" ht="16.5">
      <c r="A117" s="1" t="s">
        <v>12</v>
      </c>
      <c r="B117" s="3" t="s">
        <v>29</v>
      </c>
      <c r="C117" s="3" t="s">
        <v>219</v>
      </c>
      <c r="D117" s="4">
        <v>1789</v>
      </c>
      <c r="E117" s="3" t="s">
        <v>22</v>
      </c>
      <c r="F117" s="3" t="s">
        <v>22</v>
      </c>
      <c r="G117" s="31">
        <v>21</v>
      </c>
      <c r="H117" s="31" t="s">
        <v>120</v>
      </c>
      <c r="I117" s="5"/>
      <c r="J117" s="5"/>
      <c r="K117" s="6"/>
      <c r="L117" s="11">
        <f t="shared" si="55"/>
        <v>0</v>
      </c>
      <c r="M117" s="7"/>
      <c r="N117" s="31"/>
      <c r="O117" s="9"/>
      <c r="P117" s="9" t="str">
        <f t="shared" si="42"/>
        <v/>
      </c>
      <c r="Q117" s="9"/>
      <c r="R117" s="30">
        <f t="shared" si="61"/>
        <v>0</v>
      </c>
      <c r="S117" s="9"/>
      <c r="T117" s="30">
        <f t="shared" si="43"/>
        <v>0</v>
      </c>
      <c r="U117" s="9"/>
      <c r="V117" s="30">
        <v>82646</v>
      </c>
      <c r="W117" s="9"/>
      <c r="X117" s="30">
        <f t="shared" si="45"/>
        <v>0</v>
      </c>
      <c r="Y117" s="9"/>
      <c r="Z117" s="30">
        <f t="shared" si="46"/>
        <v>0</v>
      </c>
      <c r="AA117" s="9"/>
      <c r="AB117" s="30">
        <f t="shared" si="47"/>
        <v>0</v>
      </c>
      <c r="AC117" s="9"/>
      <c r="AD117" s="30">
        <f t="shared" si="53"/>
        <v>0</v>
      </c>
      <c r="AE117" s="9"/>
      <c r="AF117" s="30">
        <f t="shared" si="48"/>
        <v>0</v>
      </c>
      <c r="AG117" s="9"/>
      <c r="AH117" s="30">
        <f t="shared" si="49"/>
        <v>0</v>
      </c>
      <c r="AI117" s="9"/>
      <c r="AJ117" s="30">
        <f t="shared" si="50"/>
        <v>0</v>
      </c>
      <c r="AK117" s="9"/>
      <c r="AL117" s="30">
        <f t="shared" si="51"/>
        <v>0</v>
      </c>
      <c r="AM117" s="10"/>
      <c r="AN117" s="31">
        <v>82646</v>
      </c>
      <c r="AO117" s="15">
        <f t="shared" si="54"/>
        <v>82646</v>
      </c>
      <c r="AP117" s="9">
        <f t="shared" si="56"/>
        <v>0</v>
      </c>
      <c r="AQ117" s="28">
        <f t="shared" si="52"/>
        <v>0</v>
      </c>
      <c r="AR117" s="8">
        <f t="shared" si="57"/>
        <v>0</v>
      </c>
      <c r="AS117" s="29">
        <f t="shared" si="40"/>
        <v>0</v>
      </c>
      <c r="AT117" s="13">
        <f t="shared" si="58"/>
        <v>82646</v>
      </c>
      <c r="AU117" s="2" t="str">
        <f t="shared" si="41"/>
        <v>pas de prix, ni de quantité</v>
      </c>
      <c r="AV117" s="2"/>
    </row>
    <row r="118" spans="1:48" ht="16.5">
      <c r="A118" s="1" t="s">
        <v>12</v>
      </c>
      <c r="B118" s="3" t="s">
        <v>29</v>
      </c>
      <c r="C118" s="3" t="s">
        <v>219</v>
      </c>
      <c r="D118" s="4">
        <v>1789</v>
      </c>
      <c r="E118" s="3" t="s">
        <v>22</v>
      </c>
      <c r="F118" s="3" t="s">
        <v>22</v>
      </c>
      <c r="G118" s="31">
        <v>21</v>
      </c>
      <c r="H118" s="31" t="s">
        <v>121</v>
      </c>
      <c r="I118" s="5"/>
      <c r="J118" s="5"/>
      <c r="K118" s="6"/>
      <c r="L118" s="11">
        <f t="shared" si="55"/>
        <v>0</v>
      </c>
      <c r="M118" s="7"/>
      <c r="N118" s="31"/>
      <c r="O118" s="9"/>
      <c r="P118" s="9" t="str">
        <f t="shared" si="42"/>
        <v/>
      </c>
      <c r="Q118" s="9"/>
      <c r="R118" s="30">
        <f t="shared" si="61"/>
        <v>0</v>
      </c>
      <c r="S118" s="9"/>
      <c r="T118" s="30">
        <f t="shared" si="43"/>
        <v>0</v>
      </c>
      <c r="U118" s="9"/>
      <c r="V118" s="30">
        <v>845012</v>
      </c>
      <c r="W118" s="9"/>
      <c r="X118" s="30">
        <f t="shared" si="45"/>
        <v>0</v>
      </c>
      <c r="Y118" s="9"/>
      <c r="Z118" s="30">
        <f t="shared" si="46"/>
        <v>0</v>
      </c>
      <c r="AA118" s="9"/>
      <c r="AB118" s="30">
        <f t="shared" si="47"/>
        <v>0</v>
      </c>
      <c r="AC118" s="9"/>
      <c r="AD118" s="30">
        <f t="shared" si="53"/>
        <v>0</v>
      </c>
      <c r="AE118" s="9"/>
      <c r="AF118" s="30">
        <f t="shared" si="48"/>
        <v>0</v>
      </c>
      <c r="AG118" s="9"/>
      <c r="AH118" s="30">
        <f t="shared" si="49"/>
        <v>0</v>
      </c>
      <c r="AI118" s="9"/>
      <c r="AJ118" s="30">
        <f t="shared" si="50"/>
        <v>0</v>
      </c>
      <c r="AK118" s="9"/>
      <c r="AL118" s="30">
        <f t="shared" si="51"/>
        <v>0</v>
      </c>
      <c r="AM118" s="10"/>
      <c r="AN118" s="31">
        <v>845012</v>
      </c>
      <c r="AO118" s="15">
        <f t="shared" si="54"/>
        <v>845012</v>
      </c>
      <c r="AP118" s="9">
        <f t="shared" si="56"/>
        <v>0</v>
      </c>
      <c r="AQ118" s="28">
        <f t="shared" si="52"/>
        <v>0</v>
      </c>
      <c r="AR118" s="8">
        <f t="shared" si="57"/>
        <v>0</v>
      </c>
      <c r="AS118" s="29">
        <f t="shared" si="40"/>
        <v>0</v>
      </c>
      <c r="AT118" s="13">
        <f t="shared" si="58"/>
        <v>845012</v>
      </c>
      <c r="AU118" s="2" t="str">
        <f t="shared" si="41"/>
        <v>pas de prix, ni de quantité</v>
      </c>
      <c r="AV118" s="2"/>
    </row>
    <row r="119" spans="1:48" ht="16.5">
      <c r="A119" s="1" t="s">
        <v>12</v>
      </c>
      <c r="B119" s="3" t="s">
        <v>29</v>
      </c>
      <c r="C119" s="3" t="s">
        <v>219</v>
      </c>
      <c r="D119" s="4">
        <v>1789</v>
      </c>
      <c r="E119" s="3" t="s">
        <v>22</v>
      </c>
      <c r="F119" s="3" t="s">
        <v>22</v>
      </c>
      <c r="G119" s="31">
        <v>21</v>
      </c>
      <c r="H119" s="31" t="s">
        <v>46</v>
      </c>
      <c r="I119" s="5">
        <v>22</v>
      </c>
      <c r="J119" s="5">
        <v>10</v>
      </c>
      <c r="K119" s="6"/>
      <c r="L119" s="11">
        <f t="shared" si="55"/>
        <v>22.5</v>
      </c>
      <c r="M119" s="7" t="s">
        <v>14</v>
      </c>
      <c r="N119" s="31"/>
      <c r="O119" s="9"/>
      <c r="P119" s="9" t="str">
        <f t="shared" si="42"/>
        <v/>
      </c>
      <c r="Q119" s="9"/>
      <c r="R119" s="30">
        <f t="shared" si="61"/>
        <v>0</v>
      </c>
      <c r="S119" s="9"/>
      <c r="T119" s="30">
        <f t="shared" si="43"/>
        <v>0</v>
      </c>
      <c r="U119" s="9">
        <f>4696607/100</f>
        <v>46966.07</v>
      </c>
      <c r="V119" s="30">
        <v>1056736</v>
      </c>
      <c r="W119" s="9"/>
      <c r="X119" s="30">
        <f t="shared" si="45"/>
        <v>0</v>
      </c>
      <c r="Y119" s="9">
        <f>138356/100</f>
        <v>1383.56</v>
      </c>
      <c r="Z119" s="30">
        <v>31130</v>
      </c>
      <c r="AA119" s="9"/>
      <c r="AB119" s="30">
        <f t="shared" si="47"/>
        <v>0</v>
      </c>
      <c r="AC119" s="9"/>
      <c r="AD119" s="30">
        <f t="shared" si="53"/>
        <v>0</v>
      </c>
      <c r="AE119" s="9"/>
      <c r="AF119" s="30">
        <f t="shared" si="48"/>
        <v>0</v>
      </c>
      <c r="AG119" s="9">
        <f>11382/100</f>
        <v>113.82</v>
      </c>
      <c r="AH119" s="30">
        <v>2561</v>
      </c>
      <c r="AI119" s="9"/>
      <c r="AJ119" s="30">
        <f t="shared" si="50"/>
        <v>0</v>
      </c>
      <c r="AK119" s="9">
        <f>4014311/100</f>
        <v>40143.11</v>
      </c>
      <c r="AL119" s="30">
        <v>903220</v>
      </c>
      <c r="AM119" s="10">
        <f>8860656/100</f>
        <v>88606.56</v>
      </c>
      <c r="AN119" s="31">
        <v>1993647</v>
      </c>
      <c r="AO119" s="15">
        <f t="shared" si="54"/>
        <v>1993647</v>
      </c>
      <c r="AP119" s="9">
        <f t="shared" si="56"/>
        <v>0</v>
      </c>
      <c r="AQ119" s="28">
        <f t="shared" si="52"/>
        <v>88606.56</v>
      </c>
      <c r="AR119" s="8">
        <f t="shared" si="57"/>
        <v>0</v>
      </c>
      <c r="AS119" s="29">
        <f t="shared" si="40"/>
        <v>1993647.5999999999</v>
      </c>
      <c r="AT119" s="13">
        <f t="shared" si="58"/>
        <v>-0.59999999986030161</v>
      </c>
      <c r="AU119" s="2" t="str">
        <f t="shared" si="41"/>
        <v>erreur de calcul</v>
      </c>
      <c r="AV119" s="2"/>
    </row>
    <row r="120" spans="1:48" ht="16.5">
      <c r="A120" s="1" t="s">
        <v>12</v>
      </c>
      <c r="B120" s="3" t="s">
        <v>29</v>
      </c>
      <c r="C120" s="3" t="s">
        <v>219</v>
      </c>
      <c r="D120" s="4">
        <v>1789</v>
      </c>
      <c r="E120" s="3" t="s">
        <v>22</v>
      </c>
      <c r="F120" s="3" t="s">
        <v>22</v>
      </c>
      <c r="G120" s="31">
        <v>21</v>
      </c>
      <c r="H120" s="31" t="s">
        <v>122</v>
      </c>
      <c r="I120" s="5">
        <v>60</v>
      </c>
      <c r="J120" s="5"/>
      <c r="K120" s="6"/>
      <c r="L120" s="11">
        <f t="shared" si="55"/>
        <v>60</v>
      </c>
      <c r="M120" s="7" t="s">
        <v>14</v>
      </c>
      <c r="N120" s="31"/>
      <c r="O120" s="9"/>
      <c r="P120" s="9" t="str">
        <f t="shared" si="42"/>
        <v/>
      </c>
      <c r="Q120" s="9"/>
      <c r="R120" s="30">
        <f t="shared" si="61"/>
        <v>0</v>
      </c>
      <c r="S120" s="9"/>
      <c r="T120" s="30">
        <f t="shared" si="43"/>
        <v>0</v>
      </c>
      <c r="U120" s="9">
        <f>74302/100</f>
        <v>743.02</v>
      </c>
      <c r="V120" s="30">
        <v>44581</v>
      </c>
      <c r="W120" s="9"/>
      <c r="X120" s="30">
        <f t="shared" si="45"/>
        <v>0</v>
      </c>
      <c r="Y120" s="9">
        <f>157017/100</f>
        <v>1570.17</v>
      </c>
      <c r="Z120" s="30">
        <v>94210</v>
      </c>
      <c r="AA120" s="9"/>
      <c r="AB120" s="30">
        <f t="shared" si="47"/>
        <v>0</v>
      </c>
      <c r="AC120" s="9"/>
      <c r="AD120" s="30">
        <f t="shared" si="53"/>
        <v>0</v>
      </c>
      <c r="AE120" s="9"/>
      <c r="AF120" s="30">
        <f t="shared" si="48"/>
        <v>0</v>
      </c>
      <c r="AG120" s="9"/>
      <c r="AH120" s="30">
        <f t="shared" si="49"/>
        <v>0</v>
      </c>
      <c r="AI120" s="9"/>
      <c r="AJ120" s="30">
        <f t="shared" si="50"/>
        <v>0</v>
      </c>
      <c r="AK120" s="9"/>
      <c r="AL120" s="30">
        <f t="shared" si="51"/>
        <v>0</v>
      </c>
      <c r="AM120" s="10">
        <f>231319/100</f>
        <v>2313.19</v>
      </c>
      <c r="AN120" s="31">
        <v>138791</v>
      </c>
      <c r="AO120" s="15">
        <f t="shared" si="54"/>
        <v>138791</v>
      </c>
      <c r="AP120" s="9">
        <f t="shared" si="56"/>
        <v>0</v>
      </c>
      <c r="AQ120" s="28">
        <f t="shared" si="52"/>
        <v>2313.19</v>
      </c>
      <c r="AR120" s="8">
        <f t="shared" si="57"/>
        <v>0</v>
      </c>
      <c r="AS120" s="29">
        <f t="shared" si="40"/>
        <v>138791.4</v>
      </c>
      <c r="AT120" s="13">
        <f t="shared" si="58"/>
        <v>-0.39999999999417923</v>
      </c>
      <c r="AU120" s="2" t="str">
        <f t="shared" si="41"/>
        <v>erreur de calcul</v>
      </c>
      <c r="AV120" s="2"/>
    </row>
    <row r="121" spans="1:48" ht="16.5">
      <c r="A121" s="1" t="s">
        <v>12</v>
      </c>
      <c r="B121" s="3" t="s">
        <v>29</v>
      </c>
      <c r="C121" s="3" t="s">
        <v>219</v>
      </c>
      <c r="D121" s="4">
        <v>1789</v>
      </c>
      <c r="E121" s="3" t="s">
        <v>22</v>
      </c>
      <c r="F121" s="3" t="s">
        <v>22</v>
      </c>
      <c r="G121" s="31">
        <v>21</v>
      </c>
      <c r="H121" s="31" t="s">
        <v>123</v>
      </c>
      <c r="I121" s="5">
        <v>18</v>
      </c>
      <c r="J121" s="5"/>
      <c r="K121" s="6"/>
      <c r="L121" s="11">
        <f t="shared" si="55"/>
        <v>18</v>
      </c>
      <c r="M121" s="7" t="s">
        <v>14</v>
      </c>
      <c r="N121" s="31" t="s">
        <v>56</v>
      </c>
      <c r="O121" s="9">
        <f>(5766+42381)/100</f>
        <v>481.47</v>
      </c>
      <c r="P121" s="9">
        <v>8666</v>
      </c>
      <c r="Q121" s="9">
        <f>592142/100</f>
        <v>5921.42</v>
      </c>
      <c r="R121" s="30">
        <v>106585</v>
      </c>
      <c r="S121" s="9"/>
      <c r="T121" s="30">
        <f t="shared" si="43"/>
        <v>0</v>
      </c>
      <c r="U121" s="9">
        <f>207870/100</f>
        <v>2078.6999999999998</v>
      </c>
      <c r="V121" s="30">
        <v>37417</v>
      </c>
      <c r="W121" s="9">
        <f>814794/100</f>
        <v>8147.94</v>
      </c>
      <c r="X121" s="30">
        <v>146663</v>
      </c>
      <c r="Y121" s="9">
        <f>389021/100</f>
        <v>3890.21</v>
      </c>
      <c r="Z121" s="30">
        <v>70024</v>
      </c>
      <c r="AA121" s="9"/>
      <c r="AB121" s="30">
        <f t="shared" si="47"/>
        <v>0</v>
      </c>
      <c r="AC121" s="9">
        <f>14665/100</f>
        <v>146.65</v>
      </c>
      <c r="AD121" s="30">
        <v>2640</v>
      </c>
      <c r="AE121" s="9">
        <f>2589414/100</f>
        <v>25894.14</v>
      </c>
      <c r="AF121" s="30">
        <v>466094</v>
      </c>
      <c r="AG121" s="9">
        <f>25236/100</f>
        <v>252.36</v>
      </c>
      <c r="AH121" s="30">
        <v>4542</v>
      </c>
      <c r="AI121" s="9">
        <f>1340731/100</f>
        <v>13407.31</v>
      </c>
      <c r="AJ121" s="30">
        <v>241331</v>
      </c>
      <c r="AK121" s="9">
        <f>49989/100</f>
        <v>499.89</v>
      </c>
      <c r="AL121" s="30">
        <v>8998</v>
      </c>
      <c r="AM121" s="10">
        <f>6023862/100</f>
        <v>60238.62</v>
      </c>
      <c r="AN121" s="31">
        <v>1084294</v>
      </c>
      <c r="AO121" s="15">
        <f t="shared" si="54"/>
        <v>1084294</v>
      </c>
      <c r="AP121" s="9">
        <f t="shared" si="56"/>
        <v>0</v>
      </c>
      <c r="AQ121" s="28">
        <f t="shared" si="52"/>
        <v>60238.619999999995</v>
      </c>
      <c r="AR121" s="8">
        <f t="shared" si="57"/>
        <v>0</v>
      </c>
      <c r="AS121" s="29">
        <f t="shared" si="40"/>
        <v>1084295.1599999999</v>
      </c>
      <c r="AT121" s="13">
        <f t="shared" si="58"/>
        <v>-1.159999999916181</v>
      </c>
      <c r="AU121" s="2" t="str">
        <f t="shared" si="41"/>
        <v>erreur de calcul</v>
      </c>
      <c r="AV121" s="2"/>
    </row>
    <row r="122" spans="1:48" ht="16.5">
      <c r="A122" s="1" t="s">
        <v>12</v>
      </c>
      <c r="B122" s="3" t="s">
        <v>29</v>
      </c>
      <c r="C122" s="3" t="s">
        <v>219</v>
      </c>
      <c r="D122" s="4">
        <v>1789</v>
      </c>
      <c r="E122" s="3" t="s">
        <v>22</v>
      </c>
      <c r="F122" s="3" t="s">
        <v>22</v>
      </c>
      <c r="G122" s="31">
        <v>21</v>
      </c>
      <c r="H122" s="31" t="s">
        <v>124</v>
      </c>
      <c r="I122" s="5">
        <v>30</v>
      </c>
      <c r="J122" s="5"/>
      <c r="K122" s="6"/>
      <c r="L122" s="11">
        <f t="shared" si="55"/>
        <v>30</v>
      </c>
      <c r="M122" s="7" t="s">
        <v>14</v>
      </c>
      <c r="N122" s="31"/>
      <c r="O122" s="9"/>
      <c r="P122" s="9" t="str">
        <f t="shared" si="42"/>
        <v/>
      </c>
      <c r="Q122" s="9"/>
      <c r="R122" s="30">
        <f>Q122*$L122</f>
        <v>0</v>
      </c>
      <c r="S122" s="9"/>
      <c r="T122" s="30">
        <f t="shared" si="43"/>
        <v>0</v>
      </c>
      <c r="U122" s="9"/>
      <c r="V122" s="30">
        <f t="shared" si="44"/>
        <v>0</v>
      </c>
      <c r="W122" s="9">
        <f>665347/100</f>
        <v>6653.47</v>
      </c>
      <c r="X122" s="30">
        <v>199604</v>
      </c>
      <c r="Y122" s="9"/>
      <c r="Z122" s="30">
        <f t="shared" si="46"/>
        <v>0</v>
      </c>
      <c r="AA122" s="9"/>
      <c r="AB122" s="30">
        <f t="shared" si="47"/>
        <v>0</v>
      </c>
      <c r="AC122" s="9"/>
      <c r="AD122" s="30">
        <f t="shared" si="53"/>
        <v>0</v>
      </c>
      <c r="AE122" s="9">
        <f>45957/100</f>
        <v>459.57</v>
      </c>
      <c r="AF122" s="30">
        <v>13787</v>
      </c>
      <c r="AG122" s="9"/>
      <c r="AH122" s="30">
        <f t="shared" si="49"/>
        <v>0</v>
      </c>
      <c r="AI122" s="9"/>
      <c r="AJ122" s="30">
        <f t="shared" si="50"/>
        <v>0</v>
      </c>
      <c r="AK122" s="9"/>
      <c r="AL122" s="30">
        <f t="shared" si="51"/>
        <v>0</v>
      </c>
      <c r="AM122" s="10">
        <f>711304/100</f>
        <v>7113.04</v>
      </c>
      <c r="AN122" s="31">
        <v>213391</v>
      </c>
      <c r="AO122" s="15">
        <f t="shared" si="54"/>
        <v>213391</v>
      </c>
      <c r="AP122" s="9">
        <f t="shared" si="56"/>
        <v>0</v>
      </c>
      <c r="AQ122" s="28">
        <f t="shared" si="52"/>
        <v>7113.04</v>
      </c>
      <c r="AR122" s="8">
        <f t="shared" si="57"/>
        <v>0</v>
      </c>
      <c r="AS122" s="29">
        <f t="shared" si="40"/>
        <v>213391.2</v>
      </c>
      <c r="AT122" s="13">
        <f t="shared" si="58"/>
        <v>-0.20000000001164153</v>
      </c>
      <c r="AU122" s="2" t="str">
        <f t="shared" si="41"/>
        <v>erreur de calcul</v>
      </c>
      <c r="AV122" s="2"/>
    </row>
    <row r="123" spans="1:48" ht="16.5">
      <c r="A123" s="1" t="s">
        <v>12</v>
      </c>
      <c r="B123" s="3" t="s">
        <v>29</v>
      </c>
      <c r="C123" s="3" t="s">
        <v>219</v>
      </c>
      <c r="D123" s="4">
        <v>1789</v>
      </c>
      <c r="E123" s="3" t="s">
        <v>22</v>
      </c>
      <c r="F123" s="3" t="s">
        <v>22</v>
      </c>
      <c r="G123" s="31">
        <v>21</v>
      </c>
      <c r="H123" s="31" t="s">
        <v>125</v>
      </c>
      <c r="I123" s="5">
        <v>15</v>
      </c>
      <c r="J123" s="5"/>
      <c r="K123" s="6"/>
      <c r="L123" s="11">
        <f t="shared" si="55"/>
        <v>15</v>
      </c>
      <c r="M123" s="7" t="s">
        <v>14</v>
      </c>
      <c r="N123" s="31"/>
      <c r="O123" s="9"/>
      <c r="P123" s="9" t="str">
        <f t="shared" si="42"/>
        <v/>
      </c>
      <c r="Q123" s="9"/>
      <c r="R123" s="30">
        <f>Q123*$L123</f>
        <v>0</v>
      </c>
      <c r="S123" s="9"/>
      <c r="T123" s="30">
        <f t="shared" si="43"/>
        <v>0</v>
      </c>
      <c r="U123" s="9">
        <f>3361/100</f>
        <v>33.61</v>
      </c>
      <c r="V123" s="30">
        <v>504</v>
      </c>
      <c r="W123" s="9">
        <f>116387/100</f>
        <v>1163.8699999999999</v>
      </c>
      <c r="X123" s="30">
        <v>17458</v>
      </c>
      <c r="Y123" s="9"/>
      <c r="Z123" s="30">
        <f t="shared" si="46"/>
        <v>0</v>
      </c>
      <c r="AA123" s="9"/>
      <c r="AB123" s="30">
        <f t="shared" si="47"/>
        <v>0</v>
      </c>
      <c r="AC123" s="9"/>
      <c r="AD123" s="30">
        <f t="shared" si="53"/>
        <v>0</v>
      </c>
      <c r="AE123" s="9">
        <f>4542/100</f>
        <v>45.42</v>
      </c>
      <c r="AF123" s="30">
        <v>681</v>
      </c>
      <c r="AG123" s="9">
        <f>8660/100</f>
        <v>86.6</v>
      </c>
      <c r="AH123" s="30">
        <v>1300</v>
      </c>
      <c r="AI123" s="9"/>
      <c r="AJ123" s="30">
        <f t="shared" si="50"/>
        <v>0</v>
      </c>
      <c r="AK123" s="9"/>
      <c r="AL123" s="30">
        <f t="shared" si="51"/>
        <v>0</v>
      </c>
      <c r="AM123" s="10">
        <f>132950/100</f>
        <v>1329.5</v>
      </c>
      <c r="AN123" s="31">
        <v>19943</v>
      </c>
      <c r="AO123" s="15">
        <f t="shared" si="54"/>
        <v>19943</v>
      </c>
      <c r="AP123" s="9">
        <f t="shared" si="56"/>
        <v>0</v>
      </c>
      <c r="AQ123" s="28">
        <f t="shared" si="52"/>
        <v>1329.4999999999998</v>
      </c>
      <c r="AR123" s="8">
        <f t="shared" si="57"/>
        <v>0</v>
      </c>
      <c r="AS123" s="29">
        <f t="shared" si="40"/>
        <v>19942.499999999996</v>
      </c>
      <c r="AT123" s="13">
        <f t="shared" si="58"/>
        <v>0.50000000000363798</v>
      </c>
      <c r="AU123" s="2" t="str">
        <f t="shared" si="41"/>
        <v>erreur de calcul</v>
      </c>
      <c r="AV123" s="2"/>
    </row>
    <row r="124" spans="1:48" ht="16.5">
      <c r="A124" s="1" t="s">
        <v>12</v>
      </c>
      <c r="B124" s="3" t="s">
        <v>29</v>
      </c>
      <c r="C124" s="3" t="s">
        <v>219</v>
      </c>
      <c r="D124" s="4">
        <v>1789</v>
      </c>
      <c r="E124" s="3" t="s">
        <v>22</v>
      </c>
      <c r="F124" s="3" t="s">
        <v>22</v>
      </c>
      <c r="G124" s="31">
        <v>21</v>
      </c>
      <c r="H124" s="31" t="s">
        <v>126</v>
      </c>
      <c r="I124" s="5">
        <v>40</v>
      </c>
      <c r="J124" s="5"/>
      <c r="K124" s="6"/>
      <c r="L124" s="11">
        <f t="shared" si="55"/>
        <v>40</v>
      </c>
      <c r="M124" s="7" t="s">
        <v>14</v>
      </c>
      <c r="N124" s="31"/>
      <c r="O124" s="9"/>
      <c r="P124" s="9" t="str">
        <f t="shared" si="42"/>
        <v/>
      </c>
      <c r="Q124" s="9"/>
      <c r="R124" s="30">
        <f>Q124*$L124</f>
        <v>0</v>
      </c>
      <c r="S124" s="9"/>
      <c r="T124" s="30">
        <f t="shared" si="43"/>
        <v>0</v>
      </c>
      <c r="U124" s="9">
        <f>2773/100</f>
        <v>27.73</v>
      </c>
      <c r="V124" s="32">
        <v>1087</v>
      </c>
      <c r="W124" s="9"/>
      <c r="X124" s="30">
        <f t="shared" si="45"/>
        <v>0</v>
      </c>
      <c r="Y124" s="9">
        <f>6758/100</f>
        <v>67.58</v>
      </c>
      <c r="Z124" s="30">
        <v>2703</v>
      </c>
      <c r="AA124" s="9">
        <f>5735/100</f>
        <v>57.35</v>
      </c>
      <c r="AB124" s="30">
        <v>2294</v>
      </c>
      <c r="AC124" s="9">
        <f>12523/100</f>
        <v>125.23</v>
      </c>
      <c r="AD124" s="30">
        <v>5009</v>
      </c>
      <c r="AE124" s="9">
        <f>173416/100</f>
        <v>1734.16</v>
      </c>
      <c r="AF124" s="30">
        <v>69366</v>
      </c>
      <c r="AG124" s="9"/>
      <c r="AH124" s="30">
        <f t="shared" si="49"/>
        <v>0</v>
      </c>
      <c r="AI124" s="9"/>
      <c r="AJ124" s="30">
        <f t="shared" si="50"/>
        <v>0</v>
      </c>
      <c r="AK124" s="9"/>
      <c r="AL124" s="30">
        <f t="shared" si="51"/>
        <v>0</v>
      </c>
      <c r="AM124" s="10">
        <f>210205/100</f>
        <v>2102.0500000000002</v>
      </c>
      <c r="AN124" s="31">
        <v>80459</v>
      </c>
      <c r="AO124" s="15">
        <f t="shared" si="54"/>
        <v>80459</v>
      </c>
      <c r="AP124" s="9">
        <f t="shared" si="56"/>
        <v>0</v>
      </c>
      <c r="AQ124" s="28">
        <f t="shared" si="52"/>
        <v>2012.0500000000002</v>
      </c>
      <c r="AR124" s="8">
        <f t="shared" si="57"/>
        <v>90</v>
      </c>
      <c r="AS124" s="29">
        <f t="shared" si="40"/>
        <v>80482</v>
      </c>
      <c r="AT124" s="13">
        <f t="shared" si="58"/>
        <v>-23</v>
      </c>
      <c r="AU124" s="2" t="str">
        <f t="shared" si="41"/>
        <v>erreur de calcul</v>
      </c>
      <c r="AV124" s="2"/>
    </row>
    <row r="125" spans="1:48" ht="16.5">
      <c r="A125" s="1" t="s">
        <v>12</v>
      </c>
      <c r="B125" s="3" t="s">
        <v>29</v>
      </c>
      <c r="C125" s="3" t="s">
        <v>219</v>
      </c>
      <c r="D125" s="4">
        <v>1789</v>
      </c>
      <c r="E125" s="3" t="s">
        <v>22</v>
      </c>
      <c r="F125" s="3" t="s">
        <v>22</v>
      </c>
      <c r="G125" s="31">
        <v>21</v>
      </c>
      <c r="H125" s="31" t="s">
        <v>127</v>
      </c>
      <c r="I125" s="5">
        <v>15</v>
      </c>
      <c r="J125" s="5"/>
      <c r="K125" s="6"/>
      <c r="L125" s="11">
        <f t="shared" si="55"/>
        <v>15</v>
      </c>
      <c r="M125" s="7" t="s">
        <v>14</v>
      </c>
      <c r="N125" s="31"/>
      <c r="O125" s="9"/>
      <c r="P125" s="9" t="str">
        <f t="shared" si="42"/>
        <v/>
      </c>
      <c r="Q125" s="9">
        <f>11945/100</f>
        <v>119.45</v>
      </c>
      <c r="R125" s="30">
        <v>1792</v>
      </c>
      <c r="S125" s="9"/>
      <c r="T125" s="30">
        <f t="shared" si="43"/>
        <v>0</v>
      </c>
      <c r="U125" s="9"/>
      <c r="V125" s="30">
        <f t="shared" si="44"/>
        <v>0</v>
      </c>
      <c r="W125" s="9"/>
      <c r="X125" s="30">
        <f t="shared" si="45"/>
        <v>0</v>
      </c>
      <c r="Y125" s="9">
        <f>67495/100</f>
        <v>674.95</v>
      </c>
      <c r="Z125" s="30">
        <v>10124</v>
      </c>
      <c r="AA125" s="9"/>
      <c r="AB125" s="30">
        <f t="shared" si="47"/>
        <v>0</v>
      </c>
      <c r="AC125" s="9"/>
      <c r="AD125" s="30">
        <f t="shared" si="53"/>
        <v>0</v>
      </c>
      <c r="AE125" s="9"/>
      <c r="AF125" s="30">
        <f t="shared" si="48"/>
        <v>0</v>
      </c>
      <c r="AG125" s="9"/>
      <c r="AH125" s="30">
        <f t="shared" si="49"/>
        <v>0</v>
      </c>
      <c r="AI125" s="9"/>
      <c r="AJ125" s="30">
        <f t="shared" si="50"/>
        <v>0</v>
      </c>
      <c r="AK125" s="9"/>
      <c r="AL125" s="30">
        <f t="shared" si="51"/>
        <v>0</v>
      </c>
      <c r="AM125" s="10">
        <f>79440/100</f>
        <v>794.4</v>
      </c>
      <c r="AN125" s="31">
        <v>11916</v>
      </c>
      <c r="AO125" s="15">
        <f t="shared" si="54"/>
        <v>11916</v>
      </c>
      <c r="AP125" s="9">
        <f t="shared" si="56"/>
        <v>0</v>
      </c>
      <c r="AQ125" s="28">
        <f t="shared" si="52"/>
        <v>794.40000000000009</v>
      </c>
      <c r="AR125" s="8">
        <f t="shared" si="57"/>
        <v>0</v>
      </c>
      <c r="AS125" s="29">
        <f t="shared" si="40"/>
        <v>11916.000000000002</v>
      </c>
      <c r="AT125" s="13">
        <f t="shared" si="58"/>
        <v>0</v>
      </c>
      <c r="AU125" s="2" t="str">
        <f t="shared" si="41"/>
        <v/>
      </c>
      <c r="AV125" s="2"/>
    </row>
    <row r="126" spans="1:48" ht="16.5">
      <c r="A126" s="1" t="s">
        <v>12</v>
      </c>
      <c r="B126" s="3" t="s">
        <v>29</v>
      </c>
      <c r="C126" s="3" t="s">
        <v>219</v>
      </c>
      <c r="D126" s="4">
        <v>1789</v>
      </c>
      <c r="E126" s="3" t="s">
        <v>22</v>
      </c>
      <c r="F126" s="3" t="s">
        <v>22</v>
      </c>
      <c r="G126" s="31">
        <v>21</v>
      </c>
      <c r="H126" s="31" t="s">
        <v>128</v>
      </c>
      <c r="I126" s="5"/>
      <c r="J126" s="5"/>
      <c r="K126" s="6"/>
      <c r="L126" s="11">
        <f t="shared" si="55"/>
        <v>0</v>
      </c>
      <c r="M126" s="7"/>
      <c r="N126" s="31"/>
      <c r="O126" s="9"/>
      <c r="P126" s="9" t="str">
        <f t="shared" si="42"/>
        <v/>
      </c>
      <c r="Q126" s="9"/>
      <c r="R126" s="30">
        <f>Q126*$L126</f>
        <v>0</v>
      </c>
      <c r="S126" s="9"/>
      <c r="T126" s="30">
        <f t="shared" si="43"/>
        <v>0</v>
      </c>
      <c r="U126" s="9"/>
      <c r="V126" s="30">
        <v>880</v>
      </c>
      <c r="W126" s="9"/>
      <c r="X126" s="30">
        <v>2688</v>
      </c>
      <c r="Y126" s="9"/>
      <c r="Z126" s="30">
        <f t="shared" si="46"/>
        <v>0</v>
      </c>
      <c r="AA126" s="9"/>
      <c r="AB126" s="30">
        <f t="shared" si="47"/>
        <v>0</v>
      </c>
      <c r="AC126" s="9"/>
      <c r="AD126" s="30">
        <f t="shared" si="53"/>
        <v>0</v>
      </c>
      <c r="AE126" s="9"/>
      <c r="AF126" s="30">
        <f t="shared" si="48"/>
        <v>0</v>
      </c>
      <c r="AG126" s="9"/>
      <c r="AH126" s="30">
        <f t="shared" si="49"/>
        <v>0</v>
      </c>
      <c r="AI126" s="9"/>
      <c r="AJ126" s="30">
        <f t="shared" si="50"/>
        <v>0</v>
      </c>
      <c r="AK126" s="9"/>
      <c r="AL126" s="30">
        <f t="shared" si="51"/>
        <v>0</v>
      </c>
      <c r="AM126" s="10"/>
      <c r="AN126" s="31">
        <v>3568</v>
      </c>
      <c r="AO126" s="15">
        <f t="shared" si="54"/>
        <v>3568</v>
      </c>
      <c r="AP126" s="9">
        <f t="shared" si="56"/>
        <v>0</v>
      </c>
      <c r="AQ126" s="28">
        <f t="shared" si="52"/>
        <v>0</v>
      </c>
      <c r="AR126" s="8">
        <f t="shared" si="57"/>
        <v>0</v>
      </c>
      <c r="AS126" s="29">
        <f t="shared" si="40"/>
        <v>0</v>
      </c>
      <c r="AT126" s="13">
        <f t="shared" si="58"/>
        <v>3568</v>
      </c>
      <c r="AU126" s="2" t="str">
        <f t="shared" si="41"/>
        <v>pas de prix, ni de quantité</v>
      </c>
      <c r="AV126" s="2"/>
    </row>
    <row r="127" spans="1:48" ht="16.5">
      <c r="A127" s="1" t="s">
        <v>12</v>
      </c>
      <c r="B127" s="3" t="s">
        <v>29</v>
      </c>
      <c r="C127" s="3" t="s">
        <v>219</v>
      </c>
      <c r="D127" s="4">
        <v>1789</v>
      </c>
      <c r="E127" s="3" t="s">
        <v>22</v>
      </c>
      <c r="F127" s="3" t="s">
        <v>22</v>
      </c>
      <c r="G127" s="31">
        <v>21</v>
      </c>
      <c r="H127" s="31" t="s">
        <v>211</v>
      </c>
      <c r="I127" s="5">
        <v>35</v>
      </c>
      <c r="J127" s="5"/>
      <c r="K127" s="6"/>
      <c r="L127" s="11">
        <f t="shared" si="55"/>
        <v>35</v>
      </c>
      <c r="M127" s="7" t="s">
        <v>14</v>
      </c>
      <c r="N127" s="31"/>
      <c r="O127" s="9"/>
      <c r="P127" s="9" t="str">
        <f t="shared" si="42"/>
        <v/>
      </c>
      <c r="Q127" s="9">
        <f>64617/100</f>
        <v>646.16999999999996</v>
      </c>
      <c r="R127" s="30">
        <v>22615</v>
      </c>
      <c r="S127" s="9"/>
      <c r="T127" s="30">
        <f t="shared" si="43"/>
        <v>0</v>
      </c>
      <c r="U127" s="9"/>
      <c r="V127" s="30">
        <f t="shared" si="44"/>
        <v>0</v>
      </c>
      <c r="W127" s="9">
        <f>7916/100</f>
        <v>79.16</v>
      </c>
      <c r="X127" s="30">
        <v>2771</v>
      </c>
      <c r="Y127" s="9">
        <f>17500/100</f>
        <v>175</v>
      </c>
      <c r="Z127" s="30">
        <v>6125</v>
      </c>
      <c r="AA127" s="9"/>
      <c r="AB127" s="30">
        <f t="shared" si="47"/>
        <v>0</v>
      </c>
      <c r="AC127" s="9"/>
      <c r="AD127" s="30">
        <f t="shared" si="53"/>
        <v>0</v>
      </c>
      <c r="AE127" s="9"/>
      <c r="AF127" s="30">
        <f t="shared" si="48"/>
        <v>0</v>
      </c>
      <c r="AG127" s="9"/>
      <c r="AH127" s="30">
        <f t="shared" si="49"/>
        <v>0</v>
      </c>
      <c r="AI127" s="9"/>
      <c r="AJ127" s="30">
        <f t="shared" si="50"/>
        <v>0</v>
      </c>
      <c r="AK127" s="9">
        <f>6256/100</f>
        <v>62.56</v>
      </c>
      <c r="AL127" s="30">
        <v>2190</v>
      </c>
      <c r="AM127" s="10">
        <f>96289/100</f>
        <v>962.89</v>
      </c>
      <c r="AN127" s="31">
        <v>33701</v>
      </c>
      <c r="AO127" s="15">
        <f t="shared" si="54"/>
        <v>33701</v>
      </c>
      <c r="AP127" s="9">
        <f t="shared" si="56"/>
        <v>0</v>
      </c>
      <c r="AQ127" s="28">
        <f t="shared" si="52"/>
        <v>962.88999999999987</v>
      </c>
      <c r="AR127" s="8">
        <f t="shared" si="57"/>
        <v>0</v>
      </c>
      <c r="AS127" s="29">
        <f t="shared" si="40"/>
        <v>33701.149999999994</v>
      </c>
      <c r="AT127" s="13">
        <f t="shared" si="58"/>
        <v>-0.14999999999417923</v>
      </c>
      <c r="AU127" s="2" t="str">
        <f t="shared" si="41"/>
        <v>erreur de calcul</v>
      </c>
      <c r="AV127" s="2"/>
    </row>
    <row r="128" spans="1:48" ht="16.5">
      <c r="A128" s="1" t="s">
        <v>12</v>
      </c>
      <c r="B128" s="3" t="s">
        <v>29</v>
      </c>
      <c r="C128" s="3" t="s">
        <v>219</v>
      </c>
      <c r="D128" s="4">
        <v>1789</v>
      </c>
      <c r="E128" s="3" t="s">
        <v>22</v>
      </c>
      <c r="F128" s="3" t="s">
        <v>22</v>
      </c>
      <c r="G128" s="31">
        <v>21</v>
      </c>
      <c r="H128" s="31" t="s">
        <v>129</v>
      </c>
      <c r="I128" s="5">
        <v>4</v>
      </c>
      <c r="J128" s="5"/>
      <c r="K128" s="6"/>
      <c r="L128" s="11">
        <f t="shared" si="55"/>
        <v>4</v>
      </c>
      <c r="M128" s="7" t="s">
        <v>15</v>
      </c>
      <c r="N128" s="31"/>
      <c r="O128" s="9"/>
      <c r="P128" s="9" t="str">
        <f t="shared" si="42"/>
        <v/>
      </c>
      <c r="Q128" s="9"/>
      <c r="R128" s="30">
        <f>Q128*$L128</f>
        <v>0</v>
      </c>
      <c r="S128" s="9"/>
      <c r="T128" s="30">
        <f t="shared" si="43"/>
        <v>0</v>
      </c>
      <c r="U128" s="9"/>
      <c r="V128" s="30">
        <f t="shared" si="44"/>
        <v>0</v>
      </c>
      <c r="W128" s="9"/>
      <c r="X128" s="30">
        <f t="shared" si="45"/>
        <v>0</v>
      </c>
      <c r="Y128" s="9">
        <v>960</v>
      </c>
      <c r="Z128" s="30">
        <v>3840</v>
      </c>
      <c r="AA128" s="9"/>
      <c r="AB128" s="30">
        <f t="shared" si="47"/>
        <v>0</v>
      </c>
      <c r="AC128" s="9"/>
      <c r="AD128" s="30">
        <f t="shared" si="53"/>
        <v>0</v>
      </c>
      <c r="AE128" s="9"/>
      <c r="AF128" s="30">
        <f t="shared" si="48"/>
        <v>0</v>
      </c>
      <c r="AG128" s="9"/>
      <c r="AH128" s="30">
        <f t="shared" si="49"/>
        <v>0</v>
      </c>
      <c r="AI128" s="9"/>
      <c r="AJ128" s="30">
        <f t="shared" si="50"/>
        <v>0</v>
      </c>
      <c r="AK128" s="9"/>
      <c r="AL128" s="30">
        <f t="shared" si="51"/>
        <v>0</v>
      </c>
      <c r="AM128" s="10">
        <v>960</v>
      </c>
      <c r="AN128" s="31">
        <v>3840</v>
      </c>
      <c r="AO128" s="15">
        <f t="shared" si="54"/>
        <v>3840</v>
      </c>
      <c r="AP128" s="9">
        <f t="shared" si="56"/>
        <v>0</v>
      </c>
      <c r="AQ128" s="28">
        <f t="shared" si="52"/>
        <v>960</v>
      </c>
      <c r="AR128" s="8">
        <f t="shared" si="57"/>
        <v>0</v>
      </c>
      <c r="AS128" s="29">
        <f t="shared" si="40"/>
        <v>3840</v>
      </c>
      <c r="AT128" s="13">
        <f t="shared" si="58"/>
        <v>0</v>
      </c>
      <c r="AU128" s="2" t="str">
        <f t="shared" si="41"/>
        <v/>
      </c>
      <c r="AV128" s="2"/>
    </row>
    <row r="129" spans="1:48" ht="16.5">
      <c r="A129" s="1" t="s">
        <v>12</v>
      </c>
      <c r="B129" s="3" t="s">
        <v>29</v>
      </c>
      <c r="C129" s="3" t="s">
        <v>219</v>
      </c>
      <c r="D129" s="4">
        <v>1789</v>
      </c>
      <c r="E129" s="3" t="s">
        <v>22</v>
      </c>
      <c r="F129" s="3" t="s">
        <v>22</v>
      </c>
      <c r="G129" s="31">
        <v>21</v>
      </c>
      <c r="H129" s="31" t="s">
        <v>47</v>
      </c>
      <c r="I129" s="5">
        <v>60</v>
      </c>
      <c r="J129" s="5"/>
      <c r="K129" s="6"/>
      <c r="L129" s="11">
        <f t="shared" si="55"/>
        <v>60</v>
      </c>
      <c r="M129" s="7" t="s">
        <v>14</v>
      </c>
      <c r="N129" s="31"/>
      <c r="O129" s="9"/>
      <c r="P129" s="9" t="str">
        <f t="shared" si="42"/>
        <v/>
      </c>
      <c r="Q129" s="9">
        <f>15382/100</f>
        <v>153.82</v>
      </c>
      <c r="R129" s="30">
        <v>9229</v>
      </c>
      <c r="S129" s="9"/>
      <c r="T129" s="30">
        <f t="shared" si="43"/>
        <v>0</v>
      </c>
      <c r="U129" s="9">
        <f>7704/100</f>
        <v>77.040000000000006</v>
      </c>
      <c r="V129" s="30">
        <v>4622</v>
      </c>
      <c r="W129" s="9">
        <f>1411585/100</f>
        <v>14115.85</v>
      </c>
      <c r="X129" s="30">
        <v>846951</v>
      </c>
      <c r="Y129" s="9">
        <f>5920/100</f>
        <v>59.2</v>
      </c>
      <c r="Z129" s="30">
        <v>3552</v>
      </c>
      <c r="AA129" s="9"/>
      <c r="AB129" s="30">
        <f t="shared" si="47"/>
        <v>0</v>
      </c>
      <c r="AC129" s="9">
        <f>3900/100</f>
        <v>39</v>
      </c>
      <c r="AD129" s="32">
        <v>1840</v>
      </c>
      <c r="AE129" s="9">
        <f>335/100</f>
        <v>3.35</v>
      </c>
      <c r="AF129" s="30">
        <v>201</v>
      </c>
      <c r="AG129" s="9">
        <f>7274/100</f>
        <v>72.739999999999995</v>
      </c>
      <c r="AH129" s="30">
        <v>4364</v>
      </c>
      <c r="AI129" s="9"/>
      <c r="AJ129" s="30">
        <f t="shared" si="50"/>
        <v>0</v>
      </c>
      <c r="AK129" s="9"/>
      <c r="AL129" s="30">
        <f t="shared" si="51"/>
        <v>0</v>
      </c>
      <c r="AM129" s="10">
        <f>1452100/100</f>
        <v>14521</v>
      </c>
      <c r="AN129" s="31">
        <v>870759</v>
      </c>
      <c r="AO129" s="15">
        <f t="shared" si="54"/>
        <v>870759</v>
      </c>
      <c r="AP129" s="9">
        <f t="shared" si="56"/>
        <v>0</v>
      </c>
      <c r="AQ129" s="28">
        <f t="shared" si="52"/>
        <v>14521.000000000002</v>
      </c>
      <c r="AR129" s="8">
        <f t="shared" si="57"/>
        <v>0</v>
      </c>
      <c r="AS129" s="29">
        <f t="shared" si="40"/>
        <v>871260.00000000012</v>
      </c>
      <c r="AT129" s="13">
        <f t="shared" si="58"/>
        <v>-501.00000000011642</v>
      </c>
      <c r="AU129" s="2" t="str">
        <f t="shared" si="41"/>
        <v>erreur de calcul</v>
      </c>
      <c r="AV129" s="2" t="s">
        <v>295</v>
      </c>
    </row>
    <row r="130" spans="1:48" ht="16.5">
      <c r="A130" s="1" t="s">
        <v>12</v>
      </c>
      <c r="B130" s="3" t="s">
        <v>29</v>
      </c>
      <c r="C130" s="3" t="s">
        <v>219</v>
      </c>
      <c r="D130" s="4">
        <v>1789</v>
      </c>
      <c r="E130" s="3" t="s">
        <v>22</v>
      </c>
      <c r="F130" s="3" t="s">
        <v>22</v>
      </c>
      <c r="G130" s="31">
        <v>22</v>
      </c>
      <c r="H130" s="31" t="s">
        <v>212</v>
      </c>
      <c r="I130" s="5">
        <v>4</v>
      </c>
      <c r="J130" s="5"/>
      <c r="K130" s="6"/>
      <c r="L130" s="11">
        <f t="shared" si="55"/>
        <v>4</v>
      </c>
      <c r="M130" s="7" t="s">
        <v>41</v>
      </c>
      <c r="N130" s="31"/>
      <c r="O130" s="9"/>
      <c r="P130" s="9" t="str">
        <f t="shared" si="42"/>
        <v/>
      </c>
      <c r="Q130" s="9">
        <v>48</v>
      </c>
      <c r="R130" s="30">
        <v>192</v>
      </c>
      <c r="S130" s="9"/>
      <c r="T130" s="30">
        <f t="shared" si="43"/>
        <v>0</v>
      </c>
      <c r="U130" s="9">
        <v>37</v>
      </c>
      <c r="V130" s="30">
        <v>148</v>
      </c>
      <c r="W130" s="9">
        <v>1352</v>
      </c>
      <c r="X130" s="30">
        <v>5408</v>
      </c>
      <c r="Y130" s="9">
        <v>700</v>
      </c>
      <c r="Z130" s="30">
        <v>2800</v>
      </c>
      <c r="AA130" s="9"/>
      <c r="AB130" s="30">
        <f t="shared" si="47"/>
        <v>0</v>
      </c>
      <c r="AC130" s="9"/>
      <c r="AD130" s="30">
        <f t="shared" si="53"/>
        <v>0</v>
      </c>
      <c r="AE130" s="9"/>
      <c r="AF130" s="30">
        <f t="shared" si="48"/>
        <v>0</v>
      </c>
      <c r="AG130" s="9"/>
      <c r="AH130" s="30">
        <f t="shared" si="49"/>
        <v>0</v>
      </c>
      <c r="AI130" s="9"/>
      <c r="AJ130" s="30">
        <f t="shared" si="50"/>
        <v>0</v>
      </c>
      <c r="AK130" s="9">
        <v>59</v>
      </c>
      <c r="AL130" s="30">
        <v>236</v>
      </c>
      <c r="AM130" s="10">
        <v>2196</v>
      </c>
      <c r="AN130" s="31">
        <v>8784</v>
      </c>
      <c r="AO130" s="15">
        <f t="shared" si="54"/>
        <v>8784</v>
      </c>
      <c r="AP130" s="9">
        <f t="shared" si="56"/>
        <v>0</v>
      </c>
      <c r="AQ130" s="28">
        <f t="shared" si="52"/>
        <v>2196</v>
      </c>
      <c r="AR130" s="8">
        <f t="shared" si="57"/>
        <v>0</v>
      </c>
      <c r="AS130" s="29">
        <f t="shared" si="40"/>
        <v>8784</v>
      </c>
      <c r="AT130" s="13">
        <f t="shared" si="58"/>
        <v>0</v>
      </c>
      <c r="AU130" s="2" t="str">
        <f t="shared" si="41"/>
        <v/>
      </c>
      <c r="AV130" s="2"/>
    </row>
    <row r="131" spans="1:48" ht="16.5">
      <c r="A131" s="1" t="s">
        <v>12</v>
      </c>
      <c r="B131" s="3" t="s">
        <v>29</v>
      </c>
      <c r="C131" s="3" t="s">
        <v>219</v>
      </c>
      <c r="D131" s="4">
        <v>1789</v>
      </c>
      <c r="E131" s="3" t="s">
        <v>22</v>
      </c>
      <c r="F131" s="3" t="s">
        <v>22</v>
      </c>
      <c r="G131" s="31">
        <v>22</v>
      </c>
      <c r="H131" s="31" t="s">
        <v>130</v>
      </c>
      <c r="I131" s="5"/>
      <c r="J131" s="5"/>
      <c r="K131" s="6"/>
      <c r="L131" s="11">
        <f t="shared" si="55"/>
        <v>0</v>
      </c>
      <c r="M131" s="7"/>
      <c r="N131" s="31"/>
      <c r="O131" s="9"/>
      <c r="P131" s="9" t="str">
        <f t="shared" si="42"/>
        <v/>
      </c>
      <c r="Q131" s="9"/>
      <c r="R131" s="30">
        <f>Q131*$L131</f>
        <v>0</v>
      </c>
      <c r="S131" s="9"/>
      <c r="T131" s="30">
        <f t="shared" si="43"/>
        <v>0</v>
      </c>
      <c r="U131" s="9"/>
      <c r="V131" s="30">
        <v>1413</v>
      </c>
      <c r="W131" s="9"/>
      <c r="X131" s="30">
        <f t="shared" si="45"/>
        <v>0</v>
      </c>
      <c r="Y131" s="9"/>
      <c r="Z131" s="30">
        <f t="shared" si="46"/>
        <v>0</v>
      </c>
      <c r="AA131" s="9"/>
      <c r="AB131" s="30">
        <f t="shared" si="47"/>
        <v>0</v>
      </c>
      <c r="AC131" s="9"/>
      <c r="AD131" s="30">
        <f t="shared" si="53"/>
        <v>0</v>
      </c>
      <c r="AE131" s="9"/>
      <c r="AF131" s="30">
        <f t="shared" si="48"/>
        <v>0</v>
      </c>
      <c r="AG131" s="9"/>
      <c r="AH131" s="30">
        <f t="shared" si="49"/>
        <v>0</v>
      </c>
      <c r="AI131" s="9"/>
      <c r="AJ131" s="30">
        <f t="shared" si="50"/>
        <v>0</v>
      </c>
      <c r="AK131" s="9"/>
      <c r="AL131" s="30">
        <f t="shared" si="51"/>
        <v>0</v>
      </c>
      <c r="AM131" s="10"/>
      <c r="AN131" s="31">
        <v>1413</v>
      </c>
      <c r="AO131" s="15">
        <f t="shared" si="54"/>
        <v>1413</v>
      </c>
      <c r="AP131" s="9">
        <f t="shared" si="56"/>
        <v>0</v>
      </c>
      <c r="AQ131" s="28">
        <f t="shared" si="52"/>
        <v>0</v>
      </c>
      <c r="AR131" s="8">
        <f t="shared" si="57"/>
        <v>0</v>
      </c>
      <c r="AS131" s="29">
        <f t="shared" ref="AS131:AS194" si="62">AQ131*L131</f>
        <v>0</v>
      </c>
      <c r="AT131" s="13">
        <f t="shared" si="58"/>
        <v>1413</v>
      </c>
      <c r="AU131" s="2" t="str">
        <f t="shared" ref="AU131:AU194" si="63">IF(AT131=0,"",IF(AT131&lt;&gt;AN131,"erreur de calcul",IF(AQ131&lt;&gt;0,"pas de prix",IF(L131&lt;&gt; 0,"pas de quantité","pas de prix, ni de quantité"))))</f>
        <v>pas de prix, ni de quantité</v>
      </c>
      <c r="AV131" s="2"/>
    </row>
    <row r="132" spans="1:48" ht="16.5">
      <c r="A132" s="1" t="s">
        <v>12</v>
      </c>
      <c r="B132" s="3" t="s">
        <v>29</v>
      </c>
      <c r="C132" s="3" t="s">
        <v>219</v>
      </c>
      <c r="D132" s="4">
        <v>1789</v>
      </c>
      <c r="E132" s="3" t="s">
        <v>22</v>
      </c>
      <c r="F132" s="3" t="s">
        <v>22</v>
      </c>
      <c r="G132" s="31">
        <v>22</v>
      </c>
      <c r="H132" s="31" t="s">
        <v>131</v>
      </c>
      <c r="I132" s="5">
        <v>4</v>
      </c>
      <c r="J132" s="5"/>
      <c r="K132" s="6"/>
      <c r="L132" s="11">
        <f t="shared" si="55"/>
        <v>4</v>
      </c>
      <c r="M132" s="7" t="s">
        <v>15</v>
      </c>
      <c r="N132" s="31"/>
      <c r="O132" s="9"/>
      <c r="P132" s="9" t="str">
        <f t="shared" ref="P132:P195" si="64">IF(N132&lt;&gt;"",O132*L132,"")</f>
        <v/>
      </c>
      <c r="Q132" s="9"/>
      <c r="R132" s="30">
        <f t="shared" ref="R132:R195" si="65">Q132*$L132</f>
        <v>0</v>
      </c>
      <c r="S132" s="9"/>
      <c r="T132" s="30">
        <f t="shared" ref="T132:T195" si="66">S132*$L132</f>
        <v>0</v>
      </c>
      <c r="U132" s="9">
        <v>470</v>
      </c>
      <c r="V132" s="30">
        <v>1880</v>
      </c>
      <c r="W132" s="9">
        <v>125</v>
      </c>
      <c r="X132" s="30">
        <v>500</v>
      </c>
      <c r="Y132" s="9"/>
      <c r="Z132" s="30">
        <f t="shared" ref="Z132:Z194" si="67">Y132*$L132</f>
        <v>0</v>
      </c>
      <c r="AA132" s="9"/>
      <c r="AB132" s="30">
        <f t="shared" ref="AB132:AB195" si="68">AA132*$L132</f>
        <v>0</v>
      </c>
      <c r="AC132" s="9"/>
      <c r="AD132" s="30">
        <f t="shared" ref="AD132:AD195" si="69">AC132*$L132</f>
        <v>0</v>
      </c>
      <c r="AE132" s="9"/>
      <c r="AF132" s="30">
        <f t="shared" ref="AF132:AF195" si="70">AE132*$L132</f>
        <v>0</v>
      </c>
      <c r="AG132" s="9"/>
      <c r="AH132" s="30">
        <f t="shared" ref="AH132:AH195" si="71">AG132*$L132</f>
        <v>0</v>
      </c>
      <c r="AI132" s="9"/>
      <c r="AJ132" s="30">
        <f t="shared" ref="AJ132:AJ195" si="72">AI132*$L132</f>
        <v>0</v>
      </c>
      <c r="AK132" s="9"/>
      <c r="AL132" s="30">
        <f t="shared" ref="AL132:AL195" si="73">AK132*$L132</f>
        <v>0</v>
      </c>
      <c r="AM132" s="10">
        <v>595</v>
      </c>
      <c r="AN132" s="31">
        <v>2380</v>
      </c>
      <c r="AO132" s="15">
        <f t="shared" ref="AO132:AO195" si="74">SUM(R132,T132,V132,X132,Z132,AB132,AD132,AF132,AH132,AJ132,AL132)</f>
        <v>2380</v>
      </c>
      <c r="AP132" s="9">
        <f t="shared" si="56"/>
        <v>0</v>
      </c>
      <c r="AQ132" s="28">
        <f t="shared" ref="AQ132:AQ195" si="75">SUM(Q132,S132,U132,W132,Y132,AA132,AC132,AE132,AG132,AI132,AK132)</f>
        <v>595</v>
      </c>
      <c r="AR132" s="8">
        <f t="shared" si="57"/>
        <v>0</v>
      </c>
      <c r="AS132" s="29">
        <f t="shared" si="62"/>
        <v>2380</v>
      </c>
      <c r="AT132" s="13">
        <f t="shared" si="58"/>
        <v>0</v>
      </c>
      <c r="AU132" s="2" t="str">
        <f t="shared" si="63"/>
        <v/>
      </c>
      <c r="AV132" s="2"/>
    </row>
    <row r="133" spans="1:48" ht="16.5">
      <c r="A133" s="1" t="s">
        <v>12</v>
      </c>
      <c r="B133" s="3" t="s">
        <v>29</v>
      </c>
      <c r="C133" s="3" t="s">
        <v>219</v>
      </c>
      <c r="D133" s="4">
        <v>1789</v>
      </c>
      <c r="E133" s="3" t="s">
        <v>22</v>
      </c>
      <c r="F133" s="3" t="s">
        <v>22</v>
      </c>
      <c r="G133" s="31">
        <v>22</v>
      </c>
      <c r="H133" s="31" t="s">
        <v>132</v>
      </c>
      <c r="I133" s="5">
        <v>15</v>
      </c>
      <c r="J133" s="5"/>
      <c r="K133" s="6"/>
      <c r="L133" s="11">
        <f t="shared" si="55"/>
        <v>15</v>
      </c>
      <c r="M133" s="7" t="s">
        <v>15</v>
      </c>
      <c r="N133" s="31"/>
      <c r="O133" s="9"/>
      <c r="P133" s="9" t="str">
        <f t="shared" si="64"/>
        <v/>
      </c>
      <c r="Q133" s="9"/>
      <c r="R133" s="30">
        <f t="shared" si="65"/>
        <v>0</v>
      </c>
      <c r="S133" s="9"/>
      <c r="T133" s="30">
        <f t="shared" si="66"/>
        <v>0</v>
      </c>
      <c r="U133" s="9"/>
      <c r="V133" s="30">
        <f t="shared" ref="V133:V195" si="76">U133*$L133</f>
        <v>0</v>
      </c>
      <c r="W133" s="9">
        <v>12</v>
      </c>
      <c r="X133" s="30">
        <v>180</v>
      </c>
      <c r="Y133" s="9"/>
      <c r="Z133" s="30">
        <f t="shared" si="67"/>
        <v>0</v>
      </c>
      <c r="AA133" s="9"/>
      <c r="AB133" s="30">
        <f t="shared" si="68"/>
        <v>0</v>
      </c>
      <c r="AC133" s="9"/>
      <c r="AD133" s="30">
        <f t="shared" si="69"/>
        <v>0</v>
      </c>
      <c r="AE133" s="9"/>
      <c r="AF133" s="30">
        <f t="shared" si="70"/>
        <v>0</v>
      </c>
      <c r="AG133" s="9"/>
      <c r="AH133" s="30">
        <f t="shared" si="71"/>
        <v>0</v>
      </c>
      <c r="AI133" s="9"/>
      <c r="AJ133" s="30">
        <f t="shared" si="72"/>
        <v>0</v>
      </c>
      <c r="AK133" s="9"/>
      <c r="AL133" s="30">
        <f t="shared" si="73"/>
        <v>0</v>
      </c>
      <c r="AM133" s="10">
        <v>12</v>
      </c>
      <c r="AN133" s="31">
        <v>180</v>
      </c>
      <c r="AO133" s="15">
        <f t="shared" si="74"/>
        <v>180</v>
      </c>
      <c r="AP133" s="9">
        <f t="shared" si="56"/>
        <v>0</v>
      </c>
      <c r="AQ133" s="28">
        <f t="shared" si="75"/>
        <v>12</v>
      </c>
      <c r="AR133" s="8">
        <f t="shared" si="57"/>
        <v>0</v>
      </c>
      <c r="AS133" s="29">
        <f t="shared" si="62"/>
        <v>180</v>
      </c>
      <c r="AT133" s="13">
        <f t="shared" si="58"/>
        <v>0</v>
      </c>
      <c r="AU133" s="2" t="str">
        <f t="shared" si="63"/>
        <v/>
      </c>
      <c r="AV133" s="2"/>
    </row>
    <row r="134" spans="1:48" ht="16.5">
      <c r="A134" s="1" t="s">
        <v>12</v>
      </c>
      <c r="B134" s="3" t="s">
        <v>29</v>
      </c>
      <c r="C134" s="3" t="s">
        <v>219</v>
      </c>
      <c r="D134" s="4">
        <v>1789</v>
      </c>
      <c r="E134" s="3" t="s">
        <v>22</v>
      </c>
      <c r="F134" s="3" t="s">
        <v>22</v>
      </c>
      <c r="G134" s="31">
        <v>22</v>
      </c>
      <c r="H134" s="31" t="s">
        <v>213</v>
      </c>
      <c r="I134" s="5">
        <v>13</v>
      </c>
      <c r="J134" s="5"/>
      <c r="K134" s="6"/>
      <c r="L134" s="11">
        <f t="shared" si="55"/>
        <v>13</v>
      </c>
      <c r="M134" s="7" t="s">
        <v>14</v>
      </c>
      <c r="N134" s="31" t="s">
        <v>19</v>
      </c>
      <c r="O134" s="9">
        <f>648662/100</f>
        <v>6486.62</v>
      </c>
      <c r="P134" s="9">
        <v>84326</v>
      </c>
      <c r="Q134" s="9"/>
      <c r="R134" s="30">
        <f t="shared" si="65"/>
        <v>0</v>
      </c>
      <c r="S134" s="9"/>
      <c r="T134" s="30">
        <f t="shared" si="66"/>
        <v>0</v>
      </c>
      <c r="U134" s="9">
        <f>11752956/100</f>
        <v>117529.56</v>
      </c>
      <c r="V134" s="30">
        <v>1527884</v>
      </c>
      <c r="W134" s="9">
        <f>4449857/100</f>
        <v>44498.57</v>
      </c>
      <c r="X134" s="30">
        <v>578481</v>
      </c>
      <c r="Y134" s="9">
        <f>5752275/100</f>
        <v>57522.75</v>
      </c>
      <c r="Z134" s="30">
        <v>747795</v>
      </c>
      <c r="AA134" s="9"/>
      <c r="AB134" s="30">
        <f t="shared" si="68"/>
        <v>0</v>
      </c>
      <c r="AC134" s="9">
        <f>170980/100</f>
        <v>1709.8</v>
      </c>
      <c r="AD134" s="30">
        <v>22227</v>
      </c>
      <c r="AE134" s="9">
        <f>216000/100</f>
        <v>2160</v>
      </c>
      <c r="AF134" s="30">
        <v>28080</v>
      </c>
      <c r="AG134" s="9">
        <f>3466030/100</f>
        <v>34660.300000000003</v>
      </c>
      <c r="AH134" s="30">
        <v>450583</v>
      </c>
      <c r="AI134" s="9"/>
      <c r="AJ134" s="30">
        <f t="shared" si="72"/>
        <v>0</v>
      </c>
      <c r="AK134" s="9">
        <f>5747251/100</f>
        <v>57472.51</v>
      </c>
      <c r="AL134" s="30">
        <v>747142</v>
      </c>
      <c r="AM134" s="10">
        <f>31555349/100</f>
        <v>315553.49</v>
      </c>
      <c r="AN134" s="31">
        <v>4102192</v>
      </c>
      <c r="AO134" s="15">
        <f t="shared" si="74"/>
        <v>4102192</v>
      </c>
      <c r="AP134" s="9">
        <f t="shared" si="56"/>
        <v>0</v>
      </c>
      <c r="AQ134" s="28">
        <f t="shared" si="75"/>
        <v>315553.49</v>
      </c>
      <c r="AR134" s="8">
        <f t="shared" si="57"/>
        <v>0</v>
      </c>
      <c r="AS134" s="29">
        <f t="shared" si="62"/>
        <v>4102195.37</v>
      </c>
      <c r="AT134" s="13">
        <f t="shared" si="58"/>
        <v>-3.3700000001117587</v>
      </c>
      <c r="AU134" s="2" t="str">
        <f t="shared" si="63"/>
        <v>erreur de calcul</v>
      </c>
      <c r="AV134" s="2"/>
    </row>
    <row r="135" spans="1:48" ht="16.5">
      <c r="A135" s="1" t="s">
        <v>12</v>
      </c>
      <c r="B135" s="3" t="s">
        <v>29</v>
      </c>
      <c r="C135" s="3" t="s">
        <v>219</v>
      </c>
      <c r="D135" s="4">
        <v>1789</v>
      </c>
      <c r="E135" s="3" t="s">
        <v>22</v>
      </c>
      <c r="F135" s="3" t="s">
        <v>22</v>
      </c>
      <c r="G135" s="31">
        <v>22</v>
      </c>
      <c r="H135" s="31" t="s">
        <v>260</v>
      </c>
      <c r="I135" s="5">
        <v>8</v>
      </c>
      <c r="J135" s="5"/>
      <c r="K135" s="6"/>
      <c r="L135" s="11">
        <f t="shared" ref="L135:L198" si="77">I135+(J135/20)+(K135/240)</f>
        <v>8</v>
      </c>
      <c r="M135" s="7" t="s">
        <v>14</v>
      </c>
      <c r="N135" s="31"/>
      <c r="O135" s="9"/>
      <c r="P135" s="9" t="str">
        <f t="shared" si="64"/>
        <v/>
      </c>
      <c r="Q135" s="9"/>
      <c r="R135" s="30">
        <f t="shared" si="65"/>
        <v>0</v>
      </c>
      <c r="S135" s="9"/>
      <c r="T135" s="30">
        <f t="shared" si="66"/>
        <v>0</v>
      </c>
      <c r="U135" s="9">
        <f>135384/100</f>
        <v>1353.84</v>
      </c>
      <c r="V135" s="30">
        <v>10831</v>
      </c>
      <c r="W135" s="9"/>
      <c r="X135" s="30">
        <f t="shared" ref="X135:X192" si="78">W135*$L135</f>
        <v>0</v>
      </c>
      <c r="Y135" s="9"/>
      <c r="Z135" s="30">
        <f t="shared" si="67"/>
        <v>0</v>
      </c>
      <c r="AA135" s="9"/>
      <c r="AB135" s="30">
        <f t="shared" si="68"/>
        <v>0</v>
      </c>
      <c r="AC135" s="9"/>
      <c r="AD135" s="30">
        <f t="shared" si="69"/>
        <v>0</v>
      </c>
      <c r="AE135" s="9"/>
      <c r="AF135" s="30">
        <f t="shared" si="70"/>
        <v>0</v>
      </c>
      <c r="AG135" s="9"/>
      <c r="AH135" s="30">
        <f t="shared" si="71"/>
        <v>0</v>
      </c>
      <c r="AI135" s="9"/>
      <c r="AJ135" s="30">
        <f t="shared" si="72"/>
        <v>0</v>
      </c>
      <c r="AK135" s="9"/>
      <c r="AL135" s="30">
        <f t="shared" si="73"/>
        <v>0</v>
      </c>
      <c r="AM135" s="10">
        <f>135384/100</f>
        <v>1353.84</v>
      </c>
      <c r="AN135" s="31">
        <v>10831</v>
      </c>
      <c r="AO135" s="15">
        <f t="shared" si="74"/>
        <v>10831</v>
      </c>
      <c r="AP135" s="9">
        <f t="shared" ref="AP135:AP198" si="79">AN135-AO135</f>
        <v>0</v>
      </c>
      <c r="AQ135" s="28">
        <f t="shared" si="75"/>
        <v>1353.84</v>
      </c>
      <c r="AR135" s="8">
        <f t="shared" ref="AR135:AR198" si="80">AM135-AQ135</f>
        <v>0</v>
      </c>
      <c r="AS135" s="29">
        <f t="shared" si="62"/>
        <v>10830.72</v>
      </c>
      <c r="AT135" s="13">
        <f t="shared" ref="AT135:AT198" si="81">AN135-AS135</f>
        <v>0.28000000000065484</v>
      </c>
      <c r="AU135" s="2" t="str">
        <f t="shared" si="63"/>
        <v>erreur de calcul</v>
      </c>
      <c r="AV135" s="2"/>
    </row>
    <row r="136" spans="1:48" ht="16.5">
      <c r="A136" s="1" t="s">
        <v>12</v>
      </c>
      <c r="B136" s="3" t="s">
        <v>29</v>
      </c>
      <c r="C136" s="3" t="s">
        <v>219</v>
      </c>
      <c r="D136" s="4">
        <v>1789</v>
      </c>
      <c r="E136" s="3" t="s">
        <v>22</v>
      </c>
      <c r="F136" s="3" t="s">
        <v>22</v>
      </c>
      <c r="G136" s="31">
        <v>22</v>
      </c>
      <c r="H136" s="31" t="s">
        <v>261</v>
      </c>
      <c r="I136" s="5">
        <v>8</v>
      </c>
      <c r="J136" s="5">
        <v>10</v>
      </c>
      <c r="K136" s="6"/>
      <c r="L136" s="11">
        <f t="shared" si="77"/>
        <v>8.5</v>
      </c>
      <c r="M136" s="7" t="s">
        <v>14</v>
      </c>
      <c r="N136" s="31"/>
      <c r="O136" s="9"/>
      <c r="P136" s="9" t="str">
        <f t="shared" si="64"/>
        <v/>
      </c>
      <c r="Q136" s="9"/>
      <c r="R136" s="30">
        <f t="shared" si="65"/>
        <v>0</v>
      </c>
      <c r="S136" s="9"/>
      <c r="T136" s="30">
        <f t="shared" si="66"/>
        <v>0</v>
      </c>
      <c r="U136" s="9">
        <f>2014994/100</f>
        <v>20149.939999999999</v>
      </c>
      <c r="V136" s="30">
        <v>171274</v>
      </c>
      <c r="W136" s="9">
        <f>340836/100</f>
        <v>3408.36</v>
      </c>
      <c r="X136" s="32">
        <v>27971</v>
      </c>
      <c r="Y136" s="9">
        <f>11343/100</f>
        <v>113.43</v>
      </c>
      <c r="Z136" s="30">
        <v>964</v>
      </c>
      <c r="AA136" s="9">
        <f>121885/100</f>
        <v>1218.8499999999999</v>
      </c>
      <c r="AB136" s="30">
        <v>10360</v>
      </c>
      <c r="AC136" s="9"/>
      <c r="AD136" s="30">
        <f t="shared" si="69"/>
        <v>0</v>
      </c>
      <c r="AE136" s="9"/>
      <c r="AF136" s="30">
        <f t="shared" si="70"/>
        <v>0</v>
      </c>
      <c r="AG136" s="9">
        <f>131013/100</f>
        <v>1310.1300000000001</v>
      </c>
      <c r="AH136" s="30">
        <v>11136</v>
      </c>
      <c r="AI136" s="9"/>
      <c r="AJ136" s="30">
        <f t="shared" si="72"/>
        <v>0</v>
      </c>
      <c r="AK136" s="9"/>
      <c r="AL136" s="30">
        <f t="shared" si="73"/>
        <v>0</v>
      </c>
      <c r="AM136" s="10">
        <f>2620071/100</f>
        <v>26200.71</v>
      </c>
      <c r="AN136" s="31">
        <v>221705</v>
      </c>
      <c r="AO136" s="15">
        <f t="shared" si="74"/>
        <v>221705</v>
      </c>
      <c r="AP136" s="9">
        <f t="shared" si="79"/>
        <v>0</v>
      </c>
      <c r="AQ136" s="28">
        <f t="shared" si="75"/>
        <v>26200.71</v>
      </c>
      <c r="AR136" s="8">
        <f t="shared" si="80"/>
        <v>0</v>
      </c>
      <c r="AS136" s="29">
        <f t="shared" si="62"/>
        <v>222706.035</v>
      </c>
      <c r="AT136" s="13">
        <f t="shared" si="81"/>
        <v>-1001.0350000000035</v>
      </c>
      <c r="AU136" s="2" t="str">
        <f t="shared" si="63"/>
        <v>erreur de calcul</v>
      </c>
      <c r="AV136" s="2"/>
    </row>
    <row r="137" spans="1:48" ht="16.5">
      <c r="A137" s="1" t="s">
        <v>12</v>
      </c>
      <c r="B137" s="3" t="s">
        <v>29</v>
      </c>
      <c r="C137" s="3" t="s">
        <v>219</v>
      </c>
      <c r="D137" s="4">
        <v>1789</v>
      </c>
      <c r="E137" s="3" t="s">
        <v>22</v>
      </c>
      <c r="F137" s="3" t="s">
        <v>22</v>
      </c>
      <c r="G137" s="31">
        <v>22</v>
      </c>
      <c r="H137" s="31" t="s">
        <v>262</v>
      </c>
      <c r="I137" s="5">
        <v>35</v>
      </c>
      <c r="J137" s="5"/>
      <c r="K137" s="6"/>
      <c r="L137" s="11">
        <f t="shared" si="77"/>
        <v>35</v>
      </c>
      <c r="M137" s="7" t="s">
        <v>14</v>
      </c>
      <c r="N137" s="31"/>
      <c r="O137" s="9"/>
      <c r="P137" s="9" t="str">
        <f t="shared" si="64"/>
        <v/>
      </c>
      <c r="Q137" s="9"/>
      <c r="R137" s="30">
        <f t="shared" si="65"/>
        <v>0</v>
      </c>
      <c r="S137" s="9"/>
      <c r="T137" s="30">
        <f t="shared" si="66"/>
        <v>0</v>
      </c>
      <c r="U137" s="9">
        <f>161550/100</f>
        <v>1615.5</v>
      </c>
      <c r="V137" s="30">
        <v>56542</v>
      </c>
      <c r="W137" s="9">
        <f>2000/100</f>
        <v>20</v>
      </c>
      <c r="X137" s="30">
        <v>700</v>
      </c>
      <c r="Y137" s="9"/>
      <c r="Z137" s="30">
        <f t="shared" si="67"/>
        <v>0</v>
      </c>
      <c r="AA137" s="9"/>
      <c r="AB137" s="30">
        <f t="shared" si="68"/>
        <v>0</v>
      </c>
      <c r="AC137" s="9"/>
      <c r="AD137" s="30">
        <f t="shared" si="69"/>
        <v>0</v>
      </c>
      <c r="AE137" s="9"/>
      <c r="AF137" s="30">
        <f t="shared" si="70"/>
        <v>0</v>
      </c>
      <c r="AG137" s="9"/>
      <c r="AH137" s="30">
        <f t="shared" si="71"/>
        <v>0</v>
      </c>
      <c r="AI137" s="9"/>
      <c r="AJ137" s="30">
        <f t="shared" si="72"/>
        <v>0</v>
      </c>
      <c r="AK137" s="9">
        <f>1772767/100</f>
        <v>17727.669999999998</v>
      </c>
      <c r="AL137" s="30">
        <v>620468</v>
      </c>
      <c r="AM137" s="10">
        <f>1936317/100</f>
        <v>19363.169999999998</v>
      </c>
      <c r="AN137" s="31">
        <v>677710</v>
      </c>
      <c r="AO137" s="15">
        <f t="shared" si="74"/>
        <v>677710</v>
      </c>
      <c r="AP137" s="9">
        <f t="shared" si="79"/>
        <v>0</v>
      </c>
      <c r="AQ137" s="28">
        <f t="shared" si="75"/>
        <v>19363.169999999998</v>
      </c>
      <c r="AR137" s="8">
        <f t="shared" si="80"/>
        <v>0</v>
      </c>
      <c r="AS137" s="29">
        <f t="shared" si="62"/>
        <v>677710.95</v>
      </c>
      <c r="AT137" s="13">
        <f t="shared" si="81"/>
        <v>-0.94999999995343387</v>
      </c>
      <c r="AU137" s="2" t="str">
        <f t="shared" si="63"/>
        <v>erreur de calcul</v>
      </c>
      <c r="AV137" s="2"/>
    </row>
    <row r="138" spans="1:48" ht="16.5">
      <c r="A138" s="1" t="s">
        <v>12</v>
      </c>
      <c r="B138" s="3" t="s">
        <v>29</v>
      </c>
      <c r="C138" s="3" t="s">
        <v>219</v>
      </c>
      <c r="D138" s="4">
        <v>1789</v>
      </c>
      <c r="E138" s="3" t="s">
        <v>22</v>
      </c>
      <c r="F138" s="3" t="s">
        <v>22</v>
      </c>
      <c r="G138" s="31">
        <v>22</v>
      </c>
      <c r="H138" s="31" t="s">
        <v>263</v>
      </c>
      <c r="I138" s="5">
        <v>10</v>
      </c>
      <c r="J138" s="5"/>
      <c r="K138" s="6"/>
      <c r="L138" s="11">
        <f t="shared" si="77"/>
        <v>10</v>
      </c>
      <c r="M138" s="7" t="s">
        <v>14</v>
      </c>
      <c r="N138" s="31"/>
      <c r="O138" s="9"/>
      <c r="P138" s="9" t="str">
        <f t="shared" si="64"/>
        <v/>
      </c>
      <c r="Q138" s="9"/>
      <c r="R138" s="30">
        <f t="shared" si="65"/>
        <v>0</v>
      </c>
      <c r="S138" s="9"/>
      <c r="T138" s="30">
        <f t="shared" si="66"/>
        <v>0</v>
      </c>
      <c r="U138" s="9">
        <f>286366/100</f>
        <v>2863.66</v>
      </c>
      <c r="V138" s="30">
        <v>28637</v>
      </c>
      <c r="W138" s="9">
        <f>3253291/100</f>
        <v>32532.91</v>
      </c>
      <c r="X138" s="30">
        <v>325329</v>
      </c>
      <c r="Y138" s="9">
        <f>4143013/100</f>
        <v>41430.129999999997</v>
      </c>
      <c r="Z138" s="30">
        <v>414301</v>
      </c>
      <c r="AA138" s="9"/>
      <c r="AB138" s="30">
        <f t="shared" si="68"/>
        <v>0</v>
      </c>
      <c r="AC138" s="9">
        <f>85531/100</f>
        <v>855.31</v>
      </c>
      <c r="AD138" s="30">
        <v>8553</v>
      </c>
      <c r="AE138" s="9">
        <f>1502165/100</f>
        <v>15021.65</v>
      </c>
      <c r="AF138" s="30">
        <v>150216</v>
      </c>
      <c r="AG138" s="9">
        <f>728190/100</f>
        <v>7281.9</v>
      </c>
      <c r="AH138" s="30">
        <v>72819</v>
      </c>
      <c r="AI138" s="9"/>
      <c r="AJ138" s="30">
        <f t="shared" si="72"/>
        <v>0</v>
      </c>
      <c r="AK138" s="9"/>
      <c r="AL138" s="30">
        <f t="shared" si="73"/>
        <v>0</v>
      </c>
      <c r="AM138" s="10">
        <f>9998556/100</f>
        <v>99985.56</v>
      </c>
      <c r="AN138" s="31">
        <v>999855</v>
      </c>
      <c r="AO138" s="15">
        <f t="shared" si="74"/>
        <v>999855</v>
      </c>
      <c r="AP138" s="9">
        <f t="shared" si="79"/>
        <v>0</v>
      </c>
      <c r="AQ138" s="28">
        <f t="shared" si="75"/>
        <v>99985.559999999983</v>
      </c>
      <c r="AR138" s="8">
        <f t="shared" si="80"/>
        <v>0</v>
      </c>
      <c r="AS138" s="29">
        <f t="shared" si="62"/>
        <v>999855.59999999986</v>
      </c>
      <c r="AT138" s="13">
        <f t="shared" si="81"/>
        <v>-0.59999999986030161</v>
      </c>
      <c r="AU138" s="2" t="str">
        <f t="shared" si="63"/>
        <v>erreur de calcul</v>
      </c>
      <c r="AV138" s="2"/>
    </row>
    <row r="139" spans="1:48" ht="16.5">
      <c r="A139" s="1" t="s">
        <v>12</v>
      </c>
      <c r="B139" s="3" t="s">
        <v>29</v>
      </c>
      <c r="C139" s="3" t="s">
        <v>219</v>
      </c>
      <c r="D139" s="4">
        <v>1789</v>
      </c>
      <c r="E139" s="3" t="s">
        <v>22</v>
      </c>
      <c r="F139" s="3" t="s">
        <v>22</v>
      </c>
      <c r="G139" s="31">
        <v>22</v>
      </c>
      <c r="H139" s="31" t="s">
        <v>264</v>
      </c>
      <c r="I139" s="5">
        <v>6</v>
      </c>
      <c r="J139" s="5"/>
      <c r="K139" s="6"/>
      <c r="L139" s="11">
        <f t="shared" si="77"/>
        <v>6</v>
      </c>
      <c r="M139" s="7" t="s">
        <v>14</v>
      </c>
      <c r="N139" s="31"/>
      <c r="O139" s="9"/>
      <c r="P139" s="9" t="str">
        <f t="shared" si="64"/>
        <v/>
      </c>
      <c r="Q139" s="9"/>
      <c r="R139" s="30">
        <f t="shared" si="65"/>
        <v>0</v>
      </c>
      <c r="S139" s="9"/>
      <c r="T139" s="30">
        <f t="shared" si="66"/>
        <v>0</v>
      </c>
      <c r="U139" s="9">
        <f>345002/100</f>
        <v>3450.02</v>
      </c>
      <c r="V139" s="30">
        <v>20700</v>
      </c>
      <c r="W139" s="9">
        <f>5350/100</f>
        <v>53.5</v>
      </c>
      <c r="X139" s="30">
        <v>321</v>
      </c>
      <c r="Y139" s="9">
        <f>459814/100</f>
        <v>4598.1400000000003</v>
      </c>
      <c r="Z139" s="30">
        <v>27589</v>
      </c>
      <c r="AA139" s="9"/>
      <c r="AB139" s="30">
        <f t="shared" si="68"/>
        <v>0</v>
      </c>
      <c r="AC139" s="9"/>
      <c r="AD139" s="30">
        <f t="shared" si="69"/>
        <v>0</v>
      </c>
      <c r="AE139" s="9"/>
      <c r="AF139" s="30">
        <f t="shared" si="70"/>
        <v>0</v>
      </c>
      <c r="AG139" s="9">
        <f>593425/100</f>
        <v>5934.25</v>
      </c>
      <c r="AH139" s="30">
        <v>35605</v>
      </c>
      <c r="AI139" s="9"/>
      <c r="AJ139" s="30">
        <f t="shared" si="72"/>
        <v>0</v>
      </c>
      <c r="AK139" s="9"/>
      <c r="AL139" s="30">
        <f t="shared" si="73"/>
        <v>0</v>
      </c>
      <c r="AM139" s="10">
        <f>1403591/100</f>
        <v>14035.91</v>
      </c>
      <c r="AN139" s="31">
        <v>84215</v>
      </c>
      <c r="AO139" s="15">
        <f t="shared" si="74"/>
        <v>84215</v>
      </c>
      <c r="AP139" s="9">
        <f t="shared" si="79"/>
        <v>0</v>
      </c>
      <c r="AQ139" s="28">
        <f t="shared" si="75"/>
        <v>14035.91</v>
      </c>
      <c r="AR139" s="8">
        <f t="shared" si="80"/>
        <v>0</v>
      </c>
      <c r="AS139" s="29">
        <f t="shared" si="62"/>
        <v>84215.459999999992</v>
      </c>
      <c r="AT139" s="13">
        <f t="shared" si="81"/>
        <v>-0.45999999999185093</v>
      </c>
      <c r="AU139" s="2" t="str">
        <f t="shared" si="63"/>
        <v>erreur de calcul</v>
      </c>
      <c r="AV139" s="2"/>
    </row>
    <row r="140" spans="1:48" ht="16.5">
      <c r="A140" s="1" t="s">
        <v>12</v>
      </c>
      <c r="B140" s="3" t="s">
        <v>29</v>
      </c>
      <c r="C140" s="3" t="s">
        <v>219</v>
      </c>
      <c r="D140" s="4">
        <v>1789</v>
      </c>
      <c r="E140" s="3" t="s">
        <v>22</v>
      </c>
      <c r="F140" s="3" t="s">
        <v>22</v>
      </c>
      <c r="G140" s="31">
        <v>22</v>
      </c>
      <c r="H140" s="31" t="s">
        <v>133</v>
      </c>
      <c r="I140" s="5">
        <v>2</v>
      </c>
      <c r="J140" s="5"/>
      <c r="K140" s="6"/>
      <c r="L140" s="11">
        <f t="shared" si="77"/>
        <v>2</v>
      </c>
      <c r="M140" s="7" t="s">
        <v>15</v>
      </c>
      <c r="N140" s="31"/>
      <c r="O140" s="9"/>
      <c r="P140" s="9" t="str">
        <f t="shared" si="64"/>
        <v/>
      </c>
      <c r="Q140" s="9"/>
      <c r="R140" s="30">
        <f t="shared" si="65"/>
        <v>0</v>
      </c>
      <c r="S140" s="9"/>
      <c r="T140" s="30">
        <f t="shared" si="66"/>
        <v>0</v>
      </c>
      <c r="U140" s="9">
        <v>368</v>
      </c>
      <c r="V140" s="30">
        <v>736</v>
      </c>
      <c r="W140" s="9">
        <v>1078</v>
      </c>
      <c r="X140" s="30">
        <v>2156</v>
      </c>
      <c r="Y140" s="9"/>
      <c r="Z140" s="30">
        <f t="shared" si="67"/>
        <v>0</v>
      </c>
      <c r="AA140" s="9"/>
      <c r="AB140" s="30">
        <f t="shared" si="68"/>
        <v>0</v>
      </c>
      <c r="AC140" s="9"/>
      <c r="AD140" s="30">
        <f t="shared" si="69"/>
        <v>0</v>
      </c>
      <c r="AE140" s="9"/>
      <c r="AF140" s="30">
        <f t="shared" si="70"/>
        <v>0</v>
      </c>
      <c r="AG140" s="9"/>
      <c r="AH140" s="30">
        <f t="shared" si="71"/>
        <v>0</v>
      </c>
      <c r="AI140" s="9"/>
      <c r="AJ140" s="30">
        <f t="shared" si="72"/>
        <v>0</v>
      </c>
      <c r="AK140" s="9"/>
      <c r="AL140" s="30">
        <f t="shared" si="73"/>
        <v>0</v>
      </c>
      <c r="AM140" s="10">
        <v>1446</v>
      </c>
      <c r="AN140" s="31">
        <v>2892</v>
      </c>
      <c r="AO140" s="15">
        <f t="shared" si="74"/>
        <v>2892</v>
      </c>
      <c r="AP140" s="9">
        <f t="shared" si="79"/>
        <v>0</v>
      </c>
      <c r="AQ140" s="28">
        <f t="shared" si="75"/>
        <v>1446</v>
      </c>
      <c r="AR140" s="8">
        <f t="shared" si="80"/>
        <v>0</v>
      </c>
      <c r="AS140" s="29">
        <f t="shared" si="62"/>
        <v>2892</v>
      </c>
      <c r="AT140" s="13">
        <f t="shared" si="81"/>
        <v>0</v>
      </c>
      <c r="AU140" s="2" t="str">
        <f t="shared" si="63"/>
        <v/>
      </c>
      <c r="AV140" s="2"/>
    </row>
    <row r="141" spans="1:48" ht="16.5">
      <c r="A141" s="1" t="s">
        <v>12</v>
      </c>
      <c r="B141" s="3" t="s">
        <v>29</v>
      </c>
      <c r="C141" s="3" t="s">
        <v>219</v>
      </c>
      <c r="D141" s="4">
        <v>1789</v>
      </c>
      <c r="E141" s="3" t="s">
        <v>22</v>
      </c>
      <c r="F141" s="3" t="s">
        <v>22</v>
      </c>
      <c r="G141" s="31">
        <v>22</v>
      </c>
      <c r="H141" s="31" t="s">
        <v>214</v>
      </c>
      <c r="I141" s="5">
        <v>60</v>
      </c>
      <c r="J141" s="5"/>
      <c r="K141" s="6"/>
      <c r="L141" s="11">
        <f t="shared" si="77"/>
        <v>60</v>
      </c>
      <c r="M141" s="7" t="s">
        <v>14</v>
      </c>
      <c r="N141" s="31"/>
      <c r="O141" s="9"/>
      <c r="P141" s="9" t="str">
        <f t="shared" si="64"/>
        <v/>
      </c>
      <c r="Q141" s="9"/>
      <c r="R141" s="30">
        <f t="shared" si="65"/>
        <v>0</v>
      </c>
      <c r="S141" s="9"/>
      <c r="T141" s="30">
        <f t="shared" si="66"/>
        <v>0</v>
      </c>
      <c r="U141" s="9"/>
      <c r="V141" s="30">
        <f t="shared" si="76"/>
        <v>0</v>
      </c>
      <c r="W141" s="9"/>
      <c r="X141" s="30">
        <f t="shared" si="78"/>
        <v>0</v>
      </c>
      <c r="Y141" s="9"/>
      <c r="Z141" s="30">
        <f t="shared" si="67"/>
        <v>0</v>
      </c>
      <c r="AA141" s="9">
        <f>4572/100</f>
        <v>45.72</v>
      </c>
      <c r="AB141" s="30">
        <v>2743</v>
      </c>
      <c r="AC141" s="9"/>
      <c r="AD141" s="30">
        <f t="shared" si="69"/>
        <v>0</v>
      </c>
      <c r="AE141" s="9"/>
      <c r="AF141" s="30">
        <f t="shared" si="70"/>
        <v>0</v>
      </c>
      <c r="AG141" s="9">
        <f>1942/100</f>
        <v>19.420000000000002</v>
      </c>
      <c r="AH141" s="30">
        <v>1165</v>
      </c>
      <c r="AI141" s="9"/>
      <c r="AJ141" s="30">
        <f t="shared" si="72"/>
        <v>0</v>
      </c>
      <c r="AK141" s="9">
        <f>44672/100</f>
        <v>446.72</v>
      </c>
      <c r="AL141" s="30">
        <v>26803</v>
      </c>
      <c r="AM141" s="10">
        <f>50186/100</f>
        <v>501.86</v>
      </c>
      <c r="AN141" s="31">
        <v>30711</v>
      </c>
      <c r="AO141" s="15">
        <f t="shared" si="74"/>
        <v>30711</v>
      </c>
      <c r="AP141" s="9">
        <f t="shared" si="79"/>
        <v>0</v>
      </c>
      <c r="AQ141" s="28">
        <f t="shared" si="75"/>
        <v>511.86</v>
      </c>
      <c r="AR141" s="8">
        <f t="shared" si="80"/>
        <v>-10</v>
      </c>
      <c r="AS141" s="29">
        <f t="shared" si="62"/>
        <v>30711.600000000002</v>
      </c>
      <c r="AT141" s="13">
        <f t="shared" si="81"/>
        <v>-0.60000000000218279</v>
      </c>
      <c r="AU141" s="2" t="str">
        <f t="shared" si="63"/>
        <v>erreur de calcul</v>
      </c>
      <c r="AV141" s="2"/>
    </row>
    <row r="142" spans="1:48" ht="16.5">
      <c r="A142" s="1" t="s">
        <v>12</v>
      </c>
      <c r="B142" s="3" t="s">
        <v>29</v>
      </c>
      <c r="C142" s="3" t="s">
        <v>219</v>
      </c>
      <c r="D142" s="4">
        <v>1789</v>
      </c>
      <c r="E142" s="3" t="s">
        <v>22</v>
      </c>
      <c r="F142" s="3" t="s">
        <v>22</v>
      </c>
      <c r="G142" s="31">
        <v>22</v>
      </c>
      <c r="H142" s="31" t="s">
        <v>134</v>
      </c>
      <c r="I142" s="5">
        <v>45</v>
      </c>
      <c r="J142" s="5"/>
      <c r="K142" s="6"/>
      <c r="L142" s="11">
        <f t="shared" si="77"/>
        <v>45</v>
      </c>
      <c r="M142" s="7" t="s">
        <v>14</v>
      </c>
      <c r="N142" s="31" t="s">
        <v>23</v>
      </c>
      <c r="O142" s="9">
        <f>41373/100</f>
        <v>413.73</v>
      </c>
      <c r="P142" s="9">
        <v>18168</v>
      </c>
      <c r="Q142" s="9"/>
      <c r="R142" s="30">
        <f t="shared" si="65"/>
        <v>0</v>
      </c>
      <c r="S142" s="9"/>
      <c r="T142" s="30">
        <f t="shared" si="66"/>
        <v>0</v>
      </c>
      <c r="U142" s="9"/>
      <c r="V142" s="30">
        <f t="shared" si="76"/>
        <v>0</v>
      </c>
      <c r="W142" s="9"/>
      <c r="X142" s="30">
        <f t="shared" si="78"/>
        <v>0</v>
      </c>
      <c r="Y142" s="9"/>
      <c r="Z142" s="30">
        <f t="shared" si="67"/>
        <v>0</v>
      </c>
      <c r="AA142" s="9"/>
      <c r="AB142" s="30">
        <f t="shared" si="68"/>
        <v>0</v>
      </c>
      <c r="AC142" s="9"/>
      <c r="AD142" s="30">
        <f t="shared" si="69"/>
        <v>0</v>
      </c>
      <c r="AE142" s="9"/>
      <c r="AF142" s="30">
        <f t="shared" si="70"/>
        <v>0</v>
      </c>
      <c r="AG142" s="9"/>
      <c r="AH142" s="30">
        <f t="shared" si="71"/>
        <v>0</v>
      </c>
      <c r="AI142" s="9"/>
      <c r="AJ142" s="30">
        <f t="shared" si="72"/>
        <v>0</v>
      </c>
      <c r="AK142" s="9">
        <f>9503/100</f>
        <v>95.03</v>
      </c>
      <c r="AL142" s="30">
        <v>4276</v>
      </c>
      <c r="AM142" s="10">
        <f>9503/100</f>
        <v>95.03</v>
      </c>
      <c r="AN142" s="31">
        <v>4276</v>
      </c>
      <c r="AO142" s="15">
        <f t="shared" si="74"/>
        <v>4276</v>
      </c>
      <c r="AP142" s="9">
        <f t="shared" si="79"/>
        <v>0</v>
      </c>
      <c r="AQ142" s="28">
        <f t="shared" si="75"/>
        <v>95.03</v>
      </c>
      <c r="AR142" s="8">
        <f t="shared" si="80"/>
        <v>0</v>
      </c>
      <c r="AS142" s="29">
        <f t="shared" si="62"/>
        <v>4276.3500000000004</v>
      </c>
      <c r="AT142" s="13">
        <f t="shared" si="81"/>
        <v>-0.3500000000003638</v>
      </c>
      <c r="AU142" s="2" t="str">
        <f t="shared" si="63"/>
        <v>erreur de calcul</v>
      </c>
      <c r="AV142" s="2"/>
    </row>
    <row r="143" spans="1:48" ht="16.5">
      <c r="A143" s="1" t="s">
        <v>12</v>
      </c>
      <c r="B143" s="3" t="s">
        <v>29</v>
      </c>
      <c r="C143" s="3" t="s">
        <v>219</v>
      </c>
      <c r="D143" s="4">
        <v>1789</v>
      </c>
      <c r="E143" s="3" t="s">
        <v>22</v>
      </c>
      <c r="F143" s="3" t="s">
        <v>22</v>
      </c>
      <c r="G143" s="31">
        <v>22</v>
      </c>
      <c r="H143" s="31" t="s">
        <v>135</v>
      </c>
      <c r="I143" s="5">
        <v>50</v>
      </c>
      <c r="J143" s="5"/>
      <c r="K143" s="6"/>
      <c r="L143" s="11">
        <f t="shared" si="77"/>
        <v>50</v>
      </c>
      <c r="M143" s="7" t="s">
        <v>14</v>
      </c>
      <c r="N143" s="31"/>
      <c r="O143" s="9"/>
      <c r="P143" s="9" t="str">
        <f t="shared" si="64"/>
        <v/>
      </c>
      <c r="Q143" s="9"/>
      <c r="R143" s="30">
        <f t="shared" si="65"/>
        <v>0</v>
      </c>
      <c r="S143" s="9"/>
      <c r="T143" s="30">
        <f t="shared" si="66"/>
        <v>0</v>
      </c>
      <c r="U143" s="9"/>
      <c r="V143" s="30">
        <f t="shared" si="76"/>
        <v>0</v>
      </c>
      <c r="W143" s="9">
        <f>790224/100</f>
        <v>7902.24</v>
      </c>
      <c r="X143" s="30">
        <v>395112</v>
      </c>
      <c r="Y143" s="9"/>
      <c r="Z143" s="30">
        <f t="shared" si="67"/>
        <v>0</v>
      </c>
      <c r="AA143" s="9"/>
      <c r="AB143" s="30">
        <f t="shared" si="68"/>
        <v>0</v>
      </c>
      <c r="AC143" s="9"/>
      <c r="AD143" s="30">
        <f t="shared" si="69"/>
        <v>0</v>
      </c>
      <c r="AE143" s="9"/>
      <c r="AF143" s="30">
        <f t="shared" si="70"/>
        <v>0</v>
      </c>
      <c r="AG143" s="9">
        <f>513/100</f>
        <v>5.13</v>
      </c>
      <c r="AH143" s="30">
        <v>256</v>
      </c>
      <c r="AI143" s="9"/>
      <c r="AJ143" s="30">
        <f t="shared" si="72"/>
        <v>0</v>
      </c>
      <c r="AK143" s="9">
        <f>360/100</f>
        <v>3.6</v>
      </c>
      <c r="AL143" s="30">
        <v>180</v>
      </c>
      <c r="AM143" s="10">
        <f>791097/100</f>
        <v>7910.97</v>
      </c>
      <c r="AN143" s="31">
        <v>395548</v>
      </c>
      <c r="AO143" s="15">
        <f t="shared" si="74"/>
        <v>395548</v>
      </c>
      <c r="AP143" s="9">
        <f t="shared" si="79"/>
        <v>0</v>
      </c>
      <c r="AQ143" s="28">
        <f t="shared" si="75"/>
        <v>7910.97</v>
      </c>
      <c r="AR143" s="8">
        <f t="shared" si="80"/>
        <v>0</v>
      </c>
      <c r="AS143" s="29">
        <f t="shared" si="62"/>
        <v>395548.5</v>
      </c>
      <c r="AT143" s="13">
        <f t="shared" si="81"/>
        <v>-0.5</v>
      </c>
      <c r="AU143" s="2" t="str">
        <f t="shared" si="63"/>
        <v>erreur de calcul</v>
      </c>
      <c r="AV143" s="2"/>
    </row>
    <row r="144" spans="1:48" ht="16.5">
      <c r="A144" s="1" t="s">
        <v>12</v>
      </c>
      <c r="B144" s="3" t="s">
        <v>29</v>
      </c>
      <c r="C144" s="3" t="s">
        <v>219</v>
      </c>
      <c r="D144" s="4">
        <v>1789</v>
      </c>
      <c r="E144" s="3" t="s">
        <v>22</v>
      </c>
      <c r="F144" s="3" t="s">
        <v>22</v>
      </c>
      <c r="G144" s="31">
        <v>22</v>
      </c>
      <c r="H144" s="31" t="s">
        <v>136</v>
      </c>
      <c r="I144" s="5">
        <v>30</v>
      </c>
      <c r="J144" s="5"/>
      <c r="K144" s="6"/>
      <c r="L144" s="11">
        <f t="shared" si="77"/>
        <v>30</v>
      </c>
      <c r="M144" s="7" t="s">
        <v>14</v>
      </c>
      <c r="N144" s="31"/>
      <c r="O144" s="9"/>
      <c r="P144" s="9" t="str">
        <f t="shared" si="64"/>
        <v/>
      </c>
      <c r="Q144" s="9"/>
      <c r="R144" s="30">
        <f t="shared" si="65"/>
        <v>0</v>
      </c>
      <c r="S144" s="9"/>
      <c r="T144" s="30">
        <f t="shared" si="66"/>
        <v>0</v>
      </c>
      <c r="U144" s="9"/>
      <c r="V144" s="30">
        <f t="shared" si="76"/>
        <v>0</v>
      </c>
      <c r="W144" s="9"/>
      <c r="X144" s="30">
        <f t="shared" si="78"/>
        <v>0</v>
      </c>
      <c r="Y144" s="9"/>
      <c r="Z144" s="30">
        <f t="shared" si="67"/>
        <v>0</v>
      </c>
      <c r="AA144" s="9"/>
      <c r="AB144" s="30">
        <f t="shared" si="68"/>
        <v>0</v>
      </c>
      <c r="AC144" s="9"/>
      <c r="AD144" s="30">
        <f t="shared" si="69"/>
        <v>0</v>
      </c>
      <c r="AE144" s="9"/>
      <c r="AF144" s="30">
        <f t="shared" si="70"/>
        <v>0</v>
      </c>
      <c r="AG144" s="9"/>
      <c r="AH144" s="30">
        <f t="shared" si="71"/>
        <v>0</v>
      </c>
      <c r="AI144" s="9"/>
      <c r="AJ144" s="30">
        <f t="shared" si="72"/>
        <v>0</v>
      </c>
      <c r="AK144" s="9">
        <f>24978/100</f>
        <v>249.78</v>
      </c>
      <c r="AL144" s="30">
        <v>7493</v>
      </c>
      <c r="AM144" s="10">
        <f>24978/100</f>
        <v>249.78</v>
      </c>
      <c r="AN144" s="31">
        <v>7493</v>
      </c>
      <c r="AO144" s="15">
        <f t="shared" si="74"/>
        <v>7493</v>
      </c>
      <c r="AP144" s="9">
        <f t="shared" si="79"/>
        <v>0</v>
      </c>
      <c r="AQ144" s="28">
        <f t="shared" si="75"/>
        <v>249.78</v>
      </c>
      <c r="AR144" s="8">
        <f t="shared" si="80"/>
        <v>0</v>
      </c>
      <c r="AS144" s="29">
        <f t="shared" si="62"/>
        <v>7493.4</v>
      </c>
      <c r="AT144" s="13">
        <f t="shared" si="81"/>
        <v>-0.3999999999996362</v>
      </c>
      <c r="AU144" s="2" t="str">
        <f t="shared" si="63"/>
        <v>erreur de calcul</v>
      </c>
      <c r="AV144" s="2"/>
    </row>
    <row r="145" spans="1:48" ht="16.5">
      <c r="A145" s="1" t="s">
        <v>12</v>
      </c>
      <c r="B145" s="3" t="s">
        <v>29</v>
      </c>
      <c r="C145" s="3" t="s">
        <v>219</v>
      </c>
      <c r="D145" s="4">
        <v>1789</v>
      </c>
      <c r="E145" s="3" t="s">
        <v>22</v>
      </c>
      <c r="F145" s="3" t="s">
        <v>22</v>
      </c>
      <c r="G145" s="31">
        <v>22</v>
      </c>
      <c r="H145" s="31" t="s">
        <v>137</v>
      </c>
      <c r="I145" s="5">
        <v>40</v>
      </c>
      <c r="J145" s="5"/>
      <c r="K145" s="6"/>
      <c r="L145" s="11">
        <f t="shared" si="77"/>
        <v>40</v>
      </c>
      <c r="M145" s="7" t="s">
        <v>14</v>
      </c>
      <c r="N145" s="31"/>
      <c r="O145" s="9"/>
      <c r="P145" s="9" t="str">
        <f t="shared" si="64"/>
        <v/>
      </c>
      <c r="Q145" s="9"/>
      <c r="R145" s="30">
        <f t="shared" si="65"/>
        <v>0</v>
      </c>
      <c r="S145" s="9"/>
      <c r="T145" s="30">
        <f t="shared" si="66"/>
        <v>0</v>
      </c>
      <c r="U145" s="9"/>
      <c r="V145" s="30">
        <f t="shared" si="76"/>
        <v>0</v>
      </c>
      <c r="W145" s="9">
        <f>9967/100</f>
        <v>99.67</v>
      </c>
      <c r="X145" s="30">
        <v>3987</v>
      </c>
      <c r="Y145" s="9"/>
      <c r="Z145" s="30">
        <f t="shared" si="67"/>
        <v>0</v>
      </c>
      <c r="AA145" s="9"/>
      <c r="AB145" s="30">
        <f t="shared" si="68"/>
        <v>0</v>
      </c>
      <c r="AC145" s="9"/>
      <c r="AD145" s="30">
        <f t="shared" si="69"/>
        <v>0</v>
      </c>
      <c r="AE145" s="9"/>
      <c r="AF145" s="30">
        <f t="shared" si="70"/>
        <v>0</v>
      </c>
      <c r="AG145" s="9"/>
      <c r="AH145" s="30">
        <f t="shared" si="71"/>
        <v>0</v>
      </c>
      <c r="AI145" s="9"/>
      <c r="AJ145" s="30">
        <f t="shared" si="72"/>
        <v>0</v>
      </c>
      <c r="AK145" s="9"/>
      <c r="AL145" s="30">
        <f t="shared" si="73"/>
        <v>0</v>
      </c>
      <c r="AM145" s="10">
        <f>9967/100</f>
        <v>99.67</v>
      </c>
      <c r="AN145" s="31">
        <v>3987</v>
      </c>
      <c r="AO145" s="15">
        <f t="shared" si="74"/>
        <v>3987</v>
      </c>
      <c r="AP145" s="9">
        <f t="shared" si="79"/>
        <v>0</v>
      </c>
      <c r="AQ145" s="28">
        <f t="shared" si="75"/>
        <v>99.67</v>
      </c>
      <c r="AR145" s="8">
        <f t="shared" si="80"/>
        <v>0</v>
      </c>
      <c r="AS145" s="29">
        <f t="shared" si="62"/>
        <v>3986.8</v>
      </c>
      <c r="AT145" s="13">
        <f t="shared" si="81"/>
        <v>0.1999999999998181</v>
      </c>
      <c r="AU145" s="2" t="str">
        <f t="shared" si="63"/>
        <v>erreur de calcul</v>
      </c>
      <c r="AV145" s="2"/>
    </row>
    <row r="146" spans="1:48" ht="16.5">
      <c r="A146" s="1" t="s">
        <v>12</v>
      </c>
      <c r="B146" s="3" t="s">
        <v>29</v>
      </c>
      <c r="C146" s="3" t="s">
        <v>219</v>
      </c>
      <c r="D146" s="4">
        <v>1789</v>
      </c>
      <c r="E146" s="3" t="s">
        <v>22</v>
      </c>
      <c r="F146" s="3" t="s">
        <v>22</v>
      </c>
      <c r="G146" s="31">
        <v>22</v>
      </c>
      <c r="H146" s="31" t="s">
        <v>138</v>
      </c>
      <c r="I146" s="5">
        <v>36</v>
      </c>
      <c r="J146" s="5"/>
      <c r="K146" s="6"/>
      <c r="L146" s="33">
        <f t="shared" si="77"/>
        <v>36</v>
      </c>
      <c r="M146" s="7" t="s">
        <v>14</v>
      </c>
      <c r="N146" s="31"/>
      <c r="O146" s="9"/>
      <c r="P146" s="9" t="str">
        <f t="shared" si="64"/>
        <v/>
      </c>
      <c r="Q146" s="9"/>
      <c r="R146" s="30">
        <f t="shared" si="65"/>
        <v>0</v>
      </c>
      <c r="S146" s="9"/>
      <c r="T146" s="30">
        <f t="shared" si="66"/>
        <v>0</v>
      </c>
      <c r="U146" s="9"/>
      <c r="V146" s="30">
        <f t="shared" si="76"/>
        <v>0</v>
      </c>
      <c r="W146" s="9">
        <f>29068/100</f>
        <v>290.68</v>
      </c>
      <c r="X146" s="32">
        <v>8720</v>
      </c>
      <c r="Y146" s="9"/>
      <c r="Z146" s="30">
        <f t="shared" si="67"/>
        <v>0</v>
      </c>
      <c r="AA146" s="9"/>
      <c r="AB146" s="30">
        <f t="shared" si="68"/>
        <v>0</v>
      </c>
      <c r="AC146" s="9"/>
      <c r="AD146" s="30">
        <f t="shared" si="69"/>
        <v>0</v>
      </c>
      <c r="AE146" s="9">
        <f>4800/100</f>
        <v>48</v>
      </c>
      <c r="AF146" s="32">
        <v>1440</v>
      </c>
      <c r="AG146" s="9"/>
      <c r="AH146" s="30">
        <f t="shared" si="71"/>
        <v>0</v>
      </c>
      <c r="AI146" s="9"/>
      <c r="AJ146" s="30">
        <f t="shared" si="72"/>
        <v>0</v>
      </c>
      <c r="AK146" s="9"/>
      <c r="AL146" s="30">
        <f t="shared" si="73"/>
        <v>0</v>
      </c>
      <c r="AM146" s="10">
        <f>33868/100</f>
        <v>338.68</v>
      </c>
      <c r="AN146" s="31">
        <v>10160</v>
      </c>
      <c r="AO146" s="15">
        <f t="shared" si="74"/>
        <v>10160</v>
      </c>
      <c r="AP146" s="9">
        <f t="shared" si="79"/>
        <v>0</v>
      </c>
      <c r="AQ146" s="28">
        <f t="shared" si="75"/>
        <v>338.68</v>
      </c>
      <c r="AR146" s="8">
        <f t="shared" si="80"/>
        <v>0</v>
      </c>
      <c r="AS146" s="29">
        <f t="shared" si="62"/>
        <v>12192.48</v>
      </c>
      <c r="AT146" s="13">
        <f t="shared" si="81"/>
        <v>-2032.4799999999996</v>
      </c>
      <c r="AU146" s="2" t="str">
        <f t="shared" si="63"/>
        <v>erreur de calcul</v>
      </c>
      <c r="AV146" s="2"/>
    </row>
    <row r="147" spans="1:48" ht="16.5">
      <c r="A147" s="1" t="s">
        <v>12</v>
      </c>
      <c r="B147" s="3" t="s">
        <v>29</v>
      </c>
      <c r="C147" s="3" t="s">
        <v>219</v>
      </c>
      <c r="D147" s="4">
        <v>1789</v>
      </c>
      <c r="E147" s="3" t="s">
        <v>22</v>
      </c>
      <c r="F147" s="3" t="s">
        <v>22</v>
      </c>
      <c r="G147" s="31">
        <v>22</v>
      </c>
      <c r="H147" s="31" t="s">
        <v>139</v>
      </c>
      <c r="I147" s="5"/>
      <c r="J147" s="5"/>
      <c r="K147" s="6"/>
      <c r="L147" s="11">
        <f t="shared" si="77"/>
        <v>0</v>
      </c>
      <c r="M147" s="7"/>
      <c r="N147" s="31"/>
      <c r="O147" s="9"/>
      <c r="P147" s="9" t="str">
        <f t="shared" si="64"/>
        <v/>
      </c>
      <c r="Q147" s="9"/>
      <c r="R147" s="30">
        <f t="shared" si="65"/>
        <v>0</v>
      </c>
      <c r="S147" s="9"/>
      <c r="T147" s="30">
        <f t="shared" si="66"/>
        <v>0</v>
      </c>
      <c r="U147" s="9"/>
      <c r="V147" s="30">
        <v>1263</v>
      </c>
      <c r="W147" s="9"/>
      <c r="X147" s="30">
        <f t="shared" si="78"/>
        <v>0</v>
      </c>
      <c r="Y147" s="9"/>
      <c r="Z147" s="30">
        <v>850</v>
      </c>
      <c r="AA147" s="9"/>
      <c r="AB147" s="30">
        <f t="shared" si="68"/>
        <v>0</v>
      </c>
      <c r="AC147" s="9"/>
      <c r="AD147" s="30">
        <f t="shared" si="69"/>
        <v>0</v>
      </c>
      <c r="AE147" s="9"/>
      <c r="AF147" s="30">
        <f t="shared" si="70"/>
        <v>0</v>
      </c>
      <c r="AG147" s="9"/>
      <c r="AH147" s="30">
        <f t="shared" si="71"/>
        <v>0</v>
      </c>
      <c r="AI147" s="9"/>
      <c r="AJ147" s="30">
        <f t="shared" si="72"/>
        <v>0</v>
      </c>
      <c r="AK147" s="9"/>
      <c r="AL147" s="30">
        <f t="shared" si="73"/>
        <v>0</v>
      </c>
      <c r="AM147" s="10"/>
      <c r="AN147" s="31">
        <v>2113</v>
      </c>
      <c r="AO147" s="15">
        <f t="shared" si="74"/>
        <v>2113</v>
      </c>
      <c r="AP147" s="9">
        <f t="shared" si="79"/>
        <v>0</v>
      </c>
      <c r="AQ147" s="28">
        <f t="shared" si="75"/>
        <v>0</v>
      </c>
      <c r="AR147" s="8">
        <f t="shared" si="80"/>
        <v>0</v>
      </c>
      <c r="AS147" s="29">
        <f t="shared" si="62"/>
        <v>0</v>
      </c>
      <c r="AT147" s="13">
        <f t="shared" si="81"/>
        <v>2113</v>
      </c>
      <c r="AU147" s="2" t="str">
        <f t="shared" si="63"/>
        <v>pas de prix, ni de quantité</v>
      </c>
      <c r="AV147" s="2"/>
    </row>
    <row r="148" spans="1:48" ht="16.5">
      <c r="A148" s="1" t="s">
        <v>12</v>
      </c>
      <c r="B148" s="3" t="s">
        <v>29</v>
      </c>
      <c r="C148" s="3" t="s">
        <v>219</v>
      </c>
      <c r="D148" s="4">
        <v>1789</v>
      </c>
      <c r="E148" s="3" t="s">
        <v>22</v>
      </c>
      <c r="F148" s="3" t="s">
        <v>22</v>
      </c>
      <c r="G148" s="31">
        <v>22</v>
      </c>
      <c r="H148" s="31" t="s">
        <v>140</v>
      </c>
      <c r="I148" s="5"/>
      <c r="J148" s="5"/>
      <c r="K148" s="6"/>
      <c r="L148" s="11">
        <f t="shared" si="77"/>
        <v>0</v>
      </c>
      <c r="M148" s="7"/>
      <c r="N148" s="31"/>
      <c r="O148" s="9"/>
      <c r="P148" s="9" t="str">
        <f t="shared" si="64"/>
        <v/>
      </c>
      <c r="Q148" s="9"/>
      <c r="R148" s="30">
        <f t="shared" si="65"/>
        <v>0</v>
      </c>
      <c r="S148" s="9"/>
      <c r="T148" s="30">
        <f t="shared" si="66"/>
        <v>0</v>
      </c>
      <c r="U148" s="9"/>
      <c r="V148" s="30">
        <v>2875</v>
      </c>
      <c r="W148" s="9"/>
      <c r="X148" s="30">
        <f t="shared" si="78"/>
        <v>0</v>
      </c>
      <c r="Y148" s="9"/>
      <c r="Z148" s="30">
        <f t="shared" si="67"/>
        <v>0</v>
      </c>
      <c r="AA148" s="9"/>
      <c r="AB148" s="30">
        <f t="shared" si="68"/>
        <v>0</v>
      </c>
      <c r="AC148" s="9"/>
      <c r="AD148" s="30">
        <f t="shared" si="69"/>
        <v>0</v>
      </c>
      <c r="AE148" s="9"/>
      <c r="AF148" s="30">
        <f t="shared" si="70"/>
        <v>0</v>
      </c>
      <c r="AG148" s="9"/>
      <c r="AH148" s="30">
        <f t="shared" si="71"/>
        <v>0</v>
      </c>
      <c r="AI148" s="9"/>
      <c r="AJ148" s="30">
        <f t="shared" si="72"/>
        <v>0</v>
      </c>
      <c r="AK148" s="9"/>
      <c r="AL148" s="30">
        <f t="shared" si="73"/>
        <v>0</v>
      </c>
      <c r="AM148" s="10"/>
      <c r="AN148" s="31">
        <v>2875</v>
      </c>
      <c r="AO148" s="15">
        <f t="shared" si="74"/>
        <v>2875</v>
      </c>
      <c r="AP148" s="9">
        <f t="shared" si="79"/>
        <v>0</v>
      </c>
      <c r="AQ148" s="28">
        <f t="shared" si="75"/>
        <v>0</v>
      </c>
      <c r="AR148" s="8">
        <f t="shared" si="80"/>
        <v>0</v>
      </c>
      <c r="AS148" s="29">
        <f t="shared" si="62"/>
        <v>0</v>
      </c>
      <c r="AT148" s="13">
        <f t="shared" si="81"/>
        <v>2875</v>
      </c>
      <c r="AU148" s="2" t="str">
        <f t="shared" si="63"/>
        <v>pas de prix, ni de quantité</v>
      </c>
      <c r="AV148" s="2"/>
    </row>
    <row r="149" spans="1:48" ht="16.5">
      <c r="A149" s="1" t="s">
        <v>12</v>
      </c>
      <c r="B149" s="3" t="s">
        <v>29</v>
      </c>
      <c r="C149" s="3" t="s">
        <v>219</v>
      </c>
      <c r="D149" s="4">
        <v>1789</v>
      </c>
      <c r="E149" s="3" t="s">
        <v>22</v>
      </c>
      <c r="F149" s="3" t="s">
        <v>22</v>
      </c>
      <c r="G149" s="31">
        <v>22</v>
      </c>
      <c r="H149" s="31" t="s">
        <v>215</v>
      </c>
      <c r="I149" s="5"/>
      <c r="J149" s="5"/>
      <c r="K149" s="6"/>
      <c r="L149" s="11">
        <f t="shared" si="77"/>
        <v>0</v>
      </c>
      <c r="M149" s="7"/>
      <c r="N149" s="31"/>
      <c r="O149" s="9"/>
      <c r="P149" s="9" t="str">
        <f t="shared" si="64"/>
        <v/>
      </c>
      <c r="Q149" s="9"/>
      <c r="R149" s="30">
        <f t="shared" si="65"/>
        <v>0</v>
      </c>
      <c r="S149" s="9"/>
      <c r="T149" s="30">
        <f t="shared" si="66"/>
        <v>0</v>
      </c>
      <c r="U149" s="9"/>
      <c r="V149" s="30">
        <v>1972</v>
      </c>
      <c r="W149" s="9"/>
      <c r="X149" s="30">
        <f t="shared" si="78"/>
        <v>0</v>
      </c>
      <c r="Y149" s="9"/>
      <c r="Z149" s="30">
        <f t="shared" si="67"/>
        <v>0</v>
      </c>
      <c r="AA149" s="9"/>
      <c r="AB149" s="30">
        <f t="shared" si="68"/>
        <v>0</v>
      </c>
      <c r="AC149" s="9"/>
      <c r="AD149" s="30">
        <f t="shared" si="69"/>
        <v>0</v>
      </c>
      <c r="AE149" s="9"/>
      <c r="AF149" s="30">
        <f t="shared" si="70"/>
        <v>0</v>
      </c>
      <c r="AG149" s="9"/>
      <c r="AH149" s="30">
        <f t="shared" si="71"/>
        <v>0</v>
      </c>
      <c r="AI149" s="9"/>
      <c r="AJ149" s="30">
        <f t="shared" si="72"/>
        <v>0</v>
      </c>
      <c r="AK149" s="9"/>
      <c r="AL149" s="30">
        <f t="shared" si="73"/>
        <v>0</v>
      </c>
      <c r="AM149" s="10"/>
      <c r="AN149" s="31">
        <v>1972</v>
      </c>
      <c r="AO149" s="15">
        <f t="shared" si="74"/>
        <v>1972</v>
      </c>
      <c r="AP149" s="9">
        <f t="shared" si="79"/>
        <v>0</v>
      </c>
      <c r="AQ149" s="28">
        <f t="shared" si="75"/>
        <v>0</v>
      </c>
      <c r="AR149" s="8">
        <f t="shared" si="80"/>
        <v>0</v>
      </c>
      <c r="AS149" s="29">
        <f t="shared" si="62"/>
        <v>0</v>
      </c>
      <c r="AT149" s="13">
        <f t="shared" si="81"/>
        <v>1972</v>
      </c>
      <c r="AU149" s="2" t="str">
        <f t="shared" si="63"/>
        <v>pas de prix, ni de quantité</v>
      </c>
      <c r="AV149" s="2"/>
    </row>
    <row r="150" spans="1:48" ht="16.5">
      <c r="A150" s="1" t="s">
        <v>12</v>
      </c>
      <c r="B150" s="3" t="s">
        <v>29</v>
      </c>
      <c r="C150" s="3" t="s">
        <v>219</v>
      </c>
      <c r="D150" s="4">
        <v>1789</v>
      </c>
      <c r="E150" s="3" t="s">
        <v>22</v>
      </c>
      <c r="F150" s="3" t="s">
        <v>22</v>
      </c>
      <c r="G150" s="31">
        <v>22</v>
      </c>
      <c r="H150" s="31" t="s">
        <v>141</v>
      </c>
      <c r="I150" s="5">
        <v>5</v>
      </c>
      <c r="J150" s="5"/>
      <c r="K150" s="6"/>
      <c r="L150" s="11">
        <f t="shared" si="77"/>
        <v>5</v>
      </c>
      <c r="M150" s="7" t="s">
        <v>15</v>
      </c>
      <c r="N150" s="31"/>
      <c r="O150" s="9"/>
      <c r="P150" s="9" t="str">
        <f t="shared" si="64"/>
        <v/>
      </c>
      <c r="Q150" s="9"/>
      <c r="R150" s="30">
        <f t="shared" si="65"/>
        <v>0</v>
      </c>
      <c r="S150" s="9"/>
      <c r="T150" s="30">
        <f t="shared" si="66"/>
        <v>0</v>
      </c>
      <c r="U150" s="9">
        <v>100</v>
      </c>
      <c r="V150" s="30">
        <v>500</v>
      </c>
      <c r="W150" s="9"/>
      <c r="X150" s="30">
        <f t="shared" si="78"/>
        <v>0</v>
      </c>
      <c r="Y150" s="9">
        <v>5902</v>
      </c>
      <c r="Z150" s="30">
        <v>29510</v>
      </c>
      <c r="AA150" s="9"/>
      <c r="AB150" s="30">
        <f t="shared" si="68"/>
        <v>0</v>
      </c>
      <c r="AC150" s="9"/>
      <c r="AD150" s="30">
        <f t="shared" si="69"/>
        <v>0</v>
      </c>
      <c r="AE150" s="9"/>
      <c r="AF150" s="30">
        <f t="shared" si="70"/>
        <v>0</v>
      </c>
      <c r="AG150" s="9"/>
      <c r="AH150" s="30">
        <f t="shared" si="71"/>
        <v>0</v>
      </c>
      <c r="AI150" s="9"/>
      <c r="AJ150" s="30">
        <f t="shared" si="72"/>
        <v>0</v>
      </c>
      <c r="AK150" s="9"/>
      <c r="AL150" s="30">
        <f t="shared" si="73"/>
        <v>0</v>
      </c>
      <c r="AM150" s="10">
        <v>6002</v>
      </c>
      <c r="AN150" s="31">
        <v>30010</v>
      </c>
      <c r="AO150" s="15">
        <f t="shared" si="74"/>
        <v>30010</v>
      </c>
      <c r="AP150" s="9">
        <f t="shared" si="79"/>
        <v>0</v>
      </c>
      <c r="AQ150" s="28">
        <f t="shared" si="75"/>
        <v>6002</v>
      </c>
      <c r="AR150" s="8">
        <f t="shared" si="80"/>
        <v>0</v>
      </c>
      <c r="AS150" s="29">
        <f t="shared" si="62"/>
        <v>30010</v>
      </c>
      <c r="AT150" s="13">
        <f t="shared" si="81"/>
        <v>0</v>
      </c>
      <c r="AU150" s="2" t="str">
        <f t="shared" si="63"/>
        <v/>
      </c>
      <c r="AV150" s="2"/>
    </row>
    <row r="151" spans="1:48" ht="16.5">
      <c r="A151" s="1" t="s">
        <v>12</v>
      </c>
      <c r="B151" s="3" t="s">
        <v>29</v>
      </c>
      <c r="C151" s="3" t="s">
        <v>219</v>
      </c>
      <c r="D151" s="4">
        <v>1789</v>
      </c>
      <c r="E151" s="3" t="s">
        <v>22</v>
      </c>
      <c r="F151" s="3" t="s">
        <v>22</v>
      </c>
      <c r="G151" s="31">
        <v>22</v>
      </c>
      <c r="H151" s="31" t="s">
        <v>142</v>
      </c>
      <c r="I151" s="5"/>
      <c r="J151" s="5">
        <v>24</v>
      </c>
      <c r="K151" s="6"/>
      <c r="L151" s="11">
        <f t="shared" si="77"/>
        <v>1.2</v>
      </c>
      <c r="M151" s="7" t="s">
        <v>15</v>
      </c>
      <c r="N151" s="31" t="s">
        <v>23</v>
      </c>
      <c r="O151" s="9">
        <v>1200</v>
      </c>
      <c r="P151" s="9">
        <v>1440</v>
      </c>
      <c r="Q151" s="9"/>
      <c r="R151" s="30">
        <f t="shared" si="65"/>
        <v>0</v>
      </c>
      <c r="S151" s="9"/>
      <c r="T151" s="30">
        <f t="shared" si="66"/>
        <v>0</v>
      </c>
      <c r="U151" s="9"/>
      <c r="V151" s="30">
        <f t="shared" si="76"/>
        <v>0</v>
      </c>
      <c r="W151" s="9"/>
      <c r="X151" s="30">
        <f t="shared" si="78"/>
        <v>0</v>
      </c>
      <c r="Y151" s="9">
        <v>27600</v>
      </c>
      <c r="Z151" s="30">
        <v>33120</v>
      </c>
      <c r="AA151" s="9">
        <v>1800</v>
      </c>
      <c r="AB151" s="30">
        <v>2160</v>
      </c>
      <c r="AC151" s="9"/>
      <c r="AD151" s="30">
        <f t="shared" si="69"/>
        <v>0</v>
      </c>
      <c r="AE151" s="9"/>
      <c r="AF151" s="30">
        <f t="shared" si="70"/>
        <v>0</v>
      </c>
      <c r="AG151" s="9"/>
      <c r="AH151" s="30">
        <f t="shared" si="71"/>
        <v>0</v>
      </c>
      <c r="AI151" s="9"/>
      <c r="AJ151" s="30">
        <f t="shared" si="72"/>
        <v>0</v>
      </c>
      <c r="AK151" s="9"/>
      <c r="AL151" s="30">
        <f t="shared" si="73"/>
        <v>0</v>
      </c>
      <c r="AM151" s="10">
        <v>29400</v>
      </c>
      <c r="AN151" s="31">
        <v>35280</v>
      </c>
      <c r="AO151" s="15">
        <f t="shared" si="74"/>
        <v>35280</v>
      </c>
      <c r="AP151" s="9">
        <f t="shared" si="79"/>
        <v>0</v>
      </c>
      <c r="AQ151" s="28">
        <f t="shared" si="75"/>
        <v>29400</v>
      </c>
      <c r="AR151" s="8">
        <f t="shared" si="80"/>
        <v>0</v>
      </c>
      <c r="AS151" s="29">
        <f t="shared" si="62"/>
        <v>35280</v>
      </c>
      <c r="AT151" s="13">
        <f t="shared" si="81"/>
        <v>0</v>
      </c>
      <c r="AU151" s="2" t="str">
        <f t="shared" si="63"/>
        <v/>
      </c>
      <c r="AV151" s="2"/>
    </row>
    <row r="152" spans="1:48" ht="16.5">
      <c r="A152" s="1" t="s">
        <v>12</v>
      </c>
      <c r="B152" s="3" t="s">
        <v>29</v>
      </c>
      <c r="C152" s="3" t="s">
        <v>219</v>
      </c>
      <c r="D152" s="4">
        <v>1789</v>
      </c>
      <c r="E152" s="3" t="s">
        <v>22</v>
      </c>
      <c r="F152" s="3" t="s">
        <v>22</v>
      </c>
      <c r="G152" s="31">
        <v>22</v>
      </c>
      <c r="H152" s="31" t="s">
        <v>143</v>
      </c>
      <c r="I152" s="5">
        <v>12</v>
      </c>
      <c r="J152" s="5">
        <v>10</v>
      </c>
      <c r="K152" s="6"/>
      <c r="L152" s="11">
        <f t="shared" si="77"/>
        <v>12.5</v>
      </c>
      <c r="M152" s="7" t="s">
        <v>14</v>
      </c>
      <c r="N152" s="31" t="s">
        <v>45</v>
      </c>
      <c r="O152" s="9">
        <f>(420284+9000)/100</f>
        <v>4292.84</v>
      </c>
      <c r="P152" s="9">
        <v>53660</v>
      </c>
      <c r="Q152" s="9"/>
      <c r="R152" s="30">
        <f t="shared" si="65"/>
        <v>0</v>
      </c>
      <c r="S152" s="9"/>
      <c r="T152" s="30">
        <f t="shared" si="66"/>
        <v>0</v>
      </c>
      <c r="U152" s="9">
        <f>1893010/100</f>
        <v>18930.099999999999</v>
      </c>
      <c r="V152" s="30">
        <v>236626</v>
      </c>
      <c r="W152" s="9">
        <f>8684551/100</f>
        <v>86845.51</v>
      </c>
      <c r="X152" s="30">
        <v>1085569</v>
      </c>
      <c r="Y152" s="9">
        <f>4478147/100</f>
        <v>44781.47</v>
      </c>
      <c r="Z152" s="30">
        <v>559768</v>
      </c>
      <c r="AA152" s="9"/>
      <c r="AB152" s="30">
        <f t="shared" si="68"/>
        <v>0</v>
      </c>
      <c r="AC152" s="9"/>
      <c r="AD152" s="30">
        <f t="shared" si="69"/>
        <v>0</v>
      </c>
      <c r="AE152" s="9"/>
      <c r="AF152" s="30">
        <f t="shared" si="70"/>
        <v>0</v>
      </c>
      <c r="AG152" s="9">
        <f>2207946/100</f>
        <v>22079.46</v>
      </c>
      <c r="AH152" s="30">
        <v>275993</v>
      </c>
      <c r="AI152" s="9"/>
      <c r="AJ152" s="30">
        <f t="shared" si="72"/>
        <v>0</v>
      </c>
      <c r="AK152" s="9"/>
      <c r="AL152" s="30">
        <f t="shared" si="73"/>
        <v>0</v>
      </c>
      <c r="AM152" s="10">
        <f>17263654/100</f>
        <v>172636.54</v>
      </c>
      <c r="AN152" s="31">
        <v>2157956</v>
      </c>
      <c r="AO152" s="15">
        <f t="shared" si="74"/>
        <v>2157956</v>
      </c>
      <c r="AP152" s="9">
        <f t="shared" si="79"/>
        <v>0</v>
      </c>
      <c r="AQ152" s="28">
        <f t="shared" si="75"/>
        <v>172636.53999999998</v>
      </c>
      <c r="AR152" s="8">
        <f t="shared" si="80"/>
        <v>0</v>
      </c>
      <c r="AS152" s="29">
        <f t="shared" si="62"/>
        <v>2157956.7499999995</v>
      </c>
      <c r="AT152" s="13">
        <f t="shared" si="81"/>
        <v>-0.74999999953433871</v>
      </c>
      <c r="AU152" s="2" t="str">
        <f t="shared" si="63"/>
        <v>erreur de calcul</v>
      </c>
      <c r="AV152" s="2"/>
    </row>
    <row r="153" spans="1:48" ht="16.5">
      <c r="A153" s="1" t="s">
        <v>12</v>
      </c>
      <c r="B153" s="3" t="s">
        <v>29</v>
      </c>
      <c r="C153" s="3" t="s">
        <v>219</v>
      </c>
      <c r="D153" s="4">
        <v>1789</v>
      </c>
      <c r="E153" s="3" t="s">
        <v>22</v>
      </c>
      <c r="F153" s="3" t="s">
        <v>22</v>
      </c>
      <c r="G153" s="31">
        <v>22</v>
      </c>
      <c r="H153" s="31" t="s">
        <v>265</v>
      </c>
      <c r="I153" s="5">
        <v>12</v>
      </c>
      <c r="J153" s="5">
        <v>10</v>
      </c>
      <c r="K153" s="6"/>
      <c r="L153" s="11">
        <f t="shared" si="77"/>
        <v>12.5</v>
      </c>
      <c r="M153" s="7" t="s">
        <v>14</v>
      </c>
      <c r="N153" s="31"/>
      <c r="O153" s="9"/>
      <c r="P153" s="9" t="str">
        <f t="shared" si="64"/>
        <v/>
      </c>
      <c r="Q153" s="9"/>
      <c r="R153" s="30">
        <f t="shared" si="65"/>
        <v>0</v>
      </c>
      <c r="S153" s="9"/>
      <c r="T153" s="30">
        <f t="shared" si="66"/>
        <v>0</v>
      </c>
      <c r="U153" s="9">
        <f>8000/100</f>
        <v>80</v>
      </c>
      <c r="V153" s="30">
        <v>1000</v>
      </c>
      <c r="W153" s="9">
        <f>194194/100</f>
        <v>1941.94</v>
      </c>
      <c r="X153" s="30">
        <v>24274</v>
      </c>
      <c r="Y153" s="9"/>
      <c r="Z153" s="30">
        <f t="shared" si="67"/>
        <v>0</v>
      </c>
      <c r="AA153" s="9">
        <f>2600/100</f>
        <v>26</v>
      </c>
      <c r="AB153" s="32">
        <v>225</v>
      </c>
      <c r="AC153" s="9"/>
      <c r="AD153" s="30">
        <f t="shared" si="69"/>
        <v>0</v>
      </c>
      <c r="AE153" s="9"/>
      <c r="AF153" s="30">
        <f t="shared" si="70"/>
        <v>0</v>
      </c>
      <c r="AG153" s="9"/>
      <c r="AH153" s="30">
        <f t="shared" si="71"/>
        <v>0</v>
      </c>
      <c r="AI153" s="9"/>
      <c r="AJ153" s="30">
        <f t="shared" si="72"/>
        <v>0</v>
      </c>
      <c r="AK153" s="9"/>
      <c r="AL153" s="30">
        <f t="shared" si="73"/>
        <v>0</v>
      </c>
      <c r="AM153" s="10">
        <f>204794/100</f>
        <v>2047.94</v>
      </c>
      <c r="AN153" s="31">
        <v>25499</v>
      </c>
      <c r="AO153" s="15">
        <f t="shared" si="74"/>
        <v>25499</v>
      </c>
      <c r="AP153" s="9">
        <f t="shared" si="79"/>
        <v>0</v>
      </c>
      <c r="AQ153" s="28">
        <f t="shared" si="75"/>
        <v>2047.94</v>
      </c>
      <c r="AR153" s="8">
        <f t="shared" si="80"/>
        <v>0</v>
      </c>
      <c r="AS153" s="29">
        <f t="shared" si="62"/>
        <v>25599.25</v>
      </c>
      <c r="AT153" s="13">
        <f t="shared" si="81"/>
        <v>-100.25</v>
      </c>
      <c r="AU153" s="2" t="str">
        <f t="shared" si="63"/>
        <v>erreur de calcul</v>
      </c>
      <c r="AV153" s="2"/>
    </row>
    <row r="154" spans="1:48" ht="16.5">
      <c r="A154" s="1" t="s">
        <v>12</v>
      </c>
      <c r="B154" s="3" t="s">
        <v>29</v>
      </c>
      <c r="C154" s="3" t="s">
        <v>219</v>
      </c>
      <c r="D154" s="4">
        <v>1789</v>
      </c>
      <c r="E154" s="3" t="s">
        <v>22</v>
      </c>
      <c r="F154" s="3" t="s">
        <v>22</v>
      </c>
      <c r="G154" s="31">
        <v>22</v>
      </c>
      <c r="H154" s="31" t="s">
        <v>266</v>
      </c>
      <c r="I154" s="5">
        <v>25</v>
      </c>
      <c r="J154" s="5"/>
      <c r="K154" s="6"/>
      <c r="L154" s="11">
        <f t="shared" si="77"/>
        <v>25</v>
      </c>
      <c r="M154" s="7" t="s">
        <v>14</v>
      </c>
      <c r="N154" s="31"/>
      <c r="O154" s="9"/>
      <c r="P154" s="9" t="str">
        <f t="shared" si="64"/>
        <v/>
      </c>
      <c r="Q154" s="9"/>
      <c r="R154" s="30">
        <f t="shared" si="65"/>
        <v>0</v>
      </c>
      <c r="S154" s="9"/>
      <c r="T154" s="30">
        <f t="shared" si="66"/>
        <v>0</v>
      </c>
      <c r="U154" s="9">
        <f>33512/100</f>
        <v>335.12</v>
      </c>
      <c r="V154" s="30">
        <v>8378</v>
      </c>
      <c r="W154" s="9">
        <f>792528/100</f>
        <v>7925.28</v>
      </c>
      <c r="X154" s="30">
        <v>198132</v>
      </c>
      <c r="Y154" s="9">
        <f>11510/100</f>
        <v>115.1</v>
      </c>
      <c r="Z154" s="30">
        <v>2877</v>
      </c>
      <c r="AA154" s="9"/>
      <c r="AB154" s="30">
        <f t="shared" si="68"/>
        <v>0</v>
      </c>
      <c r="AC154" s="9"/>
      <c r="AD154" s="30">
        <f t="shared" si="69"/>
        <v>0</v>
      </c>
      <c r="AE154" s="9"/>
      <c r="AF154" s="30">
        <f t="shared" si="70"/>
        <v>0</v>
      </c>
      <c r="AG154" s="9">
        <f>2880/100</f>
        <v>28.8</v>
      </c>
      <c r="AH154" s="30">
        <v>720</v>
      </c>
      <c r="AI154" s="9"/>
      <c r="AJ154" s="30">
        <f t="shared" si="72"/>
        <v>0</v>
      </c>
      <c r="AK154" s="9"/>
      <c r="AL154" s="30">
        <f t="shared" si="73"/>
        <v>0</v>
      </c>
      <c r="AM154" s="10">
        <f>840430/100</f>
        <v>8404.2999999999993</v>
      </c>
      <c r="AN154" s="31">
        <v>210107</v>
      </c>
      <c r="AO154" s="15">
        <f t="shared" si="74"/>
        <v>210107</v>
      </c>
      <c r="AP154" s="9">
        <f t="shared" si="79"/>
        <v>0</v>
      </c>
      <c r="AQ154" s="28">
        <f t="shared" si="75"/>
        <v>8404.2999999999993</v>
      </c>
      <c r="AR154" s="8">
        <f t="shared" si="80"/>
        <v>0</v>
      </c>
      <c r="AS154" s="29">
        <f t="shared" si="62"/>
        <v>210107.49999999997</v>
      </c>
      <c r="AT154" s="13">
        <f t="shared" si="81"/>
        <v>-0.49999999997089617</v>
      </c>
      <c r="AU154" s="2" t="str">
        <f t="shared" si="63"/>
        <v>erreur de calcul</v>
      </c>
      <c r="AV154" s="2"/>
    </row>
    <row r="155" spans="1:48" ht="16.5">
      <c r="A155" s="1" t="s">
        <v>12</v>
      </c>
      <c r="B155" s="3" t="s">
        <v>29</v>
      </c>
      <c r="C155" s="3" t="s">
        <v>219</v>
      </c>
      <c r="D155" s="4">
        <v>1789</v>
      </c>
      <c r="E155" s="3" t="s">
        <v>22</v>
      </c>
      <c r="F155" s="3" t="s">
        <v>22</v>
      </c>
      <c r="G155" s="31">
        <v>22</v>
      </c>
      <c r="H155" s="31" t="s">
        <v>144</v>
      </c>
      <c r="I155" s="5">
        <v>6</v>
      </c>
      <c r="J155" s="5"/>
      <c r="K155" s="6"/>
      <c r="L155" s="11">
        <f t="shared" si="77"/>
        <v>6</v>
      </c>
      <c r="M155" s="7" t="s">
        <v>280</v>
      </c>
      <c r="N155" s="31" t="s">
        <v>23</v>
      </c>
      <c r="O155" s="9">
        <v>140</v>
      </c>
      <c r="P155" s="9">
        <f t="shared" si="64"/>
        <v>840</v>
      </c>
      <c r="Q155" s="9"/>
      <c r="R155" s="30">
        <f t="shared" si="65"/>
        <v>0</v>
      </c>
      <c r="S155" s="9"/>
      <c r="T155" s="30">
        <f t="shared" si="66"/>
        <v>0</v>
      </c>
      <c r="U155" s="9"/>
      <c r="V155" s="30">
        <f t="shared" si="76"/>
        <v>0</v>
      </c>
      <c r="W155" s="9"/>
      <c r="X155" s="30">
        <f t="shared" si="78"/>
        <v>0</v>
      </c>
      <c r="Y155" s="9"/>
      <c r="Z155" s="30">
        <f t="shared" si="67"/>
        <v>0</v>
      </c>
      <c r="AA155" s="9"/>
      <c r="AB155" s="30">
        <f t="shared" si="68"/>
        <v>0</v>
      </c>
      <c r="AC155" s="9"/>
      <c r="AD155" s="30">
        <f t="shared" si="69"/>
        <v>0</v>
      </c>
      <c r="AE155" s="9"/>
      <c r="AF155" s="30">
        <f t="shared" si="70"/>
        <v>0</v>
      </c>
      <c r="AG155" s="9"/>
      <c r="AH155" s="30">
        <f t="shared" si="71"/>
        <v>0</v>
      </c>
      <c r="AI155" s="9"/>
      <c r="AJ155" s="30">
        <f t="shared" si="72"/>
        <v>0</v>
      </c>
      <c r="AK155" s="9"/>
      <c r="AL155" s="30">
        <f t="shared" si="73"/>
        <v>0</v>
      </c>
      <c r="AM155" s="10"/>
      <c r="AN155" s="31"/>
      <c r="AO155" s="15">
        <f t="shared" si="74"/>
        <v>0</v>
      </c>
      <c r="AP155" s="9">
        <f t="shared" si="79"/>
        <v>0</v>
      </c>
      <c r="AQ155" s="28">
        <f t="shared" si="75"/>
        <v>0</v>
      </c>
      <c r="AR155" s="8">
        <f t="shared" si="80"/>
        <v>0</v>
      </c>
      <c r="AS155" s="29">
        <f t="shared" si="62"/>
        <v>0</v>
      </c>
      <c r="AT155" s="13">
        <f t="shared" si="81"/>
        <v>0</v>
      </c>
      <c r="AU155" s="2" t="str">
        <f t="shared" si="63"/>
        <v/>
      </c>
      <c r="AV155" s="2"/>
    </row>
    <row r="156" spans="1:48" ht="16.5">
      <c r="A156" s="1" t="s">
        <v>12</v>
      </c>
      <c r="B156" s="3" t="s">
        <v>29</v>
      </c>
      <c r="C156" s="3" t="s">
        <v>219</v>
      </c>
      <c r="D156" s="4">
        <v>1789</v>
      </c>
      <c r="E156" s="3" t="s">
        <v>22</v>
      </c>
      <c r="F156" s="3" t="s">
        <v>22</v>
      </c>
      <c r="G156" s="31">
        <v>22</v>
      </c>
      <c r="H156" s="31" t="s">
        <v>145</v>
      </c>
      <c r="I156" s="5">
        <v>140</v>
      </c>
      <c r="J156" s="5"/>
      <c r="K156" s="6"/>
      <c r="L156" s="11">
        <f t="shared" si="77"/>
        <v>140</v>
      </c>
      <c r="M156" s="7" t="s">
        <v>14</v>
      </c>
      <c r="N156" s="31"/>
      <c r="O156" s="9"/>
      <c r="P156" s="9" t="str">
        <f t="shared" si="64"/>
        <v/>
      </c>
      <c r="Q156" s="9"/>
      <c r="R156" s="30">
        <f t="shared" si="65"/>
        <v>0</v>
      </c>
      <c r="S156" s="9"/>
      <c r="T156" s="30">
        <f t="shared" si="66"/>
        <v>0</v>
      </c>
      <c r="U156" s="9"/>
      <c r="V156" s="30">
        <f t="shared" si="76"/>
        <v>0</v>
      </c>
      <c r="W156" s="9">
        <f>42252/100</f>
        <v>422.52</v>
      </c>
      <c r="X156" s="30">
        <v>59153</v>
      </c>
      <c r="Y156" s="9"/>
      <c r="Z156" s="30">
        <f t="shared" si="67"/>
        <v>0</v>
      </c>
      <c r="AA156" s="9"/>
      <c r="AB156" s="30">
        <f t="shared" si="68"/>
        <v>0</v>
      </c>
      <c r="AC156" s="9"/>
      <c r="AD156" s="30">
        <f t="shared" si="69"/>
        <v>0</v>
      </c>
      <c r="AE156" s="9">
        <f>1080/100</f>
        <v>10.8</v>
      </c>
      <c r="AF156" s="30">
        <v>1512</v>
      </c>
      <c r="AG156" s="9"/>
      <c r="AH156" s="30">
        <f t="shared" si="71"/>
        <v>0</v>
      </c>
      <c r="AI156" s="9"/>
      <c r="AJ156" s="30">
        <f t="shared" si="72"/>
        <v>0</v>
      </c>
      <c r="AK156" s="9"/>
      <c r="AL156" s="30">
        <f t="shared" si="73"/>
        <v>0</v>
      </c>
      <c r="AM156" s="10">
        <f>43332/100</f>
        <v>433.32</v>
      </c>
      <c r="AN156" s="31">
        <v>60665</v>
      </c>
      <c r="AO156" s="15">
        <f t="shared" si="74"/>
        <v>60665</v>
      </c>
      <c r="AP156" s="9">
        <f t="shared" si="79"/>
        <v>0</v>
      </c>
      <c r="AQ156" s="28">
        <f t="shared" si="75"/>
        <v>433.32</v>
      </c>
      <c r="AR156" s="8">
        <f t="shared" si="80"/>
        <v>0</v>
      </c>
      <c r="AS156" s="29">
        <f t="shared" si="62"/>
        <v>60664.799999999996</v>
      </c>
      <c r="AT156" s="13">
        <f t="shared" si="81"/>
        <v>0.20000000000436557</v>
      </c>
      <c r="AU156" s="2" t="str">
        <f t="shared" si="63"/>
        <v>erreur de calcul</v>
      </c>
      <c r="AV156" s="2"/>
    </row>
    <row r="157" spans="1:48" ht="16.5">
      <c r="A157" s="1" t="s">
        <v>12</v>
      </c>
      <c r="B157" s="3" t="s">
        <v>29</v>
      </c>
      <c r="C157" s="3" t="s">
        <v>219</v>
      </c>
      <c r="D157" s="4">
        <v>1789</v>
      </c>
      <c r="E157" s="3" t="s">
        <v>22</v>
      </c>
      <c r="F157" s="3" t="s">
        <v>22</v>
      </c>
      <c r="G157" s="31">
        <v>22</v>
      </c>
      <c r="H157" s="31" t="s">
        <v>146</v>
      </c>
      <c r="I157" s="5">
        <v>75</v>
      </c>
      <c r="J157" s="5"/>
      <c r="K157" s="6"/>
      <c r="L157" s="11">
        <f t="shared" si="77"/>
        <v>75</v>
      </c>
      <c r="M157" s="7" t="s">
        <v>14</v>
      </c>
      <c r="N157" s="31"/>
      <c r="O157" s="9"/>
      <c r="P157" s="9" t="str">
        <f t="shared" si="64"/>
        <v/>
      </c>
      <c r="Q157" s="9"/>
      <c r="R157" s="30">
        <f t="shared" si="65"/>
        <v>0</v>
      </c>
      <c r="S157" s="9"/>
      <c r="T157" s="30">
        <f t="shared" si="66"/>
        <v>0</v>
      </c>
      <c r="U157" s="9"/>
      <c r="V157" s="30">
        <f t="shared" si="76"/>
        <v>0</v>
      </c>
      <c r="W157" s="9">
        <f>169600/100</f>
        <v>1696</v>
      </c>
      <c r="X157" s="30">
        <v>127200</v>
      </c>
      <c r="Y157" s="9">
        <f>32700/100</f>
        <v>327</v>
      </c>
      <c r="Z157" s="30">
        <v>24525</v>
      </c>
      <c r="AA157" s="9"/>
      <c r="AB157" s="30">
        <f t="shared" si="68"/>
        <v>0</v>
      </c>
      <c r="AC157" s="9"/>
      <c r="AD157" s="30">
        <f t="shared" si="69"/>
        <v>0</v>
      </c>
      <c r="AE157" s="9"/>
      <c r="AF157" s="30">
        <f t="shared" si="70"/>
        <v>0</v>
      </c>
      <c r="AG157" s="9">
        <f>36600/100</f>
        <v>366</v>
      </c>
      <c r="AH157" s="30">
        <v>27450</v>
      </c>
      <c r="AI157" s="9">
        <f>4400/100</f>
        <v>44</v>
      </c>
      <c r="AJ157" s="30">
        <v>3300</v>
      </c>
      <c r="AK157" s="9"/>
      <c r="AL157" s="30">
        <f t="shared" si="73"/>
        <v>0</v>
      </c>
      <c r="AM157" s="10">
        <f>243300/100</f>
        <v>2433</v>
      </c>
      <c r="AN157" s="31">
        <v>182475</v>
      </c>
      <c r="AO157" s="15">
        <f t="shared" si="74"/>
        <v>182475</v>
      </c>
      <c r="AP157" s="9">
        <f t="shared" si="79"/>
        <v>0</v>
      </c>
      <c r="AQ157" s="28">
        <f t="shared" si="75"/>
        <v>2433</v>
      </c>
      <c r="AR157" s="8">
        <f t="shared" si="80"/>
        <v>0</v>
      </c>
      <c r="AS157" s="29">
        <f t="shared" si="62"/>
        <v>182475</v>
      </c>
      <c r="AT157" s="13">
        <f t="shared" si="81"/>
        <v>0</v>
      </c>
      <c r="AU157" s="2" t="str">
        <f t="shared" si="63"/>
        <v/>
      </c>
      <c r="AV157" s="2"/>
    </row>
    <row r="158" spans="1:48" ht="16.5">
      <c r="A158" s="1" t="s">
        <v>12</v>
      </c>
      <c r="B158" s="3" t="s">
        <v>29</v>
      </c>
      <c r="C158" s="3" t="s">
        <v>219</v>
      </c>
      <c r="D158" s="4">
        <v>1789</v>
      </c>
      <c r="E158" s="3" t="s">
        <v>22</v>
      </c>
      <c r="F158" s="3" t="s">
        <v>22</v>
      </c>
      <c r="G158" s="31">
        <v>22</v>
      </c>
      <c r="H158" s="31" t="s">
        <v>147</v>
      </c>
      <c r="I158" s="5"/>
      <c r="J158" s="5"/>
      <c r="K158" s="6"/>
      <c r="L158" s="11">
        <f t="shared" si="77"/>
        <v>0</v>
      </c>
      <c r="M158" s="7"/>
      <c r="N158" s="31" t="s">
        <v>281</v>
      </c>
      <c r="O158" s="9"/>
      <c r="P158" s="9">
        <f>1326+127</f>
        <v>1453</v>
      </c>
      <c r="Q158" s="9"/>
      <c r="R158" s="30">
        <v>849</v>
      </c>
      <c r="S158" s="9"/>
      <c r="T158" s="30">
        <f t="shared" si="66"/>
        <v>0</v>
      </c>
      <c r="U158" s="9"/>
      <c r="V158" s="30">
        <v>3766</v>
      </c>
      <c r="W158" s="9"/>
      <c r="X158" s="30">
        <v>13988</v>
      </c>
      <c r="Y158" s="9"/>
      <c r="Z158" s="30">
        <v>1196</v>
      </c>
      <c r="AA158" s="9"/>
      <c r="AB158" s="30">
        <v>235</v>
      </c>
      <c r="AC158" s="9"/>
      <c r="AD158" s="30">
        <v>370</v>
      </c>
      <c r="AE158" s="9"/>
      <c r="AF158" s="30">
        <v>589</v>
      </c>
      <c r="AG158" s="9"/>
      <c r="AH158" s="30">
        <v>955</v>
      </c>
      <c r="AI158" s="9"/>
      <c r="AJ158" s="30">
        <v>122</v>
      </c>
      <c r="AK158" s="9"/>
      <c r="AL158" s="30">
        <v>4267</v>
      </c>
      <c r="AM158" s="10"/>
      <c r="AN158" s="31">
        <v>26337</v>
      </c>
      <c r="AO158" s="15">
        <f t="shared" si="74"/>
        <v>26337</v>
      </c>
      <c r="AP158" s="9">
        <f t="shared" si="79"/>
        <v>0</v>
      </c>
      <c r="AQ158" s="28">
        <f t="shared" si="75"/>
        <v>0</v>
      </c>
      <c r="AR158" s="8">
        <f t="shared" si="80"/>
        <v>0</v>
      </c>
      <c r="AS158" s="29">
        <f t="shared" si="62"/>
        <v>0</v>
      </c>
      <c r="AT158" s="13">
        <f t="shared" si="81"/>
        <v>26337</v>
      </c>
      <c r="AU158" s="2" t="str">
        <f t="shared" si="63"/>
        <v>pas de prix, ni de quantité</v>
      </c>
      <c r="AV158" s="2"/>
    </row>
    <row r="159" spans="1:48" ht="16.5">
      <c r="A159" s="1" t="s">
        <v>12</v>
      </c>
      <c r="B159" s="3" t="s">
        <v>29</v>
      </c>
      <c r="C159" s="3" t="s">
        <v>219</v>
      </c>
      <c r="D159" s="4">
        <v>1789</v>
      </c>
      <c r="E159" s="3" t="s">
        <v>22</v>
      </c>
      <c r="F159" s="3" t="s">
        <v>22</v>
      </c>
      <c r="G159" s="31">
        <v>22</v>
      </c>
      <c r="H159" s="31" t="s">
        <v>148</v>
      </c>
      <c r="I159" s="5"/>
      <c r="J159" s="5"/>
      <c r="K159" s="6"/>
      <c r="L159" s="11">
        <f t="shared" si="77"/>
        <v>0</v>
      </c>
      <c r="M159" s="7"/>
      <c r="N159" s="31" t="s">
        <v>23</v>
      </c>
      <c r="O159" s="9"/>
      <c r="P159" s="9">
        <v>90</v>
      </c>
      <c r="Q159" s="9"/>
      <c r="R159" s="30">
        <f t="shared" si="65"/>
        <v>0</v>
      </c>
      <c r="S159" s="9"/>
      <c r="T159" s="30">
        <f t="shared" si="66"/>
        <v>0</v>
      </c>
      <c r="U159" s="9"/>
      <c r="V159" s="30">
        <v>11014</v>
      </c>
      <c r="W159" s="9"/>
      <c r="X159" s="30">
        <v>6270</v>
      </c>
      <c r="Y159" s="9"/>
      <c r="Z159" s="30">
        <v>13568</v>
      </c>
      <c r="AA159" s="9"/>
      <c r="AB159" s="30">
        <f t="shared" si="68"/>
        <v>0</v>
      </c>
      <c r="AC159" s="9"/>
      <c r="AD159" s="30">
        <f t="shared" si="69"/>
        <v>0</v>
      </c>
      <c r="AE159" s="9"/>
      <c r="AF159" s="30">
        <f t="shared" si="70"/>
        <v>0</v>
      </c>
      <c r="AG159" s="9"/>
      <c r="AH159" s="30">
        <f t="shared" si="71"/>
        <v>0</v>
      </c>
      <c r="AI159" s="9"/>
      <c r="AJ159" s="30">
        <f t="shared" si="72"/>
        <v>0</v>
      </c>
      <c r="AK159" s="9"/>
      <c r="AL159" s="30">
        <f t="shared" si="73"/>
        <v>0</v>
      </c>
      <c r="AM159" s="10"/>
      <c r="AN159" s="31">
        <v>30852</v>
      </c>
      <c r="AO159" s="15">
        <f t="shared" si="74"/>
        <v>30852</v>
      </c>
      <c r="AP159" s="9">
        <f t="shared" si="79"/>
        <v>0</v>
      </c>
      <c r="AQ159" s="28">
        <f t="shared" si="75"/>
        <v>0</v>
      </c>
      <c r="AR159" s="8">
        <f t="shared" si="80"/>
        <v>0</v>
      </c>
      <c r="AS159" s="29">
        <f t="shared" si="62"/>
        <v>0</v>
      </c>
      <c r="AT159" s="13">
        <f t="shared" si="81"/>
        <v>30852</v>
      </c>
      <c r="AU159" s="2" t="str">
        <f t="shared" si="63"/>
        <v>pas de prix, ni de quantité</v>
      </c>
      <c r="AV159" s="2"/>
    </row>
    <row r="160" spans="1:48" ht="16.5">
      <c r="A160" s="1" t="s">
        <v>12</v>
      </c>
      <c r="B160" s="3" t="s">
        <v>29</v>
      </c>
      <c r="C160" s="3" t="s">
        <v>219</v>
      </c>
      <c r="D160" s="4">
        <v>1789</v>
      </c>
      <c r="E160" s="3" t="s">
        <v>22</v>
      </c>
      <c r="F160" s="3" t="s">
        <v>22</v>
      </c>
      <c r="G160" s="31">
        <v>22</v>
      </c>
      <c r="H160" s="31" t="s">
        <v>54</v>
      </c>
      <c r="I160" s="5"/>
      <c r="J160" s="5"/>
      <c r="K160" s="6"/>
      <c r="L160" s="11">
        <f t="shared" si="77"/>
        <v>0</v>
      </c>
      <c r="M160" s="7"/>
      <c r="N160" s="31"/>
      <c r="O160" s="9"/>
      <c r="P160" s="9" t="str">
        <f t="shared" si="64"/>
        <v/>
      </c>
      <c r="Q160" s="9"/>
      <c r="R160" s="30">
        <f t="shared" si="65"/>
        <v>0</v>
      </c>
      <c r="S160" s="9"/>
      <c r="T160" s="30">
        <f t="shared" si="66"/>
        <v>0</v>
      </c>
      <c r="U160" s="9"/>
      <c r="V160" s="30">
        <v>300</v>
      </c>
      <c r="W160" s="9"/>
      <c r="X160" s="30">
        <v>2902</v>
      </c>
      <c r="Y160" s="9"/>
      <c r="Z160" s="30">
        <v>1990</v>
      </c>
      <c r="AA160" s="9"/>
      <c r="AB160" s="30">
        <f t="shared" si="68"/>
        <v>0</v>
      </c>
      <c r="AC160" s="9"/>
      <c r="AD160" s="30">
        <f t="shared" si="69"/>
        <v>0</v>
      </c>
      <c r="AE160" s="9"/>
      <c r="AF160" s="30">
        <f t="shared" si="70"/>
        <v>0</v>
      </c>
      <c r="AG160" s="9"/>
      <c r="AH160" s="30">
        <v>895</v>
      </c>
      <c r="AI160" s="9"/>
      <c r="AJ160" s="30">
        <f t="shared" si="72"/>
        <v>0</v>
      </c>
      <c r="AK160" s="9"/>
      <c r="AL160" s="30">
        <f t="shared" si="73"/>
        <v>0</v>
      </c>
      <c r="AM160" s="10"/>
      <c r="AN160" s="31">
        <v>6087</v>
      </c>
      <c r="AO160" s="15">
        <f t="shared" si="74"/>
        <v>6087</v>
      </c>
      <c r="AP160" s="9">
        <f t="shared" si="79"/>
        <v>0</v>
      </c>
      <c r="AQ160" s="28">
        <f t="shared" si="75"/>
        <v>0</v>
      </c>
      <c r="AR160" s="8">
        <f t="shared" si="80"/>
        <v>0</v>
      </c>
      <c r="AS160" s="29">
        <f t="shared" si="62"/>
        <v>0</v>
      </c>
      <c r="AT160" s="13">
        <f t="shared" si="81"/>
        <v>6087</v>
      </c>
      <c r="AU160" s="2" t="str">
        <f t="shared" si="63"/>
        <v>pas de prix, ni de quantité</v>
      </c>
      <c r="AV160" s="2"/>
    </row>
    <row r="161" spans="1:48" ht="16.5">
      <c r="A161" s="1" t="s">
        <v>12</v>
      </c>
      <c r="B161" s="3" t="s">
        <v>29</v>
      </c>
      <c r="C161" s="3" t="s">
        <v>219</v>
      </c>
      <c r="D161" s="4">
        <v>1789</v>
      </c>
      <c r="E161" s="3" t="s">
        <v>22</v>
      </c>
      <c r="F161" s="3" t="s">
        <v>22</v>
      </c>
      <c r="G161" s="31">
        <v>22</v>
      </c>
      <c r="H161" s="31" t="s">
        <v>149</v>
      </c>
      <c r="I161" s="5">
        <v>6</v>
      </c>
      <c r="J161" s="5"/>
      <c r="K161" s="6"/>
      <c r="L161" s="11">
        <f t="shared" si="77"/>
        <v>6</v>
      </c>
      <c r="M161" s="7" t="s">
        <v>41</v>
      </c>
      <c r="N161" s="31" t="s">
        <v>17</v>
      </c>
      <c r="O161" s="9">
        <v>90</v>
      </c>
      <c r="P161" s="9">
        <v>540</v>
      </c>
      <c r="Q161" s="9">
        <v>617</v>
      </c>
      <c r="R161" s="30">
        <v>3702</v>
      </c>
      <c r="S161" s="9"/>
      <c r="T161" s="30">
        <f t="shared" si="66"/>
        <v>0</v>
      </c>
      <c r="U161" s="9"/>
      <c r="V161" s="30">
        <f t="shared" si="76"/>
        <v>0</v>
      </c>
      <c r="W161" s="9"/>
      <c r="X161" s="30">
        <f t="shared" si="78"/>
        <v>0</v>
      </c>
      <c r="Y161" s="9">
        <v>145</v>
      </c>
      <c r="Z161" s="30">
        <v>870</v>
      </c>
      <c r="AA161" s="9"/>
      <c r="AB161" s="30">
        <f t="shared" si="68"/>
        <v>0</v>
      </c>
      <c r="AC161" s="9"/>
      <c r="AD161" s="30">
        <f t="shared" si="69"/>
        <v>0</v>
      </c>
      <c r="AE161" s="9"/>
      <c r="AF161" s="30">
        <f t="shared" si="70"/>
        <v>0</v>
      </c>
      <c r="AG161" s="9"/>
      <c r="AH161" s="30">
        <f t="shared" si="71"/>
        <v>0</v>
      </c>
      <c r="AI161" s="9"/>
      <c r="AJ161" s="30">
        <f t="shared" si="72"/>
        <v>0</v>
      </c>
      <c r="AK161" s="9">
        <v>100</v>
      </c>
      <c r="AL161" s="30">
        <v>600</v>
      </c>
      <c r="AM161" s="10">
        <v>862</v>
      </c>
      <c r="AN161" s="31">
        <v>5172</v>
      </c>
      <c r="AO161" s="15">
        <f t="shared" si="74"/>
        <v>5172</v>
      </c>
      <c r="AP161" s="9">
        <f t="shared" si="79"/>
        <v>0</v>
      </c>
      <c r="AQ161" s="28">
        <f t="shared" si="75"/>
        <v>862</v>
      </c>
      <c r="AR161" s="8">
        <f t="shared" si="80"/>
        <v>0</v>
      </c>
      <c r="AS161" s="29">
        <f t="shared" si="62"/>
        <v>5172</v>
      </c>
      <c r="AT161" s="13">
        <f t="shared" si="81"/>
        <v>0</v>
      </c>
      <c r="AU161" s="2" t="str">
        <f t="shared" si="63"/>
        <v/>
      </c>
      <c r="AV161" s="2"/>
    </row>
    <row r="162" spans="1:48" ht="16.5">
      <c r="A162" s="1" t="s">
        <v>12</v>
      </c>
      <c r="B162" s="3" t="s">
        <v>29</v>
      </c>
      <c r="C162" s="3" t="s">
        <v>219</v>
      </c>
      <c r="D162" s="4">
        <v>1789</v>
      </c>
      <c r="E162" s="3" t="s">
        <v>22</v>
      </c>
      <c r="F162" s="3" t="s">
        <v>22</v>
      </c>
      <c r="G162" s="31">
        <v>22</v>
      </c>
      <c r="H162" s="31" t="s">
        <v>150</v>
      </c>
      <c r="I162" s="5"/>
      <c r="J162" s="5"/>
      <c r="K162" s="6"/>
      <c r="L162" s="11">
        <f t="shared" si="77"/>
        <v>0</v>
      </c>
      <c r="M162" s="7" t="s">
        <v>49</v>
      </c>
      <c r="N162" s="31"/>
      <c r="O162" s="9"/>
      <c r="P162" s="9" t="str">
        <f t="shared" si="64"/>
        <v/>
      </c>
      <c r="Q162" s="9"/>
      <c r="R162" s="30">
        <f t="shared" si="65"/>
        <v>0</v>
      </c>
      <c r="S162" s="9"/>
      <c r="T162" s="30">
        <f t="shared" si="66"/>
        <v>0</v>
      </c>
      <c r="U162" s="9">
        <v>46947</v>
      </c>
      <c r="V162" s="30">
        <v>92150</v>
      </c>
      <c r="W162" s="9"/>
      <c r="X162" s="30">
        <f t="shared" si="78"/>
        <v>0</v>
      </c>
      <c r="Y162" s="9"/>
      <c r="Z162" s="30">
        <f t="shared" si="67"/>
        <v>0</v>
      </c>
      <c r="AA162" s="9">
        <v>27300</v>
      </c>
      <c r="AB162" s="30">
        <v>55680</v>
      </c>
      <c r="AC162" s="9">
        <v>6456</v>
      </c>
      <c r="AD162" s="30">
        <v>14526</v>
      </c>
      <c r="AE162" s="9"/>
      <c r="AF162" s="30">
        <f t="shared" si="70"/>
        <v>0</v>
      </c>
      <c r="AG162" s="9">
        <v>26080</v>
      </c>
      <c r="AH162" s="30">
        <v>52560</v>
      </c>
      <c r="AI162" s="9"/>
      <c r="AJ162" s="30">
        <f t="shared" si="72"/>
        <v>0</v>
      </c>
      <c r="AK162" s="9"/>
      <c r="AL162" s="30">
        <f t="shared" si="73"/>
        <v>0</v>
      </c>
      <c r="AM162" s="10">
        <v>106783</v>
      </c>
      <c r="AN162" s="31">
        <v>214916</v>
      </c>
      <c r="AO162" s="15">
        <f t="shared" si="74"/>
        <v>214916</v>
      </c>
      <c r="AP162" s="9">
        <f t="shared" si="79"/>
        <v>0</v>
      </c>
      <c r="AQ162" s="28">
        <f t="shared" si="75"/>
        <v>106783</v>
      </c>
      <c r="AR162" s="8">
        <f t="shared" si="80"/>
        <v>0</v>
      </c>
      <c r="AS162" s="29">
        <f t="shared" si="62"/>
        <v>0</v>
      </c>
      <c r="AT162" s="13">
        <f t="shared" si="81"/>
        <v>214916</v>
      </c>
      <c r="AU162" s="2" t="str">
        <f t="shared" si="63"/>
        <v>pas de prix</v>
      </c>
      <c r="AV162" s="2"/>
    </row>
    <row r="163" spans="1:48" ht="16.5">
      <c r="A163" s="1" t="s">
        <v>12</v>
      </c>
      <c r="B163" s="3" t="s">
        <v>29</v>
      </c>
      <c r="C163" s="3" t="s">
        <v>219</v>
      </c>
      <c r="D163" s="4">
        <v>1789</v>
      </c>
      <c r="E163" s="3" t="s">
        <v>22</v>
      </c>
      <c r="F163" s="3" t="s">
        <v>22</v>
      </c>
      <c r="G163" s="31">
        <v>22</v>
      </c>
      <c r="H163" s="31" t="s">
        <v>151</v>
      </c>
      <c r="I163" s="5"/>
      <c r="J163" s="5"/>
      <c r="K163" s="6"/>
      <c r="L163" s="11">
        <f t="shared" si="77"/>
        <v>0</v>
      </c>
      <c r="M163" s="7"/>
      <c r="N163" s="31"/>
      <c r="O163" s="9"/>
      <c r="P163" s="9" t="str">
        <f t="shared" si="64"/>
        <v/>
      </c>
      <c r="Q163" s="9"/>
      <c r="R163" s="30">
        <f t="shared" si="65"/>
        <v>0</v>
      </c>
      <c r="S163" s="9"/>
      <c r="T163" s="30">
        <f t="shared" si="66"/>
        <v>0</v>
      </c>
      <c r="U163" s="9"/>
      <c r="V163" s="30">
        <v>4000</v>
      </c>
      <c r="W163" s="9"/>
      <c r="X163" s="30">
        <f t="shared" si="78"/>
        <v>0</v>
      </c>
      <c r="Y163" s="9"/>
      <c r="Z163" s="30">
        <f t="shared" si="67"/>
        <v>0</v>
      </c>
      <c r="AA163" s="9"/>
      <c r="AB163" s="30">
        <f t="shared" si="68"/>
        <v>0</v>
      </c>
      <c r="AC163" s="9"/>
      <c r="AD163" s="30">
        <f t="shared" si="69"/>
        <v>0</v>
      </c>
      <c r="AE163" s="9"/>
      <c r="AF163" s="30">
        <f t="shared" si="70"/>
        <v>0</v>
      </c>
      <c r="AG163" s="9"/>
      <c r="AH163" s="30">
        <f t="shared" si="71"/>
        <v>0</v>
      </c>
      <c r="AI163" s="9"/>
      <c r="AJ163" s="30">
        <f t="shared" si="72"/>
        <v>0</v>
      </c>
      <c r="AK163" s="9"/>
      <c r="AL163" s="30">
        <f t="shared" si="73"/>
        <v>0</v>
      </c>
      <c r="AM163" s="10"/>
      <c r="AN163" s="31">
        <v>4000</v>
      </c>
      <c r="AO163" s="15">
        <f t="shared" si="74"/>
        <v>4000</v>
      </c>
      <c r="AP163" s="9">
        <f t="shared" si="79"/>
        <v>0</v>
      </c>
      <c r="AQ163" s="28">
        <f t="shared" si="75"/>
        <v>0</v>
      </c>
      <c r="AR163" s="8">
        <f t="shared" si="80"/>
        <v>0</v>
      </c>
      <c r="AS163" s="29">
        <f t="shared" si="62"/>
        <v>0</v>
      </c>
      <c r="AT163" s="13">
        <f t="shared" si="81"/>
        <v>4000</v>
      </c>
      <c r="AU163" s="2" t="str">
        <f t="shared" si="63"/>
        <v>pas de prix, ni de quantité</v>
      </c>
      <c r="AV163" s="2"/>
    </row>
    <row r="164" spans="1:48" ht="16.5">
      <c r="A164" s="1" t="s">
        <v>12</v>
      </c>
      <c r="B164" s="3" t="s">
        <v>29</v>
      </c>
      <c r="C164" s="3" t="s">
        <v>219</v>
      </c>
      <c r="D164" s="4">
        <v>1789</v>
      </c>
      <c r="E164" s="3" t="s">
        <v>22</v>
      </c>
      <c r="F164" s="3" t="s">
        <v>22</v>
      </c>
      <c r="G164" s="31">
        <v>22</v>
      </c>
      <c r="H164" s="31" t="s">
        <v>289</v>
      </c>
      <c r="I164" s="5"/>
      <c r="J164" s="5"/>
      <c r="K164" s="6"/>
      <c r="L164" s="11">
        <f t="shared" si="77"/>
        <v>0</v>
      </c>
      <c r="M164" s="7"/>
      <c r="N164" s="31"/>
      <c r="O164" s="9"/>
      <c r="P164" s="9" t="str">
        <f t="shared" si="64"/>
        <v/>
      </c>
      <c r="Q164" s="9"/>
      <c r="R164" s="30">
        <f t="shared" si="65"/>
        <v>0</v>
      </c>
      <c r="S164" s="9"/>
      <c r="T164" s="30">
        <f t="shared" si="66"/>
        <v>0</v>
      </c>
      <c r="U164" s="9"/>
      <c r="V164" s="30">
        <v>2840</v>
      </c>
      <c r="W164" s="9"/>
      <c r="X164" s="30">
        <f t="shared" si="78"/>
        <v>0</v>
      </c>
      <c r="Y164" s="9"/>
      <c r="Z164" s="30">
        <f t="shared" si="67"/>
        <v>0</v>
      </c>
      <c r="AA164" s="9"/>
      <c r="AB164" s="30">
        <f t="shared" si="68"/>
        <v>0</v>
      </c>
      <c r="AC164" s="9"/>
      <c r="AD164" s="30">
        <f t="shared" si="69"/>
        <v>0</v>
      </c>
      <c r="AE164" s="9"/>
      <c r="AF164" s="30">
        <f t="shared" si="70"/>
        <v>0</v>
      </c>
      <c r="AG164" s="9"/>
      <c r="AH164" s="30">
        <f t="shared" si="71"/>
        <v>0</v>
      </c>
      <c r="AI164" s="9"/>
      <c r="AJ164" s="30">
        <f t="shared" si="72"/>
        <v>0</v>
      </c>
      <c r="AK164" s="9"/>
      <c r="AL164" s="30">
        <f t="shared" si="73"/>
        <v>0</v>
      </c>
      <c r="AM164" s="10"/>
      <c r="AN164" s="31">
        <v>2840</v>
      </c>
      <c r="AO164" s="15">
        <f t="shared" si="74"/>
        <v>2840</v>
      </c>
      <c r="AP164" s="9">
        <f t="shared" si="79"/>
        <v>0</v>
      </c>
      <c r="AQ164" s="28">
        <f t="shared" si="75"/>
        <v>0</v>
      </c>
      <c r="AR164" s="8">
        <f t="shared" si="80"/>
        <v>0</v>
      </c>
      <c r="AS164" s="29">
        <f t="shared" si="62"/>
        <v>0</v>
      </c>
      <c r="AT164" s="13">
        <f t="shared" si="81"/>
        <v>2840</v>
      </c>
      <c r="AU164" s="2" t="str">
        <f t="shared" si="63"/>
        <v>pas de prix, ni de quantité</v>
      </c>
      <c r="AV164" s="2"/>
    </row>
    <row r="165" spans="1:48" ht="16.5">
      <c r="A165" s="1" t="s">
        <v>12</v>
      </c>
      <c r="B165" s="3" t="s">
        <v>29</v>
      </c>
      <c r="C165" s="3" t="s">
        <v>219</v>
      </c>
      <c r="D165" s="4">
        <v>1789</v>
      </c>
      <c r="E165" s="3" t="s">
        <v>22</v>
      </c>
      <c r="F165" s="3" t="s">
        <v>22</v>
      </c>
      <c r="G165" s="31">
        <v>22</v>
      </c>
      <c r="H165" s="31" t="s">
        <v>152</v>
      </c>
      <c r="I165" s="5"/>
      <c r="J165" s="5"/>
      <c r="K165" s="6"/>
      <c r="L165" s="11">
        <f t="shared" si="77"/>
        <v>0</v>
      </c>
      <c r="M165" s="7"/>
      <c r="N165" s="31"/>
      <c r="O165" s="9"/>
      <c r="P165" s="9" t="str">
        <f t="shared" si="64"/>
        <v/>
      </c>
      <c r="Q165" s="9"/>
      <c r="R165" s="30">
        <f t="shared" si="65"/>
        <v>0</v>
      </c>
      <c r="S165" s="9"/>
      <c r="T165" s="30">
        <f t="shared" si="66"/>
        <v>0</v>
      </c>
      <c r="U165" s="9"/>
      <c r="V165" s="30">
        <v>1000</v>
      </c>
      <c r="W165" s="9"/>
      <c r="X165" s="30">
        <v>390</v>
      </c>
      <c r="Y165" s="9"/>
      <c r="Z165" s="30">
        <f t="shared" si="67"/>
        <v>0</v>
      </c>
      <c r="AA165" s="9"/>
      <c r="AB165" s="30">
        <f t="shared" si="68"/>
        <v>0</v>
      </c>
      <c r="AC165" s="9"/>
      <c r="AD165" s="30">
        <f t="shared" si="69"/>
        <v>0</v>
      </c>
      <c r="AE165" s="9"/>
      <c r="AF165" s="30">
        <f t="shared" si="70"/>
        <v>0</v>
      </c>
      <c r="AG165" s="9"/>
      <c r="AH165" s="30">
        <f t="shared" si="71"/>
        <v>0</v>
      </c>
      <c r="AI165" s="9"/>
      <c r="AJ165" s="30">
        <f t="shared" si="72"/>
        <v>0</v>
      </c>
      <c r="AK165" s="9"/>
      <c r="AL165" s="30">
        <f t="shared" si="73"/>
        <v>0</v>
      </c>
      <c r="AM165" s="10"/>
      <c r="AN165" s="31">
        <v>1390</v>
      </c>
      <c r="AO165" s="15">
        <f t="shared" si="74"/>
        <v>1390</v>
      </c>
      <c r="AP165" s="9">
        <f t="shared" si="79"/>
        <v>0</v>
      </c>
      <c r="AQ165" s="28">
        <f t="shared" si="75"/>
        <v>0</v>
      </c>
      <c r="AR165" s="8">
        <f t="shared" si="80"/>
        <v>0</v>
      </c>
      <c r="AS165" s="29">
        <f t="shared" si="62"/>
        <v>0</v>
      </c>
      <c r="AT165" s="13">
        <f t="shared" si="81"/>
        <v>1390</v>
      </c>
      <c r="AU165" s="2" t="str">
        <f t="shared" si="63"/>
        <v>pas de prix, ni de quantité</v>
      </c>
      <c r="AV165" s="2"/>
    </row>
    <row r="166" spans="1:48" ht="16.5">
      <c r="A166" s="1" t="s">
        <v>12</v>
      </c>
      <c r="B166" s="3" t="s">
        <v>29</v>
      </c>
      <c r="C166" s="3" t="s">
        <v>219</v>
      </c>
      <c r="D166" s="4">
        <v>1789</v>
      </c>
      <c r="E166" s="3" t="s">
        <v>22</v>
      </c>
      <c r="F166" s="3" t="s">
        <v>22</v>
      </c>
      <c r="G166" s="31">
        <v>22</v>
      </c>
      <c r="H166" s="31" t="s">
        <v>153</v>
      </c>
      <c r="I166" s="5"/>
      <c r="J166" s="5"/>
      <c r="K166" s="6"/>
      <c r="L166" s="11">
        <f t="shared" si="77"/>
        <v>0</v>
      </c>
      <c r="M166" s="7" t="s">
        <v>285</v>
      </c>
      <c r="N166" s="31" t="s">
        <v>23</v>
      </c>
      <c r="O166" s="9">
        <v>200</v>
      </c>
      <c r="P166" s="9">
        <v>800</v>
      </c>
      <c r="Q166" s="9"/>
      <c r="R166" s="30">
        <f t="shared" si="65"/>
        <v>0</v>
      </c>
      <c r="S166" s="9"/>
      <c r="T166" s="30">
        <f t="shared" si="66"/>
        <v>0</v>
      </c>
      <c r="U166" s="9">
        <v>1230</v>
      </c>
      <c r="V166" s="30">
        <v>4920</v>
      </c>
      <c r="W166" s="9"/>
      <c r="X166" s="30">
        <f t="shared" si="78"/>
        <v>0</v>
      </c>
      <c r="Y166" s="9"/>
      <c r="Z166" s="30">
        <f t="shared" si="67"/>
        <v>0</v>
      </c>
      <c r="AA166" s="9"/>
      <c r="AB166" s="30">
        <f t="shared" si="68"/>
        <v>0</v>
      </c>
      <c r="AC166" s="9"/>
      <c r="AD166" s="30">
        <f t="shared" si="69"/>
        <v>0</v>
      </c>
      <c r="AE166" s="9"/>
      <c r="AF166" s="30">
        <f t="shared" si="70"/>
        <v>0</v>
      </c>
      <c r="AG166" s="9"/>
      <c r="AH166" s="30">
        <f t="shared" si="71"/>
        <v>0</v>
      </c>
      <c r="AI166" s="9"/>
      <c r="AJ166" s="30">
        <f t="shared" si="72"/>
        <v>0</v>
      </c>
      <c r="AK166" s="9"/>
      <c r="AL166" s="30">
        <f t="shared" si="73"/>
        <v>0</v>
      </c>
      <c r="AM166" s="10">
        <v>1230</v>
      </c>
      <c r="AN166" s="31">
        <v>4920</v>
      </c>
      <c r="AO166" s="15">
        <f t="shared" si="74"/>
        <v>4920</v>
      </c>
      <c r="AP166" s="9">
        <f t="shared" si="79"/>
        <v>0</v>
      </c>
      <c r="AQ166" s="28">
        <f t="shared" si="75"/>
        <v>1230</v>
      </c>
      <c r="AR166" s="8">
        <f t="shared" si="80"/>
        <v>0</v>
      </c>
      <c r="AS166" s="29">
        <f t="shared" si="62"/>
        <v>0</v>
      </c>
      <c r="AT166" s="13">
        <f t="shared" si="81"/>
        <v>4920</v>
      </c>
      <c r="AU166" s="2" t="str">
        <f t="shared" si="63"/>
        <v>pas de prix</v>
      </c>
      <c r="AV166" s="2"/>
    </row>
    <row r="167" spans="1:48" ht="16.5">
      <c r="A167" s="1" t="s">
        <v>12</v>
      </c>
      <c r="B167" s="3" t="s">
        <v>29</v>
      </c>
      <c r="C167" s="3" t="s">
        <v>219</v>
      </c>
      <c r="D167" s="4">
        <v>1789</v>
      </c>
      <c r="E167" s="3" t="s">
        <v>22</v>
      </c>
      <c r="F167" s="3" t="s">
        <v>22</v>
      </c>
      <c r="G167" s="31">
        <v>22</v>
      </c>
      <c r="H167" s="31" t="s">
        <v>154</v>
      </c>
      <c r="I167" s="5"/>
      <c r="J167" s="5"/>
      <c r="K167" s="6"/>
      <c r="L167" s="11">
        <f t="shared" si="77"/>
        <v>0</v>
      </c>
      <c r="M167" s="7"/>
      <c r="N167" s="31"/>
      <c r="O167" s="9"/>
      <c r="P167" s="9" t="str">
        <f t="shared" si="64"/>
        <v/>
      </c>
      <c r="Q167" s="9"/>
      <c r="R167" s="30">
        <f t="shared" si="65"/>
        <v>0</v>
      </c>
      <c r="S167" s="9"/>
      <c r="T167" s="30">
        <f t="shared" si="66"/>
        <v>0</v>
      </c>
      <c r="U167" s="9"/>
      <c r="V167" s="30">
        <v>1500</v>
      </c>
      <c r="W167" s="9"/>
      <c r="X167" s="30">
        <v>14857</v>
      </c>
      <c r="Y167" s="9"/>
      <c r="Z167" s="30">
        <f t="shared" si="67"/>
        <v>0</v>
      </c>
      <c r="AA167" s="9"/>
      <c r="AB167" s="30">
        <f t="shared" si="68"/>
        <v>0</v>
      </c>
      <c r="AC167" s="9"/>
      <c r="AD167" s="30">
        <f t="shared" si="69"/>
        <v>0</v>
      </c>
      <c r="AE167" s="9"/>
      <c r="AF167" s="30">
        <f t="shared" si="70"/>
        <v>0</v>
      </c>
      <c r="AG167" s="9"/>
      <c r="AH167" s="30">
        <f t="shared" si="71"/>
        <v>0</v>
      </c>
      <c r="AI167" s="9"/>
      <c r="AJ167" s="30">
        <f t="shared" si="72"/>
        <v>0</v>
      </c>
      <c r="AK167" s="9"/>
      <c r="AL167" s="30">
        <f t="shared" si="73"/>
        <v>0</v>
      </c>
      <c r="AM167" s="10"/>
      <c r="AN167" s="31">
        <v>16357</v>
      </c>
      <c r="AO167" s="15">
        <f t="shared" si="74"/>
        <v>16357</v>
      </c>
      <c r="AP167" s="9">
        <f t="shared" si="79"/>
        <v>0</v>
      </c>
      <c r="AQ167" s="28">
        <f t="shared" si="75"/>
        <v>0</v>
      </c>
      <c r="AR167" s="8">
        <f t="shared" si="80"/>
        <v>0</v>
      </c>
      <c r="AS167" s="29">
        <f t="shared" si="62"/>
        <v>0</v>
      </c>
      <c r="AT167" s="13">
        <f t="shared" si="81"/>
        <v>16357</v>
      </c>
      <c r="AU167" s="2" t="str">
        <f t="shared" si="63"/>
        <v>pas de prix, ni de quantité</v>
      </c>
      <c r="AV167" s="2"/>
    </row>
    <row r="168" spans="1:48" ht="16.5">
      <c r="A168" s="1" t="s">
        <v>12</v>
      </c>
      <c r="B168" s="3" t="s">
        <v>29</v>
      </c>
      <c r="C168" s="3" t="s">
        <v>219</v>
      </c>
      <c r="D168" s="4">
        <v>1789</v>
      </c>
      <c r="E168" s="3" t="s">
        <v>22</v>
      </c>
      <c r="F168" s="3" t="s">
        <v>22</v>
      </c>
      <c r="G168" s="31">
        <v>23</v>
      </c>
      <c r="H168" s="31" t="s">
        <v>155</v>
      </c>
      <c r="I168" s="5"/>
      <c r="J168" s="5">
        <v>10</v>
      </c>
      <c r="K168" s="6"/>
      <c r="L168" s="11">
        <f t="shared" si="77"/>
        <v>0.5</v>
      </c>
      <c r="M168" s="7" t="s">
        <v>41</v>
      </c>
      <c r="N168" s="31"/>
      <c r="O168" s="9"/>
      <c r="P168" s="9" t="str">
        <f t="shared" si="64"/>
        <v/>
      </c>
      <c r="Q168" s="9"/>
      <c r="R168" s="30">
        <f t="shared" si="65"/>
        <v>0</v>
      </c>
      <c r="S168" s="9"/>
      <c r="T168" s="30">
        <f t="shared" si="66"/>
        <v>0</v>
      </c>
      <c r="U168" s="9">
        <v>514</v>
      </c>
      <c r="V168" s="30">
        <v>257</v>
      </c>
      <c r="W168" s="9">
        <v>9184</v>
      </c>
      <c r="X168" s="30">
        <v>4592</v>
      </c>
      <c r="Y168" s="9">
        <v>15062</v>
      </c>
      <c r="Z168" s="30">
        <v>7531</v>
      </c>
      <c r="AA168" s="9"/>
      <c r="AB168" s="30">
        <f t="shared" si="68"/>
        <v>0</v>
      </c>
      <c r="AC168" s="9"/>
      <c r="AD168" s="30">
        <f t="shared" si="69"/>
        <v>0</v>
      </c>
      <c r="AE168" s="9">
        <v>540</v>
      </c>
      <c r="AF168" s="30">
        <v>270</v>
      </c>
      <c r="AG168" s="9">
        <v>5095</v>
      </c>
      <c r="AH168" s="30">
        <v>2547</v>
      </c>
      <c r="AI168" s="9">
        <v>4350</v>
      </c>
      <c r="AJ168" s="30">
        <v>2175</v>
      </c>
      <c r="AK168" s="9">
        <v>13000</v>
      </c>
      <c r="AL168" s="30">
        <v>6500</v>
      </c>
      <c r="AM168" s="10">
        <v>47745</v>
      </c>
      <c r="AN168" s="31">
        <v>23872</v>
      </c>
      <c r="AO168" s="15">
        <f t="shared" si="74"/>
        <v>23872</v>
      </c>
      <c r="AP168" s="9">
        <f t="shared" si="79"/>
        <v>0</v>
      </c>
      <c r="AQ168" s="28">
        <f t="shared" si="75"/>
        <v>47745</v>
      </c>
      <c r="AR168" s="8">
        <f t="shared" si="80"/>
        <v>0</v>
      </c>
      <c r="AS168" s="29">
        <f t="shared" si="62"/>
        <v>23872.5</v>
      </c>
      <c r="AT168" s="13">
        <f t="shared" si="81"/>
        <v>-0.5</v>
      </c>
      <c r="AU168" s="2" t="str">
        <f t="shared" si="63"/>
        <v>erreur de calcul</v>
      </c>
      <c r="AV168" s="2"/>
    </row>
    <row r="169" spans="1:48" ht="16.5">
      <c r="A169" s="1" t="s">
        <v>12</v>
      </c>
      <c r="B169" s="3" t="s">
        <v>29</v>
      </c>
      <c r="C169" s="3" t="s">
        <v>219</v>
      </c>
      <c r="D169" s="4">
        <v>1789</v>
      </c>
      <c r="E169" s="3" t="s">
        <v>22</v>
      </c>
      <c r="F169" s="3" t="s">
        <v>22</v>
      </c>
      <c r="G169" s="31">
        <v>23</v>
      </c>
      <c r="H169" s="31" t="s">
        <v>216</v>
      </c>
      <c r="I169" s="5"/>
      <c r="J169" s="5"/>
      <c r="K169" s="6"/>
      <c r="L169" s="11">
        <f t="shared" si="77"/>
        <v>0</v>
      </c>
      <c r="M169" s="7"/>
      <c r="N169" s="31"/>
      <c r="O169" s="9"/>
      <c r="P169" s="9" t="str">
        <f t="shared" si="64"/>
        <v/>
      </c>
      <c r="Q169" s="9"/>
      <c r="R169" s="30">
        <f t="shared" si="65"/>
        <v>0</v>
      </c>
      <c r="S169" s="9"/>
      <c r="T169" s="30">
        <f t="shared" si="66"/>
        <v>0</v>
      </c>
      <c r="U169" s="9"/>
      <c r="V169" s="30">
        <f t="shared" si="76"/>
        <v>0</v>
      </c>
      <c r="W169" s="9"/>
      <c r="X169" s="30">
        <f t="shared" si="78"/>
        <v>0</v>
      </c>
      <c r="Y169" s="9"/>
      <c r="Z169" s="30">
        <f t="shared" si="67"/>
        <v>0</v>
      </c>
      <c r="AA169" s="9"/>
      <c r="AB169" s="30">
        <v>1530</v>
      </c>
      <c r="AC169" s="9"/>
      <c r="AD169" s="30">
        <f t="shared" si="69"/>
        <v>0</v>
      </c>
      <c r="AE169" s="9"/>
      <c r="AF169" s="30">
        <f t="shared" si="70"/>
        <v>0</v>
      </c>
      <c r="AG169" s="9"/>
      <c r="AH169" s="30">
        <f t="shared" si="71"/>
        <v>0</v>
      </c>
      <c r="AI169" s="9"/>
      <c r="AJ169" s="30">
        <v>156</v>
      </c>
      <c r="AK169" s="9"/>
      <c r="AL169" s="30">
        <f t="shared" si="73"/>
        <v>0</v>
      </c>
      <c r="AM169" s="10"/>
      <c r="AN169" s="31">
        <v>1686</v>
      </c>
      <c r="AO169" s="15">
        <f t="shared" si="74"/>
        <v>1686</v>
      </c>
      <c r="AP169" s="9">
        <f t="shared" si="79"/>
        <v>0</v>
      </c>
      <c r="AQ169" s="28">
        <f t="shared" si="75"/>
        <v>0</v>
      </c>
      <c r="AR169" s="8">
        <f t="shared" si="80"/>
        <v>0</v>
      </c>
      <c r="AS169" s="29">
        <f t="shared" si="62"/>
        <v>0</v>
      </c>
      <c r="AT169" s="13">
        <f t="shared" si="81"/>
        <v>1686</v>
      </c>
      <c r="AU169" s="2" t="str">
        <f t="shared" si="63"/>
        <v>pas de prix, ni de quantité</v>
      </c>
      <c r="AV169" s="2"/>
    </row>
    <row r="170" spans="1:48" ht="16.5">
      <c r="A170" s="1" t="s">
        <v>12</v>
      </c>
      <c r="B170" s="3" t="s">
        <v>29</v>
      </c>
      <c r="C170" s="3" t="s">
        <v>219</v>
      </c>
      <c r="D170" s="4">
        <v>1789</v>
      </c>
      <c r="E170" s="3" t="s">
        <v>22</v>
      </c>
      <c r="F170" s="3" t="s">
        <v>22</v>
      </c>
      <c r="G170" s="31">
        <v>23</v>
      </c>
      <c r="H170" s="31" t="s">
        <v>156</v>
      </c>
      <c r="I170" s="5"/>
      <c r="J170" s="5"/>
      <c r="K170" s="6"/>
      <c r="L170" s="11">
        <f t="shared" si="77"/>
        <v>0</v>
      </c>
      <c r="M170" s="7"/>
      <c r="N170" s="31"/>
      <c r="O170" s="9"/>
      <c r="P170" s="9" t="str">
        <f t="shared" si="64"/>
        <v/>
      </c>
      <c r="Q170" s="9"/>
      <c r="R170" s="30">
        <f t="shared" si="65"/>
        <v>0</v>
      </c>
      <c r="S170" s="9"/>
      <c r="T170" s="30">
        <f t="shared" si="66"/>
        <v>0</v>
      </c>
      <c r="U170" s="9"/>
      <c r="V170" s="30">
        <v>7064</v>
      </c>
      <c r="W170" s="9"/>
      <c r="X170" s="30">
        <v>100</v>
      </c>
      <c r="Y170" s="9"/>
      <c r="Z170" s="30">
        <f t="shared" si="67"/>
        <v>0</v>
      </c>
      <c r="AA170" s="9"/>
      <c r="AB170" s="30">
        <f t="shared" si="68"/>
        <v>0</v>
      </c>
      <c r="AC170" s="9"/>
      <c r="AD170" s="30">
        <f t="shared" si="69"/>
        <v>0</v>
      </c>
      <c r="AE170" s="9"/>
      <c r="AF170" s="30">
        <f t="shared" si="70"/>
        <v>0</v>
      </c>
      <c r="AG170" s="9"/>
      <c r="AH170" s="30">
        <f t="shared" si="71"/>
        <v>0</v>
      </c>
      <c r="AI170" s="9"/>
      <c r="AJ170" s="30">
        <f t="shared" si="72"/>
        <v>0</v>
      </c>
      <c r="AK170" s="9"/>
      <c r="AL170" s="30">
        <f t="shared" si="73"/>
        <v>0</v>
      </c>
      <c r="AM170" s="10"/>
      <c r="AN170" s="31">
        <v>7164</v>
      </c>
      <c r="AO170" s="15">
        <f t="shared" si="74"/>
        <v>7164</v>
      </c>
      <c r="AP170" s="9">
        <f t="shared" si="79"/>
        <v>0</v>
      </c>
      <c r="AQ170" s="28">
        <f t="shared" si="75"/>
        <v>0</v>
      </c>
      <c r="AR170" s="8">
        <f t="shared" si="80"/>
        <v>0</v>
      </c>
      <c r="AS170" s="29">
        <f t="shared" si="62"/>
        <v>0</v>
      </c>
      <c r="AT170" s="13">
        <f t="shared" si="81"/>
        <v>7164</v>
      </c>
      <c r="AU170" s="2" t="str">
        <f t="shared" si="63"/>
        <v>pas de prix, ni de quantité</v>
      </c>
      <c r="AV170" s="2"/>
    </row>
    <row r="171" spans="1:48" ht="16.5">
      <c r="A171" s="1" t="s">
        <v>12</v>
      </c>
      <c r="B171" s="3" t="s">
        <v>29</v>
      </c>
      <c r="C171" s="3" t="s">
        <v>219</v>
      </c>
      <c r="D171" s="4">
        <v>1789</v>
      </c>
      <c r="E171" s="3" t="s">
        <v>22</v>
      </c>
      <c r="F171" s="3" t="s">
        <v>22</v>
      </c>
      <c r="G171" s="31">
        <v>23</v>
      </c>
      <c r="H171" s="31" t="s">
        <v>217</v>
      </c>
      <c r="I171" s="5"/>
      <c r="J171" s="5"/>
      <c r="K171" s="6"/>
      <c r="L171" s="11">
        <f t="shared" si="77"/>
        <v>0</v>
      </c>
      <c r="M171" s="7"/>
      <c r="N171" s="31"/>
      <c r="O171" s="9"/>
      <c r="P171" s="9" t="str">
        <f t="shared" si="64"/>
        <v/>
      </c>
      <c r="Q171" s="9"/>
      <c r="R171" s="30">
        <f t="shared" si="65"/>
        <v>0</v>
      </c>
      <c r="S171" s="9"/>
      <c r="T171" s="30">
        <f t="shared" si="66"/>
        <v>0</v>
      </c>
      <c r="U171" s="9"/>
      <c r="V171" s="30">
        <f t="shared" si="76"/>
        <v>0</v>
      </c>
      <c r="W171" s="9"/>
      <c r="X171" s="30">
        <f t="shared" si="78"/>
        <v>0</v>
      </c>
      <c r="Y171" s="9"/>
      <c r="Z171" s="30">
        <v>3752</v>
      </c>
      <c r="AA171" s="9"/>
      <c r="AB171" s="30">
        <f t="shared" si="68"/>
        <v>0</v>
      </c>
      <c r="AC171" s="9"/>
      <c r="AD171" s="30">
        <f t="shared" si="69"/>
        <v>0</v>
      </c>
      <c r="AE171" s="9"/>
      <c r="AF171" s="30">
        <f t="shared" si="70"/>
        <v>0</v>
      </c>
      <c r="AG171" s="9"/>
      <c r="AH171" s="30">
        <f t="shared" si="71"/>
        <v>0</v>
      </c>
      <c r="AI171" s="9"/>
      <c r="AJ171" s="30">
        <f t="shared" si="72"/>
        <v>0</v>
      </c>
      <c r="AK171" s="9"/>
      <c r="AL171" s="30">
        <f t="shared" si="73"/>
        <v>0</v>
      </c>
      <c r="AM171" s="10"/>
      <c r="AN171" s="31">
        <v>3752</v>
      </c>
      <c r="AO171" s="15">
        <f t="shared" si="74"/>
        <v>3752</v>
      </c>
      <c r="AP171" s="9">
        <f t="shared" si="79"/>
        <v>0</v>
      </c>
      <c r="AQ171" s="28">
        <f t="shared" si="75"/>
        <v>0</v>
      </c>
      <c r="AR171" s="8">
        <f t="shared" si="80"/>
        <v>0</v>
      </c>
      <c r="AS171" s="29">
        <f t="shared" si="62"/>
        <v>0</v>
      </c>
      <c r="AT171" s="13">
        <f t="shared" si="81"/>
        <v>3752</v>
      </c>
      <c r="AU171" s="2" t="str">
        <f t="shared" si="63"/>
        <v>pas de prix, ni de quantité</v>
      </c>
      <c r="AV171" s="2"/>
    </row>
    <row r="172" spans="1:48" ht="16.5">
      <c r="A172" s="1" t="s">
        <v>12</v>
      </c>
      <c r="B172" s="3" t="s">
        <v>29</v>
      </c>
      <c r="C172" s="3" t="s">
        <v>219</v>
      </c>
      <c r="D172" s="4">
        <v>1789</v>
      </c>
      <c r="E172" s="3" t="s">
        <v>22</v>
      </c>
      <c r="F172" s="3" t="s">
        <v>22</v>
      </c>
      <c r="G172" s="31">
        <v>23</v>
      </c>
      <c r="H172" s="31" t="s">
        <v>157</v>
      </c>
      <c r="I172" s="5">
        <v>6</v>
      </c>
      <c r="J172" s="5"/>
      <c r="K172" s="6"/>
      <c r="L172" s="11">
        <f t="shared" si="77"/>
        <v>6</v>
      </c>
      <c r="M172" s="7" t="s">
        <v>282</v>
      </c>
      <c r="N172" s="31"/>
      <c r="O172" s="9"/>
      <c r="P172" s="9" t="str">
        <f t="shared" si="64"/>
        <v/>
      </c>
      <c r="Q172" s="9"/>
      <c r="R172" s="30">
        <f t="shared" si="65"/>
        <v>0</v>
      </c>
      <c r="S172" s="9"/>
      <c r="T172" s="30">
        <f t="shared" si="66"/>
        <v>0</v>
      </c>
      <c r="U172" s="9"/>
      <c r="V172" s="30">
        <f t="shared" si="76"/>
        <v>0</v>
      </c>
      <c r="W172" s="9">
        <v>766</v>
      </c>
      <c r="X172" s="30">
        <v>4596</v>
      </c>
      <c r="Y172" s="9"/>
      <c r="Z172" s="30">
        <f t="shared" si="67"/>
        <v>0</v>
      </c>
      <c r="AA172" s="9"/>
      <c r="AB172" s="30">
        <f t="shared" si="68"/>
        <v>0</v>
      </c>
      <c r="AC172" s="9"/>
      <c r="AD172" s="30">
        <f t="shared" si="69"/>
        <v>0</v>
      </c>
      <c r="AE172" s="9"/>
      <c r="AF172" s="30">
        <f t="shared" si="70"/>
        <v>0</v>
      </c>
      <c r="AG172" s="9"/>
      <c r="AH172" s="30">
        <f t="shared" si="71"/>
        <v>0</v>
      </c>
      <c r="AI172" s="9"/>
      <c r="AJ172" s="30">
        <f t="shared" si="72"/>
        <v>0</v>
      </c>
      <c r="AK172" s="9"/>
      <c r="AL172" s="30">
        <f t="shared" si="73"/>
        <v>0</v>
      </c>
      <c r="AM172" s="10">
        <v>766</v>
      </c>
      <c r="AN172" s="31">
        <v>4596</v>
      </c>
      <c r="AO172" s="15">
        <f t="shared" si="74"/>
        <v>4596</v>
      </c>
      <c r="AP172" s="9">
        <f t="shared" si="79"/>
        <v>0</v>
      </c>
      <c r="AQ172" s="28">
        <f t="shared" si="75"/>
        <v>766</v>
      </c>
      <c r="AR172" s="8">
        <f t="shared" si="80"/>
        <v>0</v>
      </c>
      <c r="AS172" s="29">
        <f t="shared" si="62"/>
        <v>4596</v>
      </c>
      <c r="AT172" s="13">
        <f t="shared" si="81"/>
        <v>0</v>
      </c>
      <c r="AU172" s="2" t="str">
        <f t="shared" si="63"/>
        <v/>
      </c>
      <c r="AV172" s="2"/>
    </row>
    <row r="173" spans="1:48" ht="16.5">
      <c r="A173" s="1" t="s">
        <v>12</v>
      </c>
      <c r="B173" s="3" t="s">
        <v>29</v>
      </c>
      <c r="C173" s="3" t="s">
        <v>219</v>
      </c>
      <c r="D173" s="4">
        <v>1789</v>
      </c>
      <c r="E173" s="3" t="s">
        <v>22</v>
      </c>
      <c r="F173" s="3" t="s">
        <v>22</v>
      </c>
      <c r="G173" s="31">
        <v>23</v>
      </c>
      <c r="H173" s="31" t="s">
        <v>158</v>
      </c>
      <c r="I173" s="5"/>
      <c r="J173" s="5">
        <v>30</v>
      </c>
      <c r="K173" s="6"/>
      <c r="L173" s="11">
        <f t="shared" si="77"/>
        <v>1.5</v>
      </c>
      <c r="M173" s="7" t="s">
        <v>15</v>
      </c>
      <c r="N173" s="31"/>
      <c r="O173" s="9"/>
      <c r="P173" s="9" t="str">
        <f t="shared" si="64"/>
        <v/>
      </c>
      <c r="Q173" s="9"/>
      <c r="R173" s="30">
        <f t="shared" si="65"/>
        <v>0</v>
      </c>
      <c r="S173" s="9"/>
      <c r="T173" s="30">
        <f t="shared" si="66"/>
        <v>0</v>
      </c>
      <c r="U173" s="9"/>
      <c r="V173" s="30">
        <f t="shared" si="76"/>
        <v>0</v>
      </c>
      <c r="W173" s="9">
        <v>3972</v>
      </c>
      <c r="X173" s="30">
        <v>5958</v>
      </c>
      <c r="Y173" s="9"/>
      <c r="Z173" s="30">
        <f t="shared" si="67"/>
        <v>0</v>
      </c>
      <c r="AA173" s="9"/>
      <c r="AB173" s="30">
        <f t="shared" si="68"/>
        <v>0</v>
      </c>
      <c r="AC173" s="9"/>
      <c r="AD173" s="30">
        <f t="shared" si="69"/>
        <v>0</v>
      </c>
      <c r="AE173" s="9"/>
      <c r="AF173" s="30">
        <f t="shared" si="70"/>
        <v>0</v>
      </c>
      <c r="AG173" s="9"/>
      <c r="AH173" s="30">
        <f t="shared" si="71"/>
        <v>0</v>
      </c>
      <c r="AI173" s="9"/>
      <c r="AJ173" s="30">
        <f t="shared" si="72"/>
        <v>0</v>
      </c>
      <c r="AK173" s="9"/>
      <c r="AL173" s="30">
        <f t="shared" si="73"/>
        <v>0</v>
      </c>
      <c r="AM173" s="10">
        <v>3972</v>
      </c>
      <c r="AN173" s="31">
        <v>5958</v>
      </c>
      <c r="AO173" s="15">
        <f t="shared" si="74"/>
        <v>5958</v>
      </c>
      <c r="AP173" s="9">
        <f t="shared" si="79"/>
        <v>0</v>
      </c>
      <c r="AQ173" s="28">
        <f t="shared" si="75"/>
        <v>3972</v>
      </c>
      <c r="AR173" s="8">
        <f t="shared" si="80"/>
        <v>0</v>
      </c>
      <c r="AS173" s="29">
        <f t="shared" si="62"/>
        <v>5958</v>
      </c>
      <c r="AT173" s="13">
        <f t="shared" si="81"/>
        <v>0</v>
      </c>
      <c r="AU173" s="2" t="str">
        <f t="shared" si="63"/>
        <v/>
      </c>
      <c r="AV173" s="2"/>
    </row>
    <row r="174" spans="1:48" ht="16.5">
      <c r="A174" s="1" t="s">
        <v>12</v>
      </c>
      <c r="B174" s="3" t="s">
        <v>29</v>
      </c>
      <c r="C174" s="3" t="s">
        <v>219</v>
      </c>
      <c r="D174" s="4">
        <v>1789</v>
      </c>
      <c r="E174" s="3" t="s">
        <v>22</v>
      </c>
      <c r="F174" s="3" t="s">
        <v>22</v>
      </c>
      <c r="G174" s="31">
        <v>23</v>
      </c>
      <c r="H174" s="31" t="s">
        <v>159</v>
      </c>
      <c r="I174" s="5"/>
      <c r="J174" s="5"/>
      <c r="K174" s="6"/>
      <c r="L174" s="11">
        <f t="shared" si="77"/>
        <v>0</v>
      </c>
      <c r="M174" s="7"/>
      <c r="N174" s="31"/>
      <c r="O174" s="9"/>
      <c r="P174" s="9" t="str">
        <f t="shared" si="64"/>
        <v/>
      </c>
      <c r="Q174" s="9"/>
      <c r="R174" s="30">
        <f t="shared" si="65"/>
        <v>0</v>
      </c>
      <c r="S174" s="9"/>
      <c r="T174" s="30">
        <f t="shared" si="66"/>
        <v>0</v>
      </c>
      <c r="U174" s="9"/>
      <c r="V174" s="30">
        <v>825</v>
      </c>
      <c r="W174" s="9"/>
      <c r="X174" s="30">
        <v>675</v>
      </c>
      <c r="Y174" s="9"/>
      <c r="Z174" s="30">
        <f t="shared" si="67"/>
        <v>0</v>
      </c>
      <c r="AA174" s="9"/>
      <c r="AB174" s="30">
        <f t="shared" si="68"/>
        <v>0</v>
      </c>
      <c r="AC174" s="9"/>
      <c r="AD174" s="30">
        <f t="shared" si="69"/>
        <v>0</v>
      </c>
      <c r="AE174" s="9"/>
      <c r="AF174" s="30">
        <f t="shared" si="70"/>
        <v>0</v>
      </c>
      <c r="AG174" s="9"/>
      <c r="AH174" s="30">
        <f t="shared" si="71"/>
        <v>0</v>
      </c>
      <c r="AI174" s="9"/>
      <c r="AJ174" s="30">
        <f t="shared" si="72"/>
        <v>0</v>
      </c>
      <c r="AK174" s="9"/>
      <c r="AL174" s="30">
        <f t="shared" si="73"/>
        <v>0</v>
      </c>
      <c r="AM174" s="10"/>
      <c r="AN174" s="31">
        <v>1500</v>
      </c>
      <c r="AO174" s="15">
        <f t="shared" si="74"/>
        <v>1500</v>
      </c>
      <c r="AP174" s="9">
        <f t="shared" si="79"/>
        <v>0</v>
      </c>
      <c r="AQ174" s="28">
        <f t="shared" si="75"/>
        <v>0</v>
      </c>
      <c r="AR174" s="8">
        <f t="shared" si="80"/>
        <v>0</v>
      </c>
      <c r="AS174" s="29">
        <f t="shared" si="62"/>
        <v>0</v>
      </c>
      <c r="AT174" s="13">
        <f t="shared" si="81"/>
        <v>1500</v>
      </c>
      <c r="AU174" s="2" t="str">
        <f t="shared" si="63"/>
        <v>pas de prix, ni de quantité</v>
      </c>
      <c r="AV174" s="2"/>
    </row>
    <row r="175" spans="1:48" ht="16.5">
      <c r="A175" s="1" t="s">
        <v>12</v>
      </c>
      <c r="B175" s="3" t="s">
        <v>29</v>
      </c>
      <c r="C175" s="3" t="s">
        <v>219</v>
      </c>
      <c r="D175" s="4">
        <v>1789</v>
      </c>
      <c r="E175" s="3" t="s">
        <v>22</v>
      </c>
      <c r="F175" s="3" t="s">
        <v>22</v>
      </c>
      <c r="G175" s="31">
        <v>23</v>
      </c>
      <c r="H175" s="31" t="s">
        <v>160</v>
      </c>
      <c r="I175" s="5">
        <v>10</v>
      </c>
      <c r="J175" s="5"/>
      <c r="K175" s="6"/>
      <c r="L175" s="11">
        <f t="shared" si="77"/>
        <v>10</v>
      </c>
      <c r="M175" s="7" t="s">
        <v>41</v>
      </c>
      <c r="N175" s="31"/>
      <c r="O175" s="9"/>
      <c r="P175" s="9" t="str">
        <f t="shared" si="64"/>
        <v/>
      </c>
      <c r="Q175" s="9">
        <v>134</v>
      </c>
      <c r="R175" s="30">
        <v>1340</v>
      </c>
      <c r="S175" s="9"/>
      <c r="T175" s="30">
        <f t="shared" si="66"/>
        <v>0</v>
      </c>
      <c r="U175" s="9"/>
      <c r="V175" s="30">
        <f t="shared" si="76"/>
        <v>0</v>
      </c>
      <c r="W175" s="9"/>
      <c r="X175" s="30">
        <f t="shared" si="78"/>
        <v>0</v>
      </c>
      <c r="Y175" s="9"/>
      <c r="Z175" s="30">
        <f t="shared" si="67"/>
        <v>0</v>
      </c>
      <c r="AA175" s="9"/>
      <c r="AB175" s="30">
        <f t="shared" si="68"/>
        <v>0</v>
      </c>
      <c r="AC175" s="9"/>
      <c r="AD175" s="30">
        <f t="shared" si="69"/>
        <v>0</v>
      </c>
      <c r="AE175" s="9"/>
      <c r="AF175" s="30">
        <f t="shared" si="70"/>
        <v>0</v>
      </c>
      <c r="AG175" s="9"/>
      <c r="AH175" s="30">
        <f t="shared" si="71"/>
        <v>0</v>
      </c>
      <c r="AI175" s="9"/>
      <c r="AJ175" s="30">
        <f t="shared" si="72"/>
        <v>0</v>
      </c>
      <c r="AK175" s="9"/>
      <c r="AL175" s="30">
        <f t="shared" si="73"/>
        <v>0</v>
      </c>
      <c r="AM175" s="10">
        <v>134</v>
      </c>
      <c r="AN175" s="31">
        <v>1340</v>
      </c>
      <c r="AO175" s="15">
        <f t="shared" si="74"/>
        <v>1340</v>
      </c>
      <c r="AP175" s="9">
        <f t="shared" si="79"/>
        <v>0</v>
      </c>
      <c r="AQ175" s="28">
        <f t="shared" si="75"/>
        <v>134</v>
      </c>
      <c r="AR175" s="8">
        <f t="shared" si="80"/>
        <v>0</v>
      </c>
      <c r="AS175" s="29">
        <f t="shared" si="62"/>
        <v>1340</v>
      </c>
      <c r="AT175" s="13">
        <f t="shared" si="81"/>
        <v>0</v>
      </c>
      <c r="AU175" s="2" t="str">
        <f t="shared" si="63"/>
        <v/>
      </c>
      <c r="AV175" s="2"/>
    </row>
    <row r="176" spans="1:48" ht="16.5">
      <c r="A176" s="1" t="s">
        <v>12</v>
      </c>
      <c r="B176" s="3" t="s">
        <v>29</v>
      </c>
      <c r="C176" s="3" t="s">
        <v>219</v>
      </c>
      <c r="D176" s="4">
        <v>1789</v>
      </c>
      <c r="E176" s="3" t="s">
        <v>22</v>
      </c>
      <c r="F176" s="3" t="s">
        <v>22</v>
      </c>
      <c r="G176" s="31">
        <v>23</v>
      </c>
      <c r="H176" s="31" t="s">
        <v>161</v>
      </c>
      <c r="I176" s="5"/>
      <c r="J176" s="5">
        <v>30</v>
      </c>
      <c r="K176" s="6"/>
      <c r="L176" s="11">
        <f t="shared" si="77"/>
        <v>1.5</v>
      </c>
      <c r="M176" s="7" t="s">
        <v>41</v>
      </c>
      <c r="N176" s="31"/>
      <c r="O176" s="9"/>
      <c r="P176" s="9" t="str">
        <f t="shared" si="64"/>
        <v/>
      </c>
      <c r="Q176" s="9">
        <v>1531</v>
      </c>
      <c r="R176" s="30">
        <v>2296</v>
      </c>
      <c r="S176" s="9"/>
      <c r="T176" s="30">
        <f t="shared" si="66"/>
        <v>0</v>
      </c>
      <c r="U176" s="9"/>
      <c r="V176" s="30">
        <f t="shared" si="76"/>
        <v>0</v>
      </c>
      <c r="W176" s="9"/>
      <c r="X176" s="30">
        <f t="shared" si="78"/>
        <v>0</v>
      </c>
      <c r="Y176" s="9"/>
      <c r="Z176" s="30">
        <f t="shared" si="67"/>
        <v>0</v>
      </c>
      <c r="AA176" s="9"/>
      <c r="AB176" s="30">
        <f t="shared" si="68"/>
        <v>0</v>
      </c>
      <c r="AC176" s="9"/>
      <c r="AD176" s="30">
        <f t="shared" si="69"/>
        <v>0</v>
      </c>
      <c r="AE176" s="9"/>
      <c r="AF176" s="30">
        <f t="shared" si="70"/>
        <v>0</v>
      </c>
      <c r="AG176" s="9"/>
      <c r="AH176" s="30">
        <f t="shared" si="71"/>
        <v>0</v>
      </c>
      <c r="AI176" s="9"/>
      <c r="AJ176" s="30">
        <f t="shared" si="72"/>
        <v>0</v>
      </c>
      <c r="AK176" s="9"/>
      <c r="AL176" s="30">
        <f t="shared" si="73"/>
        <v>0</v>
      </c>
      <c r="AM176" s="10">
        <v>1531</v>
      </c>
      <c r="AN176" s="31">
        <v>2296</v>
      </c>
      <c r="AO176" s="15">
        <f t="shared" si="74"/>
        <v>2296</v>
      </c>
      <c r="AP176" s="9">
        <f t="shared" si="79"/>
        <v>0</v>
      </c>
      <c r="AQ176" s="28">
        <f t="shared" si="75"/>
        <v>1531</v>
      </c>
      <c r="AR176" s="8">
        <f t="shared" si="80"/>
        <v>0</v>
      </c>
      <c r="AS176" s="29">
        <f t="shared" si="62"/>
        <v>2296.5</v>
      </c>
      <c r="AT176" s="13">
        <f t="shared" si="81"/>
        <v>-0.5</v>
      </c>
      <c r="AU176" s="2" t="str">
        <f t="shared" si="63"/>
        <v>erreur de calcul</v>
      </c>
      <c r="AV176" s="2"/>
    </row>
    <row r="177" spans="1:48" ht="16.5">
      <c r="A177" s="1" t="s">
        <v>12</v>
      </c>
      <c r="B177" s="3" t="s">
        <v>29</v>
      </c>
      <c r="C177" s="3" t="s">
        <v>219</v>
      </c>
      <c r="D177" s="4">
        <v>1789</v>
      </c>
      <c r="E177" s="3" t="s">
        <v>22</v>
      </c>
      <c r="F177" s="3" t="s">
        <v>22</v>
      </c>
      <c r="G177" s="31">
        <v>23</v>
      </c>
      <c r="H177" s="31" t="s">
        <v>162</v>
      </c>
      <c r="I177" s="5">
        <v>3</v>
      </c>
      <c r="J177" s="5"/>
      <c r="K177" s="6"/>
      <c r="L177" s="11">
        <f t="shared" si="77"/>
        <v>3</v>
      </c>
      <c r="M177" s="7" t="s">
        <v>41</v>
      </c>
      <c r="N177" s="31"/>
      <c r="O177" s="9"/>
      <c r="P177" s="9" t="str">
        <f t="shared" si="64"/>
        <v/>
      </c>
      <c r="Q177" s="9">
        <v>1496</v>
      </c>
      <c r="R177" s="30">
        <v>4488</v>
      </c>
      <c r="S177" s="9"/>
      <c r="T177" s="30">
        <f t="shared" si="66"/>
        <v>0</v>
      </c>
      <c r="U177" s="9"/>
      <c r="V177" s="30">
        <f t="shared" si="76"/>
        <v>0</v>
      </c>
      <c r="W177" s="9"/>
      <c r="X177" s="30">
        <f t="shared" si="78"/>
        <v>0</v>
      </c>
      <c r="Y177" s="9"/>
      <c r="Z177" s="30">
        <f t="shared" si="67"/>
        <v>0</v>
      </c>
      <c r="AA177" s="9"/>
      <c r="AB177" s="30">
        <f t="shared" si="68"/>
        <v>0</v>
      </c>
      <c r="AC177" s="9"/>
      <c r="AD177" s="30">
        <f t="shared" si="69"/>
        <v>0</v>
      </c>
      <c r="AE177" s="9"/>
      <c r="AF177" s="30">
        <f t="shared" si="70"/>
        <v>0</v>
      </c>
      <c r="AG177" s="9"/>
      <c r="AH177" s="30">
        <f t="shared" si="71"/>
        <v>0</v>
      </c>
      <c r="AI177" s="9"/>
      <c r="AJ177" s="30">
        <f t="shared" si="72"/>
        <v>0</v>
      </c>
      <c r="AK177" s="9"/>
      <c r="AL177" s="30">
        <f t="shared" si="73"/>
        <v>0</v>
      </c>
      <c r="AM177" s="10">
        <v>1496</v>
      </c>
      <c r="AN177" s="31">
        <v>4488</v>
      </c>
      <c r="AO177" s="15">
        <f t="shared" si="74"/>
        <v>4488</v>
      </c>
      <c r="AP177" s="9">
        <f t="shared" si="79"/>
        <v>0</v>
      </c>
      <c r="AQ177" s="28">
        <f t="shared" si="75"/>
        <v>1496</v>
      </c>
      <c r="AR177" s="8">
        <f t="shared" si="80"/>
        <v>0</v>
      </c>
      <c r="AS177" s="29">
        <f t="shared" si="62"/>
        <v>4488</v>
      </c>
      <c r="AT177" s="13">
        <f t="shared" si="81"/>
        <v>0</v>
      </c>
      <c r="AU177" s="2" t="str">
        <f t="shared" si="63"/>
        <v/>
      </c>
      <c r="AV177" s="2"/>
    </row>
    <row r="178" spans="1:48" ht="16.5">
      <c r="A178" s="1" t="s">
        <v>12</v>
      </c>
      <c r="B178" s="3" t="s">
        <v>29</v>
      </c>
      <c r="C178" s="3" t="s">
        <v>219</v>
      </c>
      <c r="D178" s="4">
        <v>1789</v>
      </c>
      <c r="E178" s="3" t="s">
        <v>22</v>
      </c>
      <c r="F178" s="3" t="s">
        <v>22</v>
      </c>
      <c r="G178" s="31">
        <v>23</v>
      </c>
      <c r="H178" s="31" t="s">
        <v>163</v>
      </c>
      <c r="I178" s="5"/>
      <c r="J178" s="5">
        <v>10</v>
      </c>
      <c r="K178" s="6"/>
      <c r="L178" s="11">
        <f t="shared" si="77"/>
        <v>0.5</v>
      </c>
      <c r="M178" s="7" t="s">
        <v>41</v>
      </c>
      <c r="N178" s="31"/>
      <c r="O178" s="9"/>
      <c r="P178" s="9" t="str">
        <f t="shared" si="64"/>
        <v/>
      </c>
      <c r="Q178" s="9"/>
      <c r="R178" s="30">
        <f t="shared" si="65"/>
        <v>0</v>
      </c>
      <c r="S178" s="9"/>
      <c r="T178" s="30">
        <f t="shared" si="66"/>
        <v>0</v>
      </c>
      <c r="U178" s="9"/>
      <c r="V178" s="30">
        <f t="shared" si="76"/>
        <v>0</v>
      </c>
      <c r="W178" s="9"/>
      <c r="X178" s="30">
        <f t="shared" si="78"/>
        <v>0</v>
      </c>
      <c r="Y178" s="9">
        <v>2868</v>
      </c>
      <c r="Z178" s="30">
        <v>1434</v>
      </c>
      <c r="AA178" s="9"/>
      <c r="AB178" s="30">
        <f t="shared" si="68"/>
        <v>0</v>
      </c>
      <c r="AC178" s="9"/>
      <c r="AD178" s="30">
        <f t="shared" si="69"/>
        <v>0</v>
      </c>
      <c r="AE178" s="9"/>
      <c r="AF178" s="30">
        <f t="shared" si="70"/>
        <v>0</v>
      </c>
      <c r="AG178" s="9"/>
      <c r="AH178" s="30">
        <f t="shared" si="71"/>
        <v>0</v>
      </c>
      <c r="AI178" s="9"/>
      <c r="AJ178" s="30">
        <f t="shared" si="72"/>
        <v>0</v>
      </c>
      <c r="AK178" s="9"/>
      <c r="AL178" s="30">
        <f t="shared" si="73"/>
        <v>0</v>
      </c>
      <c r="AM178" s="10">
        <v>2868</v>
      </c>
      <c r="AN178" s="31">
        <v>1434</v>
      </c>
      <c r="AO178" s="15">
        <f t="shared" si="74"/>
        <v>1434</v>
      </c>
      <c r="AP178" s="9">
        <f t="shared" si="79"/>
        <v>0</v>
      </c>
      <c r="AQ178" s="28">
        <f t="shared" si="75"/>
        <v>2868</v>
      </c>
      <c r="AR178" s="8">
        <f t="shared" si="80"/>
        <v>0</v>
      </c>
      <c r="AS178" s="29">
        <f t="shared" si="62"/>
        <v>1434</v>
      </c>
      <c r="AT178" s="13">
        <f t="shared" si="81"/>
        <v>0</v>
      </c>
      <c r="AU178" s="2" t="str">
        <f t="shared" si="63"/>
        <v/>
      </c>
      <c r="AV178" s="2"/>
    </row>
    <row r="179" spans="1:48" ht="16.5">
      <c r="A179" s="1" t="s">
        <v>12</v>
      </c>
      <c r="B179" s="3" t="s">
        <v>29</v>
      </c>
      <c r="C179" s="3" t="s">
        <v>219</v>
      </c>
      <c r="D179" s="4">
        <v>1789</v>
      </c>
      <c r="E179" s="3" t="s">
        <v>22</v>
      </c>
      <c r="F179" s="3" t="s">
        <v>22</v>
      </c>
      <c r="G179" s="31">
        <v>23</v>
      </c>
      <c r="H179" s="31" t="s">
        <v>164</v>
      </c>
      <c r="I179" s="5">
        <v>36</v>
      </c>
      <c r="J179" s="5"/>
      <c r="K179" s="6"/>
      <c r="L179" s="11">
        <f t="shared" si="77"/>
        <v>36</v>
      </c>
      <c r="M179" s="7" t="s">
        <v>41</v>
      </c>
      <c r="N179" s="31"/>
      <c r="O179" s="9"/>
      <c r="P179" s="9" t="str">
        <f t="shared" si="64"/>
        <v/>
      </c>
      <c r="Q179" s="9">
        <v>2528</v>
      </c>
      <c r="R179" s="30">
        <v>91008</v>
      </c>
      <c r="S179" s="9"/>
      <c r="T179" s="30">
        <f t="shared" si="66"/>
        <v>0</v>
      </c>
      <c r="U179" s="9"/>
      <c r="V179" s="30">
        <f t="shared" si="76"/>
        <v>0</v>
      </c>
      <c r="W179" s="9"/>
      <c r="X179" s="30">
        <f t="shared" si="78"/>
        <v>0</v>
      </c>
      <c r="Y179" s="9"/>
      <c r="Z179" s="30">
        <f t="shared" si="67"/>
        <v>0</v>
      </c>
      <c r="AA179" s="9"/>
      <c r="AB179" s="30">
        <f t="shared" si="68"/>
        <v>0</v>
      </c>
      <c r="AC179" s="9"/>
      <c r="AD179" s="30">
        <f t="shared" si="69"/>
        <v>0</v>
      </c>
      <c r="AE179" s="9"/>
      <c r="AF179" s="30">
        <f t="shared" si="70"/>
        <v>0</v>
      </c>
      <c r="AG179" s="9"/>
      <c r="AH179" s="30">
        <f t="shared" si="71"/>
        <v>0</v>
      </c>
      <c r="AI179" s="9"/>
      <c r="AJ179" s="30">
        <f t="shared" si="72"/>
        <v>0</v>
      </c>
      <c r="AK179" s="9"/>
      <c r="AL179" s="30">
        <f t="shared" si="73"/>
        <v>0</v>
      </c>
      <c r="AM179" s="10">
        <v>2528</v>
      </c>
      <c r="AN179" s="31">
        <v>91008</v>
      </c>
      <c r="AO179" s="15">
        <f t="shared" si="74"/>
        <v>91008</v>
      </c>
      <c r="AP179" s="9">
        <f t="shared" si="79"/>
        <v>0</v>
      </c>
      <c r="AQ179" s="28">
        <f t="shared" si="75"/>
        <v>2528</v>
      </c>
      <c r="AR179" s="8">
        <f t="shared" si="80"/>
        <v>0</v>
      </c>
      <c r="AS179" s="29">
        <f t="shared" si="62"/>
        <v>91008</v>
      </c>
      <c r="AT179" s="13">
        <f t="shared" si="81"/>
        <v>0</v>
      </c>
      <c r="AU179" s="2" t="str">
        <f t="shared" si="63"/>
        <v/>
      </c>
      <c r="AV179" s="2"/>
    </row>
    <row r="180" spans="1:48" ht="16.5">
      <c r="A180" s="1" t="s">
        <v>12</v>
      </c>
      <c r="B180" s="3" t="s">
        <v>29</v>
      </c>
      <c r="C180" s="3" t="s">
        <v>219</v>
      </c>
      <c r="D180" s="4">
        <v>1789</v>
      </c>
      <c r="E180" s="3" t="s">
        <v>22</v>
      </c>
      <c r="F180" s="3" t="s">
        <v>22</v>
      </c>
      <c r="G180" s="31">
        <v>23</v>
      </c>
      <c r="H180" s="31" t="s">
        <v>165</v>
      </c>
      <c r="I180" s="5"/>
      <c r="J180" s="5"/>
      <c r="K180" s="6"/>
      <c r="L180" s="11">
        <f t="shared" si="77"/>
        <v>0</v>
      </c>
      <c r="M180" s="7"/>
      <c r="N180" s="31"/>
      <c r="O180" s="9"/>
      <c r="P180" s="9" t="str">
        <f t="shared" si="64"/>
        <v/>
      </c>
      <c r="Q180" s="9"/>
      <c r="R180" s="30">
        <v>684</v>
      </c>
      <c r="S180" s="9"/>
      <c r="T180" s="30">
        <f t="shared" si="66"/>
        <v>0</v>
      </c>
      <c r="U180" s="9"/>
      <c r="V180" s="30">
        <f t="shared" si="76"/>
        <v>0</v>
      </c>
      <c r="W180" s="9"/>
      <c r="X180" s="30">
        <f t="shared" si="78"/>
        <v>0</v>
      </c>
      <c r="Y180" s="9"/>
      <c r="Z180" s="30">
        <f t="shared" si="67"/>
        <v>0</v>
      </c>
      <c r="AA180" s="9"/>
      <c r="AB180" s="30">
        <f t="shared" si="68"/>
        <v>0</v>
      </c>
      <c r="AC180" s="9"/>
      <c r="AD180" s="30">
        <f t="shared" si="69"/>
        <v>0</v>
      </c>
      <c r="AE180" s="9"/>
      <c r="AF180" s="30">
        <f t="shared" si="70"/>
        <v>0</v>
      </c>
      <c r="AG180" s="9"/>
      <c r="AH180" s="30">
        <f t="shared" si="71"/>
        <v>0</v>
      </c>
      <c r="AI180" s="9"/>
      <c r="AJ180" s="30">
        <f t="shared" si="72"/>
        <v>0</v>
      </c>
      <c r="AK180" s="9"/>
      <c r="AL180" s="30">
        <v>10483</v>
      </c>
      <c r="AM180" s="10"/>
      <c r="AN180" s="31">
        <v>11167</v>
      </c>
      <c r="AO180" s="15">
        <f t="shared" si="74"/>
        <v>11167</v>
      </c>
      <c r="AP180" s="9">
        <f t="shared" si="79"/>
        <v>0</v>
      </c>
      <c r="AQ180" s="28">
        <f t="shared" si="75"/>
        <v>0</v>
      </c>
      <c r="AR180" s="8">
        <f t="shared" si="80"/>
        <v>0</v>
      </c>
      <c r="AS180" s="29">
        <f t="shared" si="62"/>
        <v>0</v>
      </c>
      <c r="AT180" s="13">
        <f t="shared" si="81"/>
        <v>11167</v>
      </c>
      <c r="AU180" s="2" t="str">
        <f t="shared" si="63"/>
        <v>pas de prix, ni de quantité</v>
      </c>
      <c r="AV180" s="2"/>
    </row>
    <row r="181" spans="1:48" ht="16.5">
      <c r="A181" s="1" t="s">
        <v>12</v>
      </c>
      <c r="B181" s="3" t="s">
        <v>29</v>
      </c>
      <c r="C181" s="3" t="s">
        <v>219</v>
      </c>
      <c r="D181" s="4">
        <v>1789</v>
      </c>
      <c r="E181" s="3" t="s">
        <v>22</v>
      </c>
      <c r="F181" s="3" t="s">
        <v>22</v>
      </c>
      <c r="G181" s="31">
        <v>23</v>
      </c>
      <c r="H181" s="31" t="s">
        <v>166</v>
      </c>
      <c r="I181" s="5">
        <v>3</v>
      </c>
      <c r="J181" s="5"/>
      <c r="K181" s="6"/>
      <c r="L181" s="11">
        <f t="shared" si="77"/>
        <v>3</v>
      </c>
      <c r="M181" s="7" t="s">
        <v>41</v>
      </c>
      <c r="N181" s="31"/>
      <c r="O181" s="9"/>
      <c r="P181" s="9" t="str">
        <f t="shared" si="64"/>
        <v/>
      </c>
      <c r="Q181" s="9"/>
      <c r="R181" s="30">
        <f t="shared" si="65"/>
        <v>0</v>
      </c>
      <c r="S181" s="9"/>
      <c r="T181" s="30">
        <f t="shared" si="66"/>
        <v>0</v>
      </c>
      <c r="U181" s="9">
        <v>100</v>
      </c>
      <c r="V181" s="30">
        <v>300</v>
      </c>
      <c r="W181" s="9">
        <v>800</v>
      </c>
      <c r="X181" s="30">
        <v>2400</v>
      </c>
      <c r="Y181" s="9">
        <v>3200</v>
      </c>
      <c r="Z181" s="30">
        <v>9600</v>
      </c>
      <c r="AA181" s="9"/>
      <c r="AB181" s="30">
        <f t="shared" si="68"/>
        <v>0</v>
      </c>
      <c r="AC181" s="9"/>
      <c r="AD181" s="30">
        <f t="shared" si="69"/>
        <v>0</v>
      </c>
      <c r="AE181" s="9">
        <v>200</v>
      </c>
      <c r="AF181" s="30">
        <v>600</v>
      </c>
      <c r="AG181" s="9"/>
      <c r="AH181" s="30">
        <f t="shared" si="71"/>
        <v>0</v>
      </c>
      <c r="AI181" s="9"/>
      <c r="AJ181" s="30">
        <f t="shared" si="72"/>
        <v>0</v>
      </c>
      <c r="AK181" s="9"/>
      <c r="AL181" s="30">
        <f t="shared" si="73"/>
        <v>0</v>
      </c>
      <c r="AM181" s="10">
        <v>4300</v>
      </c>
      <c r="AN181" s="31">
        <v>12900</v>
      </c>
      <c r="AO181" s="15">
        <f t="shared" si="74"/>
        <v>12900</v>
      </c>
      <c r="AP181" s="9">
        <f t="shared" si="79"/>
        <v>0</v>
      </c>
      <c r="AQ181" s="28">
        <f t="shared" si="75"/>
        <v>4300</v>
      </c>
      <c r="AR181" s="8">
        <f t="shared" si="80"/>
        <v>0</v>
      </c>
      <c r="AS181" s="29">
        <f t="shared" si="62"/>
        <v>12900</v>
      </c>
      <c r="AT181" s="13">
        <f t="shared" si="81"/>
        <v>0</v>
      </c>
      <c r="AU181" s="2" t="str">
        <f t="shared" si="63"/>
        <v/>
      </c>
      <c r="AV181" s="2"/>
    </row>
    <row r="182" spans="1:48" ht="16.5">
      <c r="A182" s="1" t="s">
        <v>12</v>
      </c>
      <c r="B182" s="3" t="s">
        <v>29</v>
      </c>
      <c r="C182" s="3" t="s">
        <v>219</v>
      </c>
      <c r="D182" s="4">
        <v>1789</v>
      </c>
      <c r="E182" s="3" t="s">
        <v>22</v>
      </c>
      <c r="F182" s="3" t="s">
        <v>22</v>
      </c>
      <c r="G182" s="31">
        <v>23</v>
      </c>
      <c r="H182" s="31" t="s">
        <v>57</v>
      </c>
      <c r="I182" s="5"/>
      <c r="J182" s="5"/>
      <c r="K182" s="6"/>
      <c r="L182" s="11">
        <f t="shared" si="77"/>
        <v>0</v>
      </c>
      <c r="M182" s="7" t="s">
        <v>15</v>
      </c>
      <c r="N182" s="31"/>
      <c r="O182" s="9"/>
      <c r="P182" s="9" t="str">
        <f t="shared" si="64"/>
        <v/>
      </c>
      <c r="Q182" s="9"/>
      <c r="R182" s="30">
        <f t="shared" si="65"/>
        <v>0</v>
      </c>
      <c r="S182" s="9"/>
      <c r="T182" s="30">
        <f t="shared" si="66"/>
        <v>0</v>
      </c>
      <c r="U182" s="9"/>
      <c r="V182" s="30">
        <f t="shared" si="76"/>
        <v>0</v>
      </c>
      <c r="W182" s="9">
        <v>1920000</v>
      </c>
      <c r="X182" s="30">
        <v>1600</v>
      </c>
      <c r="Y182" s="9"/>
      <c r="Z182" s="30">
        <f t="shared" si="67"/>
        <v>0</v>
      </c>
      <c r="AA182" s="9"/>
      <c r="AB182" s="30">
        <f t="shared" si="68"/>
        <v>0</v>
      </c>
      <c r="AC182" s="9"/>
      <c r="AD182" s="30">
        <f t="shared" si="69"/>
        <v>0</v>
      </c>
      <c r="AE182" s="9"/>
      <c r="AF182" s="30">
        <f t="shared" si="70"/>
        <v>0</v>
      </c>
      <c r="AG182" s="9"/>
      <c r="AH182" s="30">
        <f t="shared" si="71"/>
        <v>0</v>
      </c>
      <c r="AI182" s="9"/>
      <c r="AJ182" s="30">
        <f t="shared" si="72"/>
        <v>0</v>
      </c>
      <c r="AK182" s="9"/>
      <c r="AL182" s="30">
        <f t="shared" si="73"/>
        <v>0</v>
      </c>
      <c r="AM182" s="10">
        <v>1920000</v>
      </c>
      <c r="AN182" s="31">
        <v>1600</v>
      </c>
      <c r="AO182" s="15">
        <f t="shared" si="74"/>
        <v>1600</v>
      </c>
      <c r="AP182" s="9">
        <f t="shared" si="79"/>
        <v>0</v>
      </c>
      <c r="AQ182" s="28">
        <f t="shared" si="75"/>
        <v>1920000</v>
      </c>
      <c r="AR182" s="8">
        <f t="shared" si="80"/>
        <v>0</v>
      </c>
      <c r="AS182" s="29">
        <f t="shared" si="62"/>
        <v>0</v>
      </c>
      <c r="AT182" s="13">
        <f t="shared" si="81"/>
        <v>1600</v>
      </c>
      <c r="AU182" s="2" t="str">
        <f t="shared" si="63"/>
        <v>pas de prix</v>
      </c>
      <c r="AV182" s="2"/>
    </row>
    <row r="183" spans="1:48" ht="16.5">
      <c r="A183" s="1" t="s">
        <v>12</v>
      </c>
      <c r="B183" s="3" t="s">
        <v>29</v>
      </c>
      <c r="C183" s="3" t="s">
        <v>219</v>
      </c>
      <c r="D183" s="4">
        <v>1789</v>
      </c>
      <c r="E183" s="3" t="s">
        <v>22</v>
      </c>
      <c r="F183" s="3" t="s">
        <v>22</v>
      </c>
      <c r="G183" s="31">
        <v>23</v>
      </c>
      <c r="H183" s="31" t="s">
        <v>167</v>
      </c>
      <c r="I183" s="5">
        <v>25</v>
      </c>
      <c r="J183" s="5"/>
      <c r="K183" s="6"/>
      <c r="L183" s="11">
        <f t="shared" si="77"/>
        <v>25</v>
      </c>
      <c r="M183" s="7" t="s">
        <v>14</v>
      </c>
      <c r="N183" s="31"/>
      <c r="O183" s="9"/>
      <c r="P183" s="9" t="str">
        <f t="shared" si="64"/>
        <v/>
      </c>
      <c r="Q183" s="9"/>
      <c r="R183" s="30">
        <f t="shared" si="65"/>
        <v>0</v>
      </c>
      <c r="S183" s="9"/>
      <c r="T183" s="30">
        <f t="shared" si="66"/>
        <v>0</v>
      </c>
      <c r="U183" s="9">
        <f>751124/100</f>
        <v>7511.24</v>
      </c>
      <c r="V183" s="30">
        <v>187781</v>
      </c>
      <c r="W183" s="9">
        <f>61533/100</f>
        <v>615.33000000000004</v>
      </c>
      <c r="X183" s="30">
        <v>15383</v>
      </c>
      <c r="Y183" s="9">
        <f>712419/100</f>
        <v>7124.19</v>
      </c>
      <c r="Z183" s="30">
        <v>178104</v>
      </c>
      <c r="AA183" s="9"/>
      <c r="AB183" s="30">
        <f t="shared" si="68"/>
        <v>0</v>
      </c>
      <c r="AC183" s="9"/>
      <c r="AD183" s="30">
        <f t="shared" si="69"/>
        <v>0</v>
      </c>
      <c r="AE183" s="9"/>
      <c r="AF183" s="30">
        <f t="shared" si="70"/>
        <v>0</v>
      </c>
      <c r="AG183" s="9"/>
      <c r="AH183" s="30">
        <f t="shared" si="71"/>
        <v>0</v>
      </c>
      <c r="AI183" s="9"/>
      <c r="AJ183" s="30">
        <f t="shared" si="72"/>
        <v>0</v>
      </c>
      <c r="AK183" s="9"/>
      <c r="AL183" s="30">
        <f t="shared" si="73"/>
        <v>0</v>
      </c>
      <c r="AM183" s="10">
        <f>1525076/100</f>
        <v>15250.76</v>
      </c>
      <c r="AN183" s="31">
        <v>381268</v>
      </c>
      <c r="AO183" s="15">
        <f t="shared" si="74"/>
        <v>381268</v>
      </c>
      <c r="AP183" s="9">
        <f t="shared" si="79"/>
        <v>0</v>
      </c>
      <c r="AQ183" s="28">
        <f t="shared" si="75"/>
        <v>15250.759999999998</v>
      </c>
      <c r="AR183" s="8">
        <f t="shared" si="80"/>
        <v>0</v>
      </c>
      <c r="AS183" s="29">
        <f t="shared" si="62"/>
        <v>381268.99999999994</v>
      </c>
      <c r="AT183" s="13">
        <f t="shared" si="81"/>
        <v>-0.99999999994179234</v>
      </c>
      <c r="AU183" s="2" t="str">
        <f t="shared" si="63"/>
        <v>erreur de calcul</v>
      </c>
      <c r="AV183" s="2"/>
    </row>
    <row r="184" spans="1:48" ht="16.5">
      <c r="A184" s="1" t="s">
        <v>12</v>
      </c>
      <c r="B184" s="3" t="s">
        <v>29</v>
      </c>
      <c r="C184" s="3" t="s">
        <v>219</v>
      </c>
      <c r="D184" s="4">
        <v>1789</v>
      </c>
      <c r="E184" s="3" t="s">
        <v>22</v>
      </c>
      <c r="F184" s="3" t="s">
        <v>22</v>
      </c>
      <c r="G184" s="31">
        <v>23</v>
      </c>
      <c r="H184" s="31" t="s">
        <v>168</v>
      </c>
      <c r="I184" s="5">
        <v>30</v>
      </c>
      <c r="J184" s="5"/>
      <c r="K184" s="6"/>
      <c r="L184" s="11">
        <f t="shared" si="77"/>
        <v>30</v>
      </c>
      <c r="M184" s="7" t="s">
        <v>14</v>
      </c>
      <c r="N184" s="31"/>
      <c r="O184" s="9"/>
      <c r="P184" s="9" t="str">
        <f t="shared" si="64"/>
        <v/>
      </c>
      <c r="Q184" s="9"/>
      <c r="R184" s="30">
        <f t="shared" si="65"/>
        <v>0</v>
      </c>
      <c r="S184" s="9"/>
      <c r="T184" s="30">
        <f t="shared" si="66"/>
        <v>0</v>
      </c>
      <c r="U184" s="9">
        <f>76500/100</f>
        <v>765</v>
      </c>
      <c r="V184" s="30">
        <v>22950</v>
      </c>
      <c r="W184" s="9">
        <f>750/100</f>
        <v>7.5</v>
      </c>
      <c r="X184" s="30">
        <v>225</v>
      </c>
      <c r="Y184" s="9"/>
      <c r="Z184" s="30">
        <f t="shared" si="67"/>
        <v>0</v>
      </c>
      <c r="AA184" s="9"/>
      <c r="AB184" s="30">
        <f t="shared" si="68"/>
        <v>0</v>
      </c>
      <c r="AC184" s="9"/>
      <c r="AD184" s="30">
        <f t="shared" si="69"/>
        <v>0</v>
      </c>
      <c r="AE184" s="9"/>
      <c r="AF184" s="30">
        <f t="shared" si="70"/>
        <v>0</v>
      </c>
      <c r="AG184" s="9"/>
      <c r="AH184" s="30">
        <f t="shared" si="71"/>
        <v>0</v>
      </c>
      <c r="AI184" s="9"/>
      <c r="AJ184" s="30">
        <f t="shared" si="72"/>
        <v>0</v>
      </c>
      <c r="AK184" s="9"/>
      <c r="AL184" s="30">
        <f t="shared" si="73"/>
        <v>0</v>
      </c>
      <c r="AM184" s="10">
        <f>77250/100</f>
        <v>772.5</v>
      </c>
      <c r="AN184" s="31">
        <v>23175</v>
      </c>
      <c r="AO184" s="15">
        <f t="shared" si="74"/>
        <v>23175</v>
      </c>
      <c r="AP184" s="9">
        <f t="shared" si="79"/>
        <v>0</v>
      </c>
      <c r="AQ184" s="28">
        <f t="shared" si="75"/>
        <v>772.5</v>
      </c>
      <c r="AR184" s="8">
        <f t="shared" si="80"/>
        <v>0</v>
      </c>
      <c r="AS184" s="29">
        <f t="shared" si="62"/>
        <v>23175</v>
      </c>
      <c r="AT184" s="13">
        <f t="shared" si="81"/>
        <v>0</v>
      </c>
      <c r="AU184" s="2" t="str">
        <f t="shared" si="63"/>
        <v/>
      </c>
      <c r="AV184" s="2"/>
    </row>
    <row r="185" spans="1:48" ht="16.5">
      <c r="A185" s="1" t="s">
        <v>12</v>
      </c>
      <c r="B185" s="3" t="s">
        <v>29</v>
      </c>
      <c r="C185" s="3" t="s">
        <v>219</v>
      </c>
      <c r="D185" s="4">
        <v>1789</v>
      </c>
      <c r="E185" s="3" t="s">
        <v>22</v>
      </c>
      <c r="F185" s="3" t="s">
        <v>22</v>
      </c>
      <c r="G185" s="31">
        <v>23</v>
      </c>
      <c r="H185" s="31" t="s">
        <v>169</v>
      </c>
      <c r="I185" s="5">
        <v>40</v>
      </c>
      <c r="J185" s="5"/>
      <c r="K185" s="6"/>
      <c r="L185" s="11">
        <f t="shared" si="77"/>
        <v>40</v>
      </c>
      <c r="M185" s="7" t="s">
        <v>14</v>
      </c>
      <c r="N185" s="31"/>
      <c r="O185" s="9"/>
      <c r="P185" s="9" t="str">
        <f t="shared" si="64"/>
        <v/>
      </c>
      <c r="Q185" s="9"/>
      <c r="R185" s="30">
        <f t="shared" si="65"/>
        <v>0</v>
      </c>
      <c r="S185" s="9"/>
      <c r="T185" s="30">
        <f t="shared" si="66"/>
        <v>0</v>
      </c>
      <c r="U185" s="9">
        <f>5000/100</f>
        <v>50</v>
      </c>
      <c r="V185" s="30">
        <v>2000</v>
      </c>
      <c r="W185" s="9"/>
      <c r="X185" s="30">
        <f t="shared" si="78"/>
        <v>0</v>
      </c>
      <c r="Y185" s="9"/>
      <c r="Z185" s="30">
        <f t="shared" si="67"/>
        <v>0</v>
      </c>
      <c r="AA185" s="9"/>
      <c r="AB185" s="30">
        <f t="shared" si="68"/>
        <v>0</v>
      </c>
      <c r="AC185" s="9"/>
      <c r="AD185" s="30">
        <f t="shared" si="69"/>
        <v>0</v>
      </c>
      <c r="AE185" s="9"/>
      <c r="AF185" s="30">
        <f t="shared" si="70"/>
        <v>0</v>
      </c>
      <c r="AG185" s="9"/>
      <c r="AH185" s="30">
        <f t="shared" si="71"/>
        <v>0</v>
      </c>
      <c r="AI185" s="9"/>
      <c r="AJ185" s="30">
        <f t="shared" si="72"/>
        <v>0</v>
      </c>
      <c r="AK185" s="9"/>
      <c r="AL185" s="30">
        <f t="shared" si="73"/>
        <v>0</v>
      </c>
      <c r="AM185" s="10">
        <f>5000/100</f>
        <v>50</v>
      </c>
      <c r="AN185" s="31">
        <v>2000</v>
      </c>
      <c r="AO185" s="15">
        <f t="shared" si="74"/>
        <v>2000</v>
      </c>
      <c r="AP185" s="9">
        <f t="shared" si="79"/>
        <v>0</v>
      </c>
      <c r="AQ185" s="28">
        <f t="shared" si="75"/>
        <v>50</v>
      </c>
      <c r="AR185" s="8">
        <f t="shared" si="80"/>
        <v>0</v>
      </c>
      <c r="AS185" s="29">
        <f t="shared" si="62"/>
        <v>2000</v>
      </c>
      <c r="AT185" s="13">
        <f t="shared" si="81"/>
        <v>0</v>
      </c>
      <c r="AU185" s="2" t="str">
        <f t="shared" si="63"/>
        <v/>
      </c>
      <c r="AV185" s="2"/>
    </row>
    <row r="186" spans="1:48" ht="16.5">
      <c r="A186" s="1" t="s">
        <v>12</v>
      </c>
      <c r="B186" s="3" t="s">
        <v>29</v>
      </c>
      <c r="C186" s="3" t="s">
        <v>219</v>
      </c>
      <c r="D186" s="4">
        <v>1789</v>
      </c>
      <c r="E186" s="3" t="s">
        <v>22</v>
      </c>
      <c r="F186" s="3" t="s">
        <v>22</v>
      </c>
      <c r="G186" s="31">
        <v>23</v>
      </c>
      <c r="H186" s="31" t="s">
        <v>170</v>
      </c>
      <c r="I186" s="5">
        <v>8</v>
      </c>
      <c r="J186" s="5"/>
      <c r="K186" s="6"/>
      <c r="L186" s="11">
        <f t="shared" si="77"/>
        <v>8</v>
      </c>
      <c r="M186" s="7" t="s">
        <v>15</v>
      </c>
      <c r="N186" s="31"/>
      <c r="O186" s="9"/>
      <c r="P186" s="9" t="str">
        <f t="shared" si="64"/>
        <v/>
      </c>
      <c r="Q186" s="9"/>
      <c r="R186" s="30">
        <f t="shared" si="65"/>
        <v>0</v>
      </c>
      <c r="S186" s="9"/>
      <c r="T186" s="30">
        <f t="shared" si="66"/>
        <v>0</v>
      </c>
      <c r="U186" s="9"/>
      <c r="V186" s="30">
        <f t="shared" si="76"/>
        <v>0</v>
      </c>
      <c r="W186" s="9">
        <v>236</v>
      </c>
      <c r="X186" s="30">
        <v>1888</v>
      </c>
      <c r="Y186" s="9">
        <v>429</v>
      </c>
      <c r="Z186" s="32">
        <v>3442</v>
      </c>
      <c r="AA186" s="9"/>
      <c r="AB186" s="30">
        <f t="shared" si="68"/>
        <v>0</v>
      </c>
      <c r="AC186" s="9"/>
      <c r="AD186" s="30">
        <f t="shared" si="69"/>
        <v>0</v>
      </c>
      <c r="AE186" s="9"/>
      <c r="AF186" s="30">
        <f t="shared" si="70"/>
        <v>0</v>
      </c>
      <c r="AG186" s="9"/>
      <c r="AH186" s="30">
        <f t="shared" si="71"/>
        <v>0</v>
      </c>
      <c r="AI186" s="9"/>
      <c r="AJ186" s="30">
        <f t="shared" si="72"/>
        <v>0</v>
      </c>
      <c r="AK186" s="9"/>
      <c r="AL186" s="30">
        <f t="shared" si="73"/>
        <v>0</v>
      </c>
      <c r="AM186" s="10">
        <v>665</v>
      </c>
      <c r="AN186" s="31">
        <v>5330</v>
      </c>
      <c r="AO186" s="15">
        <f t="shared" si="74"/>
        <v>5330</v>
      </c>
      <c r="AP186" s="9">
        <f t="shared" si="79"/>
        <v>0</v>
      </c>
      <c r="AQ186" s="28">
        <f t="shared" si="75"/>
        <v>665</v>
      </c>
      <c r="AR186" s="8">
        <f t="shared" si="80"/>
        <v>0</v>
      </c>
      <c r="AS186" s="29">
        <f t="shared" si="62"/>
        <v>5320</v>
      </c>
      <c r="AT186" s="13">
        <f t="shared" si="81"/>
        <v>10</v>
      </c>
      <c r="AU186" s="2" t="str">
        <f t="shared" si="63"/>
        <v>erreur de calcul</v>
      </c>
      <c r="AV186" s="2"/>
    </row>
    <row r="187" spans="1:48" ht="16.5">
      <c r="A187" s="1" t="s">
        <v>12</v>
      </c>
      <c r="B187" s="3" t="s">
        <v>29</v>
      </c>
      <c r="C187" s="3" t="s">
        <v>219</v>
      </c>
      <c r="D187" s="4">
        <v>1789</v>
      </c>
      <c r="E187" s="3" t="s">
        <v>22</v>
      </c>
      <c r="F187" s="3" t="s">
        <v>22</v>
      </c>
      <c r="G187" s="31">
        <v>23</v>
      </c>
      <c r="H187" s="31" t="s">
        <v>171</v>
      </c>
      <c r="I187" s="5">
        <v>40</v>
      </c>
      <c r="J187" s="5"/>
      <c r="K187" s="6"/>
      <c r="L187" s="11">
        <f t="shared" si="77"/>
        <v>40</v>
      </c>
      <c r="M187" s="7" t="s">
        <v>14</v>
      </c>
      <c r="N187" s="31"/>
      <c r="O187" s="9"/>
      <c r="P187" s="9" t="str">
        <f t="shared" si="64"/>
        <v/>
      </c>
      <c r="Q187" s="9"/>
      <c r="R187" s="30">
        <f t="shared" si="65"/>
        <v>0</v>
      </c>
      <c r="S187" s="9"/>
      <c r="T187" s="30">
        <f t="shared" si="66"/>
        <v>0</v>
      </c>
      <c r="U187" s="9">
        <f>77231/100</f>
        <v>772.31</v>
      </c>
      <c r="V187" s="30">
        <v>30892</v>
      </c>
      <c r="W187" s="9"/>
      <c r="X187" s="30">
        <f t="shared" si="78"/>
        <v>0</v>
      </c>
      <c r="Y187" s="9">
        <f>570/100</f>
        <v>5.7</v>
      </c>
      <c r="Z187" s="30">
        <v>228</v>
      </c>
      <c r="AA187" s="9"/>
      <c r="AB187" s="30">
        <f t="shared" si="68"/>
        <v>0</v>
      </c>
      <c r="AC187" s="9"/>
      <c r="AD187" s="30">
        <f t="shared" si="69"/>
        <v>0</v>
      </c>
      <c r="AE187" s="9"/>
      <c r="AF187" s="30">
        <f t="shared" si="70"/>
        <v>0</v>
      </c>
      <c r="AG187" s="9"/>
      <c r="AH187" s="30">
        <f t="shared" si="71"/>
        <v>0</v>
      </c>
      <c r="AI187" s="9">
        <f>5587/100</f>
        <v>55.87</v>
      </c>
      <c r="AJ187" s="32">
        <v>2335</v>
      </c>
      <c r="AK187" s="9">
        <f>64067/100</f>
        <v>640.66999999999996</v>
      </c>
      <c r="AL187" s="30">
        <v>25627</v>
      </c>
      <c r="AM187" s="10">
        <f>147455/100</f>
        <v>1474.55</v>
      </c>
      <c r="AN187" s="31">
        <v>59082</v>
      </c>
      <c r="AO187" s="15">
        <f t="shared" si="74"/>
        <v>59082</v>
      </c>
      <c r="AP187" s="9">
        <f t="shared" si="79"/>
        <v>0</v>
      </c>
      <c r="AQ187" s="28">
        <f t="shared" si="75"/>
        <v>1474.55</v>
      </c>
      <c r="AR187" s="8">
        <f t="shared" si="80"/>
        <v>0</v>
      </c>
      <c r="AS187" s="29">
        <f t="shared" si="62"/>
        <v>58982</v>
      </c>
      <c r="AT187" s="13">
        <f t="shared" si="81"/>
        <v>100</v>
      </c>
      <c r="AU187" s="2" t="str">
        <f t="shared" si="63"/>
        <v>erreur de calcul</v>
      </c>
      <c r="AV187" s="2"/>
    </row>
    <row r="188" spans="1:48" ht="16.5">
      <c r="A188" s="1" t="s">
        <v>12</v>
      </c>
      <c r="B188" s="3" t="s">
        <v>29</v>
      </c>
      <c r="C188" s="3" t="s">
        <v>219</v>
      </c>
      <c r="D188" s="4">
        <v>1789</v>
      </c>
      <c r="E188" s="3" t="s">
        <v>22</v>
      </c>
      <c r="F188" s="3" t="s">
        <v>22</v>
      </c>
      <c r="G188" s="31">
        <v>23</v>
      </c>
      <c r="H188" s="31" t="s">
        <v>267</v>
      </c>
      <c r="I188" s="5">
        <v>40</v>
      </c>
      <c r="J188" s="5"/>
      <c r="K188" s="6"/>
      <c r="L188" s="11">
        <f t="shared" si="77"/>
        <v>40</v>
      </c>
      <c r="M188" s="7" t="s">
        <v>14</v>
      </c>
      <c r="N188" s="31"/>
      <c r="O188" s="9"/>
      <c r="P188" s="9" t="str">
        <f t="shared" si="64"/>
        <v/>
      </c>
      <c r="Q188" s="9"/>
      <c r="R188" s="30">
        <f t="shared" si="65"/>
        <v>0</v>
      </c>
      <c r="S188" s="9"/>
      <c r="T188" s="30">
        <f t="shared" si="66"/>
        <v>0</v>
      </c>
      <c r="U188" s="9">
        <f>46695/100</f>
        <v>466.95</v>
      </c>
      <c r="V188" s="30">
        <v>18678</v>
      </c>
      <c r="W188" s="9"/>
      <c r="X188" s="30">
        <f t="shared" si="78"/>
        <v>0</v>
      </c>
      <c r="Y188" s="9"/>
      <c r="Z188" s="30">
        <f t="shared" si="67"/>
        <v>0</v>
      </c>
      <c r="AA188" s="9"/>
      <c r="AB188" s="30">
        <f t="shared" si="68"/>
        <v>0</v>
      </c>
      <c r="AC188" s="9"/>
      <c r="AD188" s="30">
        <f t="shared" si="69"/>
        <v>0</v>
      </c>
      <c r="AE188" s="9"/>
      <c r="AF188" s="30">
        <f t="shared" si="70"/>
        <v>0</v>
      </c>
      <c r="AG188" s="9"/>
      <c r="AH188" s="30">
        <f t="shared" si="71"/>
        <v>0</v>
      </c>
      <c r="AI188" s="9"/>
      <c r="AJ188" s="30">
        <f t="shared" si="72"/>
        <v>0</v>
      </c>
      <c r="AK188" s="9"/>
      <c r="AL188" s="30">
        <f t="shared" si="73"/>
        <v>0</v>
      </c>
      <c r="AM188" s="10">
        <f>46695/100</f>
        <v>466.95</v>
      </c>
      <c r="AN188" s="31">
        <v>18678</v>
      </c>
      <c r="AO188" s="15">
        <f t="shared" si="74"/>
        <v>18678</v>
      </c>
      <c r="AP188" s="9">
        <f t="shared" si="79"/>
        <v>0</v>
      </c>
      <c r="AQ188" s="28">
        <f t="shared" si="75"/>
        <v>466.95</v>
      </c>
      <c r="AR188" s="8">
        <f t="shared" si="80"/>
        <v>0</v>
      </c>
      <c r="AS188" s="29">
        <f t="shared" si="62"/>
        <v>18678</v>
      </c>
      <c r="AT188" s="13">
        <f t="shared" si="81"/>
        <v>0</v>
      </c>
      <c r="AU188" s="2" t="str">
        <f t="shared" si="63"/>
        <v/>
      </c>
      <c r="AV188" s="2"/>
    </row>
    <row r="189" spans="1:48" ht="16.5">
      <c r="A189" s="1" t="s">
        <v>12</v>
      </c>
      <c r="B189" s="3" t="s">
        <v>29</v>
      </c>
      <c r="C189" s="3" t="s">
        <v>219</v>
      </c>
      <c r="D189" s="4">
        <v>1789</v>
      </c>
      <c r="E189" s="3" t="s">
        <v>22</v>
      </c>
      <c r="F189" s="3" t="s">
        <v>22</v>
      </c>
      <c r="G189" s="31">
        <v>23</v>
      </c>
      <c r="H189" s="31" t="s">
        <v>283</v>
      </c>
      <c r="I189" s="5">
        <v>25</v>
      </c>
      <c r="J189" s="5"/>
      <c r="K189" s="6"/>
      <c r="L189" s="11">
        <f t="shared" si="77"/>
        <v>25</v>
      </c>
      <c r="M189" s="7" t="s">
        <v>14</v>
      </c>
      <c r="N189" s="31"/>
      <c r="O189" s="9"/>
      <c r="P189" s="9" t="str">
        <f t="shared" si="64"/>
        <v/>
      </c>
      <c r="Q189" s="9"/>
      <c r="R189" s="30">
        <f t="shared" si="65"/>
        <v>0</v>
      </c>
      <c r="S189" s="9"/>
      <c r="T189" s="30">
        <f t="shared" si="66"/>
        <v>0</v>
      </c>
      <c r="U189" s="9"/>
      <c r="V189" s="30">
        <f t="shared" si="76"/>
        <v>0</v>
      </c>
      <c r="W189" s="9">
        <f>17976/100</f>
        <v>179.76</v>
      </c>
      <c r="X189" s="30">
        <v>4494</v>
      </c>
      <c r="Y189" s="9">
        <f>3036/100</f>
        <v>30.36</v>
      </c>
      <c r="Z189" s="30">
        <v>759</v>
      </c>
      <c r="AA189" s="9"/>
      <c r="AB189" s="30">
        <f t="shared" si="68"/>
        <v>0</v>
      </c>
      <c r="AC189" s="9">
        <f>27907/100</f>
        <v>279.07</v>
      </c>
      <c r="AD189" s="30">
        <v>6976</v>
      </c>
      <c r="AE189" s="9"/>
      <c r="AF189" s="30">
        <f t="shared" si="70"/>
        <v>0</v>
      </c>
      <c r="AG189" s="9"/>
      <c r="AH189" s="30">
        <f t="shared" si="71"/>
        <v>0</v>
      </c>
      <c r="AI189" s="9"/>
      <c r="AJ189" s="30">
        <f t="shared" si="72"/>
        <v>0</v>
      </c>
      <c r="AK189" s="9"/>
      <c r="AL189" s="30">
        <f t="shared" si="73"/>
        <v>0</v>
      </c>
      <c r="AM189" s="10">
        <f>48919/100</f>
        <v>489.19</v>
      </c>
      <c r="AN189" s="31">
        <v>12229</v>
      </c>
      <c r="AO189" s="15">
        <f t="shared" si="74"/>
        <v>12229</v>
      </c>
      <c r="AP189" s="9">
        <f t="shared" si="79"/>
        <v>0</v>
      </c>
      <c r="AQ189" s="28">
        <f t="shared" si="75"/>
        <v>489.19</v>
      </c>
      <c r="AR189" s="8">
        <f t="shared" si="80"/>
        <v>0</v>
      </c>
      <c r="AS189" s="29">
        <f t="shared" si="62"/>
        <v>12229.75</v>
      </c>
      <c r="AT189" s="13">
        <f t="shared" si="81"/>
        <v>-0.75</v>
      </c>
      <c r="AU189" s="2" t="str">
        <f t="shared" si="63"/>
        <v>erreur de calcul</v>
      </c>
      <c r="AV189" s="2"/>
    </row>
    <row r="190" spans="1:48" ht="16.5">
      <c r="A190" s="1" t="s">
        <v>12</v>
      </c>
      <c r="B190" s="3" t="s">
        <v>29</v>
      </c>
      <c r="C190" s="3" t="s">
        <v>219</v>
      </c>
      <c r="D190" s="4">
        <v>1789</v>
      </c>
      <c r="E190" s="3" t="s">
        <v>22</v>
      </c>
      <c r="F190" s="3" t="s">
        <v>22</v>
      </c>
      <c r="G190" s="31">
        <v>23</v>
      </c>
      <c r="H190" s="31" t="s">
        <v>290</v>
      </c>
      <c r="I190" s="5"/>
      <c r="J190" s="5"/>
      <c r="K190" s="6"/>
      <c r="L190" s="11">
        <f t="shared" si="77"/>
        <v>0</v>
      </c>
      <c r="M190" s="7"/>
      <c r="N190" s="31"/>
      <c r="O190" s="9"/>
      <c r="P190" s="9" t="str">
        <f t="shared" si="64"/>
        <v/>
      </c>
      <c r="Q190" s="9"/>
      <c r="R190" s="30">
        <f t="shared" si="65"/>
        <v>0</v>
      </c>
      <c r="S190" s="9"/>
      <c r="T190" s="30">
        <f t="shared" si="66"/>
        <v>0</v>
      </c>
      <c r="U190" s="9"/>
      <c r="V190" s="30">
        <v>108958</v>
      </c>
      <c r="W190" s="9"/>
      <c r="X190" s="30">
        <v>5533</v>
      </c>
      <c r="Y190" s="9"/>
      <c r="Z190" s="30">
        <v>1680</v>
      </c>
      <c r="AA190" s="9"/>
      <c r="AB190" s="30">
        <f t="shared" si="68"/>
        <v>0</v>
      </c>
      <c r="AC190" s="9"/>
      <c r="AD190" s="30">
        <f t="shared" si="69"/>
        <v>0</v>
      </c>
      <c r="AE190" s="9"/>
      <c r="AF190" s="30">
        <f t="shared" si="70"/>
        <v>0</v>
      </c>
      <c r="AG190" s="9"/>
      <c r="AH190" s="30">
        <f t="shared" si="71"/>
        <v>0</v>
      </c>
      <c r="AI190" s="9"/>
      <c r="AJ190" s="30">
        <f t="shared" si="72"/>
        <v>0</v>
      </c>
      <c r="AK190" s="9"/>
      <c r="AL190" s="30">
        <f t="shared" si="73"/>
        <v>0</v>
      </c>
      <c r="AM190" s="10"/>
      <c r="AN190" s="31">
        <v>116171</v>
      </c>
      <c r="AO190" s="15">
        <f t="shared" si="74"/>
        <v>116171</v>
      </c>
      <c r="AP190" s="9">
        <f t="shared" si="79"/>
        <v>0</v>
      </c>
      <c r="AQ190" s="28">
        <f t="shared" si="75"/>
        <v>0</v>
      </c>
      <c r="AR190" s="8">
        <f t="shared" si="80"/>
        <v>0</v>
      </c>
      <c r="AS190" s="29">
        <f t="shared" si="62"/>
        <v>0</v>
      </c>
      <c r="AT190" s="13">
        <f t="shared" si="81"/>
        <v>116171</v>
      </c>
      <c r="AU190" s="2" t="str">
        <f t="shared" si="63"/>
        <v>pas de prix, ni de quantité</v>
      </c>
      <c r="AV190" s="2"/>
    </row>
    <row r="191" spans="1:48" ht="16.5">
      <c r="A191" s="1" t="s">
        <v>12</v>
      </c>
      <c r="B191" s="3" t="s">
        <v>29</v>
      </c>
      <c r="C191" s="3" t="s">
        <v>219</v>
      </c>
      <c r="D191" s="4">
        <v>1789</v>
      </c>
      <c r="E191" s="3" t="s">
        <v>22</v>
      </c>
      <c r="F191" s="3" t="s">
        <v>22</v>
      </c>
      <c r="G191" s="31">
        <v>23</v>
      </c>
      <c r="H191" s="31" t="s">
        <v>172</v>
      </c>
      <c r="I191" s="5"/>
      <c r="J191" s="5"/>
      <c r="K191" s="6"/>
      <c r="L191" s="11">
        <f t="shared" si="77"/>
        <v>0</v>
      </c>
      <c r="M191" s="7"/>
      <c r="N191" s="31"/>
      <c r="O191" s="9"/>
      <c r="P191" s="9" t="str">
        <f t="shared" si="64"/>
        <v/>
      </c>
      <c r="Q191" s="9"/>
      <c r="R191" s="30">
        <f t="shared" si="65"/>
        <v>0</v>
      </c>
      <c r="S191" s="9"/>
      <c r="T191" s="30">
        <f t="shared" si="66"/>
        <v>0</v>
      </c>
      <c r="U191" s="9"/>
      <c r="V191" s="30">
        <v>156777</v>
      </c>
      <c r="W191" s="9"/>
      <c r="X191" s="30">
        <v>125975</v>
      </c>
      <c r="Y191" s="9"/>
      <c r="Z191" s="30">
        <v>8575</v>
      </c>
      <c r="AA191" s="9"/>
      <c r="AB191" s="30">
        <v>25353</v>
      </c>
      <c r="AC191" s="9"/>
      <c r="AD191" s="30">
        <f t="shared" si="69"/>
        <v>0</v>
      </c>
      <c r="AE191" s="9"/>
      <c r="AF191" s="30">
        <f t="shared" si="70"/>
        <v>0</v>
      </c>
      <c r="AG191" s="9"/>
      <c r="AH191" s="30">
        <v>6688</v>
      </c>
      <c r="AI191" s="9"/>
      <c r="AJ191" s="30">
        <f t="shared" si="72"/>
        <v>0</v>
      </c>
      <c r="AK191" s="9"/>
      <c r="AL191" s="30">
        <f t="shared" si="73"/>
        <v>0</v>
      </c>
      <c r="AM191" s="10"/>
      <c r="AN191" s="31">
        <v>323368</v>
      </c>
      <c r="AO191" s="15">
        <f t="shared" si="74"/>
        <v>323368</v>
      </c>
      <c r="AP191" s="9">
        <f t="shared" si="79"/>
        <v>0</v>
      </c>
      <c r="AQ191" s="28">
        <f t="shared" si="75"/>
        <v>0</v>
      </c>
      <c r="AR191" s="8">
        <f t="shared" si="80"/>
        <v>0</v>
      </c>
      <c r="AS191" s="29">
        <f t="shared" si="62"/>
        <v>0</v>
      </c>
      <c r="AT191" s="13">
        <f t="shared" si="81"/>
        <v>323368</v>
      </c>
      <c r="AU191" s="2" t="str">
        <f t="shared" si="63"/>
        <v>pas de prix, ni de quantité</v>
      </c>
      <c r="AV191" s="2"/>
    </row>
    <row r="192" spans="1:48" ht="16.5">
      <c r="A192" s="1" t="s">
        <v>12</v>
      </c>
      <c r="B192" s="3" t="s">
        <v>29</v>
      </c>
      <c r="C192" s="3" t="s">
        <v>219</v>
      </c>
      <c r="D192" s="4">
        <v>1789</v>
      </c>
      <c r="E192" s="3" t="s">
        <v>22</v>
      </c>
      <c r="F192" s="3" t="s">
        <v>22</v>
      </c>
      <c r="G192" s="31">
        <v>23</v>
      </c>
      <c r="H192" s="31" t="s">
        <v>284</v>
      </c>
      <c r="I192" s="5">
        <v>2</v>
      </c>
      <c r="J192" s="5"/>
      <c r="K192" s="6"/>
      <c r="L192" s="11">
        <f t="shared" si="77"/>
        <v>2</v>
      </c>
      <c r="M192" s="7" t="s">
        <v>15</v>
      </c>
      <c r="N192" s="31"/>
      <c r="O192" s="9"/>
      <c r="P192" s="9" t="str">
        <f t="shared" si="64"/>
        <v/>
      </c>
      <c r="Q192" s="9"/>
      <c r="R192" s="30">
        <f t="shared" si="65"/>
        <v>0</v>
      </c>
      <c r="S192" s="9"/>
      <c r="T192" s="30">
        <f t="shared" si="66"/>
        <v>0</v>
      </c>
      <c r="U192" s="9">
        <v>8972</v>
      </c>
      <c r="V192" s="30">
        <v>17944</v>
      </c>
      <c r="W192" s="9"/>
      <c r="X192" s="30">
        <f t="shared" si="78"/>
        <v>0</v>
      </c>
      <c r="Y192" s="9"/>
      <c r="Z192" s="30">
        <f t="shared" si="67"/>
        <v>0</v>
      </c>
      <c r="AA192" s="9"/>
      <c r="AB192" s="30">
        <f t="shared" si="68"/>
        <v>0</v>
      </c>
      <c r="AC192" s="9"/>
      <c r="AD192" s="30">
        <f t="shared" si="69"/>
        <v>0</v>
      </c>
      <c r="AE192" s="9"/>
      <c r="AF192" s="30">
        <f t="shared" si="70"/>
        <v>0</v>
      </c>
      <c r="AG192" s="9"/>
      <c r="AH192" s="30">
        <f t="shared" si="71"/>
        <v>0</v>
      </c>
      <c r="AI192" s="9"/>
      <c r="AJ192" s="30">
        <f t="shared" si="72"/>
        <v>0</v>
      </c>
      <c r="AK192" s="9"/>
      <c r="AL192" s="30">
        <f t="shared" si="73"/>
        <v>0</v>
      </c>
      <c r="AM192" s="10">
        <v>8972</v>
      </c>
      <c r="AN192" s="31">
        <v>17944</v>
      </c>
      <c r="AO192" s="15">
        <f t="shared" si="74"/>
        <v>17944</v>
      </c>
      <c r="AP192" s="9">
        <f t="shared" si="79"/>
        <v>0</v>
      </c>
      <c r="AQ192" s="28">
        <f t="shared" si="75"/>
        <v>8972</v>
      </c>
      <c r="AR192" s="8">
        <f t="shared" si="80"/>
        <v>0</v>
      </c>
      <c r="AS192" s="29">
        <f t="shared" si="62"/>
        <v>17944</v>
      </c>
      <c r="AT192" s="13">
        <f t="shared" si="81"/>
        <v>0</v>
      </c>
      <c r="AU192" s="2" t="str">
        <f t="shared" si="63"/>
        <v/>
      </c>
      <c r="AV192" s="2"/>
    </row>
    <row r="193" spans="1:48" ht="16.5">
      <c r="A193" s="1" t="s">
        <v>12</v>
      </c>
      <c r="B193" s="3" t="s">
        <v>29</v>
      </c>
      <c r="C193" s="3" t="s">
        <v>219</v>
      </c>
      <c r="D193" s="4">
        <v>1789</v>
      </c>
      <c r="E193" s="3" t="s">
        <v>22</v>
      </c>
      <c r="F193" s="3" t="s">
        <v>22</v>
      </c>
      <c r="G193" s="31">
        <v>23</v>
      </c>
      <c r="H193" s="31" t="s">
        <v>268</v>
      </c>
      <c r="I193" s="5"/>
      <c r="J193" s="5">
        <v>30</v>
      </c>
      <c r="K193" s="6"/>
      <c r="L193" s="11">
        <f t="shared" si="77"/>
        <v>1.5</v>
      </c>
      <c r="M193" s="7" t="s">
        <v>15</v>
      </c>
      <c r="N193" s="31"/>
      <c r="O193" s="9"/>
      <c r="P193" s="9" t="str">
        <f t="shared" si="64"/>
        <v/>
      </c>
      <c r="Q193" s="9"/>
      <c r="R193" s="30">
        <f t="shared" si="65"/>
        <v>0</v>
      </c>
      <c r="S193" s="9"/>
      <c r="T193" s="30">
        <f t="shared" si="66"/>
        <v>0</v>
      </c>
      <c r="U193" s="9">
        <v>780</v>
      </c>
      <c r="V193" s="30">
        <v>1170</v>
      </c>
      <c r="W193" s="9">
        <v>3644</v>
      </c>
      <c r="X193" s="30">
        <v>5466</v>
      </c>
      <c r="Y193" s="9">
        <v>51486</v>
      </c>
      <c r="Z193" s="30">
        <v>77229</v>
      </c>
      <c r="AA193" s="9"/>
      <c r="AB193" s="30">
        <f t="shared" si="68"/>
        <v>0</v>
      </c>
      <c r="AC193" s="9"/>
      <c r="AD193" s="30">
        <f t="shared" si="69"/>
        <v>0</v>
      </c>
      <c r="AE193" s="9"/>
      <c r="AF193" s="30">
        <f t="shared" si="70"/>
        <v>0</v>
      </c>
      <c r="AG193" s="9"/>
      <c r="AH193" s="30">
        <f t="shared" si="71"/>
        <v>0</v>
      </c>
      <c r="AI193" s="9"/>
      <c r="AJ193" s="30">
        <f t="shared" si="72"/>
        <v>0</v>
      </c>
      <c r="AK193" s="9"/>
      <c r="AL193" s="30">
        <f t="shared" si="73"/>
        <v>0</v>
      </c>
      <c r="AM193" s="10">
        <v>55910</v>
      </c>
      <c r="AN193" s="31">
        <v>83865</v>
      </c>
      <c r="AO193" s="15">
        <f t="shared" si="74"/>
        <v>83865</v>
      </c>
      <c r="AP193" s="9">
        <f t="shared" si="79"/>
        <v>0</v>
      </c>
      <c r="AQ193" s="28">
        <f t="shared" si="75"/>
        <v>55910</v>
      </c>
      <c r="AR193" s="8">
        <f t="shared" si="80"/>
        <v>0</v>
      </c>
      <c r="AS193" s="29">
        <f t="shared" si="62"/>
        <v>83865</v>
      </c>
      <c r="AT193" s="13">
        <f t="shared" si="81"/>
        <v>0</v>
      </c>
      <c r="AU193" s="2" t="str">
        <f t="shared" si="63"/>
        <v/>
      </c>
      <c r="AV193" s="2"/>
    </row>
    <row r="194" spans="1:48" ht="16.5">
      <c r="A194" s="1" t="s">
        <v>12</v>
      </c>
      <c r="B194" s="3" t="s">
        <v>29</v>
      </c>
      <c r="C194" s="3" t="s">
        <v>219</v>
      </c>
      <c r="D194" s="4">
        <v>1789</v>
      </c>
      <c r="E194" s="3" t="s">
        <v>22</v>
      </c>
      <c r="F194" s="3" t="s">
        <v>22</v>
      </c>
      <c r="G194" s="31">
        <v>23</v>
      </c>
      <c r="H194" s="31" t="s">
        <v>269</v>
      </c>
      <c r="I194" s="5">
        <v>35</v>
      </c>
      <c r="J194" s="5"/>
      <c r="K194" s="6"/>
      <c r="L194" s="11">
        <f t="shared" si="77"/>
        <v>35</v>
      </c>
      <c r="M194" s="7" t="s">
        <v>14</v>
      </c>
      <c r="N194" s="31"/>
      <c r="O194" s="9"/>
      <c r="P194" s="9" t="str">
        <f t="shared" si="64"/>
        <v/>
      </c>
      <c r="Q194" s="9"/>
      <c r="R194" s="30">
        <f t="shared" si="65"/>
        <v>0</v>
      </c>
      <c r="S194" s="9"/>
      <c r="T194" s="30">
        <f t="shared" si="66"/>
        <v>0</v>
      </c>
      <c r="U194" s="9"/>
      <c r="V194" s="30">
        <f t="shared" si="76"/>
        <v>0</v>
      </c>
      <c r="W194" s="9">
        <f>59286/100</f>
        <v>592.86</v>
      </c>
      <c r="X194" s="30">
        <v>20750</v>
      </c>
      <c r="Y194" s="9"/>
      <c r="Z194" s="30">
        <f t="shared" si="67"/>
        <v>0</v>
      </c>
      <c r="AA194" s="9">
        <f>166368/100</f>
        <v>1663.68</v>
      </c>
      <c r="AB194" s="30">
        <v>58229</v>
      </c>
      <c r="AC194" s="9"/>
      <c r="AD194" s="30">
        <f t="shared" si="69"/>
        <v>0</v>
      </c>
      <c r="AE194" s="9"/>
      <c r="AF194" s="30">
        <f t="shared" si="70"/>
        <v>0</v>
      </c>
      <c r="AG194" s="9"/>
      <c r="AH194" s="30">
        <f t="shared" si="71"/>
        <v>0</v>
      </c>
      <c r="AI194" s="9"/>
      <c r="AJ194" s="30">
        <f t="shared" si="72"/>
        <v>0</v>
      </c>
      <c r="AK194" s="9"/>
      <c r="AL194" s="30">
        <f t="shared" si="73"/>
        <v>0</v>
      </c>
      <c r="AM194" s="10">
        <f>225654/100</f>
        <v>2256.54</v>
      </c>
      <c r="AN194" s="31">
        <v>78979</v>
      </c>
      <c r="AO194" s="15">
        <f t="shared" si="74"/>
        <v>78979</v>
      </c>
      <c r="AP194" s="9">
        <f t="shared" si="79"/>
        <v>0</v>
      </c>
      <c r="AQ194" s="28">
        <f t="shared" si="75"/>
        <v>2256.54</v>
      </c>
      <c r="AR194" s="8">
        <f t="shared" si="80"/>
        <v>0</v>
      </c>
      <c r="AS194" s="29">
        <f t="shared" si="62"/>
        <v>78978.899999999994</v>
      </c>
      <c r="AT194" s="13">
        <f t="shared" si="81"/>
        <v>0.10000000000582077</v>
      </c>
      <c r="AU194" s="2" t="str">
        <f t="shared" si="63"/>
        <v>erreur de calcul</v>
      </c>
      <c r="AV194" s="2"/>
    </row>
    <row r="195" spans="1:48" ht="16.5">
      <c r="A195" s="1" t="s">
        <v>12</v>
      </c>
      <c r="B195" s="3" t="s">
        <v>29</v>
      </c>
      <c r="C195" s="3" t="s">
        <v>219</v>
      </c>
      <c r="D195" s="4">
        <v>1789</v>
      </c>
      <c r="E195" s="3" t="s">
        <v>22</v>
      </c>
      <c r="F195" s="3" t="s">
        <v>22</v>
      </c>
      <c r="G195" s="31">
        <v>23</v>
      </c>
      <c r="H195" s="31" t="s">
        <v>270</v>
      </c>
      <c r="I195" s="5">
        <v>60</v>
      </c>
      <c r="J195" s="5"/>
      <c r="K195" s="6"/>
      <c r="L195" s="11">
        <f t="shared" si="77"/>
        <v>60</v>
      </c>
      <c r="M195" s="7" t="s">
        <v>14</v>
      </c>
      <c r="N195" s="31"/>
      <c r="O195" s="9"/>
      <c r="P195" s="9" t="str">
        <f t="shared" si="64"/>
        <v/>
      </c>
      <c r="Q195" s="9"/>
      <c r="R195" s="30">
        <f t="shared" si="65"/>
        <v>0</v>
      </c>
      <c r="S195" s="9"/>
      <c r="T195" s="30">
        <f t="shared" si="66"/>
        <v>0</v>
      </c>
      <c r="U195" s="9"/>
      <c r="V195" s="30">
        <f t="shared" si="76"/>
        <v>0</v>
      </c>
      <c r="W195" s="9"/>
      <c r="X195" s="30">
        <v>15996</v>
      </c>
      <c r="Y195" s="9"/>
      <c r="Z195" s="30">
        <v>20046</v>
      </c>
      <c r="AA195" s="9"/>
      <c r="AB195" s="30">
        <f t="shared" si="68"/>
        <v>0</v>
      </c>
      <c r="AC195" s="9"/>
      <c r="AD195" s="30">
        <f t="shared" si="69"/>
        <v>0</v>
      </c>
      <c r="AE195" s="9"/>
      <c r="AF195" s="30">
        <f t="shared" si="70"/>
        <v>0</v>
      </c>
      <c r="AG195" s="9"/>
      <c r="AH195" s="30">
        <f t="shared" si="71"/>
        <v>0</v>
      </c>
      <c r="AI195" s="9"/>
      <c r="AJ195" s="30">
        <f t="shared" si="72"/>
        <v>0</v>
      </c>
      <c r="AK195" s="9"/>
      <c r="AL195" s="30">
        <f t="shared" si="73"/>
        <v>0</v>
      </c>
      <c r="AM195" s="10"/>
      <c r="AN195" s="31">
        <v>36042</v>
      </c>
      <c r="AO195" s="15">
        <f t="shared" si="74"/>
        <v>36042</v>
      </c>
      <c r="AP195" s="9">
        <f t="shared" si="79"/>
        <v>0</v>
      </c>
      <c r="AQ195" s="28">
        <f t="shared" si="75"/>
        <v>0</v>
      </c>
      <c r="AR195" s="8">
        <f t="shared" si="80"/>
        <v>0</v>
      </c>
      <c r="AS195" s="29">
        <f t="shared" ref="AS195:AS233" si="82">AQ195*L195</f>
        <v>0</v>
      </c>
      <c r="AT195" s="13">
        <f t="shared" si="81"/>
        <v>36042</v>
      </c>
      <c r="AU195" s="2" t="str">
        <f t="shared" ref="AU195:AU233" si="83">IF(AT195=0,"",IF(AT195&lt;&gt;AN195,"erreur de calcul",IF(AQ195&lt;&gt;0,"pas de prix",IF(L195&lt;&gt; 0,"pas de quantité","pas de prix, ni de quantité"))))</f>
        <v>pas de quantité</v>
      </c>
      <c r="AV195" s="2"/>
    </row>
    <row r="196" spans="1:48" ht="16.5">
      <c r="A196" s="1" t="s">
        <v>12</v>
      </c>
      <c r="B196" s="3" t="s">
        <v>29</v>
      </c>
      <c r="C196" s="3" t="s">
        <v>219</v>
      </c>
      <c r="D196" s="4">
        <v>1789</v>
      </c>
      <c r="E196" s="3" t="s">
        <v>22</v>
      </c>
      <c r="F196" s="3" t="s">
        <v>22</v>
      </c>
      <c r="G196" s="31">
        <v>23</v>
      </c>
      <c r="H196" s="31" t="s">
        <v>271</v>
      </c>
      <c r="I196" s="5"/>
      <c r="J196" s="5"/>
      <c r="K196" s="6"/>
      <c r="L196" s="11">
        <f t="shared" si="77"/>
        <v>0</v>
      </c>
      <c r="M196" s="7"/>
      <c r="N196" s="31"/>
      <c r="O196" s="9"/>
      <c r="P196" s="9" t="str">
        <f t="shared" ref="P196:P233" si="84">IF(N196&lt;&gt;"",O196*L196,"")</f>
        <v/>
      </c>
      <c r="Q196" s="9"/>
      <c r="R196" s="30">
        <f t="shared" ref="R196:R233" si="85">Q196*$L196</f>
        <v>0</v>
      </c>
      <c r="S196" s="9"/>
      <c r="T196" s="30">
        <f t="shared" ref="T196:T233" si="86">S196*$L196</f>
        <v>0</v>
      </c>
      <c r="U196" s="9"/>
      <c r="V196" s="30">
        <f t="shared" ref="V196:V232" si="87">U196*$L196</f>
        <v>0</v>
      </c>
      <c r="W196" s="9"/>
      <c r="X196" s="30">
        <v>13601</v>
      </c>
      <c r="Y196" s="9"/>
      <c r="Z196" s="30">
        <v>431</v>
      </c>
      <c r="AA196" s="9"/>
      <c r="AB196" s="30">
        <v>800</v>
      </c>
      <c r="AC196" s="9"/>
      <c r="AD196" s="30">
        <f t="shared" ref="AD196:AD233" si="88">AC196*$L196</f>
        <v>0</v>
      </c>
      <c r="AE196" s="9"/>
      <c r="AF196" s="30">
        <f t="shared" ref="AF196:AF233" si="89">AE196*$L196</f>
        <v>0</v>
      </c>
      <c r="AG196" s="9"/>
      <c r="AH196" s="30">
        <f t="shared" ref="AH196:AH233" si="90">AG196*$L196</f>
        <v>0</v>
      </c>
      <c r="AI196" s="9"/>
      <c r="AJ196" s="30">
        <f t="shared" ref="AJ196:AJ233" si="91">AI196*$L196</f>
        <v>0</v>
      </c>
      <c r="AK196" s="9"/>
      <c r="AL196" s="30">
        <f t="shared" ref="AL196:AL233" si="92">AK196*$L196</f>
        <v>0</v>
      </c>
      <c r="AM196" s="10"/>
      <c r="AN196" s="31">
        <v>14832</v>
      </c>
      <c r="AO196" s="15">
        <f t="shared" ref="AO196:AO233" si="93">SUM(R196,T196,V196,X196,Z196,AB196,AD196,AF196,AH196,AJ196,AL196)</f>
        <v>14832</v>
      </c>
      <c r="AP196" s="9">
        <f t="shared" si="79"/>
        <v>0</v>
      </c>
      <c r="AQ196" s="28">
        <f t="shared" ref="AQ196:AQ233" si="94">SUM(Q196,S196,U196,W196,Y196,AA196,AC196,AE196,AG196,AI196,AK196)</f>
        <v>0</v>
      </c>
      <c r="AR196" s="8">
        <f t="shared" si="80"/>
        <v>0</v>
      </c>
      <c r="AS196" s="29">
        <f t="shared" si="82"/>
        <v>0</v>
      </c>
      <c r="AT196" s="13">
        <f t="shared" si="81"/>
        <v>14832</v>
      </c>
      <c r="AU196" s="2" t="str">
        <f t="shared" si="83"/>
        <v>pas de prix, ni de quantité</v>
      </c>
      <c r="AV196" s="2"/>
    </row>
    <row r="197" spans="1:48" ht="16.5">
      <c r="A197" s="1" t="s">
        <v>12</v>
      </c>
      <c r="B197" s="3" t="s">
        <v>29</v>
      </c>
      <c r="C197" s="3" t="s">
        <v>219</v>
      </c>
      <c r="D197" s="4">
        <v>1789</v>
      </c>
      <c r="E197" s="3" t="s">
        <v>22</v>
      </c>
      <c r="F197" s="3" t="s">
        <v>22</v>
      </c>
      <c r="G197" s="31">
        <v>23</v>
      </c>
      <c r="H197" s="31" t="s">
        <v>173</v>
      </c>
      <c r="I197" s="5"/>
      <c r="J197" s="5"/>
      <c r="K197" s="6"/>
      <c r="L197" s="11">
        <f t="shared" si="77"/>
        <v>0</v>
      </c>
      <c r="M197" s="7"/>
      <c r="N197" s="31"/>
      <c r="O197" s="9"/>
      <c r="P197" s="9" t="str">
        <f t="shared" si="84"/>
        <v/>
      </c>
      <c r="Q197" s="9"/>
      <c r="R197" s="30">
        <f t="shared" si="85"/>
        <v>0</v>
      </c>
      <c r="S197" s="9"/>
      <c r="T197" s="30">
        <f t="shared" si="86"/>
        <v>0</v>
      </c>
      <c r="U197" s="9"/>
      <c r="V197" s="30">
        <v>3920</v>
      </c>
      <c r="W197" s="9"/>
      <c r="X197" s="30">
        <f t="shared" ref="X197:X233" si="95">W197*$L197</f>
        <v>0</v>
      </c>
      <c r="Y197" s="9"/>
      <c r="Z197" s="30">
        <f t="shared" ref="Z197:Z233" si="96">Y197*$L197</f>
        <v>0</v>
      </c>
      <c r="AA197" s="9"/>
      <c r="AB197" s="30">
        <f t="shared" ref="AB197:AB233" si="97">AA197*$L197</f>
        <v>0</v>
      </c>
      <c r="AC197" s="9"/>
      <c r="AD197" s="30">
        <f t="shared" si="88"/>
        <v>0</v>
      </c>
      <c r="AE197" s="9"/>
      <c r="AF197" s="30">
        <f t="shared" si="89"/>
        <v>0</v>
      </c>
      <c r="AG197" s="9"/>
      <c r="AH197" s="30">
        <f t="shared" si="90"/>
        <v>0</v>
      </c>
      <c r="AI197" s="9"/>
      <c r="AJ197" s="30">
        <f t="shared" si="91"/>
        <v>0</v>
      </c>
      <c r="AK197" s="9"/>
      <c r="AL197" s="30">
        <f t="shared" si="92"/>
        <v>0</v>
      </c>
      <c r="AM197" s="10"/>
      <c r="AN197" s="31">
        <v>3920</v>
      </c>
      <c r="AO197" s="15">
        <f t="shared" si="93"/>
        <v>3920</v>
      </c>
      <c r="AP197" s="9">
        <f t="shared" si="79"/>
        <v>0</v>
      </c>
      <c r="AQ197" s="28">
        <f t="shared" si="94"/>
        <v>0</v>
      </c>
      <c r="AR197" s="8">
        <f t="shared" si="80"/>
        <v>0</v>
      </c>
      <c r="AS197" s="29">
        <f t="shared" si="82"/>
        <v>0</v>
      </c>
      <c r="AT197" s="13">
        <f t="shared" si="81"/>
        <v>3920</v>
      </c>
      <c r="AU197" s="2" t="str">
        <f t="shared" si="83"/>
        <v>pas de prix, ni de quantité</v>
      </c>
      <c r="AV197" s="2"/>
    </row>
    <row r="198" spans="1:48" ht="16.5">
      <c r="A198" s="1" t="s">
        <v>12</v>
      </c>
      <c r="B198" s="3" t="s">
        <v>29</v>
      </c>
      <c r="C198" s="3" t="s">
        <v>219</v>
      </c>
      <c r="D198" s="4">
        <v>1789</v>
      </c>
      <c r="E198" s="3" t="s">
        <v>22</v>
      </c>
      <c r="F198" s="3" t="s">
        <v>22</v>
      </c>
      <c r="G198" s="31">
        <v>23</v>
      </c>
      <c r="H198" s="31" t="s">
        <v>174</v>
      </c>
      <c r="I198" s="5">
        <v>4</v>
      </c>
      <c r="J198" s="5"/>
      <c r="K198" s="6"/>
      <c r="L198" s="11">
        <f t="shared" si="77"/>
        <v>4</v>
      </c>
      <c r="M198" s="7" t="s">
        <v>15</v>
      </c>
      <c r="N198" s="31"/>
      <c r="O198" s="9"/>
      <c r="P198" s="9" t="str">
        <f t="shared" si="84"/>
        <v/>
      </c>
      <c r="Q198" s="9"/>
      <c r="R198" s="30">
        <f t="shared" si="85"/>
        <v>0</v>
      </c>
      <c r="S198" s="9"/>
      <c r="T198" s="30">
        <f t="shared" si="86"/>
        <v>0</v>
      </c>
      <c r="U198" s="9"/>
      <c r="V198" s="30">
        <f t="shared" si="87"/>
        <v>0</v>
      </c>
      <c r="W198" s="9">
        <v>255</v>
      </c>
      <c r="X198" s="30">
        <v>1020</v>
      </c>
      <c r="Y198" s="9"/>
      <c r="Z198" s="30">
        <f t="shared" si="96"/>
        <v>0</v>
      </c>
      <c r="AA198" s="9"/>
      <c r="AB198" s="30">
        <f t="shared" si="97"/>
        <v>0</v>
      </c>
      <c r="AC198" s="9"/>
      <c r="AD198" s="30">
        <f t="shared" si="88"/>
        <v>0</v>
      </c>
      <c r="AE198" s="9"/>
      <c r="AF198" s="30">
        <f t="shared" si="89"/>
        <v>0</v>
      </c>
      <c r="AG198" s="9"/>
      <c r="AH198" s="30">
        <f t="shared" si="90"/>
        <v>0</v>
      </c>
      <c r="AI198" s="9"/>
      <c r="AJ198" s="30">
        <f t="shared" si="91"/>
        <v>0</v>
      </c>
      <c r="AK198" s="9"/>
      <c r="AL198" s="30">
        <f t="shared" si="92"/>
        <v>0</v>
      </c>
      <c r="AM198" s="10">
        <v>255</v>
      </c>
      <c r="AN198" s="31">
        <v>1020</v>
      </c>
      <c r="AO198" s="15">
        <f t="shared" si="93"/>
        <v>1020</v>
      </c>
      <c r="AP198" s="9">
        <f t="shared" si="79"/>
        <v>0</v>
      </c>
      <c r="AQ198" s="28">
        <f t="shared" si="94"/>
        <v>255</v>
      </c>
      <c r="AR198" s="8">
        <f t="shared" si="80"/>
        <v>0</v>
      </c>
      <c r="AS198" s="29">
        <f t="shared" si="82"/>
        <v>1020</v>
      </c>
      <c r="AT198" s="13">
        <f t="shared" si="81"/>
        <v>0</v>
      </c>
      <c r="AU198" s="2" t="str">
        <f t="shared" si="83"/>
        <v/>
      </c>
      <c r="AV198" s="2"/>
    </row>
    <row r="199" spans="1:48" ht="16.5">
      <c r="A199" s="1" t="s">
        <v>12</v>
      </c>
      <c r="B199" s="3" t="s">
        <v>29</v>
      </c>
      <c r="C199" s="3" t="s">
        <v>219</v>
      </c>
      <c r="D199" s="4">
        <v>1789</v>
      </c>
      <c r="E199" s="3" t="s">
        <v>22</v>
      </c>
      <c r="F199" s="3" t="s">
        <v>22</v>
      </c>
      <c r="G199" s="31">
        <v>23</v>
      </c>
      <c r="H199" s="31" t="s">
        <v>175</v>
      </c>
      <c r="I199" s="5"/>
      <c r="J199" s="5">
        <v>30</v>
      </c>
      <c r="K199" s="6"/>
      <c r="L199" s="11">
        <f t="shared" ref="L199:L233" si="98">I199+(J199/20)+(K199/240)</f>
        <v>1.5</v>
      </c>
      <c r="M199" s="7" t="s">
        <v>15</v>
      </c>
      <c r="N199" s="31"/>
      <c r="O199" s="9"/>
      <c r="P199" s="9" t="str">
        <f t="shared" si="84"/>
        <v/>
      </c>
      <c r="Q199" s="9"/>
      <c r="R199" s="30">
        <f t="shared" si="85"/>
        <v>0</v>
      </c>
      <c r="S199" s="9"/>
      <c r="T199" s="30">
        <f t="shared" si="86"/>
        <v>0</v>
      </c>
      <c r="U199" s="9"/>
      <c r="V199" s="30">
        <f t="shared" si="87"/>
        <v>0</v>
      </c>
      <c r="W199" s="9">
        <v>416</v>
      </c>
      <c r="X199" s="30">
        <v>624</v>
      </c>
      <c r="Y199" s="9">
        <v>208</v>
      </c>
      <c r="Z199" s="30">
        <v>312</v>
      </c>
      <c r="AA199" s="9"/>
      <c r="AB199" s="30">
        <f t="shared" si="97"/>
        <v>0</v>
      </c>
      <c r="AC199" s="9"/>
      <c r="AD199" s="30">
        <f t="shared" si="88"/>
        <v>0</v>
      </c>
      <c r="AE199" s="9"/>
      <c r="AF199" s="30">
        <f t="shared" si="89"/>
        <v>0</v>
      </c>
      <c r="AG199" s="9">
        <v>2355</v>
      </c>
      <c r="AH199" s="30">
        <v>3532</v>
      </c>
      <c r="AI199" s="9">
        <v>3643</v>
      </c>
      <c r="AJ199" s="30">
        <v>5464</v>
      </c>
      <c r="AK199" s="9"/>
      <c r="AL199" s="30">
        <f t="shared" si="92"/>
        <v>0</v>
      </c>
      <c r="AM199" s="10">
        <v>6622</v>
      </c>
      <c r="AN199" s="31">
        <v>9932</v>
      </c>
      <c r="AO199" s="15">
        <f t="shared" si="93"/>
        <v>9932</v>
      </c>
      <c r="AP199" s="9">
        <f t="shared" ref="AP199:AP233" si="99">AN199-AO199</f>
        <v>0</v>
      </c>
      <c r="AQ199" s="28">
        <f t="shared" si="94"/>
        <v>6622</v>
      </c>
      <c r="AR199" s="8">
        <f t="shared" ref="AR199:AR233" si="100">AM199-AQ199</f>
        <v>0</v>
      </c>
      <c r="AS199" s="29">
        <f t="shared" si="82"/>
        <v>9933</v>
      </c>
      <c r="AT199" s="13">
        <f t="shared" ref="AT199:AT233" si="101">AN199-AS199</f>
        <v>-1</v>
      </c>
      <c r="AU199" s="2" t="str">
        <f t="shared" si="83"/>
        <v>erreur de calcul</v>
      </c>
      <c r="AV199" s="2"/>
    </row>
    <row r="200" spans="1:48" ht="16.5">
      <c r="A200" s="1" t="s">
        <v>12</v>
      </c>
      <c r="B200" s="3" t="s">
        <v>29</v>
      </c>
      <c r="C200" s="3" t="s">
        <v>219</v>
      </c>
      <c r="D200" s="4">
        <v>1789</v>
      </c>
      <c r="E200" s="3" t="s">
        <v>22</v>
      </c>
      <c r="F200" s="3" t="s">
        <v>22</v>
      </c>
      <c r="G200" s="31">
        <v>23</v>
      </c>
      <c r="H200" s="31" t="s">
        <v>176</v>
      </c>
      <c r="I200" s="5">
        <v>17</v>
      </c>
      <c r="J200" s="5"/>
      <c r="K200" s="6"/>
      <c r="L200" s="11">
        <f t="shared" si="98"/>
        <v>17</v>
      </c>
      <c r="M200" s="7" t="s">
        <v>14</v>
      </c>
      <c r="N200" s="31"/>
      <c r="O200" s="9"/>
      <c r="P200" s="9" t="str">
        <f t="shared" si="84"/>
        <v/>
      </c>
      <c r="Q200" s="9"/>
      <c r="R200" s="30">
        <f t="shared" si="85"/>
        <v>0</v>
      </c>
      <c r="S200" s="9"/>
      <c r="T200" s="30">
        <f t="shared" si="86"/>
        <v>0</v>
      </c>
      <c r="U200" s="9"/>
      <c r="V200" s="30">
        <f t="shared" si="87"/>
        <v>0</v>
      </c>
      <c r="W200" s="9">
        <f>7736/100</f>
        <v>77.36</v>
      </c>
      <c r="X200" s="30">
        <v>1315</v>
      </c>
      <c r="Y200" s="9"/>
      <c r="Z200" s="30">
        <f t="shared" si="96"/>
        <v>0</v>
      </c>
      <c r="AA200" s="9"/>
      <c r="AB200" s="30">
        <f t="shared" si="97"/>
        <v>0</v>
      </c>
      <c r="AC200" s="9"/>
      <c r="AD200" s="30">
        <f t="shared" si="88"/>
        <v>0</v>
      </c>
      <c r="AE200" s="9"/>
      <c r="AF200" s="30">
        <f t="shared" si="89"/>
        <v>0</v>
      </c>
      <c r="AG200" s="9"/>
      <c r="AH200" s="30">
        <f t="shared" si="90"/>
        <v>0</v>
      </c>
      <c r="AI200" s="9"/>
      <c r="AJ200" s="30">
        <f t="shared" si="91"/>
        <v>0</v>
      </c>
      <c r="AK200" s="9"/>
      <c r="AL200" s="30">
        <f t="shared" si="92"/>
        <v>0</v>
      </c>
      <c r="AM200" s="10">
        <f>7736/100</f>
        <v>77.36</v>
      </c>
      <c r="AN200" s="31">
        <v>1315</v>
      </c>
      <c r="AO200" s="15">
        <f t="shared" si="93"/>
        <v>1315</v>
      </c>
      <c r="AP200" s="9">
        <f t="shared" si="99"/>
        <v>0</v>
      </c>
      <c r="AQ200" s="28">
        <f t="shared" si="94"/>
        <v>77.36</v>
      </c>
      <c r="AR200" s="8">
        <f t="shared" si="100"/>
        <v>0</v>
      </c>
      <c r="AS200" s="29">
        <f t="shared" si="82"/>
        <v>1315.12</v>
      </c>
      <c r="AT200" s="13">
        <f t="shared" si="101"/>
        <v>-0.11999999999989086</v>
      </c>
      <c r="AU200" s="2" t="str">
        <f t="shared" si="83"/>
        <v>erreur de calcul</v>
      </c>
      <c r="AV200" s="2"/>
    </row>
    <row r="201" spans="1:48" ht="16.5">
      <c r="A201" s="1" t="s">
        <v>12</v>
      </c>
      <c r="B201" s="3" t="s">
        <v>29</v>
      </c>
      <c r="C201" s="3" t="s">
        <v>219</v>
      </c>
      <c r="D201" s="4">
        <v>1789</v>
      </c>
      <c r="E201" s="3" t="s">
        <v>22</v>
      </c>
      <c r="F201" s="3" t="s">
        <v>22</v>
      </c>
      <c r="G201" s="31">
        <v>23</v>
      </c>
      <c r="H201" s="31" t="s">
        <v>177</v>
      </c>
      <c r="I201" s="5">
        <v>50</v>
      </c>
      <c r="J201" s="5"/>
      <c r="K201" s="6"/>
      <c r="L201" s="11">
        <f t="shared" si="98"/>
        <v>50</v>
      </c>
      <c r="M201" s="7" t="s">
        <v>14</v>
      </c>
      <c r="N201" s="31" t="s">
        <v>23</v>
      </c>
      <c r="O201" s="9">
        <f>8922/100</f>
        <v>89.22</v>
      </c>
      <c r="P201" s="9">
        <v>4461</v>
      </c>
      <c r="Q201" s="9">
        <f>12829/100</f>
        <v>128.29</v>
      </c>
      <c r="R201" s="30">
        <v>6414</v>
      </c>
      <c r="S201" s="9"/>
      <c r="T201" s="30">
        <f t="shared" si="86"/>
        <v>0</v>
      </c>
      <c r="U201" s="9">
        <f>318042/100</f>
        <v>3180.42</v>
      </c>
      <c r="V201" s="30">
        <v>159021</v>
      </c>
      <c r="W201" s="9">
        <f>22790/100</f>
        <v>227.9</v>
      </c>
      <c r="X201" s="30">
        <v>11395</v>
      </c>
      <c r="Y201" s="9">
        <f>326146/100</f>
        <v>3261.46</v>
      </c>
      <c r="Z201" s="30">
        <v>163073</v>
      </c>
      <c r="AA201" s="9"/>
      <c r="AB201" s="30">
        <f t="shared" si="97"/>
        <v>0</v>
      </c>
      <c r="AC201" s="9">
        <f>1414/100</f>
        <v>14.14</v>
      </c>
      <c r="AD201" s="30">
        <v>707</v>
      </c>
      <c r="AE201" s="9"/>
      <c r="AF201" s="30">
        <f t="shared" si="89"/>
        <v>0</v>
      </c>
      <c r="AG201" s="9">
        <f>5670/100</f>
        <v>56.7</v>
      </c>
      <c r="AH201" s="30">
        <v>2835</v>
      </c>
      <c r="AI201" s="9">
        <f>272769/100</f>
        <v>2727.69</v>
      </c>
      <c r="AJ201" s="30">
        <v>136384</v>
      </c>
      <c r="AK201" s="9">
        <f>11142/100</f>
        <v>111.42</v>
      </c>
      <c r="AL201" s="30">
        <v>5571</v>
      </c>
      <c r="AM201" s="10">
        <f>970802/100</f>
        <v>9708.02</v>
      </c>
      <c r="AN201" s="31">
        <v>485400</v>
      </c>
      <c r="AO201" s="15">
        <f t="shared" si="93"/>
        <v>485400</v>
      </c>
      <c r="AP201" s="9">
        <f t="shared" si="99"/>
        <v>0</v>
      </c>
      <c r="AQ201" s="28">
        <f t="shared" si="94"/>
        <v>9708.02</v>
      </c>
      <c r="AR201" s="8">
        <f t="shared" si="100"/>
        <v>0</v>
      </c>
      <c r="AS201" s="29">
        <f t="shared" si="82"/>
        <v>485401</v>
      </c>
      <c r="AT201" s="13">
        <f t="shared" si="101"/>
        <v>-1</v>
      </c>
      <c r="AU201" s="2" t="str">
        <f t="shared" si="83"/>
        <v>erreur de calcul</v>
      </c>
      <c r="AV201" s="2"/>
    </row>
    <row r="202" spans="1:48" ht="16.5">
      <c r="A202" s="1" t="s">
        <v>12</v>
      </c>
      <c r="B202" s="3" t="s">
        <v>29</v>
      </c>
      <c r="C202" s="3" t="s">
        <v>219</v>
      </c>
      <c r="D202" s="4">
        <v>1789</v>
      </c>
      <c r="E202" s="3" t="s">
        <v>22</v>
      </c>
      <c r="F202" s="3" t="s">
        <v>22</v>
      </c>
      <c r="G202" s="31">
        <v>23</v>
      </c>
      <c r="H202" s="31" t="s">
        <v>178</v>
      </c>
      <c r="I202" s="5">
        <v>65</v>
      </c>
      <c r="J202" s="5"/>
      <c r="K202" s="6"/>
      <c r="L202" s="11">
        <f t="shared" si="98"/>
        <v>65</v>
      </c>
      <c r="M202" s="7" t="s">
        <v>14</v>
      </c>
      <c r="N202" s="31"/>
      <c r="O202" s="9"/>
      <c r="P202" s="9" t="str">
        <f t="shared" si="84"/>
        <v/>
      </c>
      <c r="Q202" s="9"/>
      <c r="R202" s="30">
        <f t="shared" si="85"/>
        <v>0</v>
      </c>
      <c r="S202" s="9"/>
      <c r="T202" s="30">
        <f t="shared" si="86"/>
        <v>0</v>
      </c>
      <c r="U202" s="9">
        <f>700/100</f>
        <v>7</v>
      </c>
      <c r="V202" s="30">
        <v>455</v>
      </c>
      <c r="W202" s="9"/>
      <c r="X202" s="30">
        <f t="shared" si="95"/>
        <v>0</v>
      </c>
      <c r="Y202" s="9"/>
      <c r="Z202" s="30">
        <f t="shared" si="96"/>
        <v>0</v>
      </c>
      <c r="AA202" s="9"/>
      <c r="AB202" s="30">
        <f t="shared" si="97"/>
        <v>0</v>
      </c>
      <c r="AC202" s="9">
        <f>400/100</f>
        <v>4</v>
      </c>
      <c r="AD202" s="30">
        <v>260</v>
      </c>
      <c r="AE202" s="9"/>
      <c r="AF202" s="30">
        <f t="shared" si="89"/>
        <v>0</v>
      </c>
      <c r="AG202" s="9">
        <f>65300/100</f>
        <v>653</v>
      </c>
      <c r="AH202" s="30">
        <v>42445</v>
      </c>
      <c r="AI202" s="9"/>
      <c r="AJ202" s="30">
        <f t="shared" si="91"/>
        <v>0</v>
      </c>
      <c r="AK202" s="9">
        <f>3800/100</f>
        <v>38</v>
      </c>
      <c r="AL202" s="30">
        <v>2470</v>
      </c>
      <c r="AM202" s="10">
        <f>70200/100</f>
        <v>702</v>
      </c>
      <c r="AN202" s="31">
        <v>45630</v>
      </c>
      <c r="AO202" s="15">
        <f t="shared" si="93"/>
        <v>45630</v>
      </c>
      <c r="AP202" s="9">
        <f t="shared" si="99"/>
        <v>0</v>
      </c>
      <c r="AQ202" s="28">
        <f t="shared" si="94"/>
        <v>702</v>
      </c>
      <c r="AR202" s="8">
        <f t="shared" si="100"/>
        <v>0</v>
      </c>
      <c r="AS202" s="29">
        <f t="shared" si="82"/>
        <v>45630</v>
      </c>
      <c r="AT202" s="13">
        <f t="shared" si="101"/>
        <v>0</v>
      </c>
      <c r="AU202" s="2" t="str">
        <f t="shared" si="83"/>
        <v/>
      </c>
      <c r="AV202" s="2"/>
    </row>
    <row r="203" spans="1:48" ht="16.5">
      <c r="A203" s="1" t="s">
        <v>12</v>
      </c>
      <c r="B203" s="3" t="s">
        <v>29</v>
      </c>
      <c r="C203" s="3" t="s">
        <v>219</v>
      </c>
      <c r="D203" s="4">
        <v>1789</v>
      </c>
      <c r="E203" s="3" t="s">
        <v>22</v>
      </c>
      <c r="F203" s="3" t="s">
        <v>22</v>
      </c>
      <c r="G203" s="31">
        <v>23</v>
      </c>
      <c r="H203" s="31" t="s">
        <v>58</v>
      </c>
      <c r="I203" s="5"/>
      <c r="J203" s="5"/>
      <c r="K203" s="6"/>
      <c r="L203" s="11">
        <f t="shared" si="98"/>
        <v>0</v>
      </c>
      <c r="M203" s="7"/>
      <c r="N203" s="31"/>
      <c r="O203" s="9"/>
      <c r="P203" s="9" t="str">
        <f t="shared" si="84"/>
        <v/>
      </c>
      <c r="Q203" s="9"/>
      <c r="R203" s="30">
        <f t="shared" si="85"/>
        <v>0</v>
      </c>
      <c r="S203" s="9"/>
      <c r="T203" s="30">
        <f t="shared" si="86"/>
        <v>0</v>
      </c>
      <c r="U203" s="9"/>
      <c r="V203" s="30">
        <v>1148</v>
      </c>
      <c r="W203" s="9"/>
      <c r="X203" s="30">
        <v>300</v>
      </c>
      <c r="Y203" s="9"/>
      <c r="Z203" s="30">
        <f t="shared" si="96"/>
        <v>0</v>
      </c>
      <c r="AA203" s="9"/>
      <c r="AB203" s="30">
        <f t="shared" si="97"/>
        <v>0</v>
      </c>
      <c r="AC203" s="9"/>
      <c r="AD203" s="30">
        <f t="shared" si="88"/>
        <v>0</v>
      </c>
      <c r="AE203" s="9"/>
      <c r="AF203" s="30">
        <f t="shared" si="89"/>
        <v>0</v>
      </c>
      <c r="AG203" s="9"/>
      <c r="AH203" s="30">
        <f t="shared" si="90"/>
        <v>0</v>
      </c>
      <c r="AI203" s="9"/>
      <c r="AJ203" s="30">
        <f t="shared" si="91"/>
        <v>0</v>
      </c>
      <c r="AK203" s="9"/>
      <c r="AL203" s="30">
        <f t="shared" si="92"/>
        <v>0</v>
      </c>
      <c r="AM203" s="10"/>
      <c r="AN203" s="31">
        <v>1448</v>
      </c>
      <c r="AO203" s="15">
        <f t="shared" si="93"/>
        <v>1448</v>
      </c>
      <c r="AP203" s="9">
        <f t="shared" si="99"/>
        <v>0</v>
      </c>
      <c r="AQ203" s="28">
        <f t="shared" si="94"/>
        <v>0</v>
      </c>
      <c r="AR203" s="8">
        <f t="shared" si="100"/>
        <v>0</v>
      </c>
      <c r="AS203" s="29">
        <f t="shared" si="82"/>
        <v>0</v>
      </c>
      <c r="AT203" s="13">
        <f t="shared" si="101"/>
        <v>1448</v>
      </c>
      <c r="AU203" s="2" t="str">
        <f t="shared" si="83"/>
        <v>pas de prix, ni de quantité</v>
      </c>
      <c r="AV203" s="2"/>
    </row>
    <row r="204" spans="1:48" ht="16.5">
      <c r="A204" s="1" t="s">
        <v>12</v>
      </c>
      <c r="B204" s="3" t="s">
        <v>29</v>
      </c>
      <c r="C204" s="3" t="s">
        <v>219</v>
      </c>
      <c r="D204" s="4">
        <v>1789</v>
      </c>
      <c r="E204" s="3" t="s">
        <v>22</v>
      </c>
      <c r="F204" s="3" t="s">
        <v>22</v>
      </c>
      <c r="G204" s="31">
        <v>23</v>
      </c>
      <c r="H204" s="31" t="s">
        <v>179</v>
      </c>
      <c r="I204" s="5"/>
      <c r="J204" s="5"/>
      <c r="K204" s="6"/>
      <c r="L204" s="11">
        <f t="shared" si="98"/>
        <v>0</v>
      </c>
      <c r="M204" s="7"/>
      <c r="N204" s="31"/>
      <c r="O204" s="9"/>
      <c r="P204" s="9" t="str">
        <f t="shared" si="84"/>
        <v/>
      </c>
      <c r="Q204" s="9"/>
      <c r="R204" s="30">
        <f t="shared" si="85"/>
        <v>0</v>
      </c>
      <c r="S204" s="9"/>
      <c r="T204" s="30">
        <f t="shared" si="86"/>
        <v>0</v>
      </c>
      <c r="U204" s="9"/>
      <c r="V204" s="30">
        <v>1500</v>
      </c>
      <c r="W204" s="9"/>
      <c r="X204" s="30">
        <f t="shared" si="95"/>
        <v>0</v>
      </c>
      <c r="Y204" s="9"/>
      <c r="Z204" s="30">
        <f t="shared" si="96"/>
        <v>0</v>
      </c>
      <c r="AA204" s="9"/>
      <c r="AB204" s="30">
        <f t="shared" si="97"/>
        <v>0</v>
      </c>
      <c r="AC204" s="9"/>
      <c r="AD204" s="30">
        <f t="shared" si="88"/>
        <v>0</v>
      </c>
      <c r="AE204" s="9"/>
      <c r="AF204" s="30">
        <f t="shared" si="89"/>
        <v>0</v>
      </c>
      <c r="AG204" s="9"/>
      <c r="AH204" s="30">
        <f t="shared" si="90"/>
        <v>0</v>
      </c>
      <c r="AI204" s="9"/>
      <c r="AJ204" s="30">
        <f t="shared" si="91"/>
        <v>0</v>
      </c>
      <c r="AK204" s="9"/>
      <c r="AL204" s="30">
        <f t="shared" si="92"/>
        <v>0</v>
      </c>
      <c r="AM204" s="10"/>
      <c r="AN204" s="31">
        <v>1500</v>
      </c>
      <c r="AO204" s="15">
        <f t="shared" si="93"/>
        <v>1500</v>
      </c>
      <c r="AP204" s="9">
        <f t="shared" si="99"/>
        <v>0</v>
      </c>
      <c r="AQ204" s="28">
        <f t="shared" si="94"/>
        <v>0</v>
      </c>
      <c r="AR204" s="8">
        <f t="shared" si="100"/>
        <v>0</v>
      </c>
      <c r="AS204" s="29">
        <f t="shared" si="82"/>
        <v>0</v>
      </c>
      <c r="AT204" s="13">
        <f t="shared" si="101"/>
        <v>1500</v>
      </c>
      <c r="AU204" s="2" t="str">
        <f t="shared" si="83"/>
        <v>pas de prix, ni de quantité</v>
      </c>
      <c r="AV204" s="2"/>
    </row>
    <row r="205" spans="1:48" ht="16.5">
      <c r="A205" s="1" t="s">
        <v>12</v>
      </c>
      <c r="B205" s="3" t="s">
        <v>29</v>
      </c>
      <c r="C205" s="3" t="s">
        <v>219</v>
      </c>
      <c r="D205" s="4">
        <v>1789</v>
      </c>
      <c r="E205" s="3" t="s">
        <v>22</v>
      </c>
      <c r="F205" s="3" t="s">
        <v>22</v>
      </c>
      <c r="G205" s="31">
        <v>23</v>
      </c>
      <c r="H205" s="31" t="s">
        <v>180</v>
      </c>
      <c r="I205" s="5">
        <v>30</v>
      </c>
      <c r="J205" s="5"/>
      <c r="K205" s="6"/>
      <c r="L205" s="11">
        <f t="shared" si="98"/>
        <v>30</v>
      </c>
      <c r="M205" s="7" t="s">
        <v>14</v>
      </c>
      <c r="N205" s="31"/>
      <c r="O205" s="9"/>
      <c r="P205" s="9" t="str">
        <f t="shared" si="84"/>
        <v/>
      </c>
      <c r="Q205" s="9">
        <f>2000/100</f>
        <v>20</v>
      </c>
      <c r="R205" s="30">
        <v>600</v>
      </c>
      <c r="S205" s="9"/>
      <c r="T205" s="30">
        <f t="shared" si="86"/>
        <v>0</v>
      </c>
      <c r="U205" s="9">
        <f>84021/100</f>
        <v>840.21</v>
      </c>
      <c r="V205" s="30">
        <v>25206</v>
      </c>
      <c r="W205" s="9">
        <f>5004068/100</f>
        <v>50040.68</v>
      </c>
      <c r="X205" s="30">
        <v>1501220</v>
      </c>
      <c r="Y205" s="9"/>
      <c r="Z205" s="30">
        <f t="shared" si="96"/>
        <v>0</v>
      </c>
      <c r="AA205" s="9"/>
      <c r="AB205" s="30">
        <f t="shared" si="97"/>
        <v>0</v>
      </c>
      <c r="AC205" s="9"/>
      <c r="AD205" s="30">
        <f t="shared" si="88"/>
        <v>0</v>
      </c>
      <c r="AE205" s="9"/>
      <c r="AF205" s="30">
        <f t="shared" si="89"/>
        <v>0</v>
      </c>
      <c r="AG205" s="9"/>
      <c r="AH205" s="30">
        <f t="shared" si="90"/>
        <v>0</v>
      </c>
      <c r="AI205" s="9"/>
      <c r="AJ205" s="30">
        <f t="shared" si="91"/>
        <v>0</v>
      </c>
      <c r="AK205" s="9">
        <f>7552220/100</f>
        <v>75522.2</v>
      </c>
      <c r="AL205" s="30">
        <v>2265666</v>
      </c>
      <c r="AM205" s="10">
        <f>12642309/100</f>
        <v>126423.09</v>
      </c>
      <c r="AN205" s="31">
        <v>3792692</v>
      </c>
      <c r="AO205" s="15">
        <f t="shared" si="93"/>
        <v>3792692</v>
      </c>
      <c r="AP205" s="9">
        <f t="shared" si="99"/>
        <v>0</v>
      </c>
      <c r="AQ205" s="28">
        <f t="shared" si="94"/>
        <v>126423.09</v>
      </c>
      <c r="AR205" s="8">
        <f t="shared" si="100"/>
        <v>0</v>
      </c>
      <c r="AS205" s="29">
        <f t="shared" si="82"/>
        <v>3792692.6999999997</v>
      </c>
      <c r="AT205" s="13">
        <f t="shared" si="101"/>
        <v>-0.69999999972060323</v>
      </c>
      <c r="AU205" s="2" t="str">
        <f t="shared" si="83"/>
        <v>erreur de calcul</v>
      </c>
      <c r="AV205" s="2"/>
    </row>
    <row r="206" spans="1:48" ht="16.5">
      <c r="A206" s="1" t="s">
        <v>12</v>
      </c>
      <c r="B206" s="3" t="s">
        <v>29</v>
      </c>
      <c r="C206" s="3" t="s">
        <v>219</v>
      </c>
      <c r="D206" s="4">
        <v>1789</v>
      </c>
      <c r="E206" s="3" t="s">
        <v>22</v>
      </c>
      <c r="F206" s="3" t="s">
        <v>22</v>
      </c>
      <c r="G206" s="31">
        <v>24</v>
      </c>
      <c r="H206" s="31" t="s">
        <v>59</v>
      </c>
      <c r="I206" s="5">
        <v>6</v>
      </c>
      <c r="J206" s="5"/>
      <c r="K206" s="6"/>
      <c r="L206" s="11">
        <f t="shared" si="98"/>
        <v>6</v>
      </c>
      <c r="M206" s="7" t="s">
        <v>15</v>
      </c>
      <c r="N206" s="31"/>
      <c r="O206" s="9"/>
      <c r="P206" s="9" t="str">
        <f t="shared" si="84"/>
        <v/>
      </c>
      <c r="Q206" s="9"/>
      <c r="R206" s="30">
        <f t="shared" si="85"/>
        <v>0</v>
      </c>
      <c r="S206" s="9"/>
      <c r="T206" s="30">
        <f t="shared" si="86"/>
        <v>0</v>
      </c>
      <c r="U206" s="9">
        <v>150</v>
      </c>
      <c r="V206" s="30">
        <v>900</v>
      </c>
      <c r="W206" s="9">
        <v>424</v>
      </c>
      <c r="X206" s="30">
        <v>2544</v>
      </c>
      <c r="Y206" s="9"/>
      <c r="Z206" s="30">
        <f t="shared" si="96"/>
        <v>0</v>
      </c>
      <c r="AA206" s="9"/>
      <c r="AB206" s="30">
        <f t="shared" si="97"/>
        <v>0</v>
      </c>
      <c r="AC206" s="9"/>
      <c r="AD206" s="30">
        <f t="shared" si="88"/>
        <v>0</v>
      </c>
      <c r="AE206" s="9"/>
      <c r="AF206" s="30">
        <f t="shared" si="89"/>
        <v>0</v>
      </c>
      <c r="AG206" s="9"/>
      <c r="AH206" s="30">
        <f t="shared" si="90"/>
        <v>0</v>
      </c>
      <c r="AI206" s="9"/>
      <c r="AJ206" s="30">
        <f t="shared" si="91"/>
        <v>0</v>
      </c>
      <c r="AK206" s="9"/>
      <c r="AL206" s="30">
        <f t="shared" si="92"/>
        <v>0</v>
      </c>
      <c r="AM206" s="10">
        <v>574</v>
      </c>
      <c r="AN206" s="31">
        <v>3444</v>
      </c>
      <c r="AO206" s="15">
        <f t="shared" si="93"/>
        <v>3444</v>
      </c>
      <c r="AP206" s="9">
        <f t="shared" si="99"/>
        <v>0</v>
      </c>
      <c r="AQ206" s="28">
        <f t="shared" si="94"/>
        <v>574</v>
      </c>
      <c r="AR206" s="8">
        <f t="shared" si="100"/>
        <v>0</v>
      </c>
      <c r="AS206" s="29">
        <f t="shared" si="82"/>
        <v>3444</v>
      </c>
      <c r="AT206" s="13">
        <f t="shared" si="101"/>
        <v>0</v>
      </c>
      <c r="AU206" s="2" t="str">
        <f t="shared" si="83"/>
        <v/>
      </c>
      <c r="AV206" s="2"/>
    </row>
    <row r="207" spans="1:48" ht="16.5">
      <c r="A207" s="1" t="s">
        <v>12</v>
      </c>
      <c r="B207" s="3" t="s">
        <v>29</v>
      </c>
      <c r="C207" s="3" t="s">
        <v>219</v>
      </c>
      <c r="D207" s="4">
        <v>1789</v>
      </c>
      <c r="E207" s="3" t="s">
        <v>22</v>
      </c>
      <c r="F207" s="3" t="s">
        <v>22</v>
      </c>
      <c r="G207" s="31">
        <v>24</v>
      </c>
      <c r="H207" s="31" t="s">
        <v>181</v>
      </c>
      <c r="I207" s="5">
        <v>2</v>
      </c>
      <c r="J207" s="5"/>
      <c r="K207" s="6"/>
      <c r="L207" s="11">
        <f t="shared" si="98"/>
        <v>2</v>
      </c>
      <c r="M207" s="7" t="s">
        <v>20</v>
      </c>
      <c r="N207" s="31"/>
      <c r="O207" s="9"/>
      <c r="P207" s="9" t="str">
        <f t="shared" si="84"/>
        <v/>
      </c>
      <c r="Q207" s="9"/>
      <c r="R207" s="30">
        <f t="shared" si="85"/>
        <v>0</v>
      </c>
      <c r="S207" s="9"/>
      <c r="T207" s="30">
        <f t="shared" si="86"/>
        <v>0</v>
      </c>
      <c r="U207" s="9"/>
      <c r="V207" s="30">
        <f t="shared" si="87"/>
        <v>0</v>
      </c>
      <c r="W207" s="9">
        <v>700</v>
      </c>
      <c r="X207" s="30">
        <v>1400</v>
      </c>
      <c r="Y207" s="9"/>
      <c r="Z207" s="30">
        <f t="shared" si="96"/>
        <v>0</v>
      </c>
      <c r="AA207" s="9"/>
      <c r="AB207" s="30">
        <f t="shared" si="97"/>
        <v>0</v>
      </c>
      <c r="AC207" s="9"/>
      <c r="AD207" s="30">
        <f t="shared" si="88"/>
        <v>0</v>
      </c>
      <c r="AE207" s="9"/>
      <c r="AF207" s="30">
        <f t="shared" si="89"/>
        <v>0</v>
      </c>
      <c r="AG207" s="9"/>
      <c r="AH207" s="30">
        <f t="shared" si="90"/>
        <v>0</v>
      </c>
      <c r="AI207" s="9"/>
      <c r="AJ207" s="30">
        <f t="shared" si="91"/>
        <v>0</v>
      </c>
      <c r="AK207" s="9"/>
      <c r="AL207" s="30">
        <f t="shared" si="92"/>
        <v>0</v>
      </c>
      <c r="AM207" s="10">
        <v>700</v>
      </c>
      <c r="AN207" s="31">
        <v>1400</v>
      </c>
      <c r="AO207" s="15">
        <f t="shared" si="93"/>
        <v>1400</v>
      </c>
      <c r="AP207" s="9">
        <f t="shared" si="99"/>
        <v>0</v>
      </c>
      <c r="AQ207" s="28">
        <f t="shared" si="94"/>
        <v>700</v>
      </c>
      <c r="AR207" s="8">
        <f t="shared" si="100"/>
        <v>0</v>
      </c>
      <c r="AS207" s="29">
        <f t="shared" si="82"/>
        <v>1400</v>
      </c>
      <c r="AT207" s="13">
        <f t="shared" si="101"/>
        <v>0</v>
      </c>
      <c r="AU207" s="2" t="str">
        <f t="shared" si="83"/>
        <v/>
      </c>
      <c r="AV207" s="2"/>
    </row>
    <row r="208" spans="1:48" ht="16.5">
      <c r="A208" s="1" t="s">
        <v>12</v>
      </c>
      <c r="B208" s="3" t="s">
        <v>29</v>
      </c>
      <c r="C208" s="3" t="s">
        <v>219</v>
      </c>
      <c r="D208" s="4">
        <v>1789</v>
      </c>
      <c r="E208" s="3" t="s">
        <v>22</v>
      </c>
      <c r="F208" s="3" t="s">
        <v>22</v>
      </c>
      <c r="G208" s="31">
        <v>24</v>
      </c>
      <c r="H208" s="31" t="s">
        <v>272</v>
      </c>
      <c r="I208" s="5"/>
      <c r="J208" s="5"/>
      <c r="K208" s="6"/>
      <c r="L208" s="11">
        <f t="shared" si="98"/>
        <v>0</v>
      </c>
      <c r="M208" s="7"/>
      <c r="N208" s="31"/>
      <c r="O208" s="9"/>
      <c r="P208" s="9" t="str">
        <f t="shared" si="84"/>
        <v/>
      </c>
      <c r="Q208" s="9"/>
      <c r="R208" s="30">
        <f t="shared" si="85"/>
        <v>0</v>
      </c>
      <c r="S208" s="9"/>
      <c r="T208" s="30">
        <f t="shared" si="86"/>
        <v>0</v>
      </c>
      <c r="U208" s="9"/>
      <c r="V208" s="30">
        <v>6300</v>
      </c>
      <c r="W208" s="9"/>
      <c r="X208" s="30">
        <f t="shared" si="95"/>
        <v>0</v>
      </c>
      <c r="Y208" s="9"/>
      <c r="Z208" s="30">
        <f t="shared" si="96"/>
        <v>0</v>
      </c>
      <c r="AA208" s="9"/>
      <c r="AB208" s="30">
        <f t="shared" si="97"/>
        <v>0</v>
      </c>
      <c r="AC208" s="9"/>
      <c r="AD208" s="30">
        <f t="shared" si="88"/>
        <v>0</v>
      </c>
      <c r="AE208" s="9"/>
      <c r="AF208" s="30">
        <f t="shared" si="89"/>
        <v>0</v>
      </c>
      <c r="AG208" s="9"/>
      <c r="AH208" s="30">
        <f t="shared" si="90"/>
        <v>0</v>
      </c>
      <c r="AI208" s="9"/>
      <c r="AJ208" s="30">
        <f t="shared" si="91"/>
        <v>0</v>
      </c>
      <c r="AK208" s="9"/>
      <c r="AL208" s="30">
        <f t="shared" si="92"/>
        <v>0</v>
      </c>
      <c r="AM208" s="10"/>
      <c r="AN208" s="31">
        <v>6300</v>
      </c>
      <c r="AO208" s="15">
        <f t="shared" si="93"/>
        <v>6300</v>
      </c>
      <c r="AP208" s="9">
        <f t="shared" si="99"/>
        <v>0</v>
      </c>
      <c r="AQ208" s="28">
        <f t="shared" si="94"/>
        <v>0</v>
      </c>
      <c r="AR208" s="8">
        <f t="shared" si="100"/>
        <v>0</v>
      </c>
      <c r="AS208" s="29">
        <f t="shared" si="82"/>
        <v>0</v>
      </c>
      <c r="AT208" s="13">
        <f t="shared" si="101"/>
        <v>6300</v>
      </c>
      <c r="AU208" s="2" t="str">
        <f t="shared" si="83"/>
        <v>pas de prix, ni de quantité</v>
      </c>
      <c r="AV208" s="2"/>
    </row>
    <row r="209" spans="1:48" ht="16.5">
      <c r="A209" s="1" t="s">
        <v>12</v>
      </c>
      <c r="B209" s="3" t="s">
        <v>29</v>
      </c>
      <c r="C209" s="3" t="s">
        <v>219</v>
      </c>
      <c r="D209" s="4">
        <v>1789</v>
      </c>
      <c r="E209" s="3" t="s">
        <v>22</v>
      </c>
      <c r="F209" s="3" t="s">
        <v>22</v>
      </c>
      <c r="G209" s="31">
        <v>24</v>
      </c>
      <c r="H209" s="31" t="s">
        <v>182</v>
      </c>
      <c r="I209" s="5">
        <v>24</v>
      </c>
      <c r="J209" s="5"/>
      <c r="K209" s="6"/>
      <c r="L209" s="11">
        <f t="shared" si="98"/>
        <v>24</v>
      </c>
      <c r="M209" s="7" t="s">
        <v>41</v>
      </c>
      <c r="N209" s="31"/>
      <c r="O209" s="9"/>
      <c r="P209" s="9" t="str">
        <f t="shared" si="84"/>
        <v/>
      </c>
      <c r="Q209" s="9"/>
      <c r="R209" s="30">
        <f t="shared" si="85"/>
        <v>0</v>
      </c>
      <c r="S209" s="9"/>
      <c r="T209" s="30">
        <f t="shared" si="86"/>
        <v>0</v>
      </c>
      <c r="U209" s="9"/>
      <c r="V209" s="30">
        <f t="shared" si="87"/>
        <v>0</v>
      </c>
      <c r="W209" s="9"/>
      <c r="X209" s="30">
        <f t="shared" si="95"/>
        <v>0</v>
      </c>
      <c r="Y209" s="9"/>
      <c r="Z209" s="30">
        <f t="shared" si="96"/>
        <v>0</v>
      </c>
      <c r="AA209" s="9">
        <v>60</v>
      </c>
      <c r="AB209" s="30">
        <v>1440</v>
      </c>
      <c r="AC209" s="9"/>
      <c r="AD209" s="30">
        <f t="shared" si="88"/>
        <v>0</v>
      </c>
      <c r="AE209" s="9"/>
      <c r="AF209" s="30">
        <f t="shared" si="89"/>
        <v>0</v>
      </c>
      <c r="AG209" s="9"/>
      <c r="AH209" s="30">
        <f t="shared" si="90"/>
        <v>0</v>
      </c>
      <c r="AI209" s="9"/>
      <c r="AJ209" s="30">
        <f t="shared" si="91"/>
        <v>0</v>
      </c>
      <c r="AK209" s="9"/>
      <c r="AL209" s="30">
        <f t="shared" si="92"/>
        <v>0</v>
      </c>
      <c r="AM209" s="10">
        <v>60</v>
      </c>
      <c r="AN209" s="31">
        <v>1440</v>
      </c>
      <c r="AO209" s="15">
        <f t="shared" si="93"/>
        <v>1440</v>
      </c>
      <c r="AP209" s="9">
        <f t="shared" si="99"/>
        <v>0</v>
      </c>
      <c r="AQ209" s="28">
        <f t="shared" si="94"/>
        <v>60</v>
      </c>
      <c r="AR209" s="8">
        <f t="shared" si="100"/>
        <v>0</v>
      </c>
      <c r="AS209" s="29">
        <f t="shared" si="82"/>
        <v>1440</v>
      </c>
      <c r="AT209" s="13">
        <f t="shared" si="101"/>
        <v>0</v>
      </c>
      <c r="AU209" s="2" t="str">
        <f t="shared" si="83"/>
        <v/>
      </c>
      <c r="AV209" s="2"/>
    </row>
    <row r="210" spans="1:48" ht="16.5">
      <c r="A210" s="1" t="s">
        <v>12</v>
      </c>
      <c r="B210" s="3" t="s">
        <v>29</v>
      </c>
      <c r="C210" s="3" t="s">
        <v>219</v>
      </c>
      <c r="D210" s="4">
        <v>1789</v>
      </c>
      <c r="E210" s="3" t="s">
        <v>22</v>
      </c>
      <c r="F210" s="3" t="s">
        <v>22</v>
      </c>
      <c r="G210" s="31">
        <v>24</v>
      </c>
      <c r="H210" s="31" t="s">
        <v>183</v>
      </c>
      <c r="I210" s="5"/>
      <c r="J210" s="5"/>
      <c r="K210" s="6"/>
      <c r="L210" s="11">
        <f t="shared" si="98"/>
        <v>0</v>
      </c>
      <c r="M210" s="7"/>
      <c r="N210" s="31"/>
      <c r="O210" s="9"/>
      <c r="P210" s="9" t="str">
        <f t="shared" si="84"/>
        <v/>
      </c>
      <c r="Q210" s="9"/>
      <c r="R210" s="30">
        <f t="shared" si="85"/>
        <v>0</v>
      </c>
      <c r="S210" s="9"/>
      <c r="T210" s="30">
        <f t="shared" si="86"/>
        <v>0</v>
      </c>
      <c r="U210" s="9"/>
      <c r="V210" s="30">
        <v>1450</v>
      </c>
      <c r="W210" s="9"/>
      <c r="X210" s="30">
        <f t="shared" si="95"/>
        <v>0</v>
      </c>
      <c r="Y210" s="9"/>
      <c r="Z210" s="30">
        <f t="shared" si="96"/>
        <v>0</v>
      </c>
      <c r="AA210" s="9"/>
      <c r="AB210" s="30">
        <f t="shared" si="97"/>
        <v>0</v>
      </c>
      <c r="AC210" s="9"/>
      <c r="AD210" s="30">
        <f t="shared" si="88"/>
        <v>0</v>
      </c>
      <c r="AE210" s="9"/>
      <c r="AF210" s="30">
        <f t="shared" si="89"/>
        <v>0</v>
      </c>
      <c r="AG210" s="9"/>
      <c r="AH210" s="30">
        <f t="shared" si="90"/>
        <v>0</v>
      </c>
      <c r="AI210" s="9"/>
      <c r="AJ210" s="30">
        <f t="shared" si="91"/>
        <v>0</v>
      </c>
      <c r="AK210" s="9"/>
      <c r="AL210" s="30">
        <f t="shared" si="92"/>
        <v>0</v>
      </c>
      <c r="AM210" s="10"/>
      <c r="AN210" s="31">
        <v>1450</v>
      </c>
      <c r="AO210" s="15">
        <f t="shared" si="93"/>
        <v>1450</v>
      </c>
      <c r="AP210" s="9">
        <f t="shared" si="99"/>
        <v>0</v>
      </c>
      <c r="AQ210" s="28">
        <f t="shared" si="94"/>
        <v>0</v>
      </c>
      <c r="AR210" s="8">
        <f t="shared" si="100"/>
        <v>0</v>
      </c>
      <c r="AS210" s="29">
        <f t="shared" si="82"/>
        <v>0</v>
      </c>
      <c r="AT210" s="13">
        <f t="shared" si="101"/>
        <v>1450</v>
      </c>
      <c r="AU210" s="2" t="str">
        <f t="shared" si="83"/>
        <v>pas de prix, ni de quantité</v>
      </c>
      <c r="AV210" s="2"/>
    </row>
    <row r="211" spans="1:48" ht="16.5">
      <c r="A211" s="1" t="s">
        <v>12</v>
      </c>
      <c r="B211" s="3" t="s">
        <v>29</v>
      </c>
      <c r="C211" s="3" t="s">
        <v>219</v>
      </c>
      <c r="D211" s="4">
        <v>1789</v>
      </c>
      <c r="E211" s="3" t="s">
        <v>22</v>
      </c>
      <c r="F211" s="3" t="s">
        <v>22</v>
      </c>
      <c r="G211" s="31">
        <v>24</v>
      </c>
      <c r="H211" s="31" t="s">
        <v>184</v>
      </c>
      <c r="I211" s="5">
        <v>3</v>
      </c>
      <c r="J211" s="5"/>
      <c r="K211" s="6"/>
      <c r="L211" s="11">
        <f t="shared" si="98"/>
        <v>3</v>
      </c>
      <c r="M211" s="7" t="s">
        <v>20</v>
      </c>
      <c r="N211" s="31"/>
      <c r="O211" s="9"/>
      <c r="P211" s="9" t="str">
        <f t="shared" si="84"/>
        <v/>
      </c>
      <c r="Q211" s="9"/>
      <c r="R211" s="30">
        <f t="shared" si="85"/>
        <v>0</v>
      </c>
      <c r="S211" s="9"/>
      <c r="T211" s="30">
        <f t="shared" si="86"/>
        <v>0</v>
      </c>
      <c r="U211" s="9">
        <v>6658</v>
      </c>
      <c r="V211" s="30">
        <v>19974</v>
      </c>
      <c r="W211" s="9"/>
      <c r="X211" s="30">
        <f t="shared" si="95"/>
        <v>0</v>
      </c>
      <c r="Y211" s="9"/>
      <c r="Z211" s="30">
        <f t="shared" si="96"/>
        <v>0</v>
      </c>
      <c r="AA211" s="9"/>
      <c r="AB211" s="30">
        <f t="shared" si="97"/>
        <v>0</v>
      </c>
      <c r="AC211" s="9"/>
      <c r="AD211" s="30">
        <f t="shared" si="88"/>
        <v>0</v>
      </c>
      <c r="AE211" s="9"/>
      <c r="AF211" s="30">
        <f t="shared" si="89"/>
        <v>0</v>
      </c>
      <c r="AG211" s="9"/>
      <c r="AH211" s="30">
        <f t="shared" si="90"/>
        <v>0</v>
      </c>
      <c r="AI211" s="9"/>
      <c r="AJ211" s="30">
        <f t="shared" si="91"/>
        <v>0</v>
      </c>
      <c r="AK211" s="9"/>
      <c r="AL211" s="30">
        <f t="shared" si="92"/>
        <v>0</v>
      </c>
      <c r="AM211" s="10">
        <v>6658</v>
      </c>
      <c r="AN211" s="31">
        <v>19974</v>
      </c>
      <c r="AO211" s="15">
        <f t="shared" si="93"/>
        <v>19974</v>
      </c>
      <c r="AP211" s="9">
        <f t="shared" si="99"/>
        <v>0</v>
      </c>
      <c r="AQ211" s="28">
        <f t="shared" si="94"/>
        <v>6658</v>
      </c>
      <c r="AR211" s="8">
        <f t="shared" si="100"/>
        <v>0</v>
      </c>
      <c r="AS211" s="29">
        <f t="shared" si="82"/>
        <v>19974</v>
      </c>
      <c r="AT211" s="13">
        <f t="shared" si="101"/>
        <v>0</v>
      </c>
      <c r="AU211" s="2" t="str">
        <f t="shared" si="83"/>
        <v/>
      </c>
      <c r="AV211" s="2"/>
    </row>
    <row r="212" spans="1:48" ht="16.5">
      <c r="A212" s="1" t="s">
        <v>12</v>
      </c>
      <c r="B212" s="3" t="s">
        <v>29</v>
      </c>
      <c r="C212" s="3" t="s">
        <v>219</v>
      </c>
      <c r="D212" s="4">
        <v>1789</v>
      </c>
      <c r="E212" s="3" t="s">
        <v>22</v>
      </c>
      <c r="F212" s="3" t="s">
        <v>22</v>
      </c>
      <c r="G212" s="31">
        <v>24</v>
      </c>
      <c r="H212" s="31" t="s">
        <v>185</v>
      </c>
      <c r="I212" s="5">
        <v>6</v>
      </c>
      <c r="J212" s="5"/>
      <c r="K212" s="6"/>
      <c r="L212" s="11">
        <f t="shared" si="98"/>
        <v>6</v>
      </c>
      <c r="M212" s="7" t="s">
        <v>20</v>
      </c>
      <c r="N212" s="31"/>
      <c r="O212" s="9"/>
      <c r="P212" s="9" t="str">
        <f t="shared" si="84"/>
        <v/>
      </c>
      <c r="Q212" s="9"/>
      <c r="R212" s="30">
        <f t="shared" si="85"/>
        <v>0</v>
      </c>
      <c r="S212" s="9"/>
      <c r="T212" s="30">
        <f t="shared" si="86"/>
        <v>0</v>
      </c>
      <c r="U212" s="9">
        <v>72</v>
      </c>
      <c r="V212" s="30">
        <v>432</v>
      </c>
      <c r="W212" s="9"/>
      <c r="X212" s="30">
        <f t="shared" si="95"/>
        <v>0</v>
      </c>
      <c r="Y212" s="9"/>
      <c r="Z212" s="30">
        <f t="shared" si="96"/>
        <v>0</v>
      </c>
      <c r="AA212" s="9"/>
      <c r="AB212" s="30">
        <f t="shared" si="97"/>
        <v>0</v>
      </c>
      <c r="AC212" s="9"/>
      <c r="AD212" s="30">
        <f t="shared" si="88"/>
        <v>0</v>
      </c>
      <c r="AE212" s="9"/>
      <c r="AF212" s="30">
        <f t="shared" si="89"/>
        <v>0</v>
      </c>
      <c r="AG212" s="9"/>
      <c r="AH212" s="30">
        <f t="shared" si="90"/>
        <v>0</v>
      </c>
      <c r="AI212" s="9"/>
      <c r="AJ212" s="30">
        <f t="shared" si="91"/>
        <v>0</v>
      </c>
      <c r="AK212" s="9"/>
      <c r="AL212" s="30">
        <f t="shared" si="92"/>
        <v>0</v>
      </c>
      <c r="AM212" s="10">
        <v>72</v>
      </c>
      <c r="AN212" s="31">
        <v>432</v>
      </c>
      <c r="AO212" s="15">
        <f t="shared" si="93"/>
        <v>432</v>
      </c>
      <c r="AP212" s="9">
        <f t="shared" si="99"/>
        <v>0</v>
      </c>
      <c r="AQ212" s="28">
        <f t="shared" si="94"/>
        <v>72</v>
      </c>
      <c r="AR212" s="8">
        <f t="shared" si="100"/>
        <v>0</v>
      </c>
      <c r="AS212" s="29">
        <f t="shared" si="82"/>
        <v>432</v>
      </c>
      <c r="AT212" s="13">
        <f t="shared" si="101"/>
        <v>0</v>
      </c>
      <c r="AU212" s="2" t="str">
        <f t="shared" si="83"/>
        <v/>
      </c>
      <c r="AV212" s="2"/>
    </row>
    <row r="213" spans="1:48" ht="16.5">
      <c r="A213" s="1" t="s">
        <v>12</v>
      </c>
      <c r="B213" s="3" t="s">
        <v>29</v>
      </c>
      <c r="C213" s="3" t="s">
        <v>219</v>
      </c>
      <c r="D213" s="4">
        <v>1789</v>
      </c>
      <c r="E213" s="3" t="s">
        <v>22</v>
      </c>
      <c r="F213" s="3" t="s">
        <v>22</v>
      </c>
      <c r="G213" s="31">
        <v>24</v>
      </c>
      <c r="H213" s="31" t="s">
        <v>300</v>
      </c>
      <c r="I213" s="5"/>
      <c r="J213" s="5"/>
      <c r="K213" s="6"/>
      <c r="L213" s="11">
        <f t="shared" si="98"/>
        <v>0</v>
      </c>
      <c r="M213" s="7"/>
      <c r="N213" s="31"/>
      <c r="O213" s="9"/>
      <c r="P213" s="9" t="str">
        <f t="shared" si="84"/>
        <v/>
      </c>
      <c r="Q213" s="9"/>
      <c r="R213" s="30">
        <v>1905</v>
      </c>
      <c r="S213" s="9"/>
      <c r="T213" s="30">
        <f t="shared" si="86"/>
        <v>0</v>
      </c>
      <c r="U213" s="9"/>
      <c r="V213" s="30">
        <f t="shared" si="87"/>
        <v>0</v>
      </c>
      <c r="W213" s="9"/>
      <c r="X213" s="30">
        <f t="shared" si="95"/>
        <v>0</v>
      </c>
      <c r="Y213" s="9"/>
      <c r="Z213" s="30">
        <f t="shared" si="96"/>
        <v>0</v>
      </c>
      <c r="AA213" s="9"/>
      <c r="AB213" s="30">
        <f t="shared" si="97"/>
        <v>0</v>
      </c>
      <c r="AC213" s="9"/>
      <c r="AD213" s="30">
        <f t="shared" si="88"/>
        <v>0</v>
      </c>
      <c r="AE213" s="9"/>
      <c r="AF213" s="30">
        <f t="shared" si="89"/>
        <v>0</v>
      </c>
      <c r="AG213" s="9"/>
      <c r="AH213" s="30">
        <f t="shared" si="90"/>
        <v>0</v>
      </c>
      <c r="AI213" s="9"/>
      <c r="AJ213" s="30">
        <f t="shared" si="91"/>
        <v>0</v>
      </c>
      <c r="AK213" s="9"/>
      <c r="AL213" s="30">
        <f t="shared" si="92"/>
        <v>0</v>
      </c>
      <c r="AM213" s="10"/>
      <c r="AN213" s="31">
        <v>1905</v>
      </c>
      <c r="AO213" s="15">
        <f t="shared" si="93"/>
        <v>1905</v>
      </c>
      <c r="AP213" s="9">
        <f t="shared" si="99"/>
        <v>0</v>
      </c>
      <c r="AQ213" s="28">
        <f t="shared" si="94"/>
        <v>0</v>
      </c>
      <c r="AR213" s="8">
        <f t="shared" si="100"/>
        <v>0</v>
      </c>
      <c r="AS213" s="29">
        <f t="shared" si="82"/>
        <v>0</v>
      </c>
      <c r="AT213" s="13">
        <f t="shared" si="101"/>
        <v>1905</v>
      </c>
      <c r="AU213" s="2" t="str">
        <f t="shared" si="83"/>
        <v>pas de prix, ni de quantité</v>
      </c>
      <c r="AV213" s="2"/>
    </row>
    <row r="214" spans="1:48" ht="16.5">
      <c r="A214" s="1" t="s">
        <v>12</v>
      </c>
      <c r="B214" s="3" t="s">
        <v>29</v>
      </c>
      <c r="C214" s="3" t="s">
        <v>219</v>
      </c>
      <c r="D214" s="4">
        <v>1789</v>
      </c>
      <c r="E214" s="3" t="s">
        <v>22</v>
      </c>
      <c r="F214" s="3" t="s">
        <v>22</v>
      </c>
      <c r="G214" s="31">
        <v>24</v>
      </c>
      <c r="H214" s="31" t="s">
        <v>186</v>
      </c>
      <c r="I214" s="5"/>
      <c r="J214" s="5">
        <v>28</v>
      </c>
      <c r="K214" s="6"/>
      <c r="L214" s="11">
        <f t="shared" si="98"/>
        <v>1.4</v>
      </c>
      <c r="M214" s="7" t="s">
        <v>20</v>
      </c>
      <c r="N214" s="31"/>
      <c r="O214" s="9"/>
      <c r="P214" s="9" t="str">
        <f t="shared" si="84"/>
        <v/>
      </c>
      <c r="Q214" s="9"/>
      <c r="R214" s="30">
        <f t="shared" si="85"/>
        <v>0</v>
      </c>
      <c r="S214" s="9"/>
      <c r="T214" s="30">
        <f t="shared" si="86"/>
        <v>0</v>
      </c>
      <c r="U214" s="9">
        <v>2000</v>
      </c>
      <c r="V214" s="30">
        <v>2800</v>
      </c>
      <c r="W214" s="9">
        <v>2644</v>
      </c>
      <c r="X214" s="30">
        <v>3701</v>
      </c>
      <c r="Y214" s="9">
        <v>13464</v>
      </c>
      <c r="Z214" s="30">
        <v>18850</v>
      </c>
      <c r="AA214" s="9">
        <v>750</v>
      </c>
      <c r="AB214" s="32">
        <v>1000</v>
      </c>
      <c r="AC214" s="9"/>
      <c r="AD214" s="30">
        <f t="shared" si="88"/>
        <v>0</v>
      </c>
      <c r="AE214" s="9"/>
      <c r="AF214" s="30">
        <f t="shared" si="89"/>
        <v>0</v>
      </c>
      <c r="AG214" s="9">
        <v>21418</v>
      </c>
      <c r="AH214" s="30">
        <v>29985</v>
      </c>
      <c r="AI214" s="9">
        <v>31331</v>
      </c>
      <c r="AJ214" s="30">
        <v>43864</v>
      </c>
      <c r="AK214" s="9"/>
      <c r="AL214" s="30">
        <f t="shared" si="92"/>
        <v>0</v>
      </c>
      <c r="AM214" s="10">
        <v>71607</v>
      </c>
      <c r="AN214" s="31">
        <v>100200</v>
      </c>
      <c r="AO214" s="15">
        <f t="shared" si="93"/>
        <v>100200</v>
      </c>
      <c r="AP214" s="9">
        <f t="shared" si="99"/>
        <v>0</v>
      </c>
      <c r="AQ214" s="28">
        <f t="shared" si="94"/>
        <v>71607</v>
      </c>
      <c r="AR214" s="8">
        <f t="shared" si="100"/>
        <v>0</v>
      </c>
      <c r="AS214" s="29">
        <f t="shared" si="82"/>
        <v>100249.79999999999</v>
      </c>
      <c r="AT214" s="13">
        <f t="shared" si="101"/>
        <v>-49.799999999988358</v>
      </c>
      <c r="AU214" s="2" t="str">
        <f t="shared" si="83"/>
        <v>erreur de calcul</v>
      </c>
      <c r="AV214" s="2"/>
    </row>
    <row r="215" spans="1:48" ht="16.5">
      <c r="A215" s="1" t="s">
        <v>12</v>
      </c>
      <c r="B215" s="3" t="s">
        <v>29</v>
      </c>
      <c r="C215" s="3" t="s">
        <v>219</v>
      </c>
      <c r="D215" s="4">
        <v>1789</v>
      </c>
      <c r="E215" s="3" t="s">
        <v>22</v>
      </c>
      <c r="F215" s="3" t="s">
        <v>22</v>
      </c>
      <c r="G215" s="31">
        <v>24</v>
      </c>
      <c r="H215" s="31" t="s">
        <v>187</v>
      </c>
      <c r="I215" s="5">
        <v>2</v>
      </c>
      <c r="J215" s="5"/>
      <c r="K215" s="6"/>
      <c r="L215" s="11">
        <f t="shared" si="98"/>
        <v>2</v>
      </c>
      <c r="M215" s="7" t="s">
        <v>20</v>
      </c>
      <c r="N215" s="31"/>
      <c r="O215" s="9"/>
      <c r="P215" s="9" t="str">
        <f t="shared" si="84"/>
        <v/>
      </c>
      <c r="Q215" s="9"/>
      <c r="R215" s="30">
        <f t="shared" si="85"/>
        <v>0</v>
      </c>
      <c r="S215" s="9"/>
      <c r="T215" s="30">
        <f t="shared" si="86"/>
        <v>0</v>
      </c>
      <c r="U215" s="9">
        <v>6975</v>
      </c>
      <c r="V215" s="30">
        <v>13950</v>
      </c>
      <c r="W215" s="9"/>
      <c r="X215" s="30">
        <f t="shared" si="95"/>
        <v>0</v>
      </c>
      <c r="Y215" s="9"/>
      <c r="Z215" s="30">
        <f t="shared" si="96"/>
        <v>0</v>
      </c>
      <c r="AA215" s="9"/>
      <c r="AB215" s="30">
        <f t="shared" si="97"/>
        <v>0</v>
      </c>
      <c r="AC215" s="9"/>
      <c r="AD215" s="30">
        <f t="shared" si="88"/>
        <v>0</v>
      </c>
      <c r="AE215" s="9"/>
      <c r="AF215" s="30">
        <f t="shared" si="89"/>
        <v>0</v>
      </c>
      <c r="AG215" s="9"/>
      <c r="AH215" s="30">
        <f t="shared" si="90"/>
        <v>0</v>
      </c>
      <c r="AI215" s="9"/>
      <c r="AJ215" s="30">
        <f t="shared" si="91"/>
        <v>0</v>
      </c>
      <c r="AK215" s="9"/>
      <c r="AL215" s="30">
        <f t="shared" si="92"/>
        <v>0</v>
      </c>
      <c r="AM215" s="10">
        <v>6975</v>
      </c>
      <c r="AN215" s="31">
        <v>13950</v>
      </c>
      <c r="AO215" s="15">
        <f t="shared" si="93"/>
        <v>13950</v>
      </c>
      <c r="AP215" s="9">
        <f t="shared" si="99"/>
        <v>0</v>
      </c>
      <c r="AQ215" s="28">
        <f t="shared" si="94"/>
        <v>6975</v>
      </c>
      <c r="AR215" s="8">
        <f t="shared" si="100"/>
        <v>0</v>
      </c>
      <c r="AS215" s="29">
        <f t="shared" si="82"/>
        <v>13950</v>
      </c>
      <c r="AT215" s="13">
        <f t="shared" si="101"/>
        <v>0</v>
      </c>
      <c r="AU215" s="2" t="str">
        <f t="shared" si="83"/>
        <v/>
      </c>
      <c r="AV215" s="2"/>
    </row>
    <row r="216" spans="1:48" ht="16.5">
      <c r="A216" s="1" t="s">
        <v>12</v>
      </c>
      <c r="B216" s="3" t="s">
        <v>29</v>
      </c>
      <c r="C216" s="3" t="s">
        <v>219</v>
      </c>
      <c r="D216" s="4">
        <v>1789</v>
      </c>
      <c r="E216" s="3" t="s">
        <v>22</v>
      </c>
      <c r="F216" s="3" t="s">
        <v>22</v>
      </c>
      <c r="G216" s="31">
        <v>24</v>
      </c>
      <c r="H216" s="31" t="s">
        <v>188</v>
      </c>
      <c r="I216" s="5">
        <v>30</v>
      </c>
      <c r="J216" s="5"/>
      <c r="K216" s="6"/>
      <c r="L216" s="11">
        <f t="shared" si="98"/>
        <v>30</v>
      </c>
      <c r="M216" s="7" t="s">
        <v>41</v>
      </c>
      <c r="N216" s="31" t="s">
        <v>23</v>
      </c>
      <c r="O216" s="9">
        <v>600</v>
      </c>
      <c r="P216" s="9">
        <v>18000</v>
      </c>
      <c r="Q216" s="9"/>
      <c r="R216" s="30">
        <f t="shared" si="85"/>
        <v>0</v>
      </c>
      <c r="S216" s="9"/>
      <c r="T216" s="30">
        <f t="shared" si="86"/>
        <v>0</v>
      </c>
      <c r="U216" s="9">
        <v>2130</v>
      </c>
      <c r="V216" s="30">
        <v>63900</v>
      </c>
      <c r="W216" s="9"/>
      <c r="X216" s="30">
        <f t="shared" si="95"/>
        <v>0</v>
      </c>
      <c r="Y216" s="9"/>
      <c r="Z216" s="30">
        <f t="shared" si="96"/>
        <v>0</v>
      </c>
      <c r="AA216" s="9">
        <v>320</v>
      </c>
      <c r="AB216" s="30">
        <v>9600</v>
      </c>
      <c r="AC216" s="9"/>
      <c r="AD216" s="30">
        <f t="shared" si="88"/>
        <v>0</v>
      </c>
      <c r="AE216" s="9"/>
      <c r="AF216" s="30">
        <f t="shared" si="89"/>
        <v>0</v>
      </c>
      <c r="AG216" s="9"/>
      <c r="AH216" s="30">
        <f t="shared" si="90"/>
        <v>0</v>
      </c>
      <c r="AI216" s="9"/>
      <c r="AJ216" s="30">
        <f t="shared" si="91"/>
        <v>0</v>
      </c>
      <c r="AK216" s="9"/>
      <c r="AL216" s="30">
        <f t="shared" si="92"/>
        <v>0</v>
      </c>
      <c r="AM216" s="10">
        <v>2450</v>
      </c>
      <c r="AN216" s="31">
        <v>73500</v>
      </c>
      <c r="AO216" s="15">
        <f t="shared" si="93"/>
        <v>73500</v>
      </c>
      <c r="AP216" s="9">
        <f t="shared" si="99"/>
        <v>0</v>
      </c>
      <c r="AQ216" s="28">
        <f t="shared" si="94"/>
        <v>2450</v>
      </c>
      <c r="AR216" s="8">
        <f t="shared" si="100"/>
        <v>0</v>
      </c>
      <c r="AS216" s="29">
        <f t="shared" si="82"/>
        <v>73500</v>
      </c>
      <c r="AT216" s="13">
        <f t="shared" si="101"/>
        <v>0</v>
      </c>
      <c r="AU216" s="2" t="str">
        <f t="shared" si="83"/>
        <v/>
      </c>
      <c r="AV216" s="2"/>
    </row>
    <row r="217" spans="1:48" ht="16.5">
      <c r="A217" s="1" t="s">
        <v>12</v>
      </c>
      <c r="B217" s="3" t="s">
        <v>29</v>
      </c>
      <c r="C217" s="3" t="s">
        <v>219</v>
      </c>
      <c r="D217" s="4">
        <v>1789</v>
      </c>
      <c r="E217" s="3" t="s">
        <v>22</v>
      </c>
      <c r="F217" s="3" t="s">
        <v>22</v>
      </c>
      <c r="G217" s="31">
        <v>24</v>
      </c>
      <c r="H217" s="31" t="s">
        <v>189</v>
      </c>
      <c r="I217" s="5">
        <v>4</v>
      </c>
      <c r="J217" s="5"/>
      <c r="K217" s="6"/>
      <c r="L217" s="11">
        <f t="shared" si="98"/>
        <v>4</v>
      </c>
      <c r="M217" s="7" t="s">
        <v>20</v>
      </c>
      <c r="N217" s="31"/>
      <c r="O217" s="9"/>
      <c r="P217" s="9" t="str">
        <f t="shared" si="84"/>
        <v/>
      </c>
      <c r="Q217" s="9"/>
      <c r="R217" s="30">
        <f t="shared" si="85"/>
        <v>0</v>
      </c>
      <c r="S217" s="9"/>
      <c r="T217" s="30">
        <f t="shared" si="86"/>
        <v>0</v>
      </c>
      <c r="U217" s="9">
        <v>2940</v>
      </c>
      <c r="V217" s="32">
        <v>11600</v>
      </c>
      <c r="W217" s="9"/>
      <c r="X217" s="30">
        <f t="shared" si="95"/>
        <v>0</v>
      </c>
      <c r="Y217" s="9"/>
      <c r="Z217" s="30">
        <f t="shared" si="96"/>
        <v>0</v>
      </c>
      <c r="AA217" s="9">
        <v>9660</v>
      </c>
      <c r="AB217" s="30">
        <v>38640</v>
      </c>
      <c r="AC217" s="9"/>
      <c r="AD217" s="30">
        <f t="shared" si="88"/>
        <v>0</v>
      </c>
      <c r="AE217" s="9"/>
      <c r="AF217" s="30">
        <f t="shared" si="89"/>
        <v>0</v>
      </c>
      <c r="AG217" s="9"/>
      <c r="AH217" s="30">
        <f t="shared" si="90"/>
        <v>0</v>
      </c>
      <c r="AI217" s="9"/>
      <c r="AJ217" s="30">
        <f t="shared" si="91"/>
        <v>0</v>
      </c>
      <c r="AK217" s="9"/>
      <c r="AL217" s="30">
        <f t="shared" si="92"/>
        <v>0</v>
      </c>
      <c r="AM217" s="10">
        <v>12600</v>
      </c>
      <c r="AN217" s="31">
        <v>50240</v>
      </c>
      <c r="AO217" s="15">
        <f t="shared" si="93"/>
        <v>50240</v>
      </c>
      <c r="AP217" s="9">
        <f t="shared" si="99"/>
        <v>0</v>
      </c>
      <c r="AQ217" s="28">
        <f t="shared" si="94"/>
        <v>12600</v>
      </c>
      <c r="AR217" s="8">
        <f t="shared" si="100"/>
        <v>0</v>
      </c>
      <c r="AS217" s="29">
        <f t="shared" si="82"/>
        <v>50400</v>
      </c>
      <c r="AT217" s="13">
        <f t="shared" si="101"/>
        <v>-160</v>
      </c>
      <c r="AU217" s="2" t="str">
        <f t="shared" si="83"/>
        <v>erreur de calcul</v>
      </c>
      <c r="AV217" s="2"/>
    </row>
    <row r="218" spans="1:48" ht="16.5">
      <c r="A218" s="1" t="s">
        <v>12</v>
      </c>
      <c r="B218" s="3" t="s">
        <v>29</v>
      </c>
      <c r="C218" s="3" t="s">
        <v>219</v>
      </c>
      <c r="D218" s="4">
        <v>1789</v>
      </c>
      <c r="E218" s="3" t="s">
        <v>22</v>
      </c>
      <c r="F218" s="3" t="s">
        <v>22</v>
      </c>
      <c r="G218" s="31">
        <v>24</v>
      </c>
      <c r="H218" s="31" t="s">
        <v>190</v>
      </c>
      <c r="I218" s="5">
        <v>10</v>
      </c>
      <c r="J218" s="5"/>
      <c r="K218" s="6"/>
      <c r="L218" s="11">
        <f t="shared" si="98"/>
        <v>10</v>
      </c>
      <c r="M218" s="7" t="s">
        <v>20</v>
      </c>
      <c r="N218" s="31"/>
      <c r="O218" s="9"/>
      <c r="P218" s="9" t="str">
        <f t="shared" si="84"/>
        <v/>
      </c>
      <c r="Q218" s="9"/>
      <c r="R218" s="30">
        <f t="shared" si="85"/>
        <v>0</v>
      </c>
      <c r="S218" s="9"/>
      <c r="T218" s="30">
        <f t="shared" si="86"/>
        <v>0</v>
      </c>
      <c r="U218" s="9"/>
      <c r="V218" s="30">
        <f t="shared" si="87"/>
        <v>0</v>
      </c>
      <c r="W218" s="9">
        <v>240</v>
      </c>
      <c r="X218" s="30">
        <v>2400</v>
      </c>
      <c r="Y218" s="9"/>
      <c r="Z218" s="30">
        <f t="shared" si="96"/>
        <v>0</v>
      </c>
      <c r="AA218" s="9"/>
      <c r="AB218" s="30">
        <f t="shared" si="97"/>
        <v>0</v>
      </c>
      <c r="AC218" s="9"/>
      <c r="AD218" s="30">
        <f t="shared" si="88"/>
        <v>0</v>
      </c>
      <c r="AE218" s="9"/>
      <c r="AF218" s="30">
        <f t="shared" si="89"/>
        <v>0</v>
      </c>
      <c r="AG218" s="9"/>
      <c r="AH218" s="30">
        <f t="shared" si="90"/>
        <v>0</v>
      </c>
      <c r="AI218" s="9"/>
      <c r="AJ218" s="30">
        <f t="shared" si="91"/>
        <v>0</v>
      </c>
      <c r="AK218" s="9"/>
      <c r="AL218" s="30">
        <f t="shared" si="92"/>
        <v>0</v>
      </c>
      <c r="AM218" s="10">
        <v>240</v>
      </c>
      <c r="AN218" s="31">
        <v>2400</v>
      </c>
      <c r="AO218" s="15">
        <f t="shared" si="93"/>
        <v>2400</v>
      </c>
      <c r="AP218" s="9">
        <f t="shared" si="99"/>
        <v>0</v>
      </c>
      <c r="AQ218" s="28">
        <f t="shared" si="94"/>
        <v>240</v>
      </c>
      <c r="AR218" s="8">
        <f t="shared" si="100"/>
        <v>0</v>
      </c>
      <c r="AS218" s="29">
        <f t="shared" si="82"/>
        <v>2400</v>
      </c>
      <c r="AT218" s="13">
        <f t="shared" si="101"/>
        <v>0</v>
      </c>
      <c r="AU218" s="2" t="str">
        <f t="shared" si="83"/>
        <v/>
      </c>
      <c r="AV218" s="2"/>
    </row>
    <row r="219" spans="1:48" ht="16.5">
      <c r="A219" s="1" t="s">
        <v>12</v>
      </c>
      <c r="B219" s="3" t="s">
        <v>29</v>
      </c>
      <c r="C219" s="3" t="s">
        <v>219</v>
      </c>
      <c r="D219" s="4">
        <v>1789</v>
      </c>
      <c r="E219" s="3" t="s">
        <v>22</v>
      </c>
      <c r="F219" s="3" t="s">
        <v>22</v>
      </c>
      <c r="G219" s="31">
        <v>24</v>
      </c>
      <c r="H219" s="31" t="s">
        <v>191</v>
      </c>
      <c r="I219" s="5">
        <v>9</v>
      </c>
      <c r="J219" s="5"/>
      <c r="K219" s="6"/>
      <c r="L219" s="11">
        <f t="shared" si="98"/>
        <v>9</v>
      </c>
      <c r="M219" s="7" t="s">
        <v>41</v>
      </c>
      <c r="N219" s="31"/>
      <c r="O219" s="9"/>
      <c r="P219" s="9" t="str">
        <f t="shared" si="84"/>
        <v/>
      </c>
      <c r="Q219" s="9"/>
      <c r="R219" s="30">
        <f t="shared" si="85"/>
        <v>0</v>
      </c>
      <c r="S219" s="9"/>
      <c r="T219" s="30">
        <f t="shared" si="86"/>
        <v>0</v>
      </c>
      <c r="U219" s="9"/>
      <c r="V219" s="30">
        <f t="shared" si="87"/>
        <v>0</v>
      </c>
      <c r="W219" s="9"/>
      <c r="X219" s="30">
        <f t="shared" si="95"/>
        <v>0</v>
      </c>
      <c r="Y219" s="9">
        <v>9800</v>
      </c>
      <c r="Z219" s="30">
        <v>88200</v>
      </c>
      <c r="AA219" s="9">
        <v>2522</v>
      </c>
      <c r="AB219" s="30">
        <v>22698</v>
      </c>
      <c r="AC219" s="9"/>
      <c r="AD219" s="30">
        <f t="shared" si="88"/>
        <v>0</v>
      </c>
      <c r="AE219" s="9"/>
      <c r="AF219" s="30">
        <f t="shared" si="89"/>
        <v>0</v>
      </c>
      <c r="AG219" s="9"/>
      <c r="AH219" s="30">
        <f t="shared" si="90"/>
        <v>0</v>
      </c>
      <c r="AI219" s="9"/>
      <c r="AJ219" s="30">
        <f t="shared" si="91"/>
        <v>0</v>
      </c>
      <c r="AK219" s="9"/>
      <c r="AL219" s="30">
        <f t="shared" si="92"/>
        <v>0</v>
      </c>
      <c r="AM219" s="10">
        <v>12322</v>
      </c>
      <c r="AN219" s="31">
        <v>110898</v>
      </c>
      <c r="AO219" s="15">
        <f t="shared" si="93"/>
        <v>110898</v>
      </c>
      <c r="AP219" s="9">
        <f t="shared" si="99"/>
        <v>0</v>
      </c>
      <c r="AQ219" s="28">
        <f t="shared" si="94"/>
        <v>12322</v>
      </c>
      <c r="AR219" s="8">
        <f t="shared" si="100"/>
        <v>0</v>
      </c>
      <c r="AS219" s="29">
        <f t="shared" si="82"/>
        <v>110898</v>
      </c>
      <c r="AT219" s="13">
        <f t="shared" si="101"/>
        <v>0</v>
      </c>
      <c r="AU219" s="2" t="str">
        <f t="shared" si="83"/>
        <v/>
      </c>
      <c r="AV219" s="2"/>
    </row>
    <row r="220" spans="1:48" ht="16.5">
      <c r="A220" s="1" t="s">
        <v>12</v>
      </c>
      <c r="B220" s="3" t="s">
        <v>29</v>
      </c>
      <c r="C220" s="3" t="s">
        <v>219</v>
      </c>
      <c r="D220" s="4">
        <v>1789</v>
      </c>
      <c r="E220" s="3" t="s">
        <v>22</v>
      </c>
      <c r="F220" s="3" t="s">
        <v>22</v>
      </c>
      <c r="G220" s="31">
        <v>24</v>
      </c>
      <c r="H220" s="31" t="s">
        <v>192</v>
      </c>
      <c r="I220" s="5">
        <v>30</v>
      </c>
      <c r="J220" s="5"/>
      <c r="K220" s="6"/>
      <c r="L220" s="11">
        <f t="shared" si="98"/>
        <v>30</v>
      </c>
      <c r="M220" s="7" t="s">
        <v>14</v>
      </c>
      <c r="N220" s="31"/>
      <c r="O220" s="9"/>
      <c r="P220" s="9" t="str">
        <f t="shared" si="84"/>
        <v/>
      </c>
      <c r="Q220" s="9"/>
      <c r="R220" s="30">
        <f t="shared" si="85"/>
        <v>0</v>
      </c>
      <c r="S220" s="9"/>
      <c r="T220" s="30">
        <f t="shared" si="86"/>
        <v>0</v>
      </c>
      <c r="U220" s="9"/>
      <c r="V220" s="30">
        <f t="shared" si="87"/>
        <v>0</v>
      </c>
      <c r="W220" s="9"/>
      <c r="X220" s="30">
        <f t="shared" si="95"/>
        <v>0</v>
      </c>
      <c r="Y220" s="9">
        <v>1000</v>
      </c>
      <c r="Z220" s="30">
        <v>30000</v>
      </c>
      <c r="AA220" s="9">
        <v>1940</v>
      </c>
      <c r="AB220" s="30">
        <v>58200</v>
      </c>
      <c r="AC220" s="9"/>
      <c r="AD220" s="30">
        <f t="shared" si="88"/>
        <v>0</v>
      </c>
      <c r="AE220" s="9"/>
      <c r="AF220" s="30">
        <f t="shared" si="89"/>
        <v>0</v>
      </c>
      <c r="AG220" s="9"/>
      <c r="AH220" s="30">
        <f t="shared" si="90"/>
        <v>0</v>
      </c>
      <c r="AI220" s="9"/>
      <c r="AJ220" s="30">
        <f t="shared" si="91"/>
        <v>0</v>
      </c>
      <c r="AK220" s="9"/>
      <c r="AL220" s="30">
        <f t="shared" si="92"/>
        <v>0</v>
      </c>
      <c r="AM220" s="10">
        <v>2940</v>
      </c>
      <c r="AN220" s="31">
        <v>88200</v>
      </c>
      <c r="AO220" s="15">
        <f t="shared" si="93"/>
        <v>88200</v>
      </c>
      <c r="AP220" s="9">
        <f t="shared" si="99"/>
        <v>0</v>
      </c>
      <c r="AQ220" s="28">
        <f t="shared" si="94"/>
        <v>2940</v>
      </c>
      <c r="AR220" s="8">
        <f t="shared" si="100"/>
        <v>0</v>
      </c>
      <c r="AS220" s="29">
        <f t="shared" si="82"/>
        <v>88200</v>
      </c>
      <c r="AT220" s="13">
        <f t="shared" si="101"/>
        <v>0</v>
      </c>
      <c r="AU220" s="2" t="str">
        <f t="shared" si="83"/>
        <v/>
      </c>
      <c r="AV220" s="2"/>
    </row>
    <row r="221" spans="1:48" ht="16.5">
      <c r="A221" s="1" t="s">
        <v>12</v>
      </c>
      <c r="B221" s="3" t="s">
        <v>29</v>
      </c>
      <c r="C221" s="3" t="s">
        <v>219</v>
      </c>
      <c r="D221" s="4">
        <v>1789</v>
      </c>
      <c r="E221" s="3" t="s">
        <v>22</v>
      </c>
      <c r="F221" s="3" t="s">
        <v>22</v>
      </c>
      <c r="G221" s="31">
        <v>24</v>
      </c>
      <c r="H221" s="31" t="s">
        <v>193</v>
      </c>
      <c r="I221" s="5">
        <v>45</v>
      </c>
      <c r="J221" s="5"/>
      <c r="K221" s="6"/>
      <c r="L221" s="11">
        <f t="shared" si="98"/>
        <v>45</v>
      </c>
      <c r="M221" s="7" t="s">
        <v>41</v>
      </c>
      <c r="N221" s="31" t="s">
        <v>23</v>
      </c>
      <c r="O221" s="9">
        <v>220</v>
      </c>
      <c r="P221" s="12">
        <v>8680</v>
      </c>
      <c r="Q221" s="9"/>
      <c r="R221" s="30">
        <f t="shared" si="85"/>
        <v>0</v>
      </c>
      <c r="S221" s="9"/>
      <c r="T221" s="30">
        <f t="shared" si="86"/>
        <v>0</v>
      </c>
      <c r="U221" s="9">
        <v>3838</v>
      </c>
      <c r="V221" s="30">
        <v>172710</v>
      </c>
      <c r="W221" s="9"/>
      <c r="X221" s="30">
        <f t="shared" si="95"/>
        <v>0</v>
      </c>
      <c r="Y221" s="9"/>
      <c r="Z221" s="30">
        <f t="shared" si="96"/>
        <v>0</v>
      </c>
      <c r="AA221" s="9">
        <v>12386</v>
      </c>
      <c r="AB221" s="30">
        <v>557370</v>
      </c>
      <c r="AC221" s="9"/>
      <c r="AD221" s="30">
        <f t="shared" si="88"/>
        <v>0</v>
      </c>
      <c r="AE221" s="9"/>
      <c r="AF221" s="30">
        <f t="shared" si="89"/>
        <v>0</v>
      </c>
      <c r="AG221" s="9"/>
      <c r="AH221" s="30">
        <f t="shared" si="90"/>
        <v>0</v>
      </c>
      <c r="AI221" s="9"/>
      <c r="AJ221" s="30">
        <f t="shared" si="91"/>
        <v>0</v>
      </c>
      <c r="AK221" s="9"/>
      <c r="AL221" s="30">
        <f t="shared" si="92"/>
        <v>0</v>
      </c>
      <c r="AM221" s="10">
        <v>16224</v>
      </c>
      <c r="AN221" s="31">
        <v>730080</v>
      </c>
      <c r="AO221" s="15">
        <f t="shared" si="93"/>
        <v>730080</v>
      </c>
      <c r="AP221" s="9">
        <f t="shared" si="99"/>
        <v>0</v>
      </c>
      <c r="AQ221" s="28">
        <f t="shared" si="94"/>
        <v>16224</v>
      </c>
      <c r="AR221" s="8">
        <f t="shared" si="100"/>
        <v>0</v>
      </c>
      <c r="AS221" s="29">
        <f t="shared" si="82"/>
        <v>730080</v>
      </c>
      <c r="AT221" s="13">
        <f t="shared" si="101"/>
        <v>0</v>
      </c>
      <c r="AU221" s="2" t="str">
        <f t="shared" si="83"/>
        <v/>
      </c>
      <c r="AV221" s="2"/>
    </row>
    <row r="222" spans="1:48" ht="16.5">
      <c r="A222" s="1" t="s">
        <v>12</v>
      </c>
      <c r="B222" s="3" t="s">
        <v>29</v>
      </c>
      <c r="C222" s="3" t="s">
        <v>219</v>
      </c>
      <c r="D222" s="4">
        <v>1789</v>
      </c>
      <c r="E222" s="3" t="s">
        <v>22</v>
      </c>
      <c r="F222" s="3" t="s">
        <v>22</v>
      </c>
      <c r="G222" s="31">
        <v>24</v>
      </c>
      <c r="H222" s="31" t="s">
        <v>194</v>
      </c>
      <c r="I222" s="5">
        <v>30</v>
      </c>
      <c r="J222" s="5"/>
      <c r="K222" s="6"/>
      <c r="L222" s="11">
        <f t="shared" si="98"/>
        <v>30</v>
      </c>
      <c r="M222" s="7" t="s">
        <v>41</v>
      </c>
      <c r="N222" s="31" t="s">
        <v>23</v>
      </c>
      <c r="O222" s="9">
        <v>550</v>
      </c>
      <c r="P222" s="9">
        <v>16500</v>
      </c>
      <c r="Q222" s="9"/>
      <c r="R222" s="30">
        <f t="shared" si="85"/>
        <v>0</v>
      </c>
      <c r="S222" s="9"/>
      <c r="T222" s="30">
        <f t="shared" si="86"/>
        <v>0</v>
      </c>
      <c r="U222" s="9">
        <v>3360</v>
      </c>
      <c r="V222" s="30">
        <v>100800</v>
      </c>
      <c r="W222" s="9"/>
      <c r="X222" s="30">
        <f t="shared" si="95"/>
        <v>0</v>
      </c>
      <c r="Y222" s="9"/>
      <c r="Z222" s="30">
        <f t="shared" si="96"/>
        <v>0</v>
      </c>
      <c r="AA222" s="9">
        <v>10934</v>
      </c>
      <c r="AB222" s="32">
        <v>325770</v>
      </c>
      <c r="AC222" s="9"/>
      <c r="AD222" s="30">
        <f t="shared" si="88"/>
        <v>0</v>
      </c>
      <c r="AE222" s="9"/>
      <c r="AF222" s="30">
        <f t="shared" si="89"/>
        <v>0</v>
      </c>
      <c r="AG222" s="9"/>
      <c r="AH222" s="30">
        <f t="shared" si="90"/>
        <v>0</v>
      </c>
      <c r="AI222" s="9"/>
      <c r="AJ222" s="30">
        <f t="shared" si="91"/>
        <v>0</v>
      </c>
      <c r="AK222" s="9"/>
      <c r="AL222" s="30">
        <f t="shared" si="92"/>
        <v>0</v>
      </c>
      <c r="AM222" s="10">
        <v>14294</v>
      </c>
      <c r="AN222" s="31">
        <v>426570</v>
      </c>
      <c r="AO222" s="15">
        <f t="shared" si="93"/>
        <v>426570</v>
      </c>
      <c r="AP222" s="9">
        <f t="shared" si="99"/>
        <v>0</v>
      </c>
      <c r="AQ222" s="28">
        <f t="shared" si="94"/>
        <v>14294</v>
      </c>
      <c r="AR222" s="8">
        <f t="shared" si="100"/>
        <v>0</v>
      </c>
      <c r="AS222" s="29">
        <f t="shared" si="82"/>
        <v>428820</v>
      </c>
      <c r="AT222" s="13">
        <f t="shared" si="101"/>
        <v>-2250</v>
      </c>
      <c r="AU222" s="2" t="str">
        <f t="shared" si="83"/>
        <v>erreur de calcul</v>
      </c>
      <c r="AV222" s="2"/>
    </row>
    <row r="223" spans="1:48" ht="16.5">
      <c r="A223" s="1" t="s">
        <v>12</v>
      </c>
      <c r="B223" s="3" t="s">
        <v>29</v>
      </c>
      <c r="C223" s="3" t="s">
        <v>219</v>
      </c>
      <c r="D223" s="4">
        <v>1789</v>
      </c>
      <c r="E223" s="3" t="s">
        <v>22</v>
      </c>
      <c r="F223" s="3" t="s">
        <v>22</v>
      </c>
      <c r="G223" s="31">
        <v>24</v>
      </c>
      <c r="H223" s="31" t="s">
        <v>195</v>
      </c>
      <c r="I223" s="5">
        <v>35</v>
      </c>
      <c r="J223" s="5"/>
      <c r="K223" s="6"/>
      <c r="L223" s="11">
        <f t="shared" si="98"/>
        <v>35</v>
      </c>
      <c r="M223" s="7" t="s">
        <v>41</v>
      </c>
      <c r="N223" s="31"/>
      <c r="O223" s="9"/>
      <c r="P223" s="9" t="str">
        <f t="shared" si="84"/>
        <v/>
      </c>
      <c r="Q223" s="9"/>
      <c r="R223" s="30">
        <f t="shared" si="85"/>
        <v>0</v>
      </c>
      <c r="S223" s="9"/>
      <c r="T223" s="30">
        <f t="shared" si="86"/>
        <v>0</v>
      </c>
      <c r="U223" s="9">
        <v>160</v>
      </c>
      <c r="V223" s="30">
        <v>5600</v>
      </c>
      <c r="W223" s="9"/>
      <c r="X223" s="30">
        <f t="shared" si="95"/>
        <v>0</v>
      </c>
      <c r="Y223" s="9"/>
      <c r="Z223" s="30">
        <f t="shared" si="96"/>
        <v>0</v>
      </c>
      <c r="AA223" s="9">
        <v>6695</v>
      </c>
      <c r="AB223" s="30">
        <v>234325</v>
      </c>
      <c r="AC223" s="9"/>
      <c r="AD223" s="30">
        <f t="shared" si="88"/>
        <v>0</v>
      </c>
      <c r="AE223" s="9"/>
      <c r="AF223" s="30">
        <f t="shared" si="89"/>
        <v>0</v>
      </c>
      <c r="AG223" s="9"/>
      <c r="AH223" s="30">
        <f t="shared" si="90"/>
        <v>0</v>
      </c>
      <c r="AI223" s="9"/>
      <c r="AJ223" s="30">
        <f t="shared" si="91"/>
        <v>0</v>
      </c>
      <c r="AK223" s="9"/>
      <c r="AL223" s="30">
        <f t="shared" si="92"/>
        <v>0</v>
      </c>
      <c r="AM223" s="10">
        <v>6855</v>
      </c>
      <c r="AN223" s="31">
        <v>239925</v>
      </c>
      <c r="AO223" s="15">
        <f t="shared" si="93"/>
        <v>239925</v>
      </c>
      <c r="AP223" s="9">
        <f t="shared" si="99"/>
        <v>0</v>
      </c>
      <c r="AQ223" s="28">
        <f t="shared" si="94"/>
        <v>6855</v>
      </c>
      <c r="AR223" s="8">
        <f t="shared" si="100"/>
        <v>0</v>
      </c>
      <c r="AS223" s="29">
        <f t="shared" si="82"/>
        <v>239925</v>
      </c>
      <c r="AT223" s="13">
        <f t="shared" si="101"/>
        <v>0</v>
      </c>
      <c r="AU223" s="2" t="str">
        <f t="shared" si="83"/>
        <v/>
      </c>
      <c r="AV223" s="2"/>
    </row>
    <row r="224" spans="1:48" ht="16.5">
      <c r="A224" s="1" t="s">
        <v>12</v>
      </c>
      <c r="B224" s="3" t="s">
        <v>29</v>
      </c>
      <c r="C224" s="3" t="s">
        <v>219</v>
      </c>
      <c r="D224" s="4">
        <v>1789</v>
      </c>
      <c r="E224" s="3" t="s">
        <v>22</v>
      </c>
      <c r="F224" s="3" t="s">
        <v>22</v>
      </c>
      <c r="G224" s="31">
        <v>24</v>
      </c>
      <c r="H224" s="31" t="s">
        <v>218</v>
      </c>
      <c r="I224" s="5">
        <v>24</v>
      </c>
      <c r="J224" s="5"/>
      <c r="K224" s="6"/>
      <c r="L224" s="11">
        <f t="shared" si="98"/>
        <v>24</v>
      </c>
      <c r="M224" s="7" t="s">
        <v>41</v>
      </c>
      <c r="N224" s="31" t="s">
        <v>23</v>
      </c>
      <c r="O224" s="9">
        <v>1320</v>
      </c>
      <c r="P224" s="9">
        <v>31680</v>
      </c>
      <c r="Q224" s="9"/>
      <c r="R224" s="30">
        <f t="shared" si="85"/>
        <v>0</v>
      </c>
      <c r="S224" s="9"/>
      <c r="T224" s="30">
        <f t="shared" si="86"/>
        <v>0</v>
      </c>
      <c r="U224" s="9">
        <v>922</v>
      </c>
      <c r="V224" s="30">
        <v>22128</v>
      </c>
      <c r="W224" s="9"/>
      <c r="X224" s="30">
        <f t="shared" si="95"/>
        <v>0</v>
      </c>
      <c r="Y224" s="9"/>
      <c r="Z224" s="30">
        <f t="shared" si="96"/>
        <v>0</v>
      </c>
      <c r="AA224" s="9">
        <v>2330</v>
      </c>
      <c r="AB224" s="30">
        <v>55920</v>
      </c>
      <c r="AC224" s="9"/>
      <c r="AD224" s="30">
        <f t="shared" si="88"/>
        <v>0</v>
      </c>
      <c r="AE224" s="9"/>
      <c r="AF224" s="30">
        <f t="shared" si="89"/>
        <v>0</v>
      </c>
      <c r="AG224" s="9"/>
      <c r="AH224" s="30">
        <f t="shared" si="90"/>
        <v>0</v>
      </c>
      <c r="AI224" s="9"/>
      <c r="AJ224" s="30">
        <f t="shared" si="91"/>
        <v>0</v>
      </c>
      <c r="AK224" s="9"/>
      <c r="AL224" s="30">
        <f t="shared" si="92"/>
        <v>0</v>
      </c>
      <c r="AM224" s="10">
        <v>3252</v>
      </c>
      <c r="AN224" s="31">
        <v>78048</v>
      </c>
      <c r="AO224" s="15">
        <f t="shared" si="93"/>
        <v>78048</v>
      </c>
      <c r="AP224" s="9">
        <f t="shared" si="99"/>
        <v>0</v>
      </c>
      <c r="AQ224" s="28">
        <f t="shared" si="94"/>
        <v>3252</v>
      </c>
      <c r="AR224" s="8">
        <f t="shared" si="100"/>
        <v>0</v>
      </c>
      <c r="AS224" s="29">
        <f t="shared" si="82"/>
        <v>78048</v>
      </c>
      <c r="AT224" s="13">
        <f t="shared" si="101"/>
        <v>0</v>
      </c>
      <c r="AU224" s="2" t="str">
        <f t="shared" si="83"/>
        <v/>
      </c>
      <c r="AV224" s="2"/>
    </row>
    <row r="225" spans="1:48" ht="16.5">
      <c r="A225" s="1" t="s">
        <v>12</v>
      </c>
      <c r="B225" s="3" t="s">
        <v>29</v>
      </c>
      <c r="C225" s="3" t="s">
        <v>219</v>
      </c>
      <c r="D225" s="4">
        <v>1789</v>
      </c>
      <c r="E225" s="3" t="s">
        <v>22</v>
      </c>
      <c r="F225" s="3" t="s">
        <v>22</v>
      </c>
      <c r="G225" s="31">
        <v>24</v>
      </c>
      <c r="H225" s="31" t="s">
        <v>196</v>
      </c>
      <c r="I225" s="5"/>
      <c r="J225" s="5"/>
      <c r="K225" s="6"/>
      <c r="L225" s="11">
        <f t="shared" si="98"/>
        <v>0</v>
      </c>
      <c r="M225" s="7"/>
      <c r="N225" s="31"/>
      <c r="O225" s="9"/>
      <c r="P225" s="9" t="str">
        <f t="shared" si="84"/>
        <v/>
      </c>
      <c r="Q225" s="9"/>
      <c r="R225" s="30">
        <f t="shared" si="85"/>
        <v>0</v>
      </c>
      <c r="S225" s="9"/>
      <c r="T225" s="30">
        <f t="shared" si="86"/>
        <v>0</v>
      </c>
      <c r="U225" s="9"/>
      <c r="V225" s="30">
        <v>1200</v>
      </c>
      <c r="W225" s="9"/>
      <c r="X225" s="30">
        <f t="shared" si="95"/>
        <v>0</v>
      </c>
      <c r="Y225" s="9"/>
      <c r="Z225" s="30">
        <f t="shared" si="96"/>
        <v>0</v>
      </c>
      <c r="AA225" s="9"/>
      <c r="AB225" s="30">
        <f t="shared" si="97"/>
        <v>0</v>
      </c>
      <c r="AC225" s="9"/>
      <c r="AD225" s="30">
        <f t="shared" si="88"/>
        <v>0</v>
      </c>
      <c r="AE225" s="9"/>
      <c r="AF225" s="30">
        <f t="shared" si="89"/>
        <v>0</v>
      </c>
      <c r="AG225" s="9"/>
      <c r="AH225" s="30">
        <f t="shared" si="90"/>
        <v>0</v>
      </c>
      <c r="AI225" s="9"/>
      <c r="AJ225" s="30">
        <f t="shared" si="91"/>
        <v>0</v>
      </c>
      <c r="AK225" s="9"/>
      <c r="AL225" s="30">
        <f t="shared" si="92"/>
        <v>0</v>
      </c>
      <c r="AM225" s="10"/>
      <c r="AN225" s="31">
        <v>1200</v>
      </c>
      <c r="AO225" s="15">
        <f t="shared" si="93"/>
        <v>1200</v>
      </c>
      <c r="AP225" s="9">
        <f t="shared" si="99"/>
        <v>0</v>
      </c>
      <c r="AQ225" s="28">
        <f t="shared" si="94"/>
        <v>0</v>
      </c>
      <c r="AR225" s="8">
        <f t="shared" si="100"/>
        <v>0</v>
      </c>
      <c r="AS225" s="29">
        <f t="shared" si="82"/>
        <v>0</v>
      </c>
      <c r="AT225" s="13">
        <f t="shared" si="101"/>
        <v>1200</v>
      </c>
      <c r="AU225" s="2" t="str">
        <f t="shared" si="83"/>
        <v>pas de prix, ni de quantité</v>
      </c>
      <c r="AV225" s="2"/>
    </row>
    <row r="226" spans="1:48" ht="16.5">
      <c r="A226" s="1" t="s">
        <v>12</v>
      </c>
      <c r="B226" s="3" t="s">
        <v>29</v>
      </c>
      <c r="C226" s="3" t="s">
        <v>219</v>
      </c>
      <c r="D226" s="4">
        <v>1789</v>
      </c>
      <c r="E226" s="3" t="s">
        <v>22</v>
      </c>
      <c r="F226" s="3" t="s">
        <v>22</v>
      </c>
      <c r="G226" s="31">
        <v>24</v>
      </c>
      <c r="H226" s="31" t="s">
        <v>197</v>
      </c>
      <c r="I226" s="5">
        <v>45</v>
      </c>
      <c r="J226" s="5"/>
      <c r="K226" s="6"/>
      <c r="L226" s="11">
        <f t="shared" si="98"/>
        <v>45</v>
      </c>
      <c r="M226" s="7" t="s">
        <v>41</v>
      </c>
      <c r="N226" s="31"/>
      <c r="O226" s="9"/>
      <c r="P226" s="9" t="str">
        <f t="shared" si="84"/>
        <v/>
      </c>
      <c r="Q226" s="9"/>
      <c r="R226" s="30">
        <f t="shared" si="85"/>
        <v>0</v>
      </c>
      <c r="S226" s="9"/>
      <c r="T226" s="30">
        <f t="shared" si="86"/>
        <v>0</v>
      </c>
      <c r="U226" s="9">
        <v>200</v>
      </c>
      <c r="V226" s="30">
        <v>9000</v>
      </c>
      <c r="W226" s="9"/>
      <c r="X226" s="30">
        <f t="shared" si="95"/>
        <v>0</v>
      </c>
      <c r="Y226" s="9"/>
      <c r="Z226" s="30">
        <f t="shared" si="96"/>
        <v>0</v>
      </c>
      <c r="AA226" s="9"/>
      <c r="AB226" s="30">
        <f t="shared" si="97"/>
        <v>0</v>
      </c>
      <c r="AC226" s="9"/>
      <c r="AD226" s="30">
        <f t="shared" si="88"/>
        <v>0</v>
      </c>
      <c r="AE226" s="9"/>
      <c r="AF226" s="30">
        <f t="shared" si="89"/>
        <v>0</v>
      </c>
      <c r="AG226" s="9"/>
      <c r="AH226" s="30">
        <f t="shared" si="90"/>
        <v>0</v>
      </c>
      <c r="AI226" s="9"/>
      <c r="AJ226" s="30">
        <f t="shared" si="91"/>
        <v>0</v>
      </c>
      <c r="AK226" s="9"/>
      <c r="AL226" s="30">
        <f t="shared" si="92"/>
        <v>0</v>
      </c>
      <c r="AM226" s="10">
        <v>200</v>
      </c>
      <c r="AN226" s="31">
        <v>9000</v>
      </c>
      <c r="AO226" s="15">
        <f t="shared" si="93"/>
        <v>9000</v>
      </c>
      <c r="AP226" s="9">
        <f t="shared" si="99"/>
        <v>0</v>
      </c>
      <c r="AQ226" s="28">
        <f t="shared" si="94"/>
        <v>200</v>
      </c>
      <c r="AR226" s="8">
        <f t="shared" si="100"/>
        <v>0</v>
      </c>
      <c r="AS226" s="29">
        <f t="shared" si="82"/>
        <v>9000</v>
      </c>
      <c r="AT226" s="13">
        <f t="shared" si="101"/>
        <v>0</v>
      </c>
      <c r="AU226" s="2" t="str">
        <f t="shared" si="83"/>
        <v/>
      </c>
      <c r="AV226" s="2"/>
    </row>
    <row r="227" spans="1:48" ht="16.5">
      <c r="A227" s="1" t="s">
        <v>12</v>
      </c>
      <c r="B227" s="3" t="s">
        <v>29</v>
      </c>
      <c r="C227" s="3" t="s">
        <v>219</v>
      </c>
      <c r="D227" s="4">
        <v>1789</v>
      </c>
      <c r="E227" s="3" t="s">
        <v>22</v>
      </c>
      <c r="F227" s="3" t="s">
        <v>22</v>
      </c>
      <c r="G227" s="31">
        <v>24</v>
      </c>
      <c r="H227" s="31" t="s">
        <v>198</v>
      </c>
      <c r="I227" s="5"/>
      <c r="J227" s="5"/>
      <c r="K227" s="6"/>
      <c r="L227" s="11">
        <f t="shared" si="98"/>
        <v>0</v>
      </c>
      <c r="M227" s="7"/>
      <c r="N227" s="31"/>
      <c r="O227" s="9"/>
      <c r="P227" s="9" t="str">
        <f t="shared" si="84"/>
        <v/>
      </c>
      <c r="Q227" s="9"/>
      <c r="R227" s="30">
        <f t="shared" si="85"/>
        <v>0</v>
      </c>
      <c r="S227" s="9"/>
      <c r="T227" s="30">
        <f t="shared" si="86"/>
        <v>0</v>
      </c>
      <c r="U227" s="9"/>
      <c r="V227" s="30">
        <v>1320</v>
      </c>
      <c r="W227" s="9"/>
      <c r="X227" s="30">
        <f t="shared" si="95"/>
        <v>0</v>
      </c>
      <c r="Y227" s="9"/>
      <c r="Z227" s="30">
        <f t="shared" si="96"/>
        <v>0</v>
      </c>
      <c r="AA227" s="9"/>
      <c r="AB227" s="30">
        <v>100</v>
      </c>
      <c r="AC227" s="9"/>
      <c r="AD227" s="30">
        <f t="shared" si="88"/>
        <v>0</v>
      </c>
      <c r="AE227" s="9"/>
      <c r="AF227" s="30">
        <f t="shared" si="89"/>
        <v>0</v>
      </c>
      <c r="AG227" s="9"/>
      <c r="AH227" s="30">
        <f t="shared" si="90"/>
        <v>0</v>
      </c>
      <c r="AI227" s="9"/>
      <c r="AJ227" s="30">
        <f t="shared" si="91"/>
        <v>0</v>
      </c>
      <c r="AK227" s="9"/>
      <c r="AL227" s="30">
        <f t="shared" si="92"/>
        <v>0</v>
      </c>
      <c r="AM227" s="10"/>
      <c r="AN227" s="31">
        <v>1420</v>
      </c>
      <c r="AO227" s="15">
        <f t="shared" si="93"/>
        <v>1420</v>
      </c>
      <c r="AP227" s="9">
        <f t="shared" si="99"/>
        <v>0</v>
      </c>
      <c r="AQ227" s="28">
        <f t="shared" si="94"/>
        <v>0</v>
      </c>
      <c r="AR227" s="8">
        <f t="shared" si="100"/>
        <v>0</v>
      </c>
      <c r="AS227" s="29">
        <f t="shared" si="82"/>
        <v>0</v>
      </c>
      <c r="AT227" s="13">
        <f t="shared" si="101"/>
        <v>1420</v>
      </c>
      <c r="AU227" s="2" t="str">
        <f t="shared" si="83"/>
        <v>pas de prix, ni de quantité</v>
      </c>
      <c r="AV227" s="2"/>
    </row>
    <row r="228" spans="1:48" ht="16.5">
      <c r="A228" s="1" t="s">
        <v>12</v>
      </c>
      <c r="B228" s="3" t="s">
        <v>29</v>
      </c>
      <c r="C228" s="3" t="s">
        <v>219</v>
      </c>
      <c r="D228" s="4">
        <v>1789</v>
      </c>
      <c r="E228" s="3" t="s">
        <v>22</v>
      </c>
      <c r="F228" s="3" t="s">
        <v>22</v>
      </c>
      <c r="G228" s="31">
        <v>24</v>
      </c>
      <c r="H228" s="31" t="s">
        <v>199</v>
      </c>
      <c r="I228" s="5">
        <v>20</v>
      </c>
      <c r="J228" s="5"/>
      <c r="K228" s="6"/>
      <c r="L228" s="11">
        <f t="shared" si="98"/>
        <v>20</v>
      </c>
      <c r="M228" s="7" t="s">
        <v>276</v>
      </c>
      <c r="N228" s="31"/>
      <c r="O228" s="9"/>
      <c r="P228" s="9" t="str">
        <f t="shared" si="84"/>
        <v/>
      </c>
      <c r="Q228" s="9"/>
      <c r="R228" s="30">
        <f t="shared" si="85"/>
        <v>0</v>
      </c>
      <c r="S228" s="9"/>
      <c r="T228" s="30">
        <f t="shared" si="86"/>
        <v>0</v>
      </c>
      <c r="U228" s="9">
        <f>43331/100</f>
        <v>433.31</v>
      </c>
      <c r="V228" s="30">
        <v>8666</v>
      </c>
      <c r="W228" s="9"/>
      <c r="X228" s="30">
        <f t="shared" si="95"/>
        <v>0</v>
      </c>
      <c r="Y228" s="9"/>
      <c r="Z228" s="30">
        <f t="shared" si="96"/>
        <v>0</v>
      </c>
      <c r="AA228" s="9"/>
      <c r="AB228" s="30">
        <f t="shared" si="97"/>
        <v>0</v>
      </c>
      <c r="AC228" s="9"/>
      <c r="AD228" s="30">
        <f t="shared" si="88"/>
        <v>0</v>
      </c>
      <c r="AE228" s="9"/>
      <c r="AF228" s="30">
        <f t="shared" si="89"/>
        <v>0</v>
      </c>
      <c r="AG228" s="9"/>
      <c r="AH228" s="30">
        <f t="shared" si="90"/>
        <v>0</v>
      </c>
      <c r="AI228" s="9"/>
      <c r="AJ228" s="30">
        <f t="shared" si="91"/>
        <v>0</v>
      </c>
      <c r="AK228" s="9"/>
      <c r="AL228" s="30">
        <f t="shared" si="92"/>
        <v>0</v>
      </c>
      <c r="AM228" s="10">
        <f>43331/100</f>
        <v>433.31</v>
      </c>
      <c r="AN228" s="31">
        <v>8666</v>
      </c>
      <c r="AO228" s="15">
        <f t="shared" si="93"/>
        <v>8666</v>
      </c>
      <c r="AP228" s="9">
        <f t="shared" si="99"/>
        <v>0</v>
      </c>
      <c r="AQ228" s="28">
        <f t="shared" si="94"/>
        <v>433.31</v>
      </c>
      <c r="AR228" s="8">
        <f t="shared" si="100"/>
        <v>0</v>
      </c>
      <c r="AS228" s="29">
        <f t="shared" si="82"/>
        <v>8666.2000000000007</v>
      </c>
      <c r="AT228" s="13">
        <f t="shared" si="101"/>
        <v>-0.2000000000007276</v>
      </c>
      <c r="AU228" s="2" t="str">
        <f t="shared" si="83"/>
        <v>erreur de calcul</v>
      </c>
      <c r="AV228" s="2"/>
    </row>
    <row r="229" spans="1:48" ht="16.5">
      <c r="A229" s="1" t="s">
        <v>12</v>
      </c>
      <c r="B229" s="3" t="s">
        <v>29</v>
      </c>
      <c r="C229" s="3" t="s">
        <v>219</v>
      </c>
      <c r="D229" s="4">
        <v>1789</v>
      </c>
      <c r="E229" s="3" t="s">
        <v>22</v>
      </c>
      <c r="F229" s="3" t="s">
        <v>22</v>
      </c>
      <c r="G229" s="31">
        <v>24</v>
      </c>
      <c r="H229" s="31" t="s">
        <v>200</v>
      </c>
      <c r="I229" s="5">
        <v>2</v>
      </c>
      <c r="J229" s="5"/>
      <c r="K229" s="6"/>
      <c r="L229" s="11">
        <f t="shared" si="98"/>
        <v>2</v>
      </c>
      <c r="M229" s="7" t="s">
        <v>14</v>
      </c>
      <c r="N229" s="31"/>
      <c r="O229" s="9"/>
      <c r="P229" s="9" t="str">
        <f t="shared" si="84"/>
        <v/>
      </c>
      <c r="Q229" s="9"/>
      <c r="R229" s="30">
        <f t="shared" si="85"/>
        <v>0</v>
      </c>
      <c r="S229" s="9"/>
      <c r="T229" s="30">
        <f t="shared" si="86"/>
        <v>0</v>
      </c>
      <c r="U229" s="9"/>
      <c r="V229" s="30">
        <f t="shared" si="87"/>
        <v>0</v>
      </c>
      <c r="W229" s="9"/>
      <c r="X229" s="30">
        <f t="shared" si="95"/>
        <v>0</v>
      </c>
      <c r="Y229" s="9">
        <f>87300/100</f>
        <v>873</v>
      </c>
      <c r="Z229" s="30">
        <v>1746</v>
      </c>
      <c r="AA229" s="9"/>
      <c r="AB229" s="30">
        <f t="shared" si="97"/>
        <v>0</v>
      </c>
      <c r="AC229" s="9"/>
      <c r="AD229" s="30">
        <f t="shared" si="88"/>
        <v>0</v>
      </c>
      <c r="AE229" s="9"/>
      <c r="AF229" s="30">
        <f t="shared" si="89"/>
        <v>0</v>
      </c>
      <c r="AG229" s="9"/>
      <c r="AH229" s="30">
        <f t="shared" si="90"/>
        <v>0</v>
      </c>
      <c r="AI229" s="9"/>
      <c r="AJ229" s="30">
        <f t="shared" si="91"/>
        <v>0</v>
      </c>
      <c r="AK229" s="9"/>
      <c r="AL229" s="30">
        <f t="shared" si="92"/>
        <v>0</v>
      </c>
      <c r="AM229" s="10">
        <f>87300/100</f>
        <v>873</v>
      </c>
      <c r="AN229" s="31">
        <v>1746</v>
      </c>
      <c r="AO229" s="15">
        <f t="shared" si="93"/>
        <v>1746</v>
      </c>
      <c r="AP229" s="9">
        <f t="shared" si="99"/>
        <v>0</v>
      </c>
      <c r="AQ229" s="28">
        <f t="shared" si="94"/>
        <v>873</v>
      </c>
      <c r="AR229" s="8">
        <f t="shared" si="100"/>
        <v>0</v>
      </c>
      <c r="AS229" s="29">
        <f t="shared" si="82"/>
        <v>1746</v>
      </c>
      <c r="AT229" s="13">
        <f t="shared" si="101"/>
        <v>0</v>
      </c>
      <c r="AU229" s="2" t="str">
        <f t="shared" si="83"/>
        <v/>
      </c>
      <c r="AV229" s="2"/>
    </row>
    <row r="230" spans="1:48" ht="16.5">
      <c r="A230" s="1" t="s">
        <v>12</v>
      </c>
      <c r="B230" s="3" t="s">
        <v>29</v>
      </c>
      <c r="C230" s="3" t="s">
        <v>219</v>
      </c>
      <c r="D230" s="4">
        <v>1789</v>
      </c>
      <c r="E230" s="3" t="s">
        <v>22</v>
      </c>
      <c r="F230" s="3" t="s">
        <v>22</v>
      </c>
      <c r="G230" s="31">
        <v>24</v>
      </c>
      <c r="H230" s="31" t="s">
        <v>201</v>
      </c>
      <c r="I230" s="5">
        <v>40</v>
      </c>
      <c r="J230" s="5"/>
      <c r="K230" s="6"/>
      <c r="L230" s="11">
        <f t="shared" si="98"/>
        <v>40</v>
      </c>
      <c r="M230" s="7" t="s">
        <v>14</v>
      </c>
      <c r="N230" s="31"/>
      <c r="O230" s="9"/>
      <c r="P230" s="9" t="str">
        <f t="shared" si="84"/>
        <v/>
      </c>
      <c r="Q230" s="9"/>
      <c r="R230" s="30">
        <f t="shared" si="85"/>
        <v>0</v>
      </c>
      <c r="S230" s="9"/>
      <c r="T230" s="30">
        <f t="shared" si="86"/>
        <v>0</v>
      </c>
      <c r="U230" s="9">
        <f>3095/100</f>
        <v>30.95</v>
      </c>
      <c r="V230" s="30">
        <v>1238</v>
      </c>
      <c r="W230" s="9">
        <f>270/100</f>
        <v>2.7</v>
      </c>
      <c r="X230" s="30">
        <v>108</v>
      </c>
      <c r="Y230" s="9">
        <f>4323/100</f>
        <v>43.23</v>
      </c>
      <c r="Z230" s="30">
        <v>1729</v>
      </c>
      <c r="AA230" s="9"/>
      <c r="AB230" s="30">
        <f t="shared" si="97"/>
        <v>0</v>
      </c>
      <c r="AC230" s="9"/>
      <c r="AD230" s="30">
        <f t="shared" si="88"/>
        <v>0</v>
      </c>
      <c r="AE230" s="9"/>
      <c r="AF230" s="30">
        <f t="shared" si="89"/>
        <v>0</v>
      </c>
      <c r="AG230" s="9"/>
      <c r="AH230" s="30">
        <f t="shared" si="90"/>
        <v>0</v>
      </c>
      <c r="AI230" s="9"/>
      <c r="AJ230" s="30">
        <f t="shared" si="91"/>
        <v>0</v>
      </c>
      <c r="AK230" s="9"/>
      <c r="AL230" s="30">
        <f t="shared" si="92"/>
        <v>0</v>
      </c>
      <c r="AM230" s="10">
        <f>7688/100</f>
        <v>76.88</v>
      </c>
      <c r="AN230" s="31">
        <v>3075</v>
      </c>
      <c r="AO230" s="15">
        <f t="shared" si="93"/>
        <v>3075</v>
      </c>
      <c r="AP230" s="9">
        <f t="shared" si="99"/>
        <v>0</v>
      </c>
      <c r="AQ230" s="28">
        <f t="shared" si="94"/>
        <v>76.88</v>
      </c>
      <c r="AR230" s="8">
        <f t="shared" si="100"/>
        <v>0</v>
      </c>
      <c r="AS230" s="29">
        <f t="shared" si="82"/>
        <v>3075.2</v>
      </c>
      <c r="AT230" s="13">
        <f t="shared" si="101"/>
        <v>-0.1999999999998181</v>
      </c>
      <c r="AU230" s="2" t="str">
        <f t="shared" si="83"/>
        <v>erreur de calcul</v>
      </c>
      <c r="AV230" s="2"/>
    </row>
    <row r="231" spans="1:48" ht="16.5">
      <c r="A231" s="1" t="s">
        <v>12</v>
      </c>
      <c r="B231" s="3" t="s">
        <v>29</v>
      </c>
      <c r="C231" s="3" t="s">
        <v>219</v>
      </c>
      <c r="D231" s="4">
        <v>1789</v>
      </c>
      <c r="E231" s="3" t="s">
        <v>22</v>
      </c>
      <c r="F231" s="3" t="s">
        <v>22</v>
      </c>
      <c r="G231" s="31">
        <v>24</v>
      </c>
      <c r="H231" s="31" t="s">
        <v>202</v>
      </c>
      <c r="I231" s="5"/>
      <c r="J231" s="5"/>
      <c r="K231" s="6"/>
      <c r="L231" s="11">
        <f t="shared" si="98"/>
        <v>0</v>
      </c>
      <c r="M231" s="7" t="s">
        <v>42</v>
      </c>
      <c r="N231" s="31" t="s">
        <v>23</v>
      </c>
      <c r="O231" s="9">
        <f>3+244/288</f>
        <v>3.8472222222222223</v>
      </c>
      <c r="P231" s="9">
        <v>1662</v>
      </c>
      <c r="Q231" s="9"/>
      <c r="R231" s="30">
        <f t="shared" si="85"/>
        <v>0</v>
      </c>
      <c r="S231" s="9">
        <f>1+218/288</f>
        <v>1.7569444444444444</v>
      </c>
      <c r="T231" s="30">
        <v>1059</v>
      </c>
      <c r="U231" s="9"/>
      <c r="V231" s="30">
        <f t="shared" si="87"/>
        <v>0</v>
      </c>
      <c r="W231" s="9"/>
      <c r="X231" s="30">
        <f t="shared" si="95"/>
        <v>0</v>
      </c>
      <c r="Y231" s="9"/>
      <c r="Z231" s="30">
        <f t="shared" si="96"/>
        <v>0</v>
      </c>
      <c r="AA231" s="9"/>
      <c r="AB231" s="30">
        <f t="shared" si="97"/>
        <v>0</v>
      </c>
      <c r="AC231" s="9"/>
      <c r="AD231" s="30">
        <f t="shared" si="88"/>
        <v>0</v>
      </c>
      <c r="AE231" s="9"/>
      <c r="AF231" s="30">
        <f t="shared" si="89"/>
        <v>0</v>
      </c>
      <c r="AG231" s="9"/>
      <c r="AH231" s="30">
        <f t="shared" si="90"/>
        <v>0</v>
      </c>
      <c r="AI231" s="9"/>
      <c r="AJ231" s="30">
        <f t="shared" si="91"/>
        <v>0</v>
      </c>
      <c r="AK231" s="9"/>
      <c r="AL231" s="30">
        <f t="shared" si="92"/>
        <v>0</v>
      </c>
      <c r="AM231" s="10">
        <f>1+218/288</f>
        <v>1.7569444444444444</v>
      </c>
      <c r="AN231" s="31">
        <v>1059</v>
      </c>
      <c r="AO231" s="15">
        <f t="shared" si="93"/>
        <v>1059</v>
      </c>
      <c r="AP231" s="9">
        <f t="shared" si="99"/>
        <v>0</v>
      </c>
      <c r="AQ231" s="28">
        <f t="shared" si="94"/>
        <v>1.7569444444444444</v>
      </c>
      <c r="AR231" s="8">
        <f t="shared" si="100"/>
        <v>0</v>
      </c>
      <c r="AS231" s="29">
        <f t="shared" si="82"/>
        <v>0</v>
      </c>
      <c r="AT231" s="13">
        <f t="shared" si="101"/>
        <v>1059</v>
      </c>
      <c r="AU231" s="2" t="str">
        <f t="shared" si="83"/>
        <v>pas de prix</v>
      </c>
      <c r="AV231" s="2"/>
    </row>
    <row r="232" spans="1:48" ht="16.5">
      <c r="A232" s="1" t="s">
        <v>12</v>
      </c>
      <c r="B232" s="3" t="s">
        <v>29</v>
      </c>
      <c r="C232" s="3" t="s">
        <v>219</v>
      </c>
      <c r="D232" s="4">
        <v>1789</v>
      </c>
      <c r="E232" s="3" t="s">
        <v>22</v>
      </c>
      <c r="F232" s="3" t="s">
        <v>22</v>
      </c>
      <c r="G232" s="31">
        <v>24</v>
      </c>
      <c r="H232" s="31" t="s">
        <v>203</v>
      </c>
      <c r="I232" s="5"/>
      <c r="J232" s="5"/>
      <c r="K232" s="6"/>
      <c r="L232" s="11">
        <f t="shared" si="98"/>
        <v>0</v>
      </c>
      <c r="M232" s="7" t="s">
        <v>291</v>
      </c>
      <c r="N232" s="31"/>
      <c r="O232" s="9"/>
      <c r="P232" s="9" t="str">
        <f t="shared" si="84"/>
        <v/>
      </c>
      <c r="Q232" s="9"/>
      <c r="R232" s="30">
        <f t="shared" si="85"/>
        <v>0</v>
      </c>
      <c r="S232" s="9"/>
      <c r="T232" s="30">
        <f t="shared" si="86"/>
        <v>0</v>
      </c>
      <c r="U232" s="9"/>
      <c r="V232" s="30">
        <f t="shared" si="87"/>
        <v>0</v>
      </c>
      <c r="W232" s="9">
        <v>216</v>
      </c>
      <c r="X232" s="30">
        <v>324</v>
      </c>
      <c r="Y232" s="9"/>
      <c r="Z232" s="30">
        <f t="shared" si="96"/>
        <v>0</v>
      </c>
      <c r="AA232" s="9"/>
      <c r="AB232" s="30">
        <f t="shared" si="97"/>
        <v>0</v>
      </c>
      <c r="AC232" s="9"/>
      <c r="AD232" s="30">
        <f t="shared" si="88"/>
        <v>0</v>
      </c>
      <c r="AE232" s="9"/>
      <c r="AF232" s="30">
        <f t="shared" si="89"/>
        <v>0</v>
      </c>
      <c r="AG232" s="9"/>
      <c r="AH232" s="30">
        <f t="shared" si="90"/>
        <v>0</v>
      </c>
      <c r="AI232" s="9"/>
      <c r="AJ232" s="30">
        <f t="shared" si="91"/>
        <v>0</v>
      </c>
      <c r="AK232" s="9"/>
      <c r="AL232" s="30">
        <f t="shared" si="92"/>
        <v>0</v>
      </c>
      <c r="AM232" s="10">
        <v>216</v>
      </c>
      <c r="AN232" s="31">
        <v>324</v>
      </c>
      <c r="AO232" s="15">
        <f t="shared" si="93"/>
        <v>324</v>
      </c>
      <c r="AP232" s="9">
        <f t="shared" si="99"/>
        <v>0</v>
      </c>
      <c r="AQ232" s="28">
        <f t="shared" si="94"/>
        <v>216</v>
      </c>
      <c r="AR232" s="8">
        <f t="shared" si="100"/>
        <v>0</v>
      </c>
      <c r="AS232" s="29">
        <f t="shared" si="82"/>
        <v>0</v>
      </c>
      <c r="AT232" s="13">
        <f t="shared" si="101"/>
        <v>324</v>
      </c>
      <c r="AU232" s="2" t="str">
        <f t="shared" si="83"/>
        <v>pas de prix</v>
      </c>
      <c r="AV232" s="2"/>
    </row>
    <row r="233" spans="1:48" ht="16.5">
      <c r="A233" s="1" t="s">
        <v>12</v>
      </c>
      <c r="B233" s="3" t="s">
        <v>29</v>
      </c>
      <c r="C233" s="3" t="s">
        <v>219</v>
      </c>
      <c r="D233" s="4">
        <v>1789</v>
      </c>
      <c r="E233" s="3" t="s">
        <v>22</v>
      </c>
      <c r="F233" s="3" t="s">
        <v>22</v>
      </c>
      <c r="G233" s="31">
        <v>24</v>
      </c>
      <c r="H233" s="31" t="s">
        <v>60</v>
      </c>
      <c r="I233" s="5"/>
      <c r="J233" s="5"/>
      <c r="K233" s="6"/>
      <c r="L233" s="11">
        <f t="shared" si="98"/>
        <v>0</v>
      </c>
      <c r="M233" s="7" t="s">
        <v>49</v>
      </c>
      <c r="N233" s="31"/>
      <c r="O233" s="9"/>
      <c r="P233" s="9" t="str">
        <f t="shared" si="84"/>
        <v/>
      </c>
      <c r="Q233" s="9"/>
      <c r="R233" s="30">
        <f t="shared" si="85"/>
        <v>0</v>
      </c>
      <c r="S233" s="9"/>
      <c r="T233" s="30">
        <f t="shared" si="86"/>
        <v>0</v>
      </c>
      <c r="U233" s="9">
        <v>29</v>
      </c>
      <c r="V233" s="30">
        <v>19706</v>
      </c>
      <c r="W233" s="9"/>
      <c r="X233" s="30">
        <f t="shared" si="95"/>
        <v>0</v>
      </c>
      <c r="Y233" s="9"/>
      <c r="Z233" s="30">
        <f t="shared" si="96"/>
        <v>0</v>
      </c>
      <c r="AA233" s="9"/>
      <c r="AB233" s="30">
        <f t="shared" si="97"/>
        <v>0</v>
      </c>
      <c r="AC233" s="9"/>
      <c r="AD233" s="30">
        <f t="shared" si="88"/>
        <v>0</v>
      </c>
      <c r="AE233" s="9"/>
      <c r="AF233" s="30">
        <f t="shared" si="89"/>
        <v>0</v>
      </c>
      <c r="AG233" s="9"/>
      <c r="AH233" s="30">
        <f t="shared" si="90"/>
        <v>0</v>
      </c>
      <c r="AI233" s="9"/>
      <c r="AJ233" s="30">
        <f t="shared" si="91"/>
        <v>0</v>
      </c>
      <c r="AK233" s="9"/>
      <c r="AL233" s="30">
        <f t="shared" si="92"/>
        <v>0</v>
      </c>
      <c r="AM233" s="10">
        <v>29</v>
      </c>
      <c r="AN233" s="31">
        <v>19706</v>
      </c>
      <c r="AO233" s="15">
        <f t="shared" si="93"/>
        <v>19706</v>
      </c>
      <c r="AP233" s="9">
        <f t="shared" si="99"/>
        <v>0</v>
      </c>
      <c r="AQ233" s="28">
        <f t="shared" si="94"/>
        <v>29</v>
      </c>
      <c r="AR233" s="8">
        <f t="shared" si="100"/>
        <v>0</v>
      </c>
      <c r="AS233" s="29">
        <f t="shared" si="82"/>
        <v>0</v>
      </c>
      <c r="AT233" s="13">
        <f t="shared" si="101"/>
        <v>19706</v>
      </c>
      <c r="AU233" s="2" t="str">
        <f t="shared" si="83"/>
        <v>pas de prix</v>
      </c>
      <c r="AV233" s="2"/>
    </row>
    <row r="234" spans="1:48">
      <c r="AO234" s="34"/>
      <c r="AP234" s="34"/>
      <c r="AQ234" s="34"/>
      <c r="AR234" s="34"/>
      <c r="AS234" s="34"/>
      <c r="AT234" s="34"/>
      <c r="AU234" s="34"/>
    </row>
  </sheetData>
  <mergeCells count="13">
    <mergeCell ref="AM1:AP1"/>
    <mergeCell ref="AK1:AL1"/>
    <mergeCell ref="N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</mergeCells>
  <conditionalFormatting sqref="AT3:AT233">
    <cfRule type="cellIs" dxfId="5" priority="6" operator="equal">
      <formula>0</formula>
    </cfRule>
  </conditionalFormatting>
  <conditionalFormatting sqref="AT3:AT233">
    <cfRule type="cellIs" dxfId="4" priority="5" operator="notEqual">
      <formula>0</formula>
    </cfRule>
  </conditionalFormatting>
  <conditionalFormatting sqref="AR3:AR233">
    <cfRule type="cellIs" dxfId="3" priority="3" operator="equal">
      <formula>0</formula>
    </cfRule>
    <cfRule type="cellIs" dxfId="2" priority="4" operator="notEqual">
      <formula>"à"</formula>
    </cfRule>
  </conditionalFormatting>
  <conditionalFormatting sqref="AP3:AP233">
    <cfRule type="cellIs" dxfId="1" priority="1" operator="notEqual">
      <formula>0</formula>
    </cfRule>
    <cfRule type="cellIs" dxfId="0" priority="2" operator="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Bordeaux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CHARLES Loic</cp:lastModifiedBy>
  <dcterms:created xsi:type="dcterms:W3CDTF">2014-05-20T06:34:57Z</dcterms:created>
  <dcterms:modified xsi:type="dcterms:W3CDTF">2014-07-29T13:47:53Z</dcterms:modified>
</cp:coreProperties>
</file>