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25600" windowHeight="16020" tabRatio="785" activeTab="4"/>
  </bookViews>
  <sheets>
    <sheet name="Penne" sheetId="7" r:id="rId1"/>
    <sheet name="Septeme" sheetId="6" r:id="rId2"/>
    <sheet name="Arles" sheetId="5" r:id="rId3"/>
    <sheet name="Marseille" sheetId="2" r:id="rId4"/>
    <sheet name="Marseille avec Angleterre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7" i="2" l="1"/>
  <c r="BA41" i="2"/>
  <c r="BA40" i="2"/>
  <c r="BI3" i="2"/>
  <c r="BI4" i="2"/>
  <c r="BI5" i="2"/>
  <c r="BI6" i="2"/>
  <c r="BI7" i="2"/>
  <c r="BI8" i="2"/>
  <c r="BI9" i="2"/>
  <c r="BA350" i="2"/>
  <c r="BA349" i="2"/>
  <c r="BA348" i="2"/>
  <c r="BA347" i="2"/>
  <c r="BA346" i="2"/>
  <c r="BA345" i="2"/>
  <c r="BA344" i="2"/>
  <c r="BA343" i="2"/>
  <c r="BA342" i="2"/>
  <c r="BA341" i="2"/>
  <c r="BA340" i="2"/>
  <c r="BA332" i="2"/>
  <c r="BA331" i="2"/>
  <c r="BA329" i="2"/>
  <c r="BA328" i="2"/>
  <c r="BA327" i="2"/>
  <c r="BA326" i="2"/>
  <c r="BA325" i="2"/>
  <c r="BA316" i="2"/>
  <c r="BA317" i="2"/>
  <c r="BA313" i="2"/>
  <c r="BA312" i="2"/>
  <c r="BA311" i="2"/>
  <c r="BA310" i="2"/>
  <c r="BA308" i="2"/>
  <c r="BA305" i="2"/>
  <c r="BA304" i="2"/>
  <c r="BA303" i="2"/>
  <c r="BA302" i="2"/>
  <c r="BA301" i="2"/>
  <c r="BA295" i="2"/>
  <c r="BA294" i="2"/>
  <c r="BA293" i="2"/>
  <c r="BA292" i="2"/>
  <c r="BA291" i="2"/>
  <c r="BA290" i="2"/>
  <c r="BA289" i="2"/>
  <c r="BA288" i="2"/>
  <c r="BA287" i="2"/>
  <c r="BA285" i="2"/>
  <c r="BA284" i="2"/>
  <c r="BA283" i="2"/>
  <c r="BA282" i="2"/>
  <c r="BA281" i="2"/>
  <c r="BA280" i="2"/>
  <c r="BA277" i="2"/>
  <c r="BA276" i="2"/>
  <c r="BA275" i="2"/>
  <c r="BA274" i="2"/>
  <c r="BA273" i="2"/>
  <c r="BA272" i="2"/>
  <c r="BA271" i="2"/>
  <c r="BA267" i="2"/>
  <c r="BA266" i="2"/>
  <c r="BA264" i="2"/>
  <c r="BA260" i="2"/>
  <c r="BA259" i="2"/>
  <c r="BA255" i="2"/>
  <c r="BA254" i="2"/>
  <c r="BA249" i="2"/>
  <c r="BA248" i="2"/>
  <c r="BA245" i="2"/>
  <c r="BA244" i="2"/>
  <c r="BA242" i="2"/>
  <c r="BA241" i="2"/>
  <c r="BA240" i="2"/>
  <c r="BA239" i="2"/>
  <c r="BA238" i="2"/>
  <c r="BA237" i="2"/>
  <c r="BA236" i="2"/>
  <c r="BA235" i="2"/>
  <c r="BA233" i="2"/>
  <c r="BA229" i="2"/>
  <c r="BA228" i="2"/>
  <c r="BA227" i="2"/>
  <c r="BA226" i="2"/>
  <c r="BA225" i="2"/>
  <c r="BA224" i="2"/>
  <c r="BA223" i="2"/>
  <c r="BA221" i="2"/>
  <c r="BA220" i="2"/>
  <c r="BA219" i="2"/>
  <c r="BA218" i="2"/>
  <c r="BA215" i="2"/>
  <c r="BA211" i="2"/>
  <c r="BA210" i="2"/>
  <c r="BA209" i="2"/>
  <c r="BA208" i="2"/>
  <c r="BA207" i="2"/>
  <c r="BA206" i="2"/>
  <c r="BA203" i="2"/>
  <c r="BA196" i="2"/>
  <c r="BA195" i="2"/>
  <c r="BA194" i="2"/>
  <c r="BA193" i="2"/>
  <c r="BA192" i="2"/>
  <c r="BA191" i="2"/>
  <c r="BA190" i="2"/>
  <c r="BA188" i="2"/>
  <c r="BA187" i="2"/>
  <c r="BA186" i="2"/>
  <c r="BA185" i="2"/>
  <c r="BA184" i="2"/>
  <c r="BA182" i="2"/>
  <c r="BA181" i="2"/>
  <c r="BA180" i="2"/>
  <c r="BA179" i="2"/>
  <c r="BA178" i="2"/>
  <c r="BA177" i="2"/>
  <c r="BA176" i="2"/>
  <c r="BA174" i="2"/>
  <c r="BA173" i="2"/>
  <c r="BA172" i="2"/>
  <c r="BA171" i="2"/>
  <c r="BA170" i="2"/>
  <c r="BA169" i="2"/>
  <c r="BA168" i="2"/>
  <c r="BA166" i="2"/>
  <c r="BA165" i="2"/>
  <c r="BA161" i="2"/>
  <c r="BA160" i="2"/>
  <c r="BA159" i="2"/>
  <c r="BA158" i="2"/>
  <c r="BA157" i="2"/>
  <c r="BA156" i="2"/>
  <c r="BA151" i="2"/>
  <c r="BA150" i="2"/>
  <c r="BA149" i="2"/>
  <c r="BA148" i="2"/>
  <c r="BA145" i="2"/>
  <c r="BA144" i="2"/>
  <c r="BA143" i="2"/>
  <c r="BA141" i="2"/>
  <c r="BA139" i="2"/>
  <c r="BA138" i="2"/>
  <c r="BA135" i="2"/>
  <c r="BA134" i="2"/>
  <c r="BA132" i="2"/>
  <c r="BA131" i="2"/>
  <c r="BA129" i="2"/>
  <c r="BA128" i="2"/>
  <c r="BA126" i="2"/>
  <c r="BA125" i="2"/>
  <c r="BA123" i="2"/>
  <c r="BA118" i="2"/>
  <c r="BA122" i="2"/>
  <c r="BA121" i="2"/>
  <c r="BA120" i="2"/>
  <c r="BA119" i="2"/>
  <c r="BA117" i="2"/>
  <c r="BA114" i="2"/>
  <c r="BA113" i="2"/>
  <c r="BA112" i="2"/>
  <c r="BA111" i="2"/>
  <c r="BA109" i="2"/>
  <c r="BA106" i="2"/>
  <c r="BA104" i="2"/>
  <c r="BA103" i="2"/>
  <c r="BA102" i="2"/>
  <c r="BA101" i="2"/>
  <c r="BA100" i="2"/>
  <c r="BA99" i="2"/>
  <c r="BA97" i="2"/>
  <c r="BA96" i="2"/>
  <c r="BA95" i="2"/>
  <c r="BA94" i="2"/>
  <c r="BA93" i="2"/>
  <c r="BA92" i="2"/>
  <c r="BA91" i="2"/>
  <c r="BA90" i="2"/>
  <c r="BA88" i="2"/>
  <c r="BA87" i="2"/>
  <c r="BA86" i="2"/>
  <c r="BA85" i="2"/>
  <c r="BA84" i="2"/>
  <c r="BA83" i="2"/>
  <c r="BA82" i="2"/>
  <c r="U47" i="8"/>
  <c r="Q47" i="8"/>
  <c r="V47" i="8"/>
  <c r="W47" i="8"/>
  <c r="U46" i="8"/>
  <c r="Q46" i="8"/>
  <c r="V46" i="8"/>
  <c r="W46" i="8"/>
  <c r="U45" i="8"/>
  <c r="Q45" i="8"/>
  <c r="V45" i="8"/>
  <c r="W45" i="8"/>
  <c r="U44" i="8"/>
  <c r="Q44" i="8"/>
  <c r="V44" i="8"/>
  <c r="W44" i="8"/>
  <c r="U43" i="8"/>
  <c r="Q43" i="8"/>
  <c r="V43" i="8"/>
  <c r="W43" i="8"/>
  <c r="U42" i="8"/>
  <c r="Q42" i="8"/>
  <c r="V42" i="8"/>
  <c r="W42" i="8"/>
  <c r="U41" i="8"/>
  <c r="Q41" i="8"/>
  <c r="V41" i="8"/>
  <c r="W41" i="8"/>
  <c r="U40" i="8"/>
  <c r="Q40" i="8"/>
  <c r="V40" i="8"/>
  <c r="W40" i="8"/>
  <c r="U39" i="8"/>
  <c r="Q39" i="8"/>
  <c r="V39" i="8"/>
  <c r="W39" i="8"/>
  <c r="U38" i="8"/>
  <c r="Q38" i="8"/>
  <c r="V38" i="8"/>
  <c r="W38" i="8"/>
  <c r="U37" i="8"/>
  <c r="Q37" i="8"/>
  <c r="V37" i="8"/>
  <c r="W37" i="8"/>
  <c r="U36" i="8"/>
  <c r="Q36" i="8"/>
  <c r="V36" i="8"/>
  <c r="W36" i="8"/>
  <c r="U35" i="8"/>
  <c r="Q35" i="8"/>
  <c r="V35" i="8"/>
  <c r="W35" i="8"/>
  <c r="U34" i="8"/>
  <c r="Q34" i="8"/>
  <c r="V34" i="8"/>
  <c r="W34" i="8"/>
  <c r="U33" i="8"/>
  <c r="Q33" i="8"/>
  <c r="V33" i="8"/>
  <c r="W33" i="8"/>
  <c r="U32" i="8"/>
  <c r="Q32" i="8"/>
  <c r="V32" i="8"/>
  <c r="W32" i="8"/>
  <c r="U31" i="8"/>
  <c r="Q31" i="8"/>
  <c r="V31" i="8"/>
  <c r="W31" i="8"/>
  <c r="U30" i="8"/>
  <c r="Q30" i="8"/>
  <c r="V30" i="8"/>
  <c r="W30" i="8"/>
  <c r="U29" i="8"/>
  <c r="Q29" i="8"/>
  <c r="V29" i="8"/>
  <c r="W29" i="8"/>
  <c r="U28" i="8"/>
  <c r="Q28" i="8"/>
  <c r="V28" i="8"/>
  <c r="W28" i="8"/>
  <c r="U27" i="8"/>
  <c r="Q27" i="8"/>
  <c r="V27" i="8"/>
  <c r="W27" i="8"/>
  <c r="U26" i="8"/>
  <c r="Q26" i="8"/>
  <c r="V26" i="8"/>
  <c r="W26" i="8"/>
  <c r="U25" i="8"/>
  <c r="Q25" i="8"/>
  <c r="V25" i="8"/>
  <c r="W25" i="8"/>
  <c r="U24" i="8"/>
  <c r="Q24" i="8"/>
  <c r="V24" i="8"/>
  <c r="W24" i="8"/>
  <c r="U23" i="8"/>
  <c r="Q23" i="8"/>
  <c r="V23" i="8"/>
  <c r="W23" i="8"/>
  <c r="U22" i="8"/>
  <c r="Q22" i="8"/>
  <c r="V22" i="8"/>
  <c r="W22" i="8"/>
  <c r="U21" i="8"/>
  <c r="Q21" i="8"/>
  <c r="V21" i="8"/>
  <c r="W21" i="8"/>
  <c r="U20" i="8"/>
  <c r="Q20" i="8"/>
  <c r="V20" i="8"/>
  <c r="W20" i="8"/>
  <c r="U19" i="8"/>
  <c r="Q19" i="8"/>
  <c r="V19" i="8"/>
  <c r="W19" i="8"/>
  <c r="U18" i="8"/>
  <c r="Q18" i="8"/>
  <c r="V18" i="8"/>
  <c r="W18" i="8"/>
  <c r="U17" i="8"/>
  <c r="Q17" i="8"/>
  <c r="V17" i="8"/>
  <c r="W17" i="8"/>
  <c r="U16" i="8"/>
  <c r="Q16" i="8"/>
  <c r="V16" i="8"/>
  <c r="W16" i="8"/>
  <c r="U15" i="8"/>
  <c r="Q15" i="8"/>
  <c r="V15" i="8"/>
  <c r="W15" i="8"/>
  <c r="U14" i="8"/>
  <c r="Q14" i="8"/>
  <c r="V14" i="8"/>
  <c r="W14" i="8"/>
  <c r="U13" i="8"/>
  <c r="Q13" i="8"/>
  <c r="V13" i="8"/>
  <c r="W13" i="8"/>
  <c r="U12" i="8"/>
  <c r="Q12" i="8"/>
  <c r="V12" i="8"/>
  <c r="W12" i="8"/>
  <c r="U11" i="8"/>
  <c r="Q11" i="8"/>
  <c r="V11" i="8"/>
  <c r="W11" i="8"/>
  <c r="U10" i="8"/>
  <c r="Q10" i="8"/>
  <c r="V10" i="8"/>
  <c r="W10" i="8"/>
  <c r="U9" i="8"/>
  <c r="Q9" i="8"/>
  <c r="V9" i="8"/>
  <c r="W9" i="8"/>
  <c r="U8" i="8"/>
  <c r="Q8" i="8"/>
  <c r="V8" i="8"/>
  <c r="W8" i="8"/>
  <c r="U7" i="8"/>
  <c r="Q7" i="8"/>
  <c r="V7" i="8"/>
  <c r="W7" i="8"/>
  <c r="U6" i="8"/>
  <c r="Q6" i="8"/>
  <c r="V6" i="8"/>
  <c r="W6" i="8"/>
  <c r="U5" i="8"/>
  <c r="Q5" i="8"/>
  <c r="V5" i="8"/>
  <c r="W5" i="8"/>
  <c r="U4" i="8"/>
  <c r="Q4" i="8"/>
  <c r="V4" i="8"/>
  <c r="W4" i="8"/>
  <c r="U3" i="8"/>
  <c r="Q3" i="8"/>
  <c r="V3" i="8"/>
  <c r="W3" i="8"/>
  <c r="U2" i="8"/>
  <c r="Q2" i="8"/>
  <c r="V2" i="8"/>
  <c r="W2" i="8"/>
  <c r="AI348" i="2"/>
  <c r="AI347" i="2"/>
  <c r="AI345" i="2"/>
  <c r="AM343" i="2"/>
  <c r="AI343" i="2"/>
  <c r="AW341" i="2"/>
  <c r="AM341" i="2"/>
  <c r="AK341" i="2"/>
  <c r="AW340" i="2"/>
  <c r="AO340" i="2"/>
  <c r="AM340" i="2"/>
  <c r="AK340" i="2"/>
  <c r="Q350" i="2"/>
  <c r="U349" i="2"/>
  <c r="Q349" i="2"/>
  <c r="AC348" i="2"/>
  <c r="AA348" i="2"/>
  <c r="Y348" i="2"/>
  <c r="U348" i="2"/>
  <c r="W347" i="2"/>
  <c r="Q347" i="2"/>
  <c r="Q346" i="2"/>
  <c r="U344" i="2"/>
  <c r="W342" i="2"/>
  <c r="Y341" i="2"/>
  <c r="AC340" i="2"/>
  <c r="AA340" i="2"/>
  <c r="Y340" i="2"/>
  <c r="W340" i="2"/>
  <c r="U340" i="2"/>
  <c r="Q340" i="2"/>
  <c r="AC331" i="2"/>
  <c r="AA331" i="2"/>
  <c r="Y331" i="2"/>
  <c r="W331" i="2"/>
  <c r="Q331" i="2"/>
  <c r="AW298" i="2"/>
  <c r="AS311" i="2"/>
  <c r="AY327" i="2"/>
  <c r="AA328" i="2"/>
  <c r="AM326" i="2"/>
  <c r="AI326" i="2"/>
  <c r="AE326" i="2"/>
  <c r="AC326" i="2"/>
  <c r="AA326" i="2"/>
  <c r="AC317" i="2"/>
  <c r="AC316" i="2"/>
  <c r="AG313" i="2"/>
  <c r="AI312" i="2"/>
  <c r="AK311" i="2"/>
  <c r="AK310" i="2"/>
  <c r="AM308" i="2"/>
  <c r="AK308" i="2"/>
  <c r="AI295" i="2"/>
  <c r="AI294" i="2"/>
  <c r="AC293" i="2"/>
  <c r="AM292" i="2"/>
  <c r="AK292" i="2"/>
  <c r="Y329" i="2"/>
  <c r="W327" i="2"/>
  <c r="Y326" i="2"/>
  <c r="W326" i="2"/>
  <c r="U326" i="2"/>
  <c r="Q326" i="2"/>
  <c r="W325" i="2"/>
  <c r="U325" i="2"/>
  <c r="Q325" i="2"/>
  <c r="Q317" i="2"/>
  <c r="Y316" i="2"/>
  <c r="U313" i="2"/>
  <c r="Q313" i="2"/>
  <c r="Y311" i="2"/>
  <c r="X311" i="2"/>
  <c r="Y308" i="2"/>
  <c r="W308" i="2"/>
  <c r="U305" i="2"/>
  <c r="U303" i="2"/>
  <c r="Y302" i="2"/>
  <c r="Y301" i="2"/>
  <c r="W301" i="2"/>
  <c r="U301" i="2"/>
  <c r="Q301" i="2"/>
  <c r="Y293" i="2"/>
  <c r="W293" i="2"/>
  <c r="Y292" i="2"/>
  <c r="W292" i="2"/>
  <c r="U292" i="2"/>
  <c r="W291" i="2"/>
  <c r="Y288" i="2"/>
  <c r="AC290" i="2"/>
  <c r="AI289" i="2"/>
  <c r="AM285" i="2"/>
  <c r="AK285" i="2"/>
  <c r="AG285" i="2"/>
  <c r="AI284" i="2"/>
  <c r="AM283" i="2"/>
  <c r="AI283" i="2"/>
  <c r="AE284" i="2"/>
  <c r="AC284" i="2"/>
  <c r="AA283" i="2"/>
  <c r="AI280" i="2"/>
  <c r="AI281" i="2"/>
  <c r="AG281" i="2"/>
  <c r="AC281" i="2"/>
  <c r="Y281" i="2"/>
  <c r="AG277" i="2"/>
  <c r="AC277" i="2"/>
  <c r="AA277" i="2"/>
  <c r="Y277" i="2"/>
  <c r="AO275" i="2"/>
  <c r="AG276" i="2"/>
  <c r="AC276" i="2"/>
  <c r="AA276" i="2"/>
  <c r="AO264" i="2"/>
  <c r="AC271" i="2"/>
  <c r="Z271" i="2"/>
  <c r="Y272" i="2"/>
  <c r="AE267" i="2"/>
  <c r="AA267" i="2"/>
  <c r="Y267" i="2"/>
  <c r="AB264" i="2"/>
  <c r="Y264" i="2"/>
  <c r="AN263" i="2"/>
  <c r="AM264" i="2"/>
  <c r="AM260" i="2"/>
  <c r="AG259" i="2"/>
  <c r="AC259" i="2"/>
  <c r="Y254" i="2"/>
  <c r="W288" i="2"/>
  <c r="W287" i="2"/>
  <c r="Q284" i="2"/>
  <c r="U285" i="2"/>
  <c r="W284" i="2"/>
  <c r="U284" i="2"/>
  <c r="W283" i="2"/>
  <c r="W282" i="2"/>
  <c r="U282" i="2"/>
  <c r="W281" i="2"/>
  <c r="U281" i="2"/>
  <c r="Q281" i="2"/>
  <c r="W277" i="2"/>
  <c r="U277" i="2"/>
  <c r="W276" i="2"/>
  <c r="U276" i="2"/>
  <c r="U274" i="2"/>
  <c r="W273" i="2"/>
  <c r="U273" i="2"/>
  <c r="W272" i="2"/>
  <c r="U271" i="2"/>
  <c r="Q271" i="2"/>
  <c r="W267" i="2"/>
  <c r="Q266" i="2"/>
  <c r="Q259" i="2"/>
  <c r="Q255" i="2"/>
  <c r="O255" i="2"/>
  <c r="U249" i="2"/>
  <c r="Q249" i="2"/>
  <c r="AY218" i="2"/>
  <c r="AM248" i="2"/>
  <c r="AK248" i="2"/>
  <c r="AA248" i="2"/>
  <c r="AA245" i="2"/>
  <c r="AC244" i="2"/>
  <c r="AK241" i="2"/>
  <c r="AI241" i="2"/>
  <c r="AE241" i="2"/>
  <c r="AC241" i="2"/>
  <c r="AM240" i="2"/>
  <c r="AC237" i="2"/>
  <c r="AK235" i="2"/>
  <c r="AG233" i="2"/>
  <c r="AC233" i="2"/>
  <c r="AA233" i="2"/>
  <c r="AK229" i="2"/>
  <c r="AM228" i="2"/>
  <c r="AI227" i="2"/>
  <c r="AG227" i="2"/>
  <c r="AE227" i="2"/>
  <c r="AC225" i="2"/>
  <c r="AA223" i="2"/>
  <c r="AI224" i="2"/>
  <c r="AG224" i="2"/>
  <c r="AM223" i="2"/>
  <c r="AI223" i="2"/>
  <c r="AG223" i="2"/>
  <c r="AI221" i="2"/>
  <c r="AC220" i="2"/>
  <c r="AG219" i="2"/>
  <c r="AC215" i="2"/>
  <c r="AK215" i="2"/>
  <c r="AI215" i="2"/>
  <c r="AI211" i="2"/>
  <c r="Y248" i="2"/>
  <c r="W248" i="2"/>
  <c r="U248" i="2"/>
  <c r="Y245" i="2"/>
  <c r="Y244" i="2"/>
  <c r="W244" i="2"/>
  <c r="U244" i="2"/>
  <c r="Q244" i="2"/>
  <c r="Y242" i="2"/>
  <c r="Y241" i="2"/>
  <c r="W241" i="2"/>
  <c r="U241" i="2"/>
  <c r="Y239" i="2"/>
  <c r="U239" i="2"/>
  <c r="Q239" i="2"/>
  <c r="Q238" i="2"/>
  <c r="Y236" i="2"/>
  <c r="Q236" i="2"/>
  <c r="Y233" i="2"/>
  <c r="W233" i="2"/>
  <c r="U227" i="2"/>
  <c r="Q226" i="2"/>
  <c r="Y223" i="2"/>
  <c r="W223" i="2"/>
  <c r="U223" i="2"/>
  <c r="Q223" i="2"/>
  <c r="Y220" i="2"/>
  <c r="W220" i="2"/>
  <c r="Q220" i="2"/>
  <c r="W215" i="2"/>
  <c r="U215" i="2"/>
  <c r="AY203" i="2"/>
  <c r="AY201" i="2"/>
  <c r="AZ199" i="2"/>
  <c r="AX199" i="2"/>
  <c r="AR199" i="2"/>
  <c r="AS174" i="2"/>
  <c r="AW170" i="2"/>
  <c r="AS170" i="2"/>
  <c r="AQ170" i="2"/>
  <c r="AC209" i="2"/>
  <c r="AI208" i="2"/>
  <c r="AG208" i="2"/>
  <c r="AC208" i="2"/>
  <c r="Y208" i="2"/>
  <c r="AK207" i="2"/>
  <c r="AI206" i="2"/>
  <c r="AC203" i="2"/>
  <c r="AA203" i="2"/>
  <c r="Y203" i="2"/>
  <c r="AG201" i="2"/>
  <c r="Y201" i="2"/>
  <c r="Y196" i="2"/>
  <c r="Y190" i="2"/>
  <c r="Y188" i="2"/>
  <c r="AI194" i="2"/>
  <c r="AI191" i="2"/>
  <c r="AI190" i="2"/>
  <c r="AI188" i="2"/>
  <c r="AI187" i="2"/>
  <c r="AG186" i="2"/>
  <c r="AM181" i="2"/>
  <c r="AK181" i="2"/>
  <c r="AM174" i="2"/>
  <c r="AK173" i="2"/>
  <c r="AM171" i="2"/>
  <c r="AM170" i="2"/>
  <c r="AK170" i="2"/>
  <c r="AM169" i="2"/>
  <c r="AM168" i="2"/>
  <c r="AK168" i="2"/>
  <c r="AC193" i="2"/>
  <c r="AC191" i="2"/>
  <c r="AC190" i="2"/>
  <c r="AC188" i="2"/>
  <c r="AC187" i="2"/>
  <c r="W210" i="2"/>
  <c r="W203" i="2"/>
  <c r="U203" i="2"/>
  <c r="W201" i="2"/>
  <c r="U201" i="2"/>
  <c r="Q210" i="2"/>
  <c r="Q208" i="2"/>
  <c r="Q207" i="2"/>
  <c r="Q206" i="2"/>
  <c r="Q201" i="2"/>
  <c r="W196" i="2"/>
  <c r="U196" i="2"/>
  <c r="W195" i="2"/>
  <c r="W194" i="2"/>
  <c r="U194" i="2"/>
  <c r="W193" i="2"/>
  <c r="U193" i="2"/>
  <c r="W192" i="2"/>
  <c r="U192" i="2"/>
  <c r="Q194" i="2"/>
  <c r="Q190" i="2"/>
  <c r="Q185" i="2"/>
  <c r="W184" i="2"/>
  <c r="AC182" i="2"/>
  <c r="Y182" i="2"/>
  <c r="W182" i="2"/>
  <c r="U182" i="2"/>
  <c r="U180" i="2"/>
  <c r="Q180" i="2"/>
  <c r="AA179" i="2"/>
  <c r="W179" i="2"/>
  <c r="Y178" i="2"/>
  <c r="W177" i="2"/>
  <c r="AC176" i="2"/>
  <c r="AA176" i="2"/>
  <c r="Y176" i="2"/>
  <c r="W176" i="2"/>
  <c r="U176" i="2"/>
  <c r="W172" i="2"/>
  <c r="Q171" i="2"/>
  <c r="W170" i="2"/>
  <c r="U170" i="2"/>
  <c r="W169" i="2"/>
  <c r="W168" i="2"/>
  <c r="AY165" i="2"/>
  <c r="AS128" i="2"/>
  <c r="AE160" i="2"/>
  <c r="AC160" i="2"/>
  <c r="AI159" i="2"/>
  <c r="AG159" i="2"/>
  <c r="AC159" i="2"/>
  <c r="AO157" i="2"/>
  <c r="AK157" i="2"/>
  <c r="AC151" i="2"/>
  <c r="AC149" i="2"/>
  <c r="AB128" i="2"/>
  <c r="AC128" i="2"/>
  <c r="AC145" i="2"/>
  <c r="AC144" i="2"/>
  <c r="AC148" i="2"/>
  <c r="AI148" i="2"/>
  <c r="AI144" i="2"/>
  <c r="AI143" i="2"/>
  <c r="AI141" i="2"/>
  <c r="AG141" i="2"/>
  <c r="AK138" i="2"/>
  <c r="AK134" i="2"/>
  <c r="AK131" i="2"/>
  <c r="AK129" i="2"/>
  <c r="AK128" i="2"/>
  <c r="U166" i="2"/>
  <c r="Y165" i="2"/>
  <c r="W165" i="2"/>
  <c r="Q165" i="2"/>
  <c r="Y161" i="2"/>
  <c r="W161" i="2"/>
  <c r="Y160" i="2"/>
  <c r="W160" i="2"/>
  <c r="U160" i="2"/>
  <c r="Y159" i="2"/>
  <c r="W159" i="2"/>
  <c r="Q158" i="2"/>
  <c r="Y157" i="2"/>
  <c r="W157" i="2"/>
  <c r="S157" i="2"/>
  <c r="Q157" i="2"/>
  <c r="S156" i="2"/>
  <c r="Q151" i="2"/>
  <c r="Q150" i="2"/>
  <c r="W149" i="2"/>
  <c r="Y148" i="2"/>
  <c r="W148" i="2"/>
  <c r="U148" i="2"/>
  <c r="Y145" i="2"/>
  <c r="W145" i="2"/>
  <c r="Y144" i="2"/>
  <c r="W144" i="2"/>
  <c r="Q144" i="2"/>
  <c r="Y143" i="2"/>
  <c r="Y139" i="2"/>
  <c r="Q135" i="2"/>
  <c r="Q132" i="2"/>
  <c r="Y131" i="2"/>
  <c r="Q128" i="2"/>
  <c r="AO91" i="2"/>
  <c r="AO121" i="2"/>
  <c r="Y126" i="2"/>
  <c r="AM125" i="2"/>
  <c r="AK125" i="2"/>
  <c r="AI125" i="2"/>
  <c r="AE125" i="2"/>
  <c r="AA125" i="2"/>
  <c r="AI123" i="2"/>
  <c r="AA122" i="2"/>
  <c r="Y122" i="2"/>
  <c r="AC120" i="2"/>
  <c r="AK122" i="2"/>
  <c r="AI119" i="2"/>
  <c r="AM117" i="2"/>
  <c r="AK117" i="2"/>
  <c r="Y118" i="2"/>
  <c r="Y117" i="2"/>
  <c r="Y111" i="2"/>
  <c r="Y113" i="2"/>
  <c r="AI114" i="2"/>
  <c r="AC113" i="2"/>
  <c r="AI112" i="2"/>
  <c r="AI111" i="2"/>
  <c r="Y104" i="2"/>
  <c r="Y102" i="2"/>
  <c r="Y96" i="2"/>
  <c r="AC104" i="2"/>
  <c r="AI100" i="2"/>
  <c r="AG100" i="2"/>
  <c r="AC99" i="2"/>
  <c r="AI97" i="2"/>
  <c r="AC94" i="2"/>
  <c r="AI88" i="2"/>
  <c r="AC87" i="2"/>
  <c r="AG86" i="2"/>
  <c r="AI85" i="2"/>
  <c r="AI84" i="2"/>
  <c r="AK83" i="2"/>
  <c r="AM82" i="2"/>
  <c r="AK82" i="2"/>
  <c r="AI82" i="2"/>
  <c r="AG82" i="2"/>
  <c r="Y82" i="2"/>
  <c r="U126" i="2"/>
  <c r="Q125" i="2"/>
  <c r="Q113" i="2"/>
  <c r="W113" i="2"/>
  <c r="W111" i="2"/>
  <c r="S109" i="2"/>
  <c r="Q109" i="2"/>
  <c r="Q106" i="2"/>
  <c r="W104" i="2"/>
  <c r="Q102" i="2"/>
  <c r="W101" i="2"/>
  <c r="W95" i="2"/>
  <c r="Q94" i="2"/>
  <c r="Q93" i="2"/>
  <c r="Q92" i="2"/>
  <c r="Q90" i="2"/>
  <c r="W87" i="2"/>
  <c r="W82" i="2"/>
  <c r="U82" i="2"/>
  <c r="T82" i="2"/>
  <c r="Q82" i="2"/>
  <c r="BA79" i="2"/>
  <c r="BA78" i="2"/>
  <c r="BA77" i="2"/>
  <c r="BA76" i="2"/>
  <c r="BA75" i="2"/>
  <c r="BA73" i="2"/>
  <c r="BA68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AW75" i="2"/>
  <c r="AW66" i="2"/>
  <c r="AY62" i="2"/>
  <c r="AW55" i="2"/>
  <c r="AQ55" i="2"/>
  <c r="AY52" i="2"/>
  <c r="AQ52" i="2"/>
  <c r="AK78" i="2"/>
  <c r="AI77" i="2"/>
  <c r="AG77" i="2"/>
  <c r="AC77" i="2"/>
  <c r="AM76" i="2"/>
  <c r="AI75" i="2"/>
  <c r="AG75" i="2"/>
  <c r="AE75" i="2"/>
  <c r="AC75" i="2"/>
  <c r="AI73" i="2"/>
  <c r="AG73" i="2"/>
  <c r="AC73" i="2"/>
  <c r="AG68" i="2"/>
  <c r="AE68" i="2"/>
  <c r="AC68" i="2"/>
  <c r="AK66" i="2"/>
  <c r="AC66" i="2"/>
  <c r="AA66" i="2"/>
  <c r="AG65" i="2"/>
  <c r="AM63" i="2"/>
  <c r="AK63" i="2"/>
  <c r="AI62" i="2"/>
  <c r="AG62" i="2"/>
  <c r="AC60" i="2"/>
  <c r="AA60" i="2"/>
  <c r="AC58" i="2"/>
  <c r="AA58" i="2"/>
  <c r="AC57" i="2"/>
  <c r="AC56" i="2"/>
  <c r="AM55" i="2"/>
  <c r="AE55" i="2"/>
  <c r="AC55" i="2"/>
  <c r="AA55" i="2"/>
  <c r="AK51" i="2"/>
  <c r="AI50" i="2"/>
  <c r="AI49" i="2"/>
  <c r="AC49" i="2"/>
  <c r="AA48" i="2"/>
  <c r="AI47" i="2"/>
  <c r="AI45" i="2"/>
  <c r="AG45" i="2"/>
  <c r="AC45" i="2"/>
  <c r="AI44" i="2"/>
  <c r="AA44" i="2"/>
  <c r="U79" i="2"/>
  <c r="Y75" i="2"/>
  <c r="W75" i="2"/>
  <c r="U75" i="2"/>
  <c r="S75" i="2"/>
  <c r="Q75" i="2"/>
  <c r="Y73" i="2"/>
  <c r="Y68" i="2"/>
  <c r="W68" i="2"/>
  <c r="U68" i="2"/>
  <c r="Q68" i="2"/>
  <c r="Y66" i="2"/>
  <c r="W66" i="2"/>
  <c r="U66" i="2"/>
  <c r="Q66" i="2"/>
  <c r="Y65" i="2"/>
  <c r="Q63" i="2"/>
  <c r="W61" i="2"/>
  <c r="Y60" i="2"/>
  <c r="W60" i="2"/>
  <c r="Q60" i="2"/>
  <c r="Y59" i="2"/>
  <c r="W59" i="2"/>
  <c r="Y58" i="2"/>
  <c r="Y57" i="2"/>
  <c r="U57" i="2"/>
  <c r="Y56" i="2"/>
  <c r="W56" i="2"/>
  <c r="Y55" i="2"/>
  <c r="W55" i="2"/>
  <c r="U55" i="2"/>
  <c r="U54" i="2"/>
  <c r="Y53" i="2"/>
  <c r="W53" i="2"/>
  <c r="Y52" i="2"/>
  <c r="Q52" i="2"/>
  <c r="Y51" i="2"/>
  <c r="U51" i="2"/>
  <c r="Y49" i="2"/>
  <c r="W49" i="2"/>
  <c r="Q49" i="2"/>
  <c r="Y48" i="2"/>
  <c r="W47" i="2"/>
  <c r="U46" i="2"/>
  <c r="Q46" i="2"/>
  <c r="Q45" i="2"/>
  <c r="U44" i="2"/>
  <c r="Q44" i="2"/>
  <c r="BA38" i="2"/>
  <c r="BA37" i="2"/>
  <c r="BA36" i="2"/>
  <c r="Y34" i="2"/>
  <c r="BA34" i="2"/>
  <c r="BA33" i="2"/>
  <c r="BA32" i="2"/>
  <c r="BA31" i="2"/>
  <c r="BA30" i="2"/>
  <c r="BA29" i="2"/>
  <c r="BA28" i="2"/>
  <c r="BA26" i="2"/>
  <c r="BA25" i="2"/>
  <c r="BA22" i="2"/>
  <c r="BA17" i="2"/>
  <c r="BA12" i="2"/>
  <c r="BA8" i="2"/>
  <c r="BA9" i="2"/>
  <c r="BA7" i="2"/>
  <c r="BA5" i="2"/>
  <c r="BA3" i="2"/>
  <c r="AY39" i="2"/>
  <c r="AY38" i="2"/>
  <c r="AW38" i="2"/>
  <c r="AU38" i="2"/>
  <c r="AS38" i="2"/>
  <c r="AQ38" i="2"/>
  <c r="AO38" i="2"/>
  <c r="AS37" i="2"/>
  <c r="AQ37" i="2"/>
  <c r="AY26" i="2"/>
  <c r="AY17" i="2"/>
  <c r="AW17" i="2"/>
  <c r="AU17" i="2"/>
  <c r="AQ17" i="2"/>
  <c r="AS3" i="2"/>
  <c r="AK41" i="2"/>
  <c r="AM38" i="2"/>
  <c r="AM37" i="2"/>
  <c r="AK37" i="2"/>
  <c r="AI36" i="2"/>
  <c r="AC34" i="2"/>
  <c r="AI32" i="2"/>
  <c r="AK30" i="2"/>
  <c r="AK29" i="2"/>
  <c r="AI29" i="2"/>
  <c r="AK26" i="2"/>
  <c r="AC22" i="2"/>
  <c r="AM17" i="2"/>
  <c r="AK17" i="2"/>
  <c r="AE17" i="2"/>
  <c r="AC17" i="2"/>
  <c r="AA17" i="2"/>
  <c r="AK9" i="2"/>
  <c r="AM8" i="2"/>
  <c r="AK8" i="2"/>
  <c r="AG5" i="2"/>
  <c r="AC5" i="2"/>
  <c r="AK3" i="2"/>
  <c r="Y12" i="2"/>
  <c r="AA12" i="2"/>
  <c r="Y41" i="2"/>
  <c r="Z13" i="2"/>
  <c r="Q38" i="2"/>
  <c r="W34" i="2"/>
  <c r="W33" i="2"/>
  <c r="U34" i="2"/>
  <c r="U33" i="2"/>
  <c r="U32" i="2"/>
  <c r="Q31" i="2"/>
  <c r="Q28" i="2"/>
  <c r="Q26" i="2"/>
  <c r="Q25" i="2"/>
  <c r="W26" i="2"/>
  <c r="W22" i="2"/>
  <c r="W17" i="2"/>
  <c r="U17" i="2"/>
  <c r="W12" i="2"/>
  <c r="Q12" i="2"/>
  <c r="Q8" i="2"/>
  <c r="U7" i="2"/>
  <c r="S7" i="2"/>
  <c r="W5" i="2"/>
  <c r="U5" i="2"/>
  <c r="Q5" i="2"/>
  <c r="W3" i="2"/>
  <c r="O349" i="2"/>
  <c r="O348" i="2"/>
  <c r="O343" i="2"/>
  <c r="O340" i="2"/>
  <c r="O326" i="2"/>
  <c r="O309" i="2"/>
  <c r="L298" i="2"/>
  <c r="O285" i="2"/>
  <c r="O284" i="2"/>
  <c r="O283" i="2"/>
  <c r="O281" i="2"/>
  <c r="L306" i="2"/>
  <c r="P306" i="2"/>
  <c r="T306" i="2"/>
  <c r="V306" i="2"/>
  <c r="X306" i="2"/>
  <c r="Z306" i="2"/>
  <c r="AB306" i="2"/>
  <c r="AD306" i="2"/>
  <c r="AF306" i="2"/>
  <c r="AH306" i="2"/>
  <c r="AJ306" i="2"/>
  <c r="AL306" i="2"/>
  <c r="AN306" i="2"/>
  <c r="AP306" i="2"/>
  <c r="AR306" i="2"/>
  <c r="AT306" i="2"/>
  <c r="AV306" i="2"/>
  <c r="AX306" i="2"/>
  <c r="AZ306" i="2"/>
  <c r="BC306" i="2"/>
  <c r="BD306" i="2"/>
  <c r="BE306" i="2"/>
  <c r="BF306" i="2"/>
  <c r="BG306" i="2"/>
  <c r="BH306" i="2"/>
  <c r="BI306" i="2"/>
  <c r="L307" i="2"/>
  <c r="R307" i="2"/>
  <c r="T307" i="2"/>
  <c r="Z307" i="2"/>
  <c r="AB307" i="2"/>
  <c r="AD307" i="2"/>
  <c r="AF307" i="2"/>
  <c r="AH307" i="2"/>
  <c r="AJ307" i="2"/>
  <c r="AN307" i="2"/>
  <c r="AP307" i="2"/>
  <c r="AR307" i="2"/>
  <c r="AT307" i="2"/>
  <c r="AV307" i="2"/>
  <c r="AX307" i="2"/>
  <c r="AZ307" i="2"/>
  <c r="BC307" i="2"/>
  <c r="BD307" i="2"/>
  <c r="BE307" i="2"/>
  <c r="BF307" i="2"/>
  <c r="BG307" i="2"/>
  <c r="BH307" i="2"/>
  <c r="BI307" i="2"/>
  <c r="L308" i="2"/>
  <c r="P308" i="2"/>
  <c r="R308" i="2"/>
  <c r="T308" i="2"/>
  <c r="V308" i="2"/>
  <c r="AB308" i="2"/>
  <c r="AD308" i="2"/>
  <c r="AF308" i="2"/>
  <c r="AH308" i="2"/>
  <c r="AJ308" i="2"/>
  <c r="AP308" i="2"/>
  <c r="AR308" i="2"/>
  <c r="AT308" i="2"/>
  <c r="AV308" i="2"/>
  <c r="AX308" i="2"/>
  <c r="AZ308" i="2"/>
  <c r="BC308" i="2"/>
  <c r="BD308" i="2"/>
  <c r="BE308" i="2"/>
  <c r="BF308" i="2"/>
  <c r="BG308" i="2"/>
  <c r="BH308" i="2"/>
  <c r="BI308" i="2"/>
  <c r="L309" i="2"/>
  <c r="R309" i="2"/>
  <c r="T309" i="2"/>
  <c r="V309" i="2"/>
  <c r="X309" i="2"/>
  <c r="Z309" i="2"/>
  <c r="AB309" i="2"/>
  <c r="AD309" i="2"/>
  <c r="AF309" i="2"/>
  <c r="AH309" i="2"/>
  <c r="AJ309" i="2"/>
  <c r="AL309" i="2"/>
  <c r="AN309" i="2"/>
  <c r="AP309" i="2"/>
  <c r="AR309" i="2"/>
  <c r="AT309" i="2"/>
  <c r="AV309" i="2"/>
  <c r="AX309" i="2"/>
  <c r="AZ309" i="2"/>
  <c r="BC309" i="2"/>
  <c r="BD309" i="2"/>
  <c r="BE309" i="2"/>
  <c r="BF309" i="2"/>
  <c r="BG309" i="2"/>
  <c r="BH309" i="2"/>
  <c r="BI309" i="2"/>
  <c r="L310" i="2"/>
  <c r="P310" i="2"/>
  <c r="R310" i="2"/>
  <c r="T310" i="2"/>
  <c r="V310" i="2"/>
  <c r="X310" i="2"/>
  <c r="Z310" i="2"/>
  <c r="AB310" i="2"/>
  <c r="AD310" i="2"/>
  <c r="AF310" i="2"/>
  <c r="AH310" i="2"/>
  <c r="AJ310" i="2"/>
  <c r="AN310" i="2"/>
  <c r="AP310" i="2"/>
  <c r="AR310" i="2"/>
  <c r="AT310" i="2"/>
  <c r="AV310" i="2"/>
  <c r="AX310" i="2"/>
  <c r="AZ310" i="2"/>
  <c r="BC310" i="2"/>
  <c r="BD310" i="2"/>
  <c r="BE310" i="2"/>
  <c r="BF310" i="2"/>
  <c r="BG310" i="2"/>
  <c r="BH310" i="2"/>
  <c r="BI310" i="2"/>
  <c r="L311" i="2"/>
  <c r="P311" i="2"/>
  <c r="R311" i="2"/>
  <c r="T311" i="2"/>
  <c r="V311" i="2"/>
  <c r="AB311" i="2"/>
  <c r="AD311" i="2"/>
  <c r="AF311" i="2"/>
  <c r="AH311" i="2"/>
  <c r="AJ311" i="2"/>
  <c r="AN311" i="2"/>
  <c r="AP311" i="2"/>
  <c r="AR311" i="2"/>
  <c r="AV311" i="2"/>
  <c r="AX311" i="2"/>
  <c r="AZ311" i="2"/>
  <c r="BC311" i="2"/>
  <c r="BD311" i="2"/>
  <c r="BE311" i="2"/>
  <c r="BF311" i="2"/>
  <c r="BG311" i="2"/>
  <c r="BH311" i="2"/>
  <c r="BI311" i="2"/>
  <c r="L312" i="2"/>
  <c r="P312" i="2"/>
  <c r="R312" i="2"/>
  <c r="T312" i="2"/>
  <c r="V312" i="2"/>
  <c r="X312" i="2"/>
  <c r="Z312" i="2"/>
  <c r="AB312" i="2"/>
  <c r="AD312" i="2"/>
  <c r="AF312" i="2"/>
  <c r="AH312" i="2"/>
  <c r="AL312" i="2"/>
  <c r="AN312" i="2"/>
  <c r="AP312" i="2"/>
  <c r="AR312" i="2"/>
  <c r="AT312" i="2"/>
  <c r="AV312" i="2"/>
  <c r="AX312" i="2"/>
  <c r="AZ312" i="2"/>
  <c r="BC312" i="2"/>
  <c r="BD312" i="2"/>
  <c r="BE312" i="2"/>
  <c r="BF312" i="2"/>
  <c r="BG312" i="2"/>
  <c r="BH312" i="2"/>
  <c r="BI312" i="2"/>
  <c r="L313" i="2"/>
  <c r="P313" i="2"/>
  <c r="T313" i="2"/>
  <c r="X313" i="2"/>
  <c r="Z313" i="2"/>
  <c r="AB313" i="2"/>
  <c r="AD313" i="2"/>
  <c r="AF313" i="2"/>
  <c r="AJ313" i="2"/>
  <c r="AL313" i="2"/>
  <c r="AN313" i="2"/>
  <c r="AP313" i="2"/>
  <c r="AR313" i="2"/>
  <c r="AT313" i="2"/>
  <c r="AV313" i="2"/>
  <c r="AX313" i="2"/>
  <c r="AZ313" i="2"/>
  <c r="BC313" i="2"/>
  <c r="BD313" i="2"/>
  <c r="BE313" i="2"/>
  <c r="BF313" i="2"/>
  <c r="BG313" i="2"/>
  <c r="BH313" i="2"/>
  <c r="BI313" i="2"/>
  <c r="L314" i="2"/>
  <c r="P314" i="2"/>
  <c r="R314" i="2"/>
  <c r="T314" i="2"/>
  <c r="Z314" i="2"/>
  <c r="AB314" i="2"/>
  <c r="AD314" i="2"/>
  <c r="AF314" i="2"/>
  <c r="AH314" i="2"/>
  <c r="AJ314" i="2"/>
  <c r="AL314" i="2"/>
  <c r="AN314" i="2"/>
  <c r="AP314" i="2"/>
  <c r="AR314" i="2"/>
  <c r="AT314" i="2"/>
  <c r="AV314" i="2"/>
  <c r="AX314" i="2"/>
  <c r="AZ314" i="2"/>
  <c r="BC314" i="2"/>
  <c r="BD314" i="2"/>
  <c r="BE314" i="2"/>
  <c r="BF314" i="2"/>
  <c r="BG314" i="2"/>
  <c r="BH314" i="2"/>
  <c r="BI314" i="2"/>
  <c r="L315" i="2"/>
  <c r="P315" i="2"/>
  <c r="R315" i="2"/>
  <c r="T315" i="2"/>
  <c r="V315" i="2"/>
  <c r="X315" i="2"/>
  <c r="Z315" i="2"/>
  <c r="AB315" i="2"/>
  <c r="AD315" i="2"/>
  <c r="AF315" i="2"/>
  <c r="AH315" i="2"/>
  <c r="AJ315" i="2"/>
  <c r="AN315" i="2"/>
  <c r="AP315" i="2"/>
  <c r="AR315" i="2"/>
  <c r="AT315" i="2"/>
  <c r="AV315" i="2"/>
  <c r="AX315" i="2"/>
  <c r="AZ315" i="2"/>
  <c r="BC315" i="2"/>
  <c r="BD315" i="2"/>
  <c r="BE315" i="2"/>
  <c r="BF315" i="2"/>
  <c r="BG315" i="2"/>
  <c r="BH315" i="2"/>
  <c r="BI315" i="2"/>
  <c r="L316" i="2"/>
  <c r="P316" i="2"/>
  <c r="R316" i="2"/>
  <c r="T316" i="2"/>
  <c r="V316" i="2"/>
  <c r="X316" i="2"/>
  <c r="AB316" i="2"/>
  <c r="AF316" i="2"/>
  <c r="AH316" i="2"/>
  <c r="AJ316" i="2"/>
  <c r="AL316" i="2"/>
  <c r="AN316" i="2"/>
  <c r="AP316" i="2"/>
  <c r="AR316" i="2"/>
  <c r="AT316" i="2"/>
  <c r="AV316" i="2"/>
  <c r="AX316" i="2"/>
  <c r="AZ316" i="2"/>
  <c r="BC316" i="2"/>
  <c r="BD316" i="2"/>
  <c r="BE316" i="2"/>
  <c r="BF316" i="2"/>
  <c r="BG316" i="2"/>
  <c r="BH316" i="2"/>
  <c r="BI316" i="2"/>
  <c r="L317" i="2"/>
  <c r="P317" i="2"/>
  <c r="T317" i="2"/>
  <c r="V317" i="2"/>
  <c r="X317" i="2"/>
  <c r="Z317" i="2"/>
  <c r="AB317" i="2"/>
  <c r="AF317" i="2"/>
  <c r="AH317" i="2"/>
  <c r="AJ317" i="2"/>
  <c r="AL317" i="2"/>
  <c r="AN317" i="2"/>
  <c r="AP317" i="2"/>
  <c r="AR317" i="2"/>
  <c r="AT317" i="2"/>
  <c r="AV317" i="2"/>
  <c r="AX317" i="2"/>
  <c r="AZ317" i="2"/>
  <c r="BC317" i="2"/>
  <c r="BD317" i="2"/>
  <c r="BE317" i="2"/>
  <c r="BF317" i="2"/>
  <c r="BG317" i="2"/>
  <c r="BH317" i="2"/>
  <c r="BI317" i="2"/>
  <c r="L318" i="2"/>
  <c r="P318" i="2"/>
  <c r="R318" i="2"/>
  <c r="T318" i="2"/>
  <c r="V318" i="2"/>
  <c r="X318" i="2"/>
  <c r="Z318" i="2"/>
  <c r="AB318" i="2"/>
  <c r="AD318" i="2"/>
  <c r="AF318" i="2"/>
  <c r="AH318" i="2"/>
  <c r="AL318" i="2"/>
  <c r="AN318" i="2"/>
  <c r="AP318" i="2"/>
  <c r="AR318" i="2"/>
  <c r="AT318" i="2"/>
  <c r="AV318" i="2"/>
  <c r="AX318" i="2"/>
  <c r="AZ318" i="2"/>
  <c r="BC318" i="2"/>
  <c r="BD318" i="2"/>
  <c r="BE318" i="2"/>
  <c r="BF318" i="2"/>
  <c r="BG318" i="2"/>
  <c r="BH318" i="2"/>
  <c r="BI318" i="2"/>
  <c r="L319" i="2"/>
  <c r="P319" i="2"/>
  <c r="R319" i="2"/>
  <c r="T319" i="2"/>
  <c r="V319" i="2"/>
  <c r="X319" i="2"/>
  <c r="Z319" i="2"/>
  <c r="AB319" i="2"/>
  <c r="AF319" i="2"/>
  <c r="AH319" i="2"/>
  <c r="AJ319" i="2"/>
  <c r="AL319" i="2"/>
  <c r="AN319" i="2"/>
  <c r="AP319" i="2"/>
  <c r="AR319" i="2"/>
  <c r="AT319" i="2"/>
  <c r="AV319" i="2"/>
  <c r="AX319" i="2"/>
  <c r="AZ319" i="2"/>
  <c r="BC319" i="2"/>
  <c r="BD319" i="2"/>
  <c r="BE319" i="2"/>
  <c r="BF319" i="2"/>
  <c r="BG319" i="2"/>
  <c r="BH319" i="2"/>
  <c r="BI319" i="2"/>
  <c r="L320" i="2"/>
  <c r="P320" i="2"/>
  <c r="R320" i="2"/>
  <c r="T320" i="2"/>
  <c r="AF320" i="2"/>
  <c r="AH320" i="2"/>
  <c r="AL320" i="2"/>
  <c r="AN320" i="2"/>
  <c r="AP320" i="2"/>
  <c r="AR320" i="2"/>
  <c r="AT320" i="2"/>
  <c r="AV320" i="2"/>
  <c r="AX320" i="2"/>
  <c r="AZ320" i="2"/>
  <c r="BC320" i="2"/>
  <c r="BD320" i="2"/>
  <c r="BE320" i="2"/>
  <c r="BF320" i="2"/>
  <c r="BG320" i="2"/>
  <c r="BH320" i="2"/>
  <c r="BI320" i="2"/>
  <c r="L321" i="2"/>
  <c r="P321" i="2"/>
  <c r="R321" i="2"/>
  <c r="T321" i="2"/>
  <c r="X321" i="2"/>
  <c r="Z321" i="2"/>
  <c r="AB321" i="2"/>
  <c r="AD321" i="2"/>
  <c r="AF321" i="2"/>
  <c r="AH321" i="2"/>
  <c r="AJ321" i="2"/>
  <c r="AL321" i="2"/>
  <c r="AN321" i="2"/>
  <c r="AP321" i="2"/>
  <c r="AR321" i="2"/>
  <c r="AT321" i="2"/>
  <c r="AV321" i="2"/>
  <c r="AX321" i="2"/>
  <c r="AZ321" i="2"/>
  <c r="BC321" i="2"/>
  <c r="BD321" i="2"/>
  <c r="BE321" i="2"/>
  <c r="BF321" i="2"/>
  <c r="BG321" i="2"/>
  <c r="BH321" i="2"/>
  <c r="BI321" i="2"/>
  <c r="L322" i="2"/>
  <c r="P322" i="2"/>
  <c r="R322" i="2"/>
  <c r="T322" i="2"/>
  <c r="V322" i="2"/>
  <c r="AB322" i="2"/>
  <c r="AF322" i="2"/>
  <c r="AH322" i="2"/>
  <c r="AJ322" i="2"/>
  <c r="AL322" i="2"/>
  <c r="AN322" i="2"/>
  <c r="AP322" i="2"/>
  <c r="AR322" i="2"/>
  <c r="AT322" i="2"/>
  <c r="AV322" i="2"/>
  <c r="AX322" i="2"/>
  <c r="AZ322" i="2"/>
  <c r="BC322" i="2"/>
  <c r="BD322" i="2"/>
  <c r="BE322" i="2"/>
  <c r="BF322" i="2"/>
  <c r="BG322" i="2"/>
  <c r="BH322" i="2"/>
  <c r="BI322" i="2"/>
  <c r="L323" i="2"/>
  <c r="P323" i="2"/>
  <c r="R323" i="2"/>
  <c r="T323" i="2"/>
  <c r="X323" i="2"/>
  <c r="Z323" i="2"/>
  <c r="AB323" i="2"/>
  <c r="AD323" i="2"/>
  <c r="AF323" i="2"/>
  <c r="AH323" i="2"/>
  <c r="AJ323" i="2"/>
  <c r="AL323" i="2"/>
  <c r="AN323" i="2"/>
  <c r="AP323" i="2"/>
  <c r="AR323" i="2"/>
  <c r="AT323" i="2"/>
  <c r="AV323" i="2"/>
  <c r="AX323" i="2"/>
  <c r="AZ323" i="2"/>
  <c r="BC323" i="2"/>
  <c r="BD323" i="2"/>
  <c r="BE323" i="2"/>
  <c r="BF323" i="2"/>
  <c r="BG323" i="2"/>
  <c r="BH323" i="2"/>
  <c r="BI323" i="2"/>
  <c r="L324" i="2"/>
  <c r="P324" i="2"/>
  <c r="R324" i="2"/>
  <c r="T324" i="2"/>
  <c r="V324" i="2"/>
  <c r="X324" i="2"/>
  <c r="Z324" i="2"/>
  <c r="AB324" i="2"/>
  <c r="AD324" i="2"/>
  <c r="AF324" i="2"/>
  <c r="AH324" i="2"/>
  <c r="AL324" i="2"/>
  <c r="AN324" i="2"/>
  <c r="AP324" i="2"/>
  <c r="AR324" i="2"/>
  <c r="AT324" i="2"/>
  <c r="AV324" i="2"/>
  <c r="AX324" i="2"/>
  <c r="AZ324" i="2"/>
  <c r="BC324" i="2"/>
  <c r="BD324" i="2"/>
  <c r="BE324" i="2"/>
  <c r="BF324" i="2"/>
  <c r="BG324" i="2"/>
  <c r="BH324" i="2"/>
  <c r="BI324" i="2"/>
  <c r="L325" i="2"/>
  <c r="P325" i="2"/>
  <c r="T325" i="2"/>
  <c r="Z325" i="2"/>
  <c r="AB325" i="2"/>
  <c r="AD325" i="2"/>
  <c r="AF325" i="2"/>
  <c r="AH325" i="2"/>
  <c r="AJ325" i="2"/>
  <c r="AL325" i="2"/>
  <c r="AN325" i="2"/>
  <c r="AP325" i="2"/>
  <c r="AR325" i="2"/>
  <c r="AT325" i="2"/>
  <c r="AV325" i="2"/>
  <c r="AX325" i="2"/>
  <c r="AZ325" i="2"/>
  <c r="BC325" i="2"/>
  <c r="BD325" i="2"/>
  <c r="BE325" i="2"/>
  <c r="BF325" i="2"/>
  <c r="BG325" i="2"/>
  <c r="BH325" i="2"/>
  <c r="BI325" i="2"/>
  <c r="L326" i="2"/>
  <c r="T326" i="2"/>
  <c r="AH326" i="2"/>
  <c r="AL326" i="2"/>
  <c r="AP326" i="2"/>
  <c r="AR326" i="2"/>
  <c r="AT326" i="2"/>
  <c r="AV326" i="2"/>
  <c r="AX326" i="2"/>
  <c r="AZ326" i="2"/>
  <c r="BC326" i="2"/>
  <c r="BD326" i="2"/>
  <c r="BE326" i="2"/>
  <c r="BF326" i="2"/>
  <c r="BG326" i="2"/>
  <c r="BH326" i="2"/>
  <c r="BI326" i="2"/>
  <c r="L327" i="2"/>
  <c r="P327" i="2"/>
  <c r="R327" i="2"/>
  <c r="T327" i="2"/>
  <c r="V327" i="2"/>
  <c r="Z327" i="2"/>
  <c r="AB327" i="2"/>
  <c r="AD327" i="2"/>
  <c r="AF327" i="2"/>
  <c r="AH327" i="2"/>
  <c r="AJ327" i="2"/>
  <c r="AL327" i="2"/>
  <c r="AN327" i="2"/>
  <c r="AP327" i="2"/>
  <c r="AR327" i="2"/>
  <c r="AT327" i="2"/>
  <c r="AV327" i="2"/>
  <c r="AX327" i="2"/>
  <c r="BC327" i="2"/>
  <c r="BD327" i="2"/>
  <c r="BE327" i="2"/>
  <c r="BF327" i="2"/>
  <c r="BG327" i="2"/>
  <c r="BH327" i="2"/>
  <c r="BI327" i="2"/>
  <c r="L328" i="2"/>
  <c r="P328" i="2"/>
  <c r="R328" i="2"/>
  <c r="T328" i="2"/>
  <c r="V328" i="2"/>
  <c r="X328" i="2"/>
  <c r="Z328" i="2"/>
  <c r="AD328" i="2"/>
  <c r="AF328" i="2"/>
  <c r="AH328" i="2"/>
  <c r="AJ328" i="2"/>
  <c r="AL328" i="2"/>
  <c r="AN328" i="2"/>
  <c r="AP328" i="2"/>
  <c r="AR328" i="2"/>
  <c r="AT328" i="2"/>
  <c r="AV328" i="2"/>
  <c r="AX328" i="2"/>
  <c r="AZ328" i="2"/>
  <c r="BC328" i="2"/>
  <c r="BD328" i="2"/>
  <c r="BE328" i="2"/>
  <c r="BF328" i="2"/>
  <c r="BG328" i="2"/>
  <c r="BH328" i="2"/>
  <c r="BI328" i="2"/>
  <c r="L329" i="2"/>
  <c r="P329" i="2"/>
  <c r="R329" i="2"/>
  <c r="T329" i="2"/>
  <c r="V329" i="2"/>
  <c r="X329" i="2"/>
  <c r="AB329" i="2"/>
  <c r="AD329" i="2"/>
  <c r="AF329" i="2"/>
  <c r="AH329" i="2"/>
  <c r="AJ329" i="2"/>
  <c r="AL329" i="2"/>
  <c r="AN329" i="2"/>
  <c r="AP329" i="2"/>
  <c r="AR329" i="2"/>
  <c r="AT329" i="2"/>
  <c r="AV329" i="2"/>
  <c r="AX329" i="2"/>
  <c r="AZ329" i="2"/>
  <c r="BC329" i="2"/>
  <c r="BD329" i="2"/>
  <c r="BE329" i="2"/>
  <c r="BF329" i="2"/>
  <c r="BG329" i="2"/>
  <c r="BH329" i="2"/>
  <c r="BI329" i="2"/>
  <c r="L330" i="2"/>
  <c r="R330" i="2"/>
  <c r="T330" i="2"/>
  <c r="V330" i="2"/>
  <c r="X330" i="2"/>
  <c r="Z330" i="2"/>
  <c r="AB330" i="2"/>
  <c r="AD330" i="2"/>
  <c r="AF330" i="2"/>
  <c r="AL330" i="2"/>
  <c r="AN330" i="2"/>
  <c r="AP330" i="2"/>
  <c r="AR330" i="2"/>
  <c r="AT330" i="2"/>
  <c r="AV330" i="2"/>
  <c r="AX330" i="2"/>
  <c r="AZ330" i="2"/>
  <c r="BC330" i="2"/>
  <c r="BD330" i="2"/>
  <c r="BE330" i="2"/>
  <c r="BF330" i="2"/>
  <c r="BG330" i="2"/>
  <c r="BH330" i="2"/>
  <c r="BI330" i="2"/>
  <c r="L331" i="2"/>
  <c r="P331" i="2"/>
  <c r="T331" i="2"/>
  <c r="V331" i="2"/>
  <c r="AF331" i="2"/>
  <c r="AH331" i="2"/>
  <c r="AJ331" i="2"/>
  <c r="AL331" i="2"/>
  <c r="AN331" i="2"/>
  <c r="AP331" i="2"/>
  <c r="AR331" i="2"/>
  <c r="AT331" i="2"/>
  <c r="AV331" i="2"/>
  <c r="AX331" i="2"/>
  <c r="AZ331" i="2"/>
  <c r="BC331" i="2"/>
  <c r="BD331" i="2"/>
  <c r="BE331" i="2"/>
  <c r="BF331" i="2"/>
  <c r="BG331" i="2"/>
  <c r="BH331" i="2"/>
  <c r="BI331" i="2"/>
  <c r="L332" i="2"/>
  <c r="P332" i="2"/>
  <c r="R332" i="2"/>
  <c r="T332" i="2"/>
  <c r="V332" i="2"/>
  <c r="X332" i="2"/>
  <c r="Z332" i="2"/>
  <c r="AB332" i="2"/>
  <c r="AD332" i="2"/>
  <c r="AF332" i="2"/>
  <c r="AH332" i="2"/>
  <c r="AL332" i="2"/>
  <c r="AN332" i="2"/>
  <c r="AP332" i="2"/>
  <c r="AR332" i="2"/>
  <c r="AT332" i="2"/>
  <c r="AV332" i="2"/>
  <c r="AX332" i="2"/>
  <c r="AZ332" i="2"/>
  <c r="BC332" i="2"/>
  <c r="BD332" i="2"/>
  <c r="BE332" i="2"/>
  <c r="BF332" i="2"/>
  <c r="BG332" i="2"/>
  <c r="BH332" i="2"/>
  <c r="BI332" i="2"/>
  <c r="L333" i="2"/>
  <c r="R333" i="2"/>
  <c r="T333" i="2"/>
  <c r="V333" i="2"/>
  <c r="X333" i="2"/>
  <c r="Z333" i="2"/>
  <c r="AB333" i="2"/>
  <c r="AD333" i="2"/>
  <c r="AF333" i="2"/>
  <c r="AH333" i="2"/>
  <c r="AL333" i="2"/>
  <c r="AN333" i="2"/>
  <c r="AP333" i="2"/>
  <c r="AR333" i="2"/>
  <c r="AT333" i="2"/>
  <c r="AV333" i="2"/>
  <c r="AX333" i="2"/>
  <c r="AZ333" i="2"/>
  <c r="BC333" i="2"/>
  <c r="BD333" i="2"/>
  <c r="BE333" i="2"/>
  <c r="BF333" i="2"/>
  <c r="BG333" i="2"/>
  <c r="BH333" i="2"/>
  <c r="BI333" i="2"/>
  <c r="L334" i="2"/>
  <c r="R334" i="2"/>
  <c r="T334" i="2"/>
  <c r="V334" i="2"/>
  <c r="X334" i="2"/>
  <c r="AB334" i="2"/>
  <c r="AD334" i="2"/>
  <c r="AF334" i="2"/>
  <c r="AH334" i="2"/>
  <c r="AL334" i="2"/>
  <c r="AN334" i="2"/>
  <c r="AP334" i="2"/>
  <c r="AR334" i="2"/>
  <c r="AT334" i="2"/>
  <c r="AV334" i="2"/>
  <c r="AX334" i="2"/>
  <c r="AZ334" i="2"/>
  <c r="BC334" i="2"/>
  <c r="BD334" i="2"/>
  <c r="BE334" i="2"/>
  <c r="BF334" i="2"/>
  <c r="BG334" i="2"/>
  <c r="BH334" i="2"/>
  <c r="BI334" i="2"/>
  <c r="L335" i="2"/>
  <c r="P335" i="2"/>
  <c r="R335" i="2"/>
  <c r="T335" i="2"/>
  <c r="V335" i="2"/>
  <c r="X335" i="2"/>
  <c r="Z335" i="2"/>
  <c r="AB335" i="2"/>
  <c r="AD335" i="2"/>
  <c r="AF335" i="2"/>
  <c r="AH335" i="2"/>
  <c r="AL335" i="2"/>
  <c r="AN335" i="2"/>
  <c r="AP335" i="2"/>
  <c r="AR335" i="2"/>
  <c r="AT335" i="2"/>
  <c r="AV335" i="2"/>
  <c r="AX335" i="2"/>
  <c r="AZ335" i="2"/>
  <c r="BC335" i="2"/>
  <c r="BD335" i="2"/>
  <c r="BE335" i="2"/>
  <c r="BF335" i="2"/>
  <c r="BG335" i="2"/>
  <c r="BH335" i="2"/>
  <c r="BI335" i="2"/>
  <c r="L336" i="2"/>
  <c r="P336" i="2"/>
  <c r="R336" i="2"/>
  <c r="T336" i="2"/>
  <c r="V336" i="2"/>
  <c r="X336" i="2"/>
  <c r="Z336" i="2"/>
  <c r="AB336" i="2"/>
  <c r="AD336" i="2"/>
  <c r="AF336" i="2"/>
  <c r="AH336" i="2"/>
  <c r="AL336" i="2"/>
  <c r="AN336" i="2"/>
  <c r="AP336" i="2"/>
  <c r="AR336" i="2"/>
  <c r="AT336" i="2"/>
  <c r="AV336" i="2"/>
  <c r="AX336" i="2"/>
  <c r="AZ336" i="2"/>
  <c r="BC336" i="2"/>
  <c r="BD336" i="2"/>
  <c r="BE336" i="2"/>
  <c r="BF336" i="2"/>
  <c r="BG336" i="2"/>
  <c r="BH336" i="2"/>
  <c r="BI336" i="2"/>
  <c r="L337" i="2"/>
  <c r="P337" i="2"/>
  <c r="R337" i="2"/>
  <c r="T337" i="2"/>
  <c r="V337" i="2"/>
  <c r="X337" i="2"/>
  <c r="Z337" i="2"/>
  <c r="AB337" i="2"/>
  <c r="AD337" i="2"/>
  <c r="AF337" i="2"/>
  <c r="AH337" i="2"/>
  <c r="AL337" i="2"/>
  <c r="AN337" i="2"/>
  <c r="AP337" i="2"/>
  <c r="AR337" i="2"/>
  <c r="AT337" i="2"/>
  <c r="AV337" i="2"/>
  <c r="AX337" i="2"/>
  <c r="AZ337" i="2"/>
  <c r="BC337" i="2"/>
  <c r="BD337" i="2"/>
  <c r="BE337" i="2"/>
  <c r="BF337" i="2"/>
  <c r="BG337" i="2"/>
  <c r="BH337" i="2"/>
  <c r="BI337" i="2"/>
  <c r="L338" i="2"/>
  <c r="R338" i="2"/>
  <c r="T338" i="2"/>
  <c r="V338" i="2"/>
  <c r="X338" i="2"/>
  <c r="Z338" i="2"/>
  <c r="AB338" i="2"/>
  <c r="AD338" i="2"/>
  <c r="AF338" i="2"/>
  <c r="AH338" i="2"/>
  <c r="AJ338" i="2"/>
  <c r="AL338" i="2"/>
  <c r="AN338" i="2"/>
  <c r="AP338" i="2"/>
  <c r="AR338" i="2"/>
  <c r="AT338" i="2"/>
  <c r="AV338" i="2"/>
  <c r="AX338" i="2"/>
  <c r="AZ338" i="2"/>
  <c r="BC338" i="2"/>
  <c r="BD338" i="2"/>
  <c r="BE338" i="2"/>
  <c r="BF338" i="2"/>
  <c r="BG338" i="2"/>
  <c r="BH338" i="2"/>
  <c r="BI338" i="2"/>
  <c r="L339" i="2"/>
  <c r="R339" i="2"/>
  <c r="T339" i="2"/>
  <c r="V339" i="2"/>
  <c r="X339" i="2"/>
  <c r="Z339" i="2"/>
  <c r="AB339" i="2"/>
  <c r="AD339" i="2"/>
  <c r="AF339" i="2"/>
  <c r="AH339" i="2"/>
  <c r="AJ339" i="2"/>
  <c r="AL339" i="2"/>
  <c r="AN339" i="2"/>
  <c r="AP339" i="2"/>
  <c r="AR339" i="2"/>
  <c r="AT339" i="2"/>
  <c r="AV339" i="2"/>
  <c r="AX339" i="2"/>
  <c r="AZ339" i="2"/>
  <c r="BC339" i="2"/>
  <c r="BD339" i="2"/>
  <c r="BE339" i="2"/>
  <c r="BF339" i="2"/>
  <c r="BG339" i="2"/>
  <c r="BH339" i="2"/>
  <c r="BI339" i="2"/>
  <c r="L340" i="2"/>
  <c r="T340" i="2"/>
  <c r="AF340" i="2"/>
  <c r="AH340" i="2"/>
  <c r="AJ340" i="2"/>
  <c r="AR340" i="2"/>
  <c r="AT340" i="2"/>
  <c r="AV340" i="2"/>
  <c r="AZ340" i="2"/>
  <c r="BC340" i="2"/>
  <c r="BD340" i="2"/>
  <c r="BE340" i="2"/>
  <c r="BF340" i="2"/>
  <c r="BG340" i="2"/>
  <c r="BH340" i="2"/>
  <c r="BI340" i="2"/>
  <c r="L341" i="2"/>
  <c r="P341" i="2"/>
  <c r="R341" i="2"/>
  <c r="T341" i="2"/>
  <c r="V341" i="2"/>
  <c r="X341" i="2"/>
  <c r="AB341" i="2"/>
  <c r="AD341" i="2"/>
  <c r="AF341" i="2"/>
  <c r="AH341" i="2"/>
  <c r="AJ341" i="2"/>
  <c r="AP341" i="2"/>
  <c r="AR341" i="2"/>
  <c r="AT341" i="2"/>
  <c r="AV341" i="2"/>
  <c r="AZ341" i="2"/>
  <c r="BC341" i="2"/>
  <c r="BD341" i="2"/>
  <c r="BE341" i="2"/>
  <c r="BF341" i="2"/>
  <c r="BG341" i="2"/>
  <c r="BH341" i="2"/>
  <c r="BI341" i="2"/>
  <c r="L342" i="2"/>
  <c r="P342" i="2"/>
  <c r="R342" i="2"/>
  <c r="T342" i="2"/>
  <c r="V342" i="2"/>
  <c r="Z342" i="2"/>
  <c r="AB342" i="2"/>
  <c r="AD342" i="2"/>
  <c r="AF342" i="2"/>
  <c r="AH342" i="2"/>
  <c r="AJ342" i="2"/>
  <c r="AL342" i="2"/>
  <c r="AN342" i="2"/>
  <c r="AP342" i="2"/>
  <c r="AR342" i="2"/>
  <c r="AT342" i="2"/>
  <c r="AV342" i="2"/>
  <c r="AX342" i="2"/>
  <c r="AZ342" i="2"/>
  <c r="BC342" i="2"/>
  <c r="BD342" i="2"/>
  <c r="BE342" i="2"/>
  <c r="BF342" i="2"/>
  <c r="BG342" i="2"/>
  <c r="BH342" i="2"/>
  <c r="BI342" i="2"/>
  <c r="L343" i="2"/>
  <c r="R343" i="2"/>
  <c r="T343" i="2"/>
  <c r="V343" i="2"/>
  <c r="X343" i="2"/>
  <c r="Z343" i="2"/>
  <c r="AB343" i="2"/>
  <c r="AD343" i="2"/>
  <c r="AF343" i="2"/>
  <c r="AH343" i="2"/>
  <c r="AL343" i="2"/>
  <c r="AP343" i="2"/>
  <c r="AR343" i="2"/>
  <c r="AT343" i="2"/>
  <c r="AV343" i="2"/>
  <c r="AX343" i="2"/>
  <c r="AZ343" i="2"/>
  <c r="BC343" i="2"/>
  <c r="BD343" i="2"/>
  <c r="BE343" i="2"/>
  <c r="BF343" i="2"/>
  <c r="BG343" i="2"/>
  <c r="BH343" i="2"/>
  <c r="BI343" i="2"/>
  <c r="L344" i="2"/>
  <c r="P344" i="2"/>
  <c r="R344" i="2"/>
  <c r="T344" i="2"/>
  <c r="X344" i="2"/>
  <c r="Z344" i="2"/>
  <c r="AB344" i="2"/>
  <c r="AD344" i="2"/>
  <c r="AF344" i="2"/>
  <c r="AH344" i="2"/>
  <c r="AJ344" i="2"/>
  <c r="AL344" i="2"/>
  <c r="AN344" i="2"/>
  <c r="AP344" i="2"/>
  <c r="AR344" i="2"/>
  <c r="AT344" i="2"/>
  <c r="AV344" i="2"/>
  <c r="AX344" i="2"/>
  <c r="AZ344" i="2"/>
  <c r="BC344" i="2"/>
  <c r="BD344" i="2"/>
  <c r="BE344" i="2"/>
  <c r="BF344" i="2"/>
  <c r="BG344" i="2"/>
  <c r="BH344" i="2"/>
  <c r="BI344" i="2"/>
  <c r="L345" i="2"/>
  <c r="P345" i="2"/>
  <c r="R345" i="2"/>
  <c r="T345" i="2"/>
  <c r="V345" i="2"/>
  <c r="X345" i="2"/>
  <c r="Z345" i="2"/>
  <c r="AB345" i="2"/>
  <c r="AD345" i="2"/>
  <c r="AF345" i="2"/>
  <c r="AH345" i="2"/>
  <c r="AL345" i="2"/>
  <c r="AN345" i="2"/>
  <c r="AP345" i="2"/>
  <c r="AR345" i="2"/>
  <c r="AT345" i="2"/>
  <c r="AV345" i="2"/>
  <c r="AX345" i="2"/>
  <c r="AZ345" i="2"/>
  <c r="BC345" i="2"/>
  <c r="BD345" i="2"/>
  <c r="BE345" i="2"/>
  <c r="BF345" i="2"/>
  <c r="BG345" i="2"/>
  <c r="BH345" i="2"/>
  <c r="BI345" i="2"/>
  <c r="L346" i="2"/>
  <c r="P346" i="2"/>
  <c r="T346" i="2"/>
  <c r="V346" i="2"/>
  <c r="X346" i="2"/>
  <c r="Z346" i="2"/>
  <c r="AB346" i="2"/>
  <c r="AD346" i="2"/>
  <c r="AF346" i="2"/>
  <c r="AH346" i="2"/>
  <c r="AJ346" i="2"/>
  <c r="AL346" i="2"/>
  <c r="AN346" i="2"/>
  <c r="AP346" i="2"/>
  <c r="AR346" i="2"/>
  <c r="AT346" i="2"/>
  <c r="AV346" i="2"/>
  <c r="AX346" i="2"/>
  <c r="AZ346" i="2"/>
  <c r="BC346" i="2"/>
  <c r="BD346" i="2"/>
  <c r="BE346" i="2"/>
  <c r="BF346" i="2"/>
  <c r="BG346" i="2"/>
  <c r="BH346" i="2"/>
  <c r="BI346" i="2"/>
  <c r="L347" i="2"/>
  <c r="P347" i="2"/>
  <c r="T347" i="2"/>
  <c r="V347" i="2"/>
  <c r="Z347" i="2"/>
  <c r="AB347" i="2"/>
  <c r="AD347" i="2"/>
  <c r="AF347" i="2"/>
  <c r="AH347" i="2"/>
  <c r="AL347" i="2"/>
  <c r="AN347" i="2"/>
  <c r="AP347" i="2"/>
  <c r="AR347" i="2"/>
  <c r="AT347" i="2"/>
  <c r="AV347" i="2"/>
  <c r="AX347" i="2"/>
  <c r="AZ347" i="2"/>
  <c r="BC347" i="2"/>
  <c r="BD347" i="2"/>
  <c r="BE347" i="2"/>
  <c r="BF347" i="2"/>
  <c r="BG347" i="2"/>
  <c r="BH347" i="2"/>
  <c r="BI347" i="2"/>
  <c r="L348" i="2"/>
  <c r="R348" i="2"/>
  <c r="T348" i="2"/>
  <c r="X348" i="2"/>
  <c r="AF348" i="2"/>
  <c r="AH348" i="2"/>
  <c r="AL348" i="2"/>
  <c r="AN348" i="2"/>
  <c r="AP348" i="2"/>
  <c r="AR348" i="2"/>
  <c r="AT348" i="2"/>
  <c r="AV348" i="2"/>
  <c r="AX348" i="2"/>
  <c r="AZ348" i="2"/>
  <c r="BC348" i="2"/>
  <c r="BD348" i="2"/>
  <c r="BE348" i="2"/>
  <c r="BF348" i="2"/>
  <c r="BG348" i="2"/>
  <c r="BH348" i="2"/>
  <c r="BI348" i="2"/>
  <c r="L349" i="2"/>
  <c r="P349" i="2"/>
  <c r="T349" i="2"/>
  <c r="X349" i="2"/>
  <c r="Z349" i="2"/>
  <c r="AB349" i="2"/>
  <c r="AD349" i="2"/>
  <c r="AF349" i="2"/>
  <c r="AH349" i="2"/>
  <c r="AJ349" i="2"/>
  <c r="AL349" i="2"/>
  <c r="AN349" i="2"/>
  <c r="AP349" i="2"/>
  <c r="AR349" i="2"/>
  <c r="AT349" i="2"/>
  <c r="AV349" i="2"/>
  <c r="AX349" i="2"/>
  <c r="AZ349" i="2"/>
  <c r="BC349" i="2"/>
  <c r="BD349" i="2"/>
  <c r="BE349" i="2"/>
  <c r="BF349" i="2"/>
  <c r="BG349" i="2"/>
  <c r="BH349" i="2"/>
  <c r="BI349" i="2"/>
  <c r="L350" i="2"/>
  <c r="P350" i="2"/>
  <c r="T350" i="2"/>
  <c r="V350" i="2"/>
  <c r="X350" i="2"/>
  <c r="Z350" i="2"/>
  <c r="AB350" i="2"/>
  <c r="AD350" i="2"/>
  <c r="AF350" i="2"/>
  <c r="AH350" i="2"/>
  <c r="AJ350" i="2"/>
  <c r="AL350" i="2"/>
  <c r="AN350" i="2"/>
  <c r="AP350" i="2"/>
  <c r="AR350" i="2"/>
  <c r="AT350" i="2"/>
  <c r="AV350" i="2"/>
  <c r="AX350" i="2"/>
  <c r="AZ350" i="2"/>
  <c r="BC350" i="2"/>
  <c r="BD350" i="2"/>
  <c r="BE350" i="2"/>
  <c r="BF350" i="2"/>
  <c r="BG350" i="2"/>
  <c r="BH350" i="2"/>
  <c r="BI350" i="2"/>
  <c r="L351" i="2"/>
  <c r="P351" i="2"/>
  <c r="T351" i="2"/>
  <c r="V351" i="2"/>
  <c r="Z351" i="2"/>
  <c r="AB351" i="2"/>
  <c r="AD351" i="2"/>
  <c r="AF351" i="2"/>
  <c r="AH351" i="2"/>
  <c r="AJ351" i="2"/>
  <c r="AL351" i="2"/>
  <c r="AN351" i="2"/>
  <c r="AP351" i="2"/>
  <c r="AR351" i="2"/>
  <c r="AT351" i="2"/>
  <c r="AV351" i="2"/>
  <c r="AX351" i="2"/>
  <c r="AZ351" i="2"/>
  <c r="BC351" i="2"/>
  <c r="BD351" i="2"/>
  <c r="BE351" i="2"/>
  <c r="BF351" i="2"/>
  <c r="BG351" i="2"/>
  <c r="BH351" i="2"/>
  <c r="BI351" i="2"/>
  <c r="O264" i="2"/>
  <c r="O263" i="2"/>
  <c r="O248" i="2"/>
  <c r="O241" i="2"/>
  <c r="L219" i="2"/>
  <c r="O217" i="2"/>
  <c r="O215" i="2"/>
  <c r="L215" i="2"/>
  <c r="L211" i="2"/>
  <c r="O210" i="2"/>
  <c r="O201" i="2"/>
  <c r="O151" i="2"/>
  <c r="O98" i="2"/>
  <c r="O82" i="2"/>
  <c r="O75" i="2"/>
  <c r="O74" i="2"/>
  <c r="O62" i="2"/>
  <c r="O47" i="2"/>
  <c r="W41" i="2"/>
  <c r="Q40" i="2"/>
  <c r="O38" i="2"/>
  <c r="O37" i="2"/>
  <c r="L37" i="2"/>
  <c r="O27" i="2"/>
  <c r="O21" i="2"/>
  <c r="L14" i="2"/>
  <c r="O12" i="2"/>
  <c r="P5" i="5"/>
  <c r="T5" i="5"/>
  <c r="U5" i="5"/>
  <c r="V5" i="5"/>
  <c r="P6" i="5"/>
  <c r="T6" i="5"/>
  <c r="U6" i="5"/>
  <c r="V6" i="5"/>
  <c r="P7" i="5"/>
  <c r="T7" i="5"/>
  <c r="U7" i="5"/>
  <c r="V7" i="5"/>
  <c r="P8" i="5"/>
  <c r="T8" i="5"/>
  <c r="U8" i="5"/>
  <c r="V8" i="5"/>
  <c r="P9" i="5"/>
  <c r="T9" i="5"/>
  <c r="U9" i="5"/>
  <c r="V9" i="5"/>
  <c r="P10" i="5"/>
  <c r="T10" i="5"/>
  <c r="U10" i="5"/>
  <c r="V10" i="5"/>
  <c r="P11" i="5"/>
  <c r="T11" i="5"/>
  <c r="U11" i="5"/>
  <c r="V11" i="5"/>
  <c r="P12" i="5"/>
  <c r="T12" i="5"/>
  <c r="U12" i="5"/>
  <c r="V12" i="5"/>
  <c r="P13" i="5"/>
  <c r="T13" i="5"/>
  <c r="U13" i="5"/>
  <c r="V13" i="5"/>
  <c r="P14" i="5"/>
  <c r="T14" i="5"/>
  <c r="U14" i="5"/>
  <c r="V14" i="5"/>
  <c r="P15" i="5"/>
  <c r="T15" i="5"/>
  <c r="U15" i="5"/>
  <c r="V15" i="5"/>
  <c r="P16" i="5"/>
  <c r="T16" i="5"/>
  <c r="U16" i="5"/>
  <c r="V16" i="5"/>
  <c r="P17" i="5"/>
  <c r="T17" i="5"/>
  <c r="U17" i="5"/>
  <c r="V17" i="5"/>
  <c r="P18" i="5"/>
  <c r="T18" i="5"/>
  <c r="U18" i="5"/>
  <c r="V18" i="5"/>
  <c r="P19" i="5"/>
  <c r="T19" i="5"/>
  <c r="U19" i="5"/>
  <c r="V19" i="5"/>
  <c r="P20" i="5"/>
  <c r="T20" i="5"/>
  <c r="U20" i="5"/>
  <c r="V20" i="5"/>
  <c r="P21" i="5"/>
  <c r="T21" i="5"/>
  <c r="U21" i="5"/>
  <c r="V21" i="5"/>
  <c r="P22" i="5"/>
  <c r="T22" i="5"/>
  <c r="U22" i="5"/>
  <c r="V22" i="5"/>
  <c r="P23" i="5"/>
  <c r="T23" i="5"/>
  <c r="U23" i="5"/>
  <c r="V23" i="5"/>
  <c r="P24" i="5"/>
  <c r="T24" i="5"/>
  <c r="U24" i="5"/>
  <c r="V24" i="5"/>
  <c r="P25" i="5"/>
  <c r="T25" i="5"/>
  <c r="U25" i="5"/>
  <c r="V25" i="5"/>
  <c r="P26" i="5"/>
  <c r="T26" i="5"/>
  <c r="U26" i="5"/>
  <c r="V26" i="5"/>
  <c r="P27" i="5"/>
  <c r="T27" i="5"/>
  <c r="U27" i="5"/>
  <c r="V27" i="5"/>
  <c r="P28" i="5"/>
  <c r="T28" i="5"/>
  <c r="U28" i="5"/>
  <c r="V28" i="5"/>
  <c r="P29" i="5"/>
  <c r="T29" i="5"/>
  <c r="U29" i="5"/>
  <c r="V29" i="5"/>
  <c r="P30" i="5"/>
  <c r="T30" i="5"/>
  <c r="U30" i="5"/>
  <c r="V30" i="5"/>
  <c r="P31" i="5"/>
  <c r="T31" i="5"/>
  <c r="U31" i="5"/>
  <c r="V31" i="5"/>
  <c r="P32" i="5"/>
  <c r="T32" i="5"/>
  <c r="U32" i="5"/>
  <c r="V32" i="5"/>
  <c r="P33" i="5"/>
  <c r="T33" i="5"/>
  <c r="U33" i="5"/>
  <c r="V33" i="5"/>
  <c r="P34" i="5"/>
  <c r="T34" i="5"/>
  <c r="U34" i="5"/>
  <c r="V34" i="5"/>
  <c r="P35" i="5"/>
  <c r="T35" i="5"/>
  <c r="U35" i="5"/>
  <c r="V35" i="5"/>
  <c r="P36" i="5"/>
  <c r="T36" i="5"/>
  <c r="U36" i="5"/>
  <c r="V36" i="5"/>
  <c r="P37" i="5"/>
  <c r="T37" i="5"/>
  <c r="U37" i="5"/>
  <c r="V37" i="5"/>
  <c r="P38" i="5"/>
  <c r="T38" i="5"/>
  <c r="U38" i="5"/>
  <c r="V38" i="5"/>
  <c r="P39" i="5"/>
  <c r="T39" i="5"/>
  <c r="U39" i="5"/>
  <c r="V39" i="5"/>
  <c r="P40" i="5"/>
  <c r="T40" i="5"/>
  <c r="U40" i="5"/>
  <c r="V40" i="5"/>
  <c r="P41" i="5"/>
  <c r="T41" i="5"/>
  <c r="U41" i="5"/>
  <c r="V41" i="5"/>
  <c r="P42" i="5"/>
  <c r="T42" i="5"/>
  <c r="U42" i="5"/>
  <c r="V42" i="5"/>
  <c r="P43" i="5"/>
  <c r="T43" i="5"/>
  <c r="U43" i="5"/>
  <c r="V43" i="5"/>
  <c r="P44" i="5"/>
  <c r="T44" i="5"/>
  <c r="U44" i="5"/>
  <c r="V44" i="5"/>
  <c r="P45" i="5"/>
  <c r="T45" i="5"/>
  <c r="U45" i="5"/>
  <c r="V45" i="5"/>
  <c r="P46" i="5"/>
  <c r="T46" i="5"/>
  <c r="U46" i="5"/>
  <c r="V46" i="5"/>
  <c r="P47" i="5"/>
  <c r="T47" i="5"/>
  <c r="U47" i="5"/>
  <c r="V47" i="5"/>
  <c r="P48" i="5"/>
  <c r="T48" i="5"/>
  <c r="U48" i="5"/>
  <c r="V48" i="5"/>
  <c r="P49" i="5"/>
  <c r="T49" i="5"/>
  <c r="U49" i="5"/>
  <c r="V49" i="5"/>
  <c r="P50" i="5"/>
  <c r="T50" i="5"/>
  <c r="U50" i="5"/>
  <c r="V50" i="5"/>
  <c r="P51" i="5"/>
  <c r="T51" i="5"/>
  <c r="U51" i="5"/>
  <c r="V51" i="5"/>
  <c r="P52" i="5"/>
  <c r="T52" i="5"/>
  <c r="U52" i="5"/>
  <c r="V52" i="5"/>
  <c r="P53" i="5"/>
  <c r="T53" i="5"/>
  <c r="U53" i="5"/>
  <c r="V53" i="5"/>
  <c r="P54" i="5"/>
  <c r="T54" i="5"/>
  <c r="U54" i="5"/>
  <c r="V54" i="5"/>
  <c r="P55" i="5"/>
  <c r="T55" i="5"/>
  <c r="U55" i="5"/>
  <c r="V55" i="5"/>
  <c r="P56" i="5"/>
  <c r="T56" i="5"/>
  <c r="U56" i="5"/>
  <c r="V56" i="5"/>
  <c r="P57" i="5"/>
  <c r="T57" i="5"/>
  <c r="U57" i="5"/>
  <c r="V57" i="5"/>
  <c r="P58" i="5"/>
  <c r="T58" i="5"/>
  <c r="U58" i="5"/>
  <c r="V58" i="5"/>
  <c r="P59" i="5"/>
  <c r="T59" i="5"/>
  <c r="U59" i="5"/>
  <c r="V59" i="5"/>
  <c r="P60" i="5"/>
  <c r="T60" i="5"/>
  <c r="U60" i="5"/>
  <c r="V60" i="5"/>
  <c r="P61" i="5"/>
  <c r="T61" i="5"/>
  <c r="U61" i="5"/>
  <c r="V61" i="5"/>
  <c r="P62" i="5"/>
  <c r="T62" i="5"/>
  <c r="U62" i="5"/>
  <c r="V62" i="5"/>
  <c r="P63" i="5"/>
  <c r="T63" i="5"/>
  <c r="U63" i="5"/>
  <c r="V63" i="5"/>
  <c r="P64" i="5"/>
  <c r="T64" i="5"/>
  <c r="U64" i="5"/>
  <c r="V64" i="5"/>
  <c r="P65" i="5"/>
  <c r="T65" i="5"/>
  <c r="U65" i="5"/>
  <c r="V65" i="5"/>
  <c r="P66" i="5"/>
  <c r="T66" i="5"/>
  <c r="U66" i="5"/>
  <c r="V66" i="5"/>
  <c r="P67" i="5"/>
  <c r="T67" i="5"/>
  <c r="U67" i="5"/>
  <c r="V67" i="5"/>
  <c r="P68" i="5"/>
  <c r="T68" i="5"/>
  <c r="U68" i="5"/>
  <c r="V68" i="5"/>
  <c r="P69" i="5"/>
  <c r="T69" i="5"/>
  <c r="U69" i="5"/>
  <c r="V69" i="5"/>
  <c r="P70" i="5"/>
  <c r="T70" i="5"/>
  <c r="U70" i="5"/>
  <c r="V70" i="5"/>
  <c r="P71" i="5"/>
  <c r="T71" i="5"/>
  <c r="U71" i="5"/>
  <c r="V71" i="5"/>
  <c r="P72" i="5"/>
  <c r="T72" i="5"/>
  <c r="U72" i="5"/>
  <c r="V72" i="5"/>
  <c r="P73" i="5"/>
  <c r="T73" i="5"/>
  <c r="U73" i="5"/>
  <c r="V73" i="5"/>
  <c r="P74" i="5"/>
  <c r="T74" i="5"/>
  <c r="U74" i="5"/>
  <c r="V74" i="5"/>
  <c r="P75" i="5"/>
  <c r="T75" i="5"/>
  <c r="U75" i="5"/>
  <c r="V75" i="5"/>
  <c r="P76" i="5"/>
  <c r="T76" i="5"/>
  <c r="U76" i="5"/>
  <c r="V76" i="5"/>
  <c r="P77" i="5"/>
  <c r="T77" i="5"/>
  <c r="U77" i="5"/>
  <c r="V77" i="5"/>
  <c r="P78" i="5"/>
  <c r="T78" i="5"/>
  <c r="U78" i="5"/>
  <c r="V78" i="5"/>
  <c r="P79" i="5"/>
  <c r="T79" i="5"/>
  <c r="U79" i="5"/>
  <c r="V79" i="5"/>
  <c r="P80" i="5"/>
  <c r="T80" i="5"/>
  <c r="U80" i="5"/>
  <c r="V80" i="5"/>
  <c r="P81" i="5"/>
  <c r="T81" i="5"/>
  <c r="U81" i="5"/>
  <c r="V81" i="5"/>
  <c r="P82" i="5"/>
  <c r="T82" i="5"/>
  <c r="U82" i="5"/>
  <c r="V82" i="5"/>
  <c r="P83" i="5"/>
  <c r="T83" i="5"/>
  <c r="U83" i="5"/>
  <c r="V83" i="5"/>
  <c r="P84" i="5"/>
  <c r="T84" i="5"/>
  <c r="U84" i="5"/>
  <c r="V84" i="5"/>
  <c r="P85" i="5"/>
  <c r="T85" i="5"/>
  <c r="U85" i="5"/>
  <c r="V85" i="5"/>
  <c r="P86" i="5"/>
  <c r="T86" i="5"/>
  <c r="U86" i="5"/>
  <c r="V86" i="5"/>
  <c r="P87" i="5"/>
  <c r="T87" i="5"/>
  <c r="U87" i="5"/>
  <c r="V87" i="5"/>
  <c r="P88" i="5"/>
  <c r="T88" i="5"/>
  <c r="U88" i="5"/>
  <c r="V88" i="5"/>
  <c r="P89" i="5"/>
  <c r="T89" i="5"/>
  <c r="U89" i="5"/>
  <c r="V89" i="5"/>
  <c r="P90" i="5"/>
  <c r="T90" i="5"/>
  <c r="U90" i="5"/>
  <c r="V90" i="5"/>
  <c r="P91" i="5"/>
  <c r="T91" i="5"/>
  <c r="U91" i="5"/>
  <c r="V91" i="5"/>
  <c r="P92" i="5"/>
  <c r="T92" i="5"/>
  <c r="U92" i="5"/>
  <c r="V92" i="5"/>
  <c r="P93" i="5"/>
  <c r="T93" i="5"/>
  <c r="U93" i="5"/>
  <c r="V93" i="5"/>
  <c r="P94" i="5"/>
  <c r="T94" i="5"/>
  <c r="U94" i="5"/>
  <c r="V94" i="5"/>
  <c r="P95" i="5"/>
  <c r="T95" i="5"/>
  <c r="U95" i="5"/>
  <c r="V95" i="5"/>
  <c r="P96" i="5"/>
  <c r="T96" i="5"/>
  <c r="U96" i="5"/>
  <c r="V96" i="5"/>
  <c r="P97" i="5"/>
  <c r="T97" i="5"/>
  <c r="U97" i="5"/>
  <c r="V97" i="5"/>
  <c r="P98" i="5"/>
  <c r="T98" i="5"/>
  <c r="U98" i="5"/>
  <c r="V98" i="5"/>
  <c r="P99" i="5"/>
  <c r="T99" i="5"/>
  <c r="U99" i="5"/>
  <c r="V99" i="5"/>
  <c r="P100" i="5"/>
  <c r="T100" i="5"/>
  <c r="U100" i="5"/>
  <c r="V100" i="5"/>
  <c r="P101" i="5"/>
  <c r="T101" i="5"/>
  <c r="U101" i="5"/>
  <c r="V101" i="5"/>
  <c r="P102" i="5"/>
  <c r="T102" i="5"/>
  <c r="U102" i="5"/>
  <c r="V102" i="5"/>
  <c r="P103" i="5"/>
  <c r="T103" i="5"/>
  <c r="U103" i="5"/>
  <c r="V103" i="5"/>
  <c r="P104" i="5"/>
  <c r="T104" i="5"/>
  <c r="U104" i="5"/>
  <c r="V104" i="5"/>
  <c r="P105" i="5"/>
  <c r="T105" i="5"/>
  <c r="U105" i="5"/>
  <c r="V105" i="5"/>
  <c r="P106" i="5"/>
  <c r="T106" i="5"/>
  <c r="U106" i="5"/>
  <c r="V106" i="5"/>
  <c r="P107" i="5"/>
  <c r="T107" i="5"/>
  <c r="U107" i="5"/>
  <c r="V107" i="5"/>
  <c r="P108" i="5"/>
  <c r="T108" i="5"/>
  <c r="U108" i="5"/>
  <c r="V108" i="5"/>
  <c r="P109" i="5"/>
  <c r="T109" i="5"/>
  <c r="U109" i="5"/>
  <c r="V109" i="5"/>
  <c r="P110" i="5"/>
  <c r="T110" i="5"/>
  <c r="U110" i="5"/>
  <c r="V110" i="5"/>
  <c r="P111" i="5"/>
  <c r="T111" i="5"/>
  <c r="U111" i="5"/>
  <c r="V111" i="5"/>
  <c r="P112" i="5"/>
  <c r="T112" i="5"/>
  <c r="U112" i="5"/>
  <c r="V112" i="5"/>
  <c r="P113" i="5"/>
  <c r="T113" i="5"/>
  <c r="U113" i="5"/>
  <c r="V113" i="5"/>
  <c r="P114" i="5"/>
  <c r="T114" i="5"/>
  <c r="U114" i="5"/>
  <c r="V114" i="5"/>
  <c r="P115" i="5"/>
  <c r="T115" i="5"/>
  <c r="U115" i="5"/>
  <c r="V115" i="5"/>
  <c r="P116" i="5"/>
  <c r="T116" i="5"/>
  <c r="U116" i="5"/>
  <c r="V116" i="5"/>
  <c r="P117" i="5"/>
  <c r="T117" i="5"/>
  <c r="U117" i="5"/>
  <c r="V117" i="5"/>
  <c r="P118" i="5"/>
  <c r="T118" i="5"/>
  <c r="U118" i="5"/>
  <c r="V118" i="5"/>
  <c r="P119" i="5"/>
  <c r="T119" i="5"/>
  <c r="U119" i="5"/>
  <c r="V119" i="5"/>
  <c r="P120" i="5"/>
  <c r="T120" i="5"/>
  <c r="U120" i="5"/>
  <c r="V120" i="5"/>
  <c r="P121" i="5"/>
  <c r="T121" i="5"/>
  <c r="U121" i="5"/>
  <c r="V121" i="5"/>
  <c r="P122" i="5"/>
  <c r="T122" i="5"/>
  <c r="U122" i="5"/>
  <c r="V122" i="5"/>
  <c r="P123" i="5"/>
  <c r="T123" i="5"/>
  <c r="U123" i="5"/>
  <c r="V123" i="5"/>
  <c r="P124" i="5"/>
  <c r="T124" i="5"/>
  <c r="U124" i="5"/>
  <c r="V124" i="5"/>
  <c r="P125" i="5"/>
  <c r="T125" i="5"/>
  <c r="U125" i="5"/>
  <c r="V125" i="5"/>
  <c r="P126" i="5"/>
  <c r="T126" i="5"/>
  <c r="U126" i="5"/>
  <c r="V126" i="5"/>
  <c r="P127" i="5"/>
  <c r="T127" i="5"/>
  <c r="U127" i="5"/>
  <c r="V127" i="5"/>
  <c r="P128" i="5"/>
  <c r="T128" i="5"/>
  <c r="U128" i="5"/>
  <c r="V128" i="5"/>
  <c r="P129" i="5"/>
  <c r="T129" i="5"/>
  <c r="U129" i="5"/>
  <c r="V129" i="5"/>
  <c r="P130" i="5"/>
  <c r="T130" i="5"/>
  <c r="U130" i="5"/>
  <c r="V130" i="5"/>
  <c r="P131" i="5"/>
  <c r="T131" i="5"/>
  <c r="U131" i="5"/>
  <c r="V131" i="5"/>
  <c r="P132" i="5"/>
  <c r="T132" i="5"/>
  <c r="U132" i="5"/>
  <c r="V132" i="5"/>
  <c r="P133" i="5"/>
  <c r="T133" i="5"/>
  <c r="U133" i="5"/>
  <c r="V133" i="5"/>
  <c r="P134" i="5"/>
  <c r="T134" i="5"/>
  <c r="U134" i="5"/>
  <c r="V134" i="5"/>
  <c r="P135" i="5"/>
  <c r="T135" i="5"/>
  <c r="U135" i="5"/>
  <c r="V135" i="5"/>
  <c r="P136" i="5"/>
  <c r="T136" i="5"/>
  <c r="U136" i="5"/>
  <c r="V136" i="5"/>
  <c r="P137" i="5"/>
  <c r="T137" i="5"/>
  <c r="U137" i="5"/>
  <c r="V137" i="5"/>
  <c r="P138" i="5"/>
  <c r="T138" i="5"/>
  <c r="U138" i="5"/>
  <c r="V138" i="5"/>
  <c r="P139" i="5"/>
  <c r="T139" i="5"/>
  <c r="U139" i="5"/>
  <c r="V139" i="5"/>
  <c r="P140" i="5"/>
  <c r="T140" i="5"/>
  <c r="U140" i="5"/>
  <c r="V140" i="5"/>
  <c r="P141" i="5"/>
  <c r="T141" i="5"/>
  <c r="U141" i="5"/>
  <c r="V141" i="5"/>
  <c r="P142" i="5"/>
  <c r="T142" i="5"/>
  <c r="U142" i="5"/>
  <c r="V142" i="5"/>
  <c r="P143" i="5"/>
  <c r="T143" i="5"/>
  <c r="U143" i="5"/>
  <c r="V143" i="5"/>
  <c r="P144" i="5"/>
  <c r="T144" i="5"/>
  <c r="U144" i="5"/>
  <c r="V144" i="5"/>
  <c r="P145" i="5"/>
  <c r="T145" i="5"/>
  <c r="U145" i="5"/>
  <c r="V145" i="5"/>
  <c r="P146" i="5"/>
  <c r="T146" i="5"/>
  <c r="U146" i="5"/>
  <c r="V146" i="5"/>
  <c r="P147" i="5"/>
  <c r="T147" i="5"/>
  <c r="U147" i="5"/>
  <c r="V147" i="5"/>
  <c r="P148" i="5"/>
  <c r="T148" i="5"/>
  <c r="U148" i="5"/>
  <c r="V148" i="5"/>
  <c r="P149" i="5"/>
  <c r="T149" i="5"/>
  <c r="U149" i="5"/>
  <c r="V149" i="5"/>
  <c r="P150" i="5"/>
  <c r="T150" i="5"/>
  <c r="U150" i="5"/>
  <c r="V150" i="5"/>
  <c r="P5" i="6"/>
  <c r="T5" i="6"/>
  <c r="U5" i="6"/>
  <c r="V5" i="6"/>
  <c r="P6" i="6"/>
  <c r="T6" i="6"/>
  <c r="U6" i="6"/>
  <c r="V6" i="6"/>
  <c r="P7" i="6"/>
  <c r="T7" i="6"/>
  <c r="U7" i="6"/>
  <c r="V7" i="6"/>
  <c r="P8" i="6"/>
  <c r="T8" i="6"/>
  <c r="U8" i="6"/>
  <c r="V8" i="6"/>
  <c r="P9" i="6"/>
  <c r="T9" i="6"/>
  <c r="U9" i="6"/>
  <c r="V9" i="6"/>
  <c r="P10" i="6"/>
  <c r="T10" i="6"/>
  <c r="U10" i="6"/>
  <c r="V10" i="6"/>
  <c r="P11" i="6"/>
  <c r="T11" i="6"/>
  <c r="U11" i="6"/>
  <c r="V11" i="6"/>
  <c r="P12" i="6"/>
  <c r="T12" i="6"/>
  <c r="U12" i="6"/>
  <c r="V12" i="6"/>
  <c r="P13" i="6"/>
  <c r="T13" i="6"/>
  <c r="U13" i="6"/>
  <c r="V13" i="6"/>
  <c r="P14" i="6"/>
  <c r="T14" i="6"/>
  <c r="U14" i="6"/>
  <c r="V14" i="6"/>
  <c r="P15" i="6"/>
  <c r="T15" i="6"/>
  <c r="U15" i="6"/>
  <c r="V15" i="6"/>
  <c r="P16" i="6"/>
  <c r="T16" i="6"/>
  <c r="U16" i="6"/>
  <c r="V16" i="6"/>
  <c r="P17" i="6"/>
  <c r="T17" i="6"/>
  <c r="U17" i="6"/>
  <c r="V17" i="6"/>
  <c r="P18" i="6"/>
  <c r="T18" i="6"/>
  <c r="U18" i="6"/>
  <c r="V18" i="6"/>
  <c r="P19" i="6"/>
  <c r="T19" i="6"/>
  <c r="U19" i="6"/>
  <c r="V19" i="6"/>
  <c r="P20" i="6"/>
  <c r="T20" i="6"/>
  <c r="U20" i="6"/>
  <c r="V20" i="6"/>
  <c r="P21" i="6"/>
  <c r="T21" i="6"/>
  <c r="U21" i="6"/>
  <c r="V21" i="6"/>
  <c r="P22" i="6"/>
  <c r="T22" i="6"/>
  <c r="U22" i="6"/>
  <c r="V22" i="6"/>
  <c r="P23" i="6"/>
  <c r="T23" i="6"/>
  <c r="U23" i="6"/>
  <c r="V23" i="6"/>
  <c r="P24" i="6"/>
  <c r="T24" i="6"/>
  <c r="U24" i="6"/>
  <c r="V24" i="6"/>
  <c r="P25" i="6"/>
  <c r="T25" i="6"/>
  <c r="U25" i="6"/>
  <c r="V25" i="6"/>
  <c r="P26" i="6"/>
  <c r="T26" i="6"/>
  <c r="U26" i="6"/>
  <c r="V26" i="6"/>
  <c r="P27" i="6"/>
  <c r="T27" i="6"/>
  <c r="U27" i="6"/>
  <c r="V27" i="6"/>
  <c r="P28" i="6"/>
  <c r="T28" i="6"/>
  <c r="U28" i="6"/>
  <c r="V28" i="6"/>
  <c r="P29" i="6"/>
  <c r="T29" i="6"/>
  <c r="U29" i="6"/>
  <c r="V29" i="6"/>
  <c r="P30" i="6"/>
  <c r="T30" i="6"/>
  <c r="U30" i="6"/>
  <c r="V30" i="6"/>
  <c r="P31" i="6"/>
  <c r="T31" i="6"/>
  <c r="U31" i="6"/>
  <c r="V31" i="6"/>
  <c r="P32" i="6"/>
  <c r="T32" i="6"/>
  <c r="U32" i="6"/>
  <c r="V32" i="6"/>
  <c r="P33" i="6"/>
  <c r="T33" i="6"/>
  <c r="U33" i="6"/>
  <c r="V33" i="6"/>
  <c r="P34" i="6"/>
  <c r="T34" i="6"/>
  <c r="U34" i="6"/>
  <c r="V34" i="6"/>
  <c r="P35" i="6"/>
  <c r="T35" i="6"/>
  <c r="U35" i="6"/>
  <c r="V35" i="6"/>
  <c r="P36" i="6"/>
  <c r="T36" i="6"/>
  <c r="U36" i="6"/>
  <c r="V36" i="6"/>
  <c r="P37" i="6"/>
  <c r="T37" i="6"/>
  <c r="U37" i="6"/>
  <c r="V37" i="6"/>
  <c r="P38" i="6"/>
  <c r="T38" i="6"/>
  <c r="U38" i="6"/>
  <c r="V38" i="6"/>
  <c r="P39" i="6"/>
  <c r="T39" i="6"/>
  <c r="U39" i="6"/>
  <c r="V39" i="6"/>
  <c r="P40" i="6"/>
  <c r="T40" i="6"/>
  <c r="U40" i="6"/>
  <c r="V40" i="6"/>
  <c r="P41" i="6"/>
  <c r="T41" i="6"/>
  <c r="U41" i="6"/>
  <c r="V41" i="6"/>
  <c r="P42" i="6"/>
  <c r="T42" i="6"/>
  <c r="U42" i="6"/>
  <c r="V42" i="6"/>
  <c r="P43" i="6"/>
  <c r="T43" i="6"/>
  <c r="U43" i="6"/>
  <c r="V43" i="6"/>
  <c r="P44" i="6"/>
  <c r="T44" i="6"/>
  <c r="U44" i="6"/>
  <c r="V44" i="6"/>
  <c r="P45" i="6"/>
  <c r="T45" i="6"/>
  <c r="U45" i="6"/>
  <c r="V45" i="6"/>
  <c r="P46" i="6"/>
  <c r="T46" i="6"/>
  <c r="U46" i="6"/>
  <c r="V46" i="6"/>
  <c r="P47" i="6"/>
  <c r="T47" i="6"/>
  <c r="U47" i="6"/>
  <c r="V47" i="6"/>
  <c r="P48" i="6"/>
  <c r="T48" i="6"/>
  <c r="U48" i="6"/>
  <c r="V48" i="6"/>
  <c r="P49" i="6"/>
  <c r="T49" i="6"/>
  <c r="U49" i="6"/>
  <c r="V49" i="6"/>
  <c r="P50" i="6"/>
  <c r="T50" i="6"/>
  <c r="U50" i="6"/>
  <c r="V50" i="6"/>
  <c r="P51" i="6"/>
  <c r="T51" i="6"/>
  <c r="U51" i="6"/>
  <c r="V51" i="6"/>
  <c r="P52" i="6"/>
  <c r="T52" i="6"/>
  <c r="U52" i="6"/>
  <c r="V52" i="6"/>
  <c r="P53" i="6"/>
  <c r="T53" i="6"/>
  <c r="U53" i="6"/>
  <c r="V53" i="6"/>
  <c r="P54" i="6"/>
  <c r="T54" i="6"/>
  <c r="U54" i="6"/>
  <c r="V54" i="6"/>
  <c r="P55" i="6"/>
  <c r="T55" i="6"/>
  <c r="U55" i="6"/>
  <c r="V55" i="6"/>
  <c r="P56" i="6"/>
  <c r="T56" i="6"/>
  <c r="U56" i="6"/>
  <c r="V56" i="6"/>
  <c r="P57" i="6"/>
  <c r="T57" i="6"/>
  <c r="U57" i="6"/>
  <c r="V57" i="6"/>
  <c r="P58" i="6"/>
  <c r="T58" i="6"/>
  <c r="U58" i="6"/>
  <c r="V58" i="6"/>
  <c r="P59" i="6"/>
  <c r="T59" i="6"/>
  <c r="U59" i="6"/>
  <c r="V59" i="6"/>
  <c r="P60" i="6"/>
  <c r="T60" i="6"/>
  <c r="U60" i="6"/>
  <c r="V60" i="6"/>
  <c r="P61" i="6"/>
  <c r="T61" i="6"/>
  <c r="U61" i="6"/>
  <c r="V61" i="6"/>
  <c r="P62" i="6"/>
  <c r="T62" i="6"/>
  <c r="U62" i="6"/>
  <c r="V62" i="6"/>
  <c r="P63" i="6"/>
  <c r="T63" i="6"/>
  <c r="U63" i="6"/>
  <c r="V63" i="6"/>
  <c r="P64" i="6"/>
  <c r="T64" i="6"/>
  <c r="U64" i="6"/>
  <c r="V64" i="6"/>
  <c r="P65" i="6"/>
  <c r="T65" i="6"/>
  <c r="U65" i="6"/>
  <c r="V65" i="6"/>
  <c r="P66" i="6"/>
  <c r="T66" i="6"/>
  <c r="U66" i="6"/>
  <c r="V66" i="6"/>
  <c r="P67" i="6"/>
  <c r="T67" i="6"/>
  <c r="U67" i="6"/>
  <c r="V67" i="6"/>
  <c r="P68" i="6"/>
  <c r="T68" i="6"/>
  <c r="U68" i="6"/>
  <c r="V68" i="6"/>
  <c r="P69" i="6"/>
  <c r="T69" i="6"/>
  <c r="U69" i="6"/>
  <c r="V69" i="6"/>
  <c r="P70" i="6"/>
  <c r="T70" i="6"/>
  <c r="U70" i="6"/>
  <c r="V70" i="6"/>
  <c r="P71" i="6"/>
  <c r="T71" i="6"/>
  <c r="U71" i="6"/>
  <c r="V71" i="6"/>
  <c r="P72" i="6"/>
  <c r="T72" i="6"/>
  <c r="U72" i="6"/>
  <c r="V72" i="6"/>
  <c r="P73" i="6"/>
  <c r="T73" i="6"/>
  <c r="U73" i="6"/>
  <c r="V73" i="6"/>
  <c r="P74" i="6"/>
  <c r="T74" i="6"/>
  <c r="U74" i="6"/>
  <c r="V74" i="6"/>
  <c r="P75" i="6"/>
  <c r="T75" i="6"/>
  <c r="U75" i="6"/>
  <c r="V75" i="6"/>
  <c r="P76" i="6"/>
  <c r="T76" i="6"/>
  <c r="U76" i="6"/>
  <c r="V76" i="6"/>
  <c r="P77" i="6"/>
  <c r="T77" i="6"/>
  <c r="U77" i="6"/>
  <c r="V77" i="6"/>
  <c r="P78" i="6"/>
  <c r="T78" i="6"/>
  <c r="U78" i="6"/>
  <c r="V78" i="6"/>
  <c r="P79" i="6"/>
  <c r="T79" i="6"/>
  <c r="U79" i="6"/>
  <c r="V79" i="6"/>
  <c r="P80" i="6"/>
  <c r="T80" i="6"/>
  <c r="U80" i="6"/>
  <c r="V80" i="6"/>
  <c r="P81" i="6"/>
  <c r="T81" i="6"/>
  <c r="U81" i="6"/>
  <c r="V81" i="6"/>
  <c r="P82" i="6"/>
  <c r="T82" i="6"/>
  <c r="U82" i="6"/>
  <c r="V82" i="6"/>
  <c r="P83" i="6"/>
  <c r="T83" i="6"/>
  <c r="U83" i="6"/>
  <c r="V83" i="6"/>
  <c r="P84" i="6"/>
  <c r="T84" i="6"/>
  <c r="U84" i="6"/>
  <c r="V84" i="6"/>
  <c r="P85" i="6"/>
  <c r="T85" i="6"/>
  <c r="U85" i="6"/>
  <c r="V85" i="6"/>
  <c r="P86" i="6"/>
  <c r="T86" i="6"/>
  <c r="U86" i="6"/>
  <c r="V86" i="6"/>
  <c r="P87" i="6"/>
  <c r="T87" i="6"/>
  <c r="U87" i="6"/>
  <c r="V87" i="6"/>
  <c r="P88" i="6"/>
  <c r="T88" i="6"/>
  <c r="U88" i="6"/>
  <c r="V88" i="6"/>
  <c r="P89" i="6"/>
  <c r="T89" i="6"/>
  <c r="U89" i="6"/>
  <c r="V89" i="6"/>
  <c r="P90" i="6"/>
  <c r="T90" i="6"/>
  <c r="U90" i="6"/>
  <c r="V90" i="6"/>
  <c r="P91" i="6"/>
  <c r="T91" i="6"/>
  <c r="U91" i="6"/>
  <c r="V91" i="6"/>
  <c r="P92" i="6"/>
  <c r="T92" i="6"/>
  <c r="U92" i="6"/>
  <c r="V92" i="6"/>
  <c r="P93" i="6"/>
  <c r="T93" i="6"/>
  <c r="U93" i="6"/>
  <c r="V93" i="6"/>
  <c r="P94" i="6"/>
  <c r="T94" i="6"/>
  <c r="U94" i="6"/>
  <c r="V94" i="6"/>
  <c r="P95" i="6"/>
  <c r="T95" i="6"/>
  <c r="U95" i="6"/>
  <c r="V95" i="6"/>
  <c r="P96" i="6"/>
  <c r="T96" i="6"/>
  <c r="U96" i="6"/>
  <c r="V96" i="6"/>
  <c r="P97" i="6"/>
  <c r="T97" i="6"/>
  <c r="U97" i="6"/>
  <c r="V97" i="6"/>
  <c r="P98" i="6"/>
  <c r="T98" i="6"/>
  <c r="U98" i="6"/>
  <c r="V98" i="6"/>
  <c r="P99" i="6"/>
  <c r="T99" i="6"/>
  <c r="U99" i="6"/>
  <c r="V99" i="6"/>
  <c r="P100" i="6"/>
  <c r="T100" i="6"/>
  <c r="U100" i="6"/>
  <c r="V100" i="6"/>
  <c r="P101" i="6"/>
  <c r="T101" i="6"/>
  <c r="U101" i="6"/>
  <c r="V101" i="6"/>
  <c r="P102" i="6"/>
  <c r="T102" i="6"/>
  <c r="U102" i="6"/>
  <c r="V102" i="6"/>
  <c r="P103" i="6"/>
  <c r="T103" i="6"/>
  <c r="U103" i="6"/>
  <c r="V103" i="6"/>
  <c r="P104" i="6"/>
  <c r="T104" i="6"/>
  <c r="U104" i="6"/>
  <c r="V104" i="6"/>
  <c r="P105" i="6"/>
  <c r="T105" i="6"/>
  <c r="U105" i="6"/>
  <c r="V105" i="6"/>
  <c r="P106" i="6"/>
  <c r="T106" i="6"/>
  <c r="U106" i="6"/>
  <c r="V106" i="6"/>
  <c r="P107" i="6"/>
  <c r="T107" i="6"/>
  <c r="U107" i="6"/>
  <c r="V107" i="6"/>
  <c r="P108" i="6"/>
  <c r="T108" i="6"/>
  <c r="U108" i="6"/>
  <c r="V108" i="6"/>
  <c r="P109" i="6"/>
  <c r="T109" i="6"/>
  <c r="U109" i="6"/>
  <c r="V109" i="6"/>
  <c r="P110" i="6"/>
  <c r="T110" i="6"/>
  <c r="U110" i="6"/>
  <c r="V110" i="6"/>
  <c r="P111" i="6"/>
  <c r="T111" i="6"/>
  <c r="U111" i="6"/>
  <c r="V111" i="6"/>
  <c r="P112" i="6"/>
  <c r="T112" i="6"/>
  <c r="U112" i="6"/>
  <c r="V112" i="6"/>
  <c r="P113" i="6"/>
  <c r="T113" i="6"/>
  <c r="U113" i="6"/>
  <c r="V113" i="6"/>
  <c r="P114" i="6"/>
  <c r="T114" i="6"/>
  <c r="U114" i="6"/>
  <c r="V114" i="6"/>
  <c r="P115" i="6"/>
  <c r="T115" i="6"/>
  <c r="U115" i="6"/>
  <c r="V115" i="6"/>
  <c r="P116" i="6"/>
  <c r="T116" i="6"/>
  <c r="U116" i="6"/>
  <c r="V116" i="6"/>
  <c r="P117" i="6"/>
  <c r="T117" i="6"/>
  <c r="U117" i="6"/>
  <c r="V117" i="6"/>
  <c r="P118" i="6"/>
  <c r="T118" i="6"/>
  <c r="U118" i="6"/>
  <c r="V118" i="6"/>
  <c r="P119" i="6"/>
  <c r="T119" i="6"/>
  <c r="U119" i="6"/>
  <c r="V119" i="6"/>
  <c r="P120" i="6"/>
  <c r="T120" i="6"/>
  <c r="U120" i="6"/>
  <c r="V120" i="6"/>
  <c r="P121" i="6"/>
  <c r="T121" i="6"/>
  <c r="U121" i="6"/>
  <c r="V121" i="6"/>
  <c r="P122" i="6"/>
  <c r="T122" i="6"/>
  <c r="U122" i="6"/>
  <c r="V122" i="6"/>
  <c r="P123" i="6"/>
  <c r="T123" i="6"/>
  <c r="U123" i="6"/>
  <c r="V123" i="6"/>
  <c r="P124" i="6"/>
  <c r="T124" i="6"/>
  <c r="U124" i="6"/>
  <c r="V124" i="6"/>
  <c r="P125" i="6"/>
  <c r="T125" i="6"/>
  <c r="U125" i="6"/>
  <c r="V125" i="6"/>
  <c r="P126" i="6"/>
  <c r="T126" i="6"/>
  <c r="U126" i="6"/>
  <c r="V126" i="6"/>
  <c r="P127" i="6"/>
  <c r="T127" i="6"/>
  <c r="U127" i="6"/>
  <c r="V127" i="6"/>
  <c r="P128" i="6"/>
  <c r="T128" i="6"/>
  <c r="U128" i="6"/>
  <c r="V128" i="6"/>
  <c r="P129" i="6"/>
  <c r="T129" i="6"/>
  <c r="U129" i="6"/>
  <c r="V129" i="6"/>
  <c r="P130" i="6"/>
  <c r="T130" i="6"/>
  <c r="U130" i="6"/>
  <c r="V130" i="6"/>
  <c r="P131" i="6"/>
  <c r="T131" i="6"/>
  <c r="U131" i="6"/>
  <c r="V131" i="6"/>
  <c r="P132" i="6"/>
  <c r="T132" i="6"/>
  <c r="U132" i="6"/>
  <c r="V132" i="6"/>
  <c r="P133" i="6"/>
  <c r="T133" i="6"/>
  <c r="U133" i="6"/>
  <c r="V133" i="6"/>
  <c r="P134" i="6"/>
  <c r="T134" i="6"/>
  <c r="U134" i="6"/>
  <c r="V134" i="6"/>
  <c r="P135" i="6"/>
  <c r="T135" i="6"/>
  <c r="U135" i="6"/>
  <c r="V135" i="6"/>
  <c r="P136" i="6"/>
  <c r="T136" i="6"/>
  <c r="U136" i="6"/>
  <c r="V136" i="6"/>
  <c r="P137" i="6"/>
  <c r="T137" i="6"/>
  <c r="U137" i="6"/>
  <c r="V137" i="6"/>
  <c r="P138" i="6"/>
  <c r="T138" i="6"/>
  <c r="U138" i="6"/>
  <c r="V138" i="6"/>
  <c r="P139" i="6"/>
  <c r="T139" i="6"/>
  <c r="U139" i="6"/>
  <c r="V139" i="6"/>
  <c r="P140" i="6"/>
  <c r="T140" i="6"/>
  <c r="U140" i="6"/>
  <c r="V140" i="6"/>
  <c r="P141" i="6"/>
  <c r="T141" i="6"/>
  <c r="U141" i="6"/>
  <c r="V141" i="6"/>
  <c r="P142" i="6"/>
  <c r="T142" i="6"/>
  <c r="U142" i="6"/>
  <c r="V142" i="6"/>
  <c r="P143" i="6"/>
  <c r="T143" i="6"/>
  <c r="U143" i="6"/>
  <c r="V143" i="6"/>
  <c r="P144" i="6"/>
  <c r="T144" i="6"/>
  <c r="U144" i="6"/>
  <c r="V144" i="6"/>
  <c r="P145" i="6"/>
  <c r="T145" i="6"/>
  <c r="U145" i="6"/>
  <c r="V145" i="6"/>
  <c r="P146" i="6"/>
  <c r="T146" i="6"/>
  <c r="U146" i="6"/>
  <c r="V146" i="6"/>
  <c r="P147" i="6"/>
  <c r="T147" i="6"/>
  <c r="U147" i="6"/>
  <c r="V147" i="6"/>
  <c r="P148" i="6"/>
  <c r="T148" i="6"/>
  <c r="U148" i="6"/>
  <c r="V148" i="6"/>
  <c r="P149" i="6"/>
  <c r="T149" i="6"/>
  <c r="U149" i="6"/>
  <c r="V149" i="6"/>
  <c r="P150" i="6"/>
  <c r="T150" i="6"/>
  <c r="U150" i="6"/>
  <c r="V150" i="6"/>
  <c r="P5" i="7"/>
  <c r="T5" i="7"/>
  <c r="U5" i="7"/>
  <c r="V5" i="7"/>
  <c r="P6" i="7"/>
  <c r="T6" i="7"/>
  <c r="U6" i="7"/>
  <c r="V6" i="7"/>
  <c r="P7" i="7"/>
  <c r="T7" i="7"/>
  <c r="U7" i="7"/>
  <c r="V7" i="7"/>
  <c r="P8" i="7"/>
  <c r="T8" i="7"/>
  <c r="U8" i="7"/>
  <c r="V8" i="7"/>
  <c r="P9" i="7"/>
  <c r="T9" i="7"/>
  <c r="U9" i="7"/>
  <c r="V9" i="7"/>
  <c r="P10" i="7"/>
  <c r="T10" i="7"/>
  <c r="U10" i="7"/>
  <c r="V10" i="7"/>
  <c r="P11" i="7"/>
  <c r="T11" i="7"/>
  <c r="U11" i="7"/>
  <c r="V11" i="7"/>
  <c r="P12" i="7"/>
  <c r="T12" i="7"/>
  <c r="U12" i="7"/>
  <c r="V12" i="7"/>
  <c r="P13" i="7"/>
  <c r="T13" i="7"/>
  <c r="U13" i="7"/>
  <c r="V13" i="7"/>
  <c r="P14" i="7"/>
  <c r="T14" i="7"/>
  <c r="U14" i="7"/>
  <c r="V14" i="7"/>
  <c r="P15" i="7"/>
  <c r="T15" i="7"/>
  <c r="U15" i="7"/>
  <c r="V15" i="7"/>
  <c r="P16" i="7"/>
  <c r="T16" i="7"/>
  <c r="U16" i="7"/>
  <c r="V16" i="7"/>
  <c r="P17" i="7"/>
  <c r="T17" i="7"/>
  <c r="U17" i="7"/>
  <c r="V17" i="7"/>
  <c r="P18" i="7"/>
  <c r="T18" i="7"/>
  <c r="U18" i="7"/>
  <c r="V18" i="7"/>
  <c r="P19" i="7"/>
  <c r="T19" i="7"/>
  <c r="U19" i="7"/>
  <c r="V19" i="7"/>
  <c r="P20" i="7"/>
  <c r="T20" i="7"/>
  <c r="U20" i="7"/>
  <c r="V20" i="7"/>
  <c r="P21" i="7"/>
  <c r="T21" i="7"/>
  <c r="U21" i="7"/>
  <c r="V21" i="7"/>
  <c r="P22" i="7"/>
  <c r="T22" i="7"/>
  <c r="U22" i="7"/>
  <c r="V22" i="7"/>
  <c r="P23" i="7"/>
  <c r="T23" i="7"/>
  <c r="U23" i="7"/>
  <c r="V23" i="7"/>
  <c r="P24" i="7"/>
  <c r="T24" i="7"/>
  <c r="U24" i="7"/>
  <c r="V24" i="7"/>
  <c r="P25" i="7"/>
  <c r="T25" i="7"/>
  <c r="U25" i="7"/>
  <c r="V25" i="7"/>
  <c r="P26" i="7"/>
  <c r="T26" i="7"/>
  <c r="U26" i="7"/>
  <c r="V26" i="7"/>
  <c r="P27" i="7"/>
  <c r="T27" i="7"/>
  <c r="U27" i="7"/>
  <c r="V27" i="7"/>
  <c r="P28" i="7"/>
  <c r="T28" i="7"/>
  <c r="U28" i="7"/>
  <c r="V28" i="7"/>
  <c r="P29" i="7"/>
  <c r="T29" i="7"/>
  <c r="U29" i="7"/>
  <c r="V29" i="7"/>
  <c r="P30" i="7"/>
  <c r="T30" i="7"/>
  <c r="U30" i="7"/>
  <c r="V30" i="7"/>
  <c r="P31" i="7"/>
  <c r="T31" i="7"/>
  <c r="U31" i="7"/>
  <c r="V31" i="7"/>
  <c r="P32" i="7"/>
  <c r="T32" i="7"/>
  <c r="U32" i="7"/>
  <c r="V32" i="7"/>
  <c r="P33" i="7"/>
  <c r="T33" i="7"/>
  <c r="U33" i="7"/>
  <c r="V33" i="7"/>
  <c r="P34" i="7"/>
  <c r="T34" i="7"/>
  <c r="U34" i="7"/>
  <c r="V34" i="7"/>
  <c r="P35" i="7"/>
  <c r="T35" i="7"/>
  <c r="U35" i="7"/>
  <c r="V35" i="7"/>
  <c r="P36" i="7"/>
  <c r="T36" i="7"/>
  <c r="U36" i="7"/>
  <c r="V36" i="7"/>
  <c r="P37" i="7"/>
  <c r="T37" i="7"/>
  <c r="U37" i="7"/>
  <c r="V37" i="7"/>
  <c r="P38" i="7"/>
  <c r="T38" i="7"/>
  <c r="U38" i="7"/>
  <c r="V38" i="7"/>
  <c r="P39" i="7"/>
  <c r="T39" i="7"/>
  <c r="U39" i="7"/>
  <c r="V39" i="7"/>
  <c r="P40" i="7"/>
  <c r="T40" i="7"/>
  <c r="U40" i="7"/>
  <c r="V40" i="7"/>
  <c r="P41" i="7"/>
  <c r="T41" i="7"/>
  <c r="U41" i="7"/>
  <c r="V41" i="7"/>
  <c r="P42" i="7"/>
  <c r="T42" i="7"/>
  <c r="U42" i="7"/>
  <c r="V42" i="7"/>
  <c r="P43" i="7"/>
  <c r="T43" i="7"/>
  <c r="U43" i="7"/>
  <c r="V43" i="7"/>
  <c r="P44" i="7"/>
  <c r="T44" i="7"/>
  <c r="U44" i="7"/>
  <c r="V44" i="7"/>
  <c r="P45" i="7"/>
  <c r="T45" i="7"/>
  <c r="U45" i="7"/>
  <c r="V45" i="7"/>
  <c r="P46" i="7"/>
  <c r="T46" i="7"/>
  <c r="U46" i="7"/>
  <c r="V46" i="7"/>
  <c r="P47" i="7"/>
  <c r="T47" i="7"/>
  <c r="U47" i="7"/>
  <c r="V47" i="7"/>
  <c r="P48" i="7"/>
  <c r="T48" i="7"/>
  <c r="U48" i="7"/>
  <c r="V48" i="7"/>
  <c r="P49" i="7"/>
  <c r="T49" i="7"/>
  <c r="U49" i="7"/>
  <c r="V49" i="7"/>
  <c r="P50" i="7"/>
  <c r="T50" i="7"/>
  <c r="U50" i="7"/>
  <c r="V50" i="7"/>
  <c r="P51" i="7"/>
  <c r="T51" i="7"/>
  <c r="U51" i="7"/>
  <c r="V51" i="7"/>
  <c r="P52" i="7"/>
  <c r="T52" i="7"/>
  <c r="U52" i="7"/>
  <c r="V52" i="7"/>
  <c r="P53" i="7"/>
  <c r="T53" i="7"/>
  <c r="U53" i="7"/>
  <c r="V53" i="7"/>
  <c r="P54" i="7"/>
  <c r="T54" i="7"/>
  <c r="U54" i="7"/>
  <c r="V54" i="7"/>
  <c r="P55" i="7"/>
  <c r="T55" i="7"/>
  <c r="U55" i="7"/>
  <c r="V55" i="7"/>
  <c r="P56" i="7"/>
  <c r="T56" i="7"/>
  <c r="U56" i="7"/>
  <c r="V56" i="7"/>
  <c r="P57" i="7"/>
  <c r="T57" i="7"/>
  <c r="U57" i="7"/>
  <c r="V57" i="7"/>
  <c r="P58" i="7"/>
  <c r="T58" i="7"/>
  <c r="U58" i="7"/>
  <c r="V58" i="7"/>
  <c r="P59" i="7"/>
  <c r="T59" i="7"/>
  <c r="U59" i="7"/>
  <c r="V59" i="7"/>
  <c r="P60" i="7"/>
  <c r="T60" i="7"/>
  <c r="U60" i="7"/>
  <c r="V60" i="7"/>
  <c r="P61" i="7"/>
  <c r="T61" i="7"/>
  <c r="U61" i="7"/>
  <c r="V61" i="7"/>
  <c r="P62" i="7"/>
  <c r="T62" i="7"/>
  <c r="U62" i="7"/>
  <c r="V62" i="7"/>
  <c r="P63" i="7"/>
  <c r="T63" i="7"/>
  <c r="U63" i="7"/>
  <c r="V63" i="7"/>
  <c r="P64" i="7"/>
  <c r="T64" i="7"/>
  <c r="U64" i="7"/>
  <c r="V64" i="7"/>
  <c r="P65" i="7"/>
  <c r="T65" i="7"/>
  <c r="U65" i="7"/>
  <c r="V65" i="7"/>
  <c r="P66" i="7"/>
  <c r="T66" i="7"/>
  <c r="U66" i="7"/>
  <c r="V66" i="7"/>
  <c r="P67" i="7"/>
  <c r="T67" i="7"/>
  <c r="U67" i="7"/>
  <c r="V67" i="7"/>
  <c r="P68" i="7"/>
  <c r="T68" i="7"/>
  <c r="U68" i="7"/>
  <c r="V68" i="7"/>
  <c r="P69" i="7"/>
  <c r="T69" i="7"/>
  <c r="U69" i="7"/>
  <c r="V69" i="7"/>
  <c r="P70" i="7"/>
  <c r="T70" i="7"/>
  <c r="U70" i="7"/>
  <c r="V70" i="7"/>
  <c r="P71" i="7"/>
  <c r="T71" i="7"/>
  <c r="U71" i="7"/>
  <c r="V71" i="7"/>
  <c r="P72" i="7"/>
  <c r="T72" i="7"/>
  <c r="U72" i="7"/>
  <c r="V72" i="7"/>
  <c r="P73" i="7"/>
  <c r="T73" i="7"/>
  <c r="U73" i="7"/>
  <c r="V73" i="7"/>
  <c r="P74" i="7"/>
  <c r="T74" i="7"/>
  <c r="U74" i="7"/>
  <c r="V74" i="7"/>
  <c r="P75" i="7"/>
  <c r="T75" i="7"/>
  <c r="U75" i="7"/>
  <c r="V75" i="7"/>
  <c r="P76" i="7"/>
  <c r="T76" i="7"/>
  <c r="U76" i="7"/>
  <c r="V76" i="7"/>
  <c r="P77" i="7"/>
  <c r="T77" i="7"/>
  <c r="U77" i="7"/>
  <c r="V77" i="7"/>
  <c r="P78" i="7"/>
  <c r="T78" i="7"/>
  <c r="U78" i="7"/>
  <c r="V78" i="7"/>
  <c r="P79" i="7"/>
  <c r="T79" i="7"/>
  <c r="U79" i="7"/>
  <c r="V79" i="7"/>
  <c r="P80" i="7"/>
  <c r="T80" i="7"/>
  <c r="U80" i="7"/>
  <c r="V80" i="7"/>
  <c r="P81" i="7"/>
  <c r="T81" i="7"/>
  <c r="U81" i="7"/>
  <c r="V81" i="7"/>
  <c r="P82" i="7"/>
  <c r="T82" i="7"/>
  <c r="U82" i="7"/>
  <c r="V82" i="7"/>
  <c r="P83" i="7"/>
  <c r="T83" i="7"/>
  <c r="U83" i="7"/>
  <c r="V83" i="7"/>
  <c r="P84" i="7"/>
  <c r="T84" i="7"/>
  <c r="U84" i="7"/>
  <c r="V84" i="7"/>
  <c r="P85" i="7"/>
  <c r="T85" i="7"/>
  <c r="U85" i="7"/>
  <c r="V85" i="7"/>
  <c r="P86" i="7"/>
  <c r="T86" i="7"/>
  <c r="U86" i="7"/>
  <c r="V86" i="7"/>
  <c r="P87" i="7"/>
  <c r="T87" i="7"/>
  <c r="U87" i="7"/>
  <c r="V87" i="7"/>
  <c r="P88" i="7"/>
  <c r="T88" i="7"/>
  <c r="U88" i="7"/>
  <c r="V88" i="7"/>
  <c r="P89" i="7"/>
  <c r="T89" i="7"/>
  <c r="U89" i="7"/>
  <c r="V89" i="7"/>
  <c r="P90" i="7"/>
  <c r="T90" i="7"/>
  <c r="U90" i="7"/>
  <c r="V90" i="7"/>
  <c r="P91" i="7"/>
  <c r="T91" i="7"/>
  <c r="U91" i="7"/>
  <c r="V91" i="7"/>
  <c r="P92" i="7"/>
  <c r="T92" i="7"/>
  <c r="U92" i="7"/>
  <c r="V92" i="7"/>
  <c r="P93" i="7"/>
  <c r="T93" i="7"/>
  <c r="U93" i="7"/>
  <c r="V93" i="7"/>
  <c r="P94" i="7"/>
  <c r="T94" i="7"/>
  <c r="U94" i="7"/>
  <c r="V94" i="7"/>
  <c r="P95" i="7"/>
  <c r="T95" i="7"/>
  <c r="U95" i="7"/>
  <c r="V95" i="7"/>
  <c r="P96" i="7"/>
  <c r="T96" i="7"/>
  <c r="U96" i="7"/>
  <c r="V96" i="7"/>
  <c r="P97" i="7"/>
  <c r="T97" i="7"/>
  <c r="U97" i="7"/>
  <c r="V97" i="7"/>
  <c r="P98" i="7"/>
  <c r="T98" i="7"/>
  <c r="U98" i="7"/>
  <c r="V98" i="7"/>
  <c r="P99" i="7"/>
  <c r="T99" i="7"/>
  <c r="U99" i="7"/>
  <c r="V99" i="7"/>
  <c r="P100" i="7"/>
  <c r="T100" i="7"/>
  <c r="U100" i="7"/>
  <c r="V100" i="7"/>
  <c r="P101" i="7"/>
  <c r="T101" i="7"/>
  <c r="U101" i="7"/>
  <c r="V101" i="7"/>
  <c r="P102" i="7"/>
  <c r="T102" i="7"/>
  <c r="U102" i="7"/>
  <c r="V102" i="7"/>
  <c r="P103" i="7"/>
  <c r="T103" i="7"/>
  <c r="U103" i="7"/>
  <c r="V103" i="7"/>
  <c r="P104" i="7"/>
  <c r="T104" i="7"/>
  <c r="U104" i="7"/>
  <c r="V104" i="7"/>
  <c r="P105" i="7"/>
  <c r="T105" i="7"/>
  <c r="U105" i="7"/>
  <c r="V105" i="7"/>
  <c r="P106" i="7"/>
  <c r="T106" i="7"/>
  <c r="U106" i="7"/>
  <c r="V106" i="7"/>
  <c r="P107" i="7"/>
  <c r="T107" i="7"/>
  <c r="U107" i="7"/>
  <c r="V107" i="7"/>
  <c r="P108" i="7"/>
  <c r="T108" i="7"/>
  <c r="U108" i="7"/>
  <c r="V108" i="7"/>
  <c r="P109" i="7"/>
  <c r="T109" i="7"/>
  <c r="U109" i="7"/>
  <c r="V109" i="7"/>
  <c r="P110" i="7"/>
  <c r="T110" i="7"/>
  <c r="U110" i="7"/>
  <c r="V110" i="7"/>
  <c r="P111" i="7"/>
  <c r="T111" i="7"/>
  <c r="U111" i="7"/>
  <c r="V111" i="7"/>
  <c r="P112" i="7"/>
  <c r="T112" i="7"/>
  <c r="U112" i="7"/>
  <c r="V112" i="7"/>
  <c r="P113" i="7"/>
  <c r="T113" i="7"/>
  <c r="U113" i="7"/>
  <c r="V113" i="7"/>
  <c r="P114" i="7"/>
  <c r="T114" i="7"/>
  <c r="U114" i="7"/>
  <c r="V114" i="7"/>
  <c r="P115" i="7"/>
  <c r="T115" i="7"/>
  <c r="U115" i="7"/>
  <c r="V115" i="7"/>
  <c r="P116" i="7"/>
  <c r="T116" i="7"/>
  <c r="U116" i="7"/>
  <c r="V116" i="7"/>
  <c r="P117" i="7"/>
  <c r="T117" i="7"/>
  <c r="U117" i="7"/>
  <c r="V117" i="7"/>
  <c r="P118" i="7"/>
  <c r="T118" i="7"/>
  <c r="U118" i="7"/>
  <c r="V118" i="7"/>
  <c r="P119" i="7"/>
  <c r="T119" i="7"/>
  <c r="U119" i="7"/>
  <c r="V119" i="7"/>
  <c r="P120" i="7"/>
  <c r="T120" i="7"/>
  <c r="U120" i="7"/>
  <c r="V120" i="7"/>
  <c r="P121" i="7"/>
  <c r="T121" i="7"/>
  <c r="U121" i="7"/>
  <c r="V121" i="7"/>
  <c r="P122" i="7"/>
  <c r="T122" i="7"/>
  <c r="U122" i="7"/>
  <c r="V122" i="7"/>
  <c r="P123" i="7"/>
  <c r="T123" i="7"/>
  <c r="U123" i="7"/>
  <c r="V123" i="7"/>
  <c r="P124" i="7"/>
  <c r="T124" i="7"/>
  <c r="U124" i="7"/>
  <c r="V124" i="7"/>
  <c r="P125" i="7"/>
  <c r="T125" i="7"/>
  <c r="U125" i="7"/>
  <c r="V125" i="7"/>
  <c r="P126" i="7"/>
  <c r="T126" i="7"/>
  <c r="U126" i="7"/>
  <c r="V126" i="7"/>
  <c r="P127" i="7"/>
  <c r="T127" i="7"/>
  <c r="U127" i="7"/>
  <c r="V127" i="7"/>
  <c r="P128" i="7"/>
  <c r="T128" i="7"/>
  <c r="U128" i="7"/>
  <c r="V128" i="7"/>
  <c r="P129" i="7"/>
  <c r="T129" i="7"/>
  <c r="U129" i="7"/>
  <c r="V129" i="7"/>
  <c r="P130" i="7"/>
  <c r="T130" i="7"/>
  <c r="U130" i="7"/>
  <c r="V130" i="7"/>
  <c r="P131" i="7"/>
  <c r="T131" i="7"/>
  <c r="U131" i="7"/>
  <c r="V131" i="7"/>
  <c r="P132" i="7"/>
  <c r="T132" i="7"/>
  <c r="U132" i="7"/>
  <c r="V132" i="7"/>
  <c r="P133" i="7"/>
  <c r="T133" i="7"/>
  <c r="U133" i="7"/>
  <c r="V133" i="7"/>
  <c r="P134" i="7"/>
  <c r="T134" i="7"/>
  <c r="U134" i="7"/>
  <c r="V134" i="7"/>
  <c r="P135" i="7"/>
  <c r="T135" i="7"/>
  <c r="U135" i="7"/>
  <c r="V135" i="7"/>
  <c r="P136" i="7"/>
  <c r="T136" i="7"/>
  <c r="U136" i="7"/>
  <c r="V136" i="7"/>
  <c r="P137" i="7"/>
  <c r="T137" i="7"/>
  <c r="U137" i="7"/>
  <c r="V137" i="7"/>
  <c r="P138" i="7"/>
  <c r="T138" i="7"/>
  <c r="U138" i="7"/>
  <c r="V138" i="7"/>
  <c r="P139" i="7"/>
  <c r="T139" i="7"/>
  <c r="U139" i="7"/>
  <c r="V139" i="7"/>
  <c r="P140" i="7"/>
  <c r="T140" i="7"/>
  <c r="U140" i="7"/>
  <c r="V140" i="7"/>
  <c r="P141" i="7"/>
  <c r="T141" i="7"/>
  <c r="U141" i="7"/>
  <c r="V141" i="7"/>
  <c r="P142" i="7"/>
  <c r="T142" i="7"/>
  <c r="U142" i="7"/>
  <c r="V142" i="7"/>
  <c r="P143" i="7"/>
  <c r="T143" i="7"/>
  <c r="U143" i="7"/>
  <c r="V143" i="7"/>
  <c r="P144" i="7"/>
  <c r="T144" i="7"/>
  <c r="U144" i="7"/>
  <c r="V144" i="7"/>
  <c r="P145" i="7"/>
  <c r="T145" i="7"/>
  <c r="U145" i="7"/>
  <c r="V145" i="7"/>
  <c r="P146" i="7"/>
  <c r="T146" i="7"/>
  <c r="U146" i="7"/>
  <c r="V146" i="7"/>
  <c r="P147" i="7"/>
  <c r="T147" i="7"/>
  <c r="U147" i="7"/>
  <c r="V147" i="7"/>
  <c r="P148" i="7"/>
  <c r="T148" i="7"/>
  <c r="U148" i="7"/>
  <c r="V148" i="7"/>
  <c r="P149" i="7"/>
  <c r="T149" i="7"/>
  <c r="U149" i="7"/>
  <c r="V149" i="7"/>
  <c r="T4" i="7"/>
  <c r="P4" i="7"/>
  <c r="U4" i="7"/>
  <c r="V4" i="7"/>
  <c r="T3" i="7"/>
  <c r="P3" i="7"/>
  <c r="U3" i="7"/>
  <c r="V3" i="7"/>
  <c r="T2" i="7"/>
  <c r="P2" i="7"/>
  <c r="U2" i="7"/>
  <c r="V2" i="7"/>
  <c r="T4" i="6"/>
  <c r="P4" i="6"/>
  <c r="U4" i="6"/>
  <c r="V4" i="6"/>
  <c r="T3" i="6"/>
  <c r="P3" i="6"/>
  <c r="U3" i="6"/>
  <c r="V3" i="6"/>
  <c r="T2" i="6"/>
  <c r="P2" i="6"/>
  <c r="U2" i="6"/>
  <c r="V2" i="6"/>
  <c r="T4" i="5"/>
  <c r="P4" i="5"/>
  <c r="U4" i="5"/>
  <c r="V4" i="5"/>
  <c r="T3" i="5"/>
  <c r="P3" i="5"/>
  <c r="U3" i="5"/>
  <c r="V3" i="5"/>
  <c r="T2" i="5"/>
  <c r="P2" i="5"/>
  <c r="U2" i="5"/>
  <c r="V2" i="5"/>
  <c r="L6" i="2"/>
  <c r="P6" i="2"/>
  <c r="T6" i="2"/>
  <c r="V6" i="2"/>
  <c r="AB6" i="2"/>
  <c r="AD6" i="2"/>
  <c r="AF6" i="2"/>
  <c r="AH6" i="2"/>
  <c r="AJ6" i="2"/>
  <c r="AL6" i="2"/>
  <c r="AN6" i="2"/>
  <c r="AP6" i="2"/>
  <c r="AR6" i="2"/>
  <c r="AT6" i="2"/>
  <c r="AV6" i="2"/>
  <c r="AX6" i="2"/>
  <c r="AZ6" i="2"/>
  <c r="BC6" i="2"/>
  <c r="BD6" i="2"/>
  <c r="BE6" i="2"/>
  <c r="BF6" i="2"/>
  <c r="BG6" i="2"/>
  <c r="BH6" i="2"/>
  <c r="L7" i="2"/>
  <c r="P7" i="2"/>
  <c r="R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AX7" i="2"/>
  <c r="AZ7" i="2"/>
  <c r="BC7" i="2"/>
  <c r="BD7" i="2"/>
  <c r="BE7" i="2"/>
  <c r="BF7" i="2"/>
  <c r="BG7" i="2"/>
  <c r="BH7" i="2"/>
  <c r="L8" i="2"/>
  <c r="P8" i="2"/>
  <c r="T8" i="2"/>
  <c r="V8" i="2"/>
  <c r="X8" i="2"/>
  <c r="Z8" i="2"/>
  <c r="AB8" i="2"/>
  <c r="AD8" i="2"/>
  <c r="AF8" i="2"/>
  <c r="AH8" i="2"/>
  <c r="AJ8" i="2"/>
  <c r="AP8" i="2"/>
  <c r="AR8" i="2"/>
  <c r="AT8" i="2"/>
  <c r="AV8" i="2"/>
  <c r="AX8" i="2"/>
  <c r="AZ8" i="2"/>
  <c r="BC8" i="2"/>
  <c r="BD8" i="2"/>
  <c r="BE8" i="2"/>
  <c r="BF8" i="2"/>
  <c r="BG8" i="2"/>
  <c r="BH8" i="2"/>
  <c r="L9" i="2"/>
  <c r="P9" i="2"/>
  <c r="R9" i="2"/>
  <c r="T9" i="2"/>
  <c r="V9" i="2"/>
  <c r="X9" i="2"/>
  <c r="Z9" i="2"/>
  <c r="AB9" i="2"/>
  <c r="AD9" i="2"/>
  <c r="AF9" i="2"/>
  <c r="AH9" i="2"/>
  <c r="AJ9" i="2"/>
  <c r="AN9" i="2"/>
  <c r="AP9" i="2"/>
  <c r="AR9" i="2"/>
  <c r="AT9" i="2"/>
  <c r="AV9" i="2"/>
  <c r="AX9" i="2"/>
  <c r="AZ9" i="2"/>
  <c r="BC9" i="2"/>
  <c r="BD9" i="2"/>
  <c r="BE9" i="2"/>
  <c r="BF9" i="2"/>
  <c r="BG9" i="2"/>
  <c r="BH9" i="2"/>
  <c r="L10" i="2"/>
  <c r="P10" i="2"/>
  <c r="R10" i="2"/>
  <c r="T10" i="2"/>
  <c r="Z10" i="2"/>
  <c r="AB10" i="2"/>
  <c r="AD10" i="2"/>
  <c r="AF10" i="2"/>
  <c r="AH10" i="2"/>
  <c r="AJ10" i="2"/>
  <c r="AL10" i="2"/>
  <c r="AN10" i="2"/>
  <c r="AP10" i="2"/>
  <c r="AR10" i="2"/>
  <c r="AT10" i="2"/>
  <c r="AV10" i="2"/>
  <c r="AX10" i="2"/>
  <c r="AZ10" i="2"/>
  <c r="BC10" i="2"/>
  <c r="BD10" i="2"/>
  <c r="BE10" i="2"/>
  <c r="BF10" i="2"/>
  <c r="BG10" i="2"/>
  <c r="BH10" i="2"/>
  <c r="BI10" i="2"/>
  <c r="L11" i="2"/>
  <c r="P11" i="2"/>
  <c r="R11" i="2"/>
  <c r="T11" i="2"/>
  <c r="V11" i="2"/>
  <c r="X11" i="2"/>
  <c r="AB11" i="2"/>
  <c r="AD11" i="2"/>
  <c r="AF11" i="2"/>
  <c r="AH11" i="2"/>
  <c r="AL11" i="2"/>
  <c r="AN11" i="2"/>
  <c r="AP11" i="2"/>
  <c r="AR11" i="2"/>
  <c r="AT11" i="2"/>
  <c r="AV11" i="2"/>
  <c r="AX11" i="2"/>
  <c r="AZ11" i="2"/>
  <c r="BC11" i="2"/>
  <c r="BD11" i="2"/>
  <c r="BE11" i="2"/>
  <c r="BF11" i="2"/>
  <c r="BG11" i="2"/>
  <c r="BH11" i="2"/>
  <c r="BI11" i="2"/>
  <c r="L12" i="2"/>
  <c r="T12" i="2"/>
  <c r="V12" i="2"/>
  <c r="AD12" i="2"/>
  <c r="AF12" i="2"/>
  <c r="AH12" i="2"/>
  <c r="AJ12" i="2"/>
  <c r="AL12" i="2"/>
  <c r="AN12" i="2"/>
  <c r="AP12" i="2"/>
  <c r="AR12" i="2"/>
  <c r="AT12" i="2"/>
  <c r="AV12" i="2"/>
  <c r="AX12" i="2"/>
  <c r="AZ12" i="2"/>
  <c r="BC12" i="2"/>
  <c r="BD12" i="2"/>
  <c r="BE12" i="2"/>
  <c r="BF12" i="2"/>
  <c r="BG12" i="2"/>
  <c r="BH12" i="2"/>
  <c r="BI12" i="2"/>
  <c r="L13" i="2"/>
  <c r="P13" i="2"/>
  <c r="R13" i="2"/>
  <c r="T13" i="2"/>
  <c r="V13" i="2"/>
  <c r="AB13" i="2"/>
  <c r="AF13" i="2"/>
  <c r="AH13" i="2"/>
  <c r="AJ13" i="2"/>
  <c r="AL13" i="2"/>
  <c r="AN13" i="2"/>
  <c r="AP13" i="2"/>
  <c r="AR13" i="2"/>
  <c r="AT13" i="2"/>
  <c r="AV13" i="2"/>
  <c r="AX13" i="2"/>
  <c r="AZ13" i="2"/>
  <c r="BC13" i="2"/>
  <c r="BD13" i="2"/>
  <c r="BE13" i="2"/>
  <c r="BF13" i="2"/>
  <c r="BG13" i="2"/>
  <c r="BH13" i="2"/>
  <c r="BI13" i="2"/>
  <c r="P14" i="2"/>
  <c r="R14" i="2"/>
  <c r="T14" i="2"/>
  <c r="V14" i="2"/>
  <c r="AB14" i="2"/>
  <c r="AD14" i="2"/>
  <c r="AF14" i="2"/>
  <c r="AH14" i="2"/>
  <c r="AJ14" i="2"/>
  <c r="AL14" i="2"/>
  <c r="AN14" i="2"/>
  <c r="AP14" i="2"/>
  <c r="AR14" i="2"/>
  <c r="AT14" i="2"/>
  <c r="AV14" i="2"/>
  <c r="AX14" i="2"/>
  <c r="AZ14" i="2"/>
  <c r="BC14" i="2"/>
  <c r="BD14" i="2"/>
  <c r="BE14" i="2"/>
  <c r="BF14" i="2"/>
  <c r="BG14" i="2"/>
  <c r="BH14" i="2"/>
  <c r="BI14" i="2"/>
  <c r="L15" i="2"/>
  <c r="P15" i="2"/>
  <c r="R15" i="2"/>
  <c r="T15" i="2"/>
  <c r="V15" i="2"/>
  <c r="Z15" i="2"/>
  <c r="AB15" i="2"/>
  <c r="AD15" i="2"/>
  <c r="AF15" i="2"/>
  <c r="AH15" i="2"/>
  <c r="AJ15" i="2"/>
  <c r="AL15" i="2"/>
  <c r="AN15" i="2"/>
  <c r="AP15" i="2"/>
  <c r="AR15" i="2"/>
  <c r="AT15" i="2"/>
  <c r="AV15" i="2"/>
  <c r="AX15" i="2"/>
  <c r="AZ15" i="2"/>
  <c r="BC15" i="2"/>
  <c r="BD15" i="2"/>
  <c r="BE15" i="2"/>
  <c r="BF15" i="2"/>
  <c r="BG15" i="2"/>
  <c r="BH15" i="2"/>
  <c r="BI15" i="2"/>
  <c r="L16" i="2"/>
  <c r="P16" i="2"/>
  <c r="R16" i="2"/>
  <c r="T16" i="2"/>
  <c r="V16" i="2"/>
  <c r="X16" i="2"/>
  <c r="Z16" i="2"/>
  <c r="AD16" i="2"/>
  <c r="AF16" i="2"/>
  <c r="AH16" i="2"/>
  <c r="AJ16" i="2"/>
  <c r="AL16" i="2"/>
  <c r="AN16" i="2"/>
  <c r="AP16" i="2"/>
  <c r="AR16" i="2"/>
  <c r="AT16" i="2"/>
  <c r="AV16" i="2"/>
  <c r="AX16" i="2"/>
  <c r="AZ16" i="2"/>
  <c r="BC16" i="2"/>
  <c r="BD16" i="2"/>
  <c r="BE16" i="2"/>
  <c r="BF16" i="2"/>
  <c r="BG16" i="2"/>
  <c r="BH16" i="2"/>
  <c r="BI16" i="2"/>
  <c r="L17" i="2"/>
  <c r="P17" i="2"/>
  <c r="R17" i="2"/>
  <c r="T17" i="2"/>
  <c r="AH17" i="2"/>
  <c r="AJ17" i="2"/>
  <c r="AP17" i="2"/>
  <c r="AT17" i="2"/>
  <c r="BC17" i="2"/>
  <c r="BD17" i="2"/>
  <c r="BE17" i="2"/>
  <c r="BF17" i="2"/>
  <c r="BG17" i="2"/>
  <c r="BH17" i="2"/>
  <c r="BI17" i="2"/>
  <c r="L18" i="2"/>
  <c r="P18" i="2"/>
  <c r="R18" i="2"/>
  <c r="T18" i="2"/>
  <c r="V18" i="2"/>
  <c r="X18" i="2"/>
  <c r="Z18" i="2"/>
  <c r="AB18" i="2"/>
  <c r="AD18" i="2"/>
  <c r="AF18" i="2"/>
  <c r="AH18" i="2"/>
  <c r="AJ18" i="2"/>
  <c r="AL18" i="2"/>
  <c r="AN18" i="2"/>
  <c r="AP18" i="2"/>
  <c r="AR18" i="2"/>
  <c r="AT18" i="2"/>
  <c r="AX18" i="2"/>
  <c r="AZ18" i="2"/>
  <c r="BC18" i="2"/>
  <c r="BD18" i="2"/>
  <c r="BE18" i="2"/>
  <c r="BF18" i="2"/>
  <c r="BG18" i="2"/>
  <c r="BH18" i="2"/>
  <c r="BI18" i="2"/>
  <c r="L19" i="2"/>
  <c r="R19" i="2"/>
  <c r="Z19" i="2"/>
  <c r="AB19" i="2"/>
  <c r="AD19" i="2"/>
  <c r="AH19" i="2"/>
  <c r="AJ19" i="2"/>
  <c r="AL19" i="2"/>
  <c r="AN19" i="2"/>
  <c r="AP19" i="2"/>
  <c r="AR19" i="2"/>
  <c r="AT19" i="2"/>
  <c r="AV19" i="2"/>
  <c r="AX19" i="2"/>
  <c r="AZ19" i="2"/>
  <c r="BC19" i="2"/>
  <c r="BD19" i="2"/>
  <c r="BE19" i="2"/>
  <c r="BF19" i="2"/>
  <c r="BG19" i="2"/>
  <c r="BH19" i="2"/>
  <c r="BI19" i="2"/>
  <c r="L20" i="2"/>
  <c r="P20" i="2"/>
  <c r="R20" i="2"/>
  <c r="T20" i="2"/>
  <c r="V20" i="2"/>
  <c r="X20" i="2"/>
  <c r="Z20" i="2"/>
  <c r="AB20" i="2"/>
  <c r="AD20" i="2"/>
  <c r="AF20" i="2"/>
  <c r="AH20" i="2"/>
  <c r="AJ20" i="2"/>
  <c r="AL20" i="2"/>
  <c r="AP20" i="2"/>
  <c r="BC20" i="2"/>
  <c r="BD20" i="2"/>
  <c r="BE20" i="2"/>
  <c r="BF20" i="2"/>
  <c r="BG20" i="2"/>
  <c r="BH20" i="2"/>
  <c r="BI20" i="2"/>
  <c r="L21" i="2"/>
  <c r="R21" i="2"/>
  <c r="T21" i="2"/>
  <c r="V21" i="2"/>
  <c r="X21" i="2"/>
  <c r="Z21" i="2"/>
  <c r="AB21" i="2"/>
  <c r="AD21" i="2"/>
  <c r="AF21" i="2"/>
  <c r="AH21" i="2"/>
  <c r="AJ21" i="2"/>
  <c r="AL21" i="2"/>
  <c r="AN21" i="2"/>
  <c r="AP21" i="2"/>
  <c r="AT21" i="2"/>
  <c r="AV21" i="2"/>
  <c r="AZ21" i="2"/>
  <c r="BC21" i="2"/>
  <c r="BD21" i="2"/>
  <c r="BE21" i="2"/>
  <c r="BF21" i="2"/>
  <c r="BG21" i="2"/>
  <c r="BH21" i="2"/>
  <c r="BI21" i="2"/>
  <c r="L22" i="2"/>
  <c r="P22" i="2"/>
  <c r="R22" i="2"/>
  <c r="T22" i="2"/>
  <c r="V22" i="2"/>
  <c r="Z22" i="2"/>
  <c r="AB22" i="2"/>
  <c r="AF22" i="2"/>
  <c r="AH22" i="2"/>
  <c r="AJ22" i="2"/>
  <c r="AL22" i="2"/>
  <c r="AN22" i="2"/>
  <c r="AP22" i="2"/>
  <c r="AR22" i="2"/>
  <c r="AT22" i="2"/>
  <c r="AV22" i="2"/>
  <c r="AX22" i="2"/>
  <c r="AZ22" i="2"/>
  <c r="BC22" i="2"/>
  <c r="BD22" i="2"/>
  <c r="BE22" i="2"/>
  <c r="BF22" i="2"/>
  <c r="BG22" i="2"/>
  <c r="BH22" i="2"/>
  <c r="BI22" i="2"/>
  <c r="L23" i="2"/>
  <c r="P23" i="2"/>
  <c r="R23" i="2"/>
  <c r="T23" i="2"/>
  <c r="V23" i="2"/>
  <c r="Z23" i="2"/>
  <c r="AB23" i="2"/>
  <c r="AD23" i="2"/>
  <c r="AF23" i="2"/>
  <c r="AH23" i="2"/>
  <c r="AJ23" i="2"/>
  <c r="AL23" i="2"/>
  <c r="AN23" i="2"/>
  <c r="AP23" i="2"/>
  <c r="AR23" i="2"/>
  <c r="AT23" i="2"/>
  <c r="AV23" i="2"/>
  <c r="AX23" i="2"/>
  <c r="AZ23" i="2"/>
  <c r="BC23" i="2"/>
  <c r="BD23" i="2"/>
  <c r="BE23" i="2"/>
  <c r="BF23" i="2"/>
  <c r="BG23" i="2"/>
  <c r="BH23" i="2"/>
  <c r="BI23" i="2"/>
  <c r="L24" i="2"/>
  <c r="P24" i="2"/>
  <c r="R24" i="2"/>
  <c r="T24" i="2"/>
  <c r="V24" i="2"/>
  <c r="X24" i="2"/>
  <c r="Z24" i="2"/>
  <c r="AB24" i="2"/>
  <c r="AD24" i="2"/>
  <c r="AH24" i="2"/>
  <c r="AJ24" i="2"/>
  <c r="AL24" i="2"/>
  <c r="AN24" i="2"/>
  <c r="AP24" i="2"/>
  <c r="AT24" i="2"/>
  <c r="AV24" i="2"/>
  <c r="AX24" i="2"/>
  <c r="AZ24" i="2"/>
  <c r="BC24" i="2"/>
  <c r="BD24" i="2"/>
  <c r="BE24" i="2"/>
  <c r="BF24" i="2"/>
  <c r="BG24" i="2"/>
  <c r="BH24" i="2"/>
  <c r="BI24" i="2"/>
  <c r="L25" i="2"/>
  <c r="P25" i="2"/>
  <c r="T25" i="2"/>
  <c r="V25" i="2"/>
  <c r="X25" i="2"/>
  <c r="Z25" i="2"/>
  <c r="AB25" i="2"/>
  <c r="AD25" i="2"/>
  <c r="AF25" i="2"/>
  <c r="AH25" i="2"/>
  <c r="AJ25" i="2"/>
  <c r="AL25" i="2"/>
  <c r="AN25" i="2"/>
  <c r="AP25" i="2"/>
  <c r="AR25" i="2"/>
  <c r="AT25" i="2"/>
  <c r="AV25" i="2"/>
  <c r="AX25" i="2"/>
  <c r="AZ25" i="2"/>
  <c r="BC25" i="2"/>
  <c r="BD25" i="2"/>
  <c r="BE25" i="2"/>
  <c r="BF25" i="2"/>
  <c r="BG25" i="2"/>
  <c r="BH25" i="2"/>
  <c r="BI25" i="2"/>
  <c r="L26" i="2"/>
  <c r="P26" i="2"/>
  <c r="T26" i="2"/>
  <c r="V26" i="2"/>
  <c r="AB26" i="2"/>
  <c r="AD26" i="2"/>
  <c r="AF26" i="2"/>
  <c r="AH26" i="2"/>
  <c r="AJ26" i="2"/>
  <c r="AN26" i="2"/>
  <c r="AP26" i="2"/>
  <c r="AR26" i="2"/>
  <c r="AT26" i="2"/>
  <c r="AV26" i="2"/>
  <c r="AX26" i="2"/>
  <c r="BC26" i="2"/>
  <c r="BD26" i="2"/>
  <c r="BE26" i="2"/>
  <c r="BF26" i="2"/>
  <c r="BG26" i="2"/>
  <c r="BH26" i="2"/>
  <c r="BI26" i="2"/>
  <c r="L27" i="2"/>
  <c r="R27" i="2"/>
  <c r="T27" i="2"/>
  <c r="V27" i="2"/>
  <c r="X27" i="2"/>
  <c r="Z27" i="2"/>
  <c r="AB27" i="2"/>
  <c r="AD27" i="2"/>
  <c r="AF27" i="2"/>
  <c r="AH27" i="2"/>
  <c r="AJ27" i="2"/>
  <c r="AL27" i="2"/>
  <c r="AN27" i="2"/>
  <c r="AP27" i="2"/>
  <c r="AR27" i="2"/>
  <c r="AT27" i="2"/>
  <c r="AV27" i="2"/>
  <c r="AX27" i="2"/>
  <c r="AZ27" i="2"/>
  <c r="BC27" i="2"/>
  <c r="BD27" i="2"/>
  <c r="BE27" i="2"/>
  <c r="BF27" i="2"/>
  <c r="BG27" i="2"/>
  <c r="BH27" i="2"/>
  <c r="BI27" i="2"/>
  <c r="L28" i="2"/>
  <c r="P28" i="2"/>
  <c r="T28" i="2"/>
  <c r="V28" i="2"/>
  <c r="X28" i="2"/>
  <c r="AB28" i="2"/>
  <c r="AD28" i="2"/>
  <c r="AF28" i="2"/>
  <c r="AH28" i="2"/>
  <c r="AJ28" i="2"/>
  <c r="AL28" i="2"/>
  <c r="AN28" i="2"/>
  <c r="AP28" i="2"/>
  <c r="AR28" i="2"/>
  <c r="AT28" i="2"/>
  <c r="AV28" i="2"/>
  <c r="AX28" i="2"/>
  <c r="AZ28" i="2"/>
  <c r="BC28" i="2"/>
  <c r="BD28" i="2"/>
  <c r="BE28" i="2"/>
  <c r="BF28" i="2"/>
  <c r="BG28" i="2"/>
  <c r="BH28" i="2"/>
  <c r="BI28" i="2"/>
  <c r="L29" i="2"/>
  <c r="P29" i="2"/>
  <c r="R29" i="2"/>
  <c r="T29" i="2"/>
  <c r="V29" i="2"/>
  <c r="X29" i="2"/>
  <c r="Z29" i="2"/>
  <c r="AB29" i="2"/>
  <c r="AD29" i="2"/>
  <c r="AF29" i="2"/>
  <c r="AH29" i="2"/>
  <c r="AN29" i="2"/>
  <c r="AP29" i="2"/>
  <c r="AR29" i="2"/>
  <c r="AT29" i="2"/>
  <c r="AV29" i="2"/>
  <c r="AX29" i="2"/>
  <c r="AZ29" i="2"/>
  <c r="BC29" i="2"/>
  <c r="BD29" i="2"/>
  <c r="BE29" i="2"/>
  <c r="BF29" i="2"/>
  <c r="BG29" i="2"/>
  <c r="BH29" i="2"/>
  <c r="BI29" i="2"/>
  <c r="L30" i="2"/>
  <c r="P30" i="2"/>
  <c r="R30" i="2"/>
  <c r="T30" i="2"/>
  <c r="V30" i="2"/>
  <c r="X30" i="2"/>
  <c r="Z30" i="2"/>
  <c r="AB30" i="2"/>
  <c r="AD30" i="2"/>
  <c r="AF30" i="2"/>
  <c r="AH30" i="2"/>
  <c r="AJ30" i="2"/>
  <c r="AN30" i="2"/>
  <c r="AP30" i="2"/>
  <c r="AR30" i="2"/>
  <c r="AT30" i="2"/>
  <c r="AV30" i="2"/>
  <c r="AX30" i="2"/>
  <c r="AZ30" i="2"/>
  <c r="BC30" i="2"/>
  <c r="BD30" i="2"/>
  <c r="BE30" i="2"/>
  <c r="BF30" i="2"/>
  <c r="BG30" i="2"/>
  <c r="BH30" i="2"/>
  <c r="BI30" i="2"/>
  <c r="L31" i="2"/>
  <c r="P31" i="2"/>
  <c r="T31" i="2"/>
  <c r="V31" i="2"/>
  <c r="X31" i="2"/>
  <c r="Z31" i="2"/>
  <c r="AB31" i="2"/>
  <c r="AD31" i="2"/>
  <c r="AF31" i="2"/>
  <c r="AH31" i="2"/>
  <c r="AJ31" i="2"/>
  <c r="AL31" i="2"/>
  <c r="AN31" i="2"/>
  <c r="AP31" i="2"/>
  <c r="AR31" i="2"/>
  <c r="AT31" i="2"/>
  <c r="AV31" i="2"/>
  <c r="AX31" i="2"/>
  <c r="AZ31" i="2"/>
  <c r="BC31" i="2"/>
  <c r="BD31" i="2"/>
  <c r="BE31" i="2"/>
  <c r="BF31" i="2"/>
  <c r="BG31" i="2"/>
  <c r="BH31" i="2"/>
  <c r="BI31" i="2"/>
  <c r="L32" i="2"/>
  <c r="P32" i="2"/>
  <c r="R32" i="2"/>
  <c r="T32" i="2"/>
  <c r="X32" i="2"/>
  <c r="Z32" i="2"/>
  <c r="AB32" i="2"/>
  <c r="AD32" i="2"/>
  <c r="AF32" i="2"/>
  <c r="AH32" i="2"/>
  <c r="AL32" i="2"/>
  <c r="AN32" i="2"/>
  <c r="AP32" i="2"/>
  <c r="AR32" i="2"/>
  <c r="AT32" i="2"/>
  <c r="AV32" i="2"/>
  <c r="AX32" i="2"/>
  <c r="AZ32" i="2"/>
  <c r="BC32" i="2"/>
  <c r="BD32" i="2"/>
  <c r="BE32" i="2"/>
  <c r="BF32" i="2"/>
  <c r="BG32" i="2"/>
  <c r="BH32" i="2"/>
  <c r="BI32" i="2"/>
  <c r="L33" i="2"/>
  <c r="P33" i="2"/>
  <c r="R33" i="2"/>
  <c r="T33" i="2"/>
  <c r="Z33" i="2"/>
  <c r="AB33" i="2"/>
  <c r="AD33" i="2"/>
  <c r="AF33" i="2"/>
  <c r="AH33" i="2"/>
  <c r="AJ33" i="2"/>
  <c r="AL33" i="2"/>
  <c r="AN33" i="2"/>
  <c r="AP33" i="2"/>
  <c r="AR33" i="2"/>
  <c r="AT33" i="2"/>
  <c r="AV33" i="2"/>
  <c r="AX33" i="2"/>
  <c r="AZ33" i="2"/>
  <c r="BC33" i="2"/>
  <c r="BD33" i="2"/>
  <c r="BE33" i="2"/>
  <c r="BF33" i="2"/>
  <c r="BG33" i="2"/>
  <c r="BH33" i="2"/>
  <c r="BI33" i="2"/>
  <c r="L34" i="2"/>
  <c r="P34" i="2"/>
  <c r="R34" i="2"/>
  <c r="T34" i="2"/>
  <c r="AB34" i="2"/>
  <c r="AF34" i="2"/>
  <c r="AH34" i="2"/>
  <c r="AJ34" i="2"/>
  <c r="AL34" i="2"/>
  <c r="AN34" i="2"/>
  <c r="AP34" i="2"/>
  <c r="AR34" i="2"/>
  <c r="AT34" i="2"/>
  <c r="AV34" i="2"/>
  <c r="AX34" i="2"/>
  <c r="AZ34" i="2"/>
  <c r="BC34" i="2"/>
  <c r="BD34" i="2"/>
  <c r="BE34" i="2"/>
  <c r="BF34" i="2"/>
  <c r="BG34" i="2"/>
  <c r="BH34" i="2"/>
  <c r="BI34" i="2"/>
  <c r="L35" i="2"/>
  <c r="P35" i="2"/>
  <c r="R35" i="2"/>
  <c r="T35" i="2"/>
  <c r="V35" i="2"/>
  <c r="Z35" i="2"/>
  <c r="AB35" i="2"/>
  <c r="AD35" i="2"/>
  <c r="AF35" i="2"/>
  <c r="AH35" i="2"/>
  <c r="AL35" i="2"/>
  <c r="AN35" i="2"/>
  <c r="AP35" i="2"/>
  <c r="AR35" i="2"/>
  <c r="AT35" i="2"/>
  <c r="AV35" i="2"/>
  <c r="AX35" i="2"/>
  <c r="AZ35" i="2"/>
  <c r="BC35" i="2"/>
  <c r="BD35" i="2"/>
  <c r="BE35" i="2"/>
  <c r="BF35" i="2"/>
  <c r="BG35" i="2"/>
  <c r="BH35" i="2"/>
  <c r="BI35" i="2"/>
  <c r="L36" i="2"/>
  <c r="P36" i="2"/>
  <c r="R36" i="2"/>
  <c r="T36" i="2"/>
  <c r="V36" i="2"/>
  <c r="X36" i="2"/>
  <c r="Z36" i="2"/>
  <c r="AB36" i="2"/>
  <c r="AD36" i="2"/>
  <c r="AF36" i="2"/>
  <c r="AH36" i="2"/>
  <c r="AL36" i="2"/>
  <c r="AN36" i="2"/>
  <c r="AP36" i="2"/>
  <c r="AR36" i="2"/>
  <c r="AT36" i="2"/>
  <c r="AV36" i="2"/>
  <c r="AX36" i="2"/>
  <c r="AZ36" i="2"/>
  <c r="BC36" i="2"/>
  <c r="BD36" i="2"/>
  <c r="BE36" i="2"/>
  <c r="BF36" i="2"/>
  <c r="BG36" i="2"/>
  <c r="BH36" i="2"/>
  <c r="BI36" i="2"/>
  <c r="R37" i="2"/>
  <c r="T37" i="2"/>
  <c r="V37" i="2"/>
  <c r="X37" i="2"/>
  <c r="Z37" i="2"/>
  <c r="AB37" i="2"/>
  <c r="AD37" i="2"/>
  <c r="AF37" i="2"/>
  <c r="AH37" i="2"/>
  <c r="AJ37" i="2"/>
  <c r="AP37" i="2"/>
  <c r="AV37" i="2"/>
  <c r="AX37" i="2"/>
  <c r="AZ37" i="2"/>
  <c r="BC37" i="2"/>
  <c r="BD37" i="2"/>
  <c r="BE37" i="2"/>
  <c r="BF37" i="2"/>
  <c r="BG37" i="2"/>
  <c r="BH37" i="2"/>
  <c r="BI37" i="2"/>
  <c r="L38" i="2"/>
  <c r="T38" i="2"/>
  <c r="V38" i="2"/>
  <c r="X38" i="2"/>
  <c r="Z38" i="2"/>
  <c r="AB38" i="2"/>
  <c r="AD38" i="2"/>
  <c r="AF38" i="2"/>
  <c r="AH38" i="2"/>
  <c r="AJ38" i="2"/>
  <c r="AL38" i="2"/>
  <c r="BC38" i="2"/>
  <c r="BD38" i="2"/>
  <c r="BE38" i="2"/>
  <c r="BF38" i="2"/>
  <c r="BG38" i="2"/>
  <c r="BH38" i="2"/>
  <c r="BI38" i="2"/>
  <c r="L39" i="2"/>
  <c r="P39" i="2"/>
  <c r="R39" i="2"/>
  <c r="T39" i="2"/>
  <c r="V39" i="2"/>
  <c r="X39" i="2"/>
  <c r="Z39" i="2"/>
  <c r="AB39" i="2"/>
  <c r="AD39" i="2"/>
  <c r="AF39" i="2"/>
  <c r="AH39" i="2"/>
  <c r="AJ39" i="2"/>
  <c r="AL39" i="2"/>
  <c r="AN39" i="2"/>
  <c r="AP39" i="2"/>
  <c r="AR39" i="2"/>
  <c r="AT39" i="2"/>
  <c r="AV39" i="2"/>
  <c r="AX39" i="2"/>
  <c r="BC39" i="2"/>
  <c r="BD39" i="2"/>
  <c r="BE39" i="2"/>
  <c r="BF39" i="2"/>
  <c r="BG39" i="2"/>
  <c r="BH39" i="2"/>
  <c r="BI39" i="2"/>
  <c r="L40" i="2"/>
  <c r="P40" i="2"/>
  <c r="T40" i="2"/>
  <c r="V40" i="2"/>
  <c r="X40" i="2"/>
  <c r="Z40" i="2"/>
  <c r="AB40" i="2"/>
  <c r="AD40" i="2"/>
  <c r="AF40" i="2"/>
  <c r="AH40" i="2"/>
  <c r="AJ40" i="2"/>
  <c r="AL40" i="2"/>
  <c r="AN40" i="2"/>
  <c r="AP40" i="2"/>
  <c r="AR40" i="2"/>
  <c r="AT40" i="2"/>
  <c r="AV40" i="2"/>
  <c r="AX40" i="2"/>
  <c r="AZ40" i="2"/>
  <c r="BC40" i="2"/>
  <c r="BD40" i="2"/>
  <c r="BE40" i="2"/>
  <c r="BF40" i="2"/>
  <c r="BG40" i="2"/>
  <c r="BH40" i="2"/>
  <c r="BI40" i="2"/>
  <c r="L41" i="2"/>
  <c r="P41" i="2"/>
  <c r="R41" i="2"/>
  <c r="T41" i="2"/>
  <c r="V41" i="2"/>
  <c r="AB41" i="2"/>
  <c r="AD41" i="2"/>
  <c r="AF41" i="2"/>
  <c r="AH41" i="2"/>
  <c r="AJ41" i="2"/>
  <c r="AN41" i="2"/>
  <c r="AP41" i="2"/>
  <c r="AR41" i="2"/>
  <c r="AT41" i="2"/>
  <c r="AV41" i="2"/>
  <c r="AX41" i="2"/>
  <c r="AZ41" i="2"/>
  <c r="BC41" i="2"/>
  <c r="BD41" i="2"/>
  <c r="BE41" i="2"/>
  <c r="BF41" i="2"/>
  <c r="BG41" i="2"/>
  <c r="BH41" i="2"/>
  <c r="BI41" i="2"/>
  <c r="L42" i="2"/>
  <c r="R42" i="2"/>
  <c r="T42" i="2"/>
  <c r="X42" i="2"/>
  <c r="Z42" i="2"/>
  <c r="AB42" i="2"/>
  <c r="AD42" i="2"/>
  <c r="AF42" i="2"/>
  <c r="AH42" i="2"/>
  <c r="AJ42" i="2"/>
  <c r="AN42" i="2"/>
  <c r="AP42" i="2"/>
  <c r="AR42" i="2"/>
  <c r="AT42" i="2"/>
  <c r="AV42" i="2"/>
  <c r="AX42" i="2"/>
  <c r="AZ42" i="2"/>
  <c r="BC42" i="2"/>
  <c r="BD42" i="2"/>
  <c r="BE42" i="2"/>
  <c r="BF42" i="2"/>
  <c r="BG42" i="2"/>
  <c r="BH42" i="2"/>
  <c r="BI42" i="2"/>
  <c r="L43" i="2"/>
  <c r="P43" i="2"/>
  <c r="R43" i="2"/>
  <c r="T43" i="2"/>
  <c r="V43" i="2"/>
  <c r="X43" i="2"/>
  <c r="Z43" i="2"/>
  <c r="AB43" i="2"/>
  <c r="AD43" i="2"/>
  <c r="AF43" i="2"/>
  <c r="AH43" i="2"/>
  <c r="AL43" i="2"/>
  <c r="AN43" i="2"/>
  <c r="AP43" i="2"/>
  <c r="AR43" i="2"/>
  <c r="AT43" i="2"/>
  <c r="AV43" i="2"/>
  <c r="AX43" i="2"/>
  <c r="AZ43" i="2"/>
  <c r="BC43" i="2"/>
  <c r="BD43" i="2"/>
  <c r="BE43" i="2"/>
  <c r="BF43" i="2"/>
  <c r="BG43" i="2"/>
  <c r="BH43" i="2"/>
  <c r="BI43" i="2"/>
  <c r="L44" i="2"/>
  <c r="P44" i="2"/>
  <c r="T44" i="2"/>
  <c r="X44" i="2"/>
  <c r="Z44" i="2"/>
  <c r="AD44" i="2"/>
  <c r="AF44" i="2"/>
  <c r="AH44" i="2"/>
  <c r="AL44" i="2"/>
  <c r="AN44" i="2"/>
  <c r="AP44" i="2"/>
  <c r="AR44" i="2"/>
  <c r="AT44" i="2"/>
  <c r="AV44" i="2"/>
  <c r="AX44" i="2"/>
  <c r="AZ44" i="2"/>
  <c r="BC44" i="2"/>
  <c r="BD44" i="2"/>
  <c r="BE44" i="2"/>
  <c r="BF44" i="2"/>
  <c r="BG44" i="2"/>
  <c r="BH44" i="2"/>
  <c r="BI44" i="2"/>
  <c r="L45" i="2"/>
  <c r="P45" i="2"/>
  <c r="T45" i="2"/>
  <c r="V45" i="2"/>
  <c r="X45" i="2"/>
  <c r="Z45" i="2"/>
  <c r="AB45" i="2"/>
  <c r="AF45" i="2"/>
  <c r="AL45" i="2"/>
  <c r="AN45" i="2"/>
  <c r="AP45" i="2"/>
  <c r="AR45" i="2"/>
  <c r="AT45" i="2"/>
  <c r="AV45" i="2"/>
  <c r="AX45" i="2"/>
  <c r="AZ45" i="2"/>
  <c r="BC45" i="2"/>
  <c r="BD45" i="2"/>
  <c r="BE45" i="2"/>
  <c r="BF45" i="2"/>
  <c r="BG45" i="2"/>
  <c r="BH45" i="2"/>
  <c r="BI45" i="2"/>
  <c r="L46" i="2"/>
  <c r="P46" i="2"/>
  <c r="T46" i="2"/>
  <c r="X46" i="2"/>
  <c r="Z46" i="2"/>
  <c r="AB46" i="2"/>
  <c r="AD46" i="2"/>
  <c r="AF46" i="2"/>
  <c r="AH46" i="2"/>
  <c r="AJ46" i="2"/>
  <c r="AL46" i="2"/>
  <c r="AN46" i="2"/>
  <c r="AP46" i="2"/>
  <c r="AR46" i="2"/>
  <c r="AT46" i="2"/>
  <c r="AV46" i="2"/>
  <c r="AX46" i="2"/>
  <c r="AZ46" i="2"/>
  <c r="BC46" i="2"/>
  <c r="BD46" i="2"/>
  <c r="BE46" i="2"/>
  <c r="BF46" i="2"/>
  <c r="BG46" i="2"/>
  <c r="BH46" i="2"/>
  <c r="BI46" i="2"/>
  <c r="L47" i="2"/>
  <c r="R47" i="2"/>
  <c r="T47" i="2"/>
  <c r="V47" i="2"/>
  <c r="Z47" i="2"/>
  <c r="AB47" i="2"/>
  <c r="AD47" i="2"/>
  <c r="AF47" i="2"/>
  <c r="AH47" i="2"/>
  <c r="AL47" i="2"/>
  <c r="AN47" i="2"/>
  <c r="AP47" i="2"/>
  <c r="AR47" i="2"/>
  <c r="AT47" i="2"/>
  <c r="AV47" i="2"/>
  <c r="AX47" i="2"/>
  <c r="AZ47" i="2"/>
  <c r="BC47" i="2"/>
  <c r="BD47" i="2"/>
  <c r="BE47" i="2"/>
  <c r="BF47" i="2"/>
  <c r="BG47" i="2"/>
  <c r="BH47" i="2"/>
  <c r="BI47" i="2"/>
  <c r="L48" i="2"/>
  <c r="P48" i="2"/>
  <c r="R48" i="2"/>
  <c r="T48" i="2"/>
  <c r="V48" i="2"/>
  <c r="X48" i="2"/>
  <c r="AD48" i="2"/>
  <c r="AF48" i="2"/>
  <c r="AH48" i="2"/>
  <c r="AJ48" i="2"/>
  <c r="AL48" i="2"/>
  <c r="AN48" i="2"/>
  <c r="AP48" i="2"/>
  <c r="AR48" i="2"/>
  <c r="AT48" i="2"/>
  <c r="AV48" i="2"/>
  <c r="AX48" i="2"/>
  <c r="AZ48" i="2"/>
  <c r="BC48" i="2"/>
  <c r="BD48" i="2"/>
  <c r="BE48" i="2"/>
  <c r="BF48" i="2"/>
  <c r="BG48" i="2"/>
  <c r="BH48" i="2"/>
  <c r="BI48" i="2"/>
  <c r="L49" i="2"/>
  <c r="P49" i="2"/>
  <c r="T49" i="2"/>
  <c r="V49" i="2"/>
  <c r="AB49" i="2"/>
  <c r="AF49" i="2"/>
  <c r="AH49" i="2"/>
  <c r="AL49" i="2"/>
  <c r="AN49" i="2"/>
  <c r="AP49" i="2"/>
  <c r="AR49" i="2"/>
  <c r="AT49" i="2"/>
  <c r="AV49" i="2"/>
  <c r="AX49" i="2"/>
  <c r="AZ49" i="2"/>
  <c r="BC49" i="2"/>
  <c r="BD49" i="2"/>
  <c r="BE49" i="2"/>
  <c r="BF49" i="2"/>
  <c r="BG49" i="2"/>
  <c r="BH49" i="2"/>
  <c r="BI49" i="2"/>
  <c r="L50" i="2"/>
  <c r="P50" i="2"/>
  <c r="R50" i="2"/>
  <c r="T50" i="2"/>
  <c r="V50" i="2"/>
  <c r="X50" i="2"/>
  <c r="Z50" i="2"/>
  <c r="AB50" i="2"/>
  <c r="AD50" i="2"/>
  <c r="AF50" i="2"/>
  <c r="AH50" i="2"/>
  <c r="AL50" i="2"/>
  <c r="AN50" i="2"/>
  <c r="AP50" i="2"/>
  <c r="AR50" i="2"/>
  <c r="AT50" i="2"/>
  <c r="AV50" i="2"/>
  <c r="AX50" i="2"/>
  <c r="AZ50" i="2"/>
  <c r="BC50" i="2"/>
  <c r="BD50" i="2"/>
  <c r="BE50" i="2"/>
  <c r="BF50" i="2"/>
  <c r="BG50" i="2"/>
  <c r="BH50" i="2"/>
  <c r="BI50" i="2"/>
  <c r="L51" i="2"/>
  <c r="P51" i="2"/>
  <c r="R51" i="2"/>
  <c r="T51" i="2"/>
  <c r="X51" i="2"/>
  <c r="AB51" i="2"/>
  <c r="AD51" i="2"/>
  <c r="AF51" i="2"/>
  <c r="AH51" i="2"/>
  <c r="AJ51" i="2"/>
  <c r="AN51" i="2"/>
  <c r="AP51" i="2"/>
  <c r="AR51" i="2"/>
  <c r="AT51" i="2"/>
  <c r="AV51" i="2"/>
  <c r="AX51" i="2"/>
  <c r="AZ51" i="2"/>
  <c r="BC51" i="2"/>
  <c r="BD51" i="2"/>
  <c r="BE51" i="2"/>
  <c r="BF51" i="2"/>
  <c r="BG51" i="2"/>
  <c r="BH51" i="2"/>
  <c r="BI51" i="2"/>
  <c r="L52" i="2"/>
  <c r="P52" i="2"/>
  <c r="T52" i="2"/>
  <c r="V52" i="2"/>
  <c r="X52" i="2"/>
  <c r="AB52" i="2"/>
  <c r="AD52" i="2"/>
  <c r="AF52" i="2"/>
  <c r="AH52" i="2"/>
  <c r="AJ52" i="2"/>
  <c r="AL52" i="2"/>
  <c r="AN52" i="2"/>
  <c r="AP52" i="2"/>
  <c r="AT52" i="2"/>
  <c r="AV52" i="2"/>
  <c r="AX52" i="2"/>
  <c r="BC52" i="2"/>
  <c r="BD52" i="2"/>
  <c r="BE52" i="2"/>
  <c r="BF52" i="2"/>
  <c r="BG52" i="2"/>
  <c r="BH52" i="2"/>
  <c r="BI52" i="2"/>
  <c r="L53" i="2"/>
  <c r="P53" i="2"/>
  <c r="R53" i="2"/>
  <c r="T53" i="2"/>
  <c r="V53" i="2"/>
  <c r="AB53" i="2"/>
  <c r="AD53" i="2"/>
  <c r="AF53" i="2"/>
  <c r="AH53" i="2"/>
  <c r="AJ53" i="2"/>
  <c r="AL53" i="2"/>
  <c r="AN53" i="2"/>
  <c r="AP53" i="2"/>
  <c r="AR53" i="2"/>
  <c r="AT53" i="2"/>
  <c r="AV53" i="2"/>
  <c r="AX53" i="2"/>
  <c r="AZ53" i="2"/>
  <c r="BC53" i="2"/>
  <c r="BD53" i="2"/>
  <c r="BE53" i="2"/>
  <c r="BF53" i="2"/>
  <c r="BG53" i="2"/>
  <c r="BH53" i="2"/>
  <c r="BI53" i="2"/>
  <c r="L54" i="2"/>
  <c r="P54" i="2"/>
  <c r="R54" i="2"/>
  <c r="T54" i="2"/>
  <c r="X54" i="2"/>
  <c r="Z54" i="2"/>
  <c r="AB54" i="2"/>
  <c r="AD54" i="2"/>
  <c r="AF54" i="2"/>
  <c r="AH54" i="2"/>
  <c r="AJ54" i="2"/>
  <c r="AL54" i="2"/>
  <c r="AN54" i="2"/>
  <c r="AP54" i="2"/>
  <c r="AR54" i="2"/>
  <c r="AT54" i="2"/>
  <c r="AV54" i="2"/>
  <c r="AX54" i="2"/>
  <c r="AZ54" i="2"/>
  <c r="BC54" i="2"/>
  <c r="BD54" i="2"/>
  <c r="BE54" i="2"/>
  <c r="BF54" i="2"/>
  <c r="BG54" i="2"/>
  <c r="BH54" i="2"/>
  <c r="BI54" i="2"/>
  <c r="L55" i="2"/>
  <c r="P55" i="2"/>
  <c r="R55" i="2"/>
  <c r="T55" i="2"/>
  <c r="AH55" i="2"/>
  <c r="AJ55" i="2"/>
  <c r="AL55" i="2"/>
  <c r="AP55" i="2"/>
  <c r="AT55" i="2"/>
  <c r="AV55" i="2"/>
  <c r="AZ55" i="2"/>
  <c r="BC55" i="2"/>
  <c r="BD55" i="2"/>
  <c r="BE55" i="2"/>
  <c r="BF55" i="2"/>
  <c r="BG55" i="2"/>
  <c r="BH55" i="2"/>
  <c r="BI55" i="2"/>
  <c r="L56" i="2"/>
  <c r="P56" i="2"/>
  <c r="R56" i="2"/>
  <c r="T56" i="2"/>
  <c r="V56" i="2"/>
  <c r="AB56" i="2"/>
  <c r="AF56" i="2"/>
  <c r="AH56" i="2"/>
  <c r="AJ56" i="2"/>
  <c r="AL56" i="2"/>
  <c r="AN56" i="2"/>
  <c r="AP56" i="2"/>
  <c r="AR56" i="2"/>
  <c r="AT56" i="2"/>
  <c r="AV56" i="2"/>
  <c r="AX56" i="2"/>
  <c r="AZ56" i="2"/>
  <c r="BC56" i="2"/>
  <c r="BD56" i="2"/>
  <c r="BE56" i="2"/>
  <c r="BF56" i="2"/>
  <c r="BG56" i="2"/>
  <c r="BH56" i="2"/>
  <c r="BI56" i="2"/>
  <c r="L57" i="2"/>
  <c r="P57" i="2"/>
  <c r="R57" i="2"/>
  <c r="T57" i="2"/>
  <c r="X57" i="2"/>
  <c r="AB57" i="2"/>
  <c r="AF57" i="2"/>
  <c r="AH57" i="2"/>
  <c r="AJ57" i="2"/>
  <c r="AL57" i="2"/>
  <c r="AN57" i="2"/>
  <c r="AP57" i="2"/>
  <c r="AR57" i="2"/>
  <c r="AT57" i="2"/>
  <c r="AV57" i="2"/>
  <c r="AX57" i="2"/>
  <c r="AZ57" i="2"/>
  <c r="BC57" i="2"/>
  <c r="BD57" i="2"/>
  <c r="BE57" i="2"/>
  <c r="BF57" i="2"/>
  <c r="BG57" i="2"/>
  <c r="BH57" i="2"/>
  <c r="BI57" i="2"/>
  <c r="L58" i="2"/>
  <c r="P58" i="2"/>
  <c r="R58" i="2"/>
  <c r="T58" i="2"/>
  <c r="V58" i="2"/>
  <c r="X58" i="2"/>
  <c r="AF58" i="2"/>
  <c r="AH58" i="2"/>
  <c r="AJ58" i="2"/>
  <c r="AL58" i="2"/>
  <c r="AN58" i="2"/>
  <c r="AP58" i="2"/>
  <c r="AR58" i="2"/>
  <c r="AT58" i="2"/>
  <c r="AV58" i="2"/>
  <c r="AX58" i="2"/>
  <c r="AZ58" i="2"/>
  <c r="BC58" i="2"/>
  <c r="BD58" i="2"/>
  <c r="BE58" i="2"/>
  <c r="BF58" i="2"/>
  <c r="BG58" i="2"/>
  <c r="BH58" i="2"/>
  <c r="BI58" i="2"/>
  <c r="L59" i="2"/>
  <c r="P59" i="2"/>
  <c r="R59" i="2"/>
  <c r="T59" i="2"/>
  <c r="V59" i="2"/>
  <c r="AB59" i="2"/>
  <c r="AD59" i="2"/>
  <c r="AF59" i="2"/>
  <c r="AH59" i="2"/>
  <c r="AJ59" i="2"/>
  <c r="AL59" i="2"/>
  <c r="AN59" i="2"/>
  <c r="AP59" i="2"/>
  <c r="AR59" i="2"/>
  <c r="AT59" i="2"/>
  <c r="AV59" i="2"/>
  <c r="AX59" i="2"/>
  <c r="AZ59" i="2"/>
  <c r="BC59" i="2"/>
  <c r="BD59" i="2"/>
  <c r="BE59" i="2"/>
  <c r="BF59" i="2"/>
  <c r="BG59" i="2"/>
  <c r="BH59" i="2"/>
  <c r="BI59" i="2"/>
  <c r="L60" i="2"/>
  <c r="P60" i="2"/>
  <c r="T60" i="2"/>
  <c r="V60" i="2"/>
  <c r="AF60" i="2"/>
  <c r="AH60" i="2"/>
  <c r="AJ60" i="2"/>
  <c r="AL60" i="2"/>
  <c r="AN60" i="2"/>
  <c r="AP60" i="2"/>
  <c r="AR60" i="2"/>
  <c r="AT60" i="2"/>
  <c r="AV60" i="2"/>
  <c r="AX60" i="2"/>
  <c r="AZ60" i="2"/>
  <c r="BC60" i="2"/>
  <c r="BD60" i="2"/>
  <c r="BE60" i="2"/>
  <c r="BF60" i="2"/>
  <c r="BG60" i="2"/>
  <c r="BH60" i="2"/>
  <c r="BI60" i="2"/>
  <c r="L61" i="2"/>
  <c r="P61" i="2"/>
  <c r="R61" i="2"/>
  <c r="T61" i="2"/>
  <c r="V61" i="2"/>
  <c r="Z61" i="2"/>
  <c r="AB61" i="2"/>
  <c r="AD61" i="2"/>
  <c r="AF61" i="2"/>
  <c r="AH61" i="2"/>
  <c r="AJ61" i="2"/>
  <c r="AL61" i="2"/>
  <c r="AN61" i="2"/>
  <c r="AP61" i="2"/>
  <c r="AR61" i="2"/>
  <c r="AT61" i="2"/>
  <c r="AV61" i="2"/>
  <c r="AX61" i="2"/>
  <c r="AZ61" i="2"/>
  <c r="BC61" i="2"/>
  <c r="BD61" i="2"/>
  <c r="BE61" i="2"/>
  <c r="BF61" i="2"/>
  <c r="BG61" i="2"/>
  <c r="BH61" i="2"/>
  <c r="BI61" i="2"/>
  <c r="L62" i="2"/>
  <c r="R62" i="2"/>
  <c r="T62" i="2"/>
  <c r="V62" i="2"/>
  <c r="X62" i="2"/>
  <c r="Z62" i="2"/>
  <c r="AB62" i="2"/>
  <c r="AD62" i="2"/>
  <c r="AF62" i="2"/>
  <c r="AL62" i="2"/>
  <c r="AN62" i="2"/>
  <c r="AP62" i="2"/>
  <c r="AR62" i="2"/>
  <c r="AT62" i="2"/>
  <c r="AV62" i="2"/>
  <c r="AX62" i="2"/>
  <c r="BC62" i="2"/>
  <c r="BD62" i="2"/>
  <c r="BE62" i="2"/>
  <c r="BF62" i="2"/>
  <c r="BG62" i="2"/>
  <c r="BH62" i="2"/>
  <c r="BI62" i="2"/>
  <c r="L63" i="2"/>
  <c r="P63" i="2"/>
  <c r="T63" i="2"/>
  <c r="V63" i="2"/>
  <c r="X63" i="2"/>
  <c r="Z63" i="2"/>
  <c r="AB63" i="2"/>
  <c r="AD63" i="2"/>
  <c r="AF63" i="2"/>
  <c r="AH63" i="2"/>
  <c r="AJ63" i="2"/>
  <c r="AP63" i="2"/>
  <c r="AR63" i="2"/>
  <c r="AT63" i="2"/>
  <c r="AV63" i="2"/>
  <c r="AX63" i="2"/>
  <c r="AZ63" i="2"/>
  <c r="BC63" i="2"/>
  <c r="BD63" i="2"/>
  <c r="BE63" i="2"/>
  <c r="BF63" i="2"/>
  <c r="BG63" i="2"/>
  <c r="BH63" i="2"/>
  <c r="BI63" i="2"/>
  <c r="L64" i="2"/>
  <c r="P64" i="2"/>
  <c r="T64" i="2"/>
  <c r="V64" i="2"/>
  <c r="Z64" i="2"/>
  <c r="AB64" i="2"/>
  <c r="AD64" i="2"/>
  <c r="AF64" i="2"/>
  <c r="AH64" i="2"/>
  <c r="AJ64" i="2"/>
  <c r="AL64" i="2"/>
  <c r="AN64" i="2"/>
  <c r="AP64" i="2"/>
  <c r="AR64" i="2"/>
  <c r="AT64" i="2"/>
  <c r="AV64" i="2"/>
  <c r="AX64" i="2"/>
  <c r="AZ64" i="2"/>
  <c r="BC64" i="2"/>
  <c r="BD64" i="2"/>
  <c r="BE64" i="2"/>
  <c r="BF64" i="2"/>
  <c r="BG64" i="2"/>
  <c r="BH64" i="2"/>
  <c r="BI64" i="2"/>
  <c r="L65" i="2"/>
  <c r="P65" i="2"/>
  <c r="R65" i="2"/>
  <c r="T65" i="2"/>
  <c r="V65" i="2"/>
  <c r="X65" i="2"/>
  <c r="AB65" i="2"/>
  <c r="AD65" i="2"/>
  <c r="AF65" i="2"/>
  <c r="AJ65" i="2"/>
  <c r="AL65" i="2"/>
  <c r="AN65" i="2"/>
  <c r="AP65" i="2"/>
  <c r="AR65" i="2"/>
  <c r="AT65" i="2"/>
  <c r="AV65" i="2"/>
  <c r="AX65" i="2"/>
  <c r="AZ65" i="2"/>
  <c r="BC65" i="2"/>
  <c r="BD65" i="2"/>
  <c r="BE65" i="2"/>
  <c r="BF65" i="2"/>
  <c r="BG65" i="2"/>
  <c r="BH65" i="2"/>
  <c r="BI65" i="2"/>
  <c r="L66" i="2"/>
  <c r="P66" i="2"/>
  <c r="T66" i="2"/>
  <c r="AF66" i="2"/>
  <c r="AH66" i="2"/>
  <c r="AJ66" i="2"/>
  <c r="AN66" i="2"/>
  <c r="AP66" i="2"/>
  <c r="AR66" i="2"/>
  <c r="AT66" i="2"/>
  <c r="AV66" i="2"/>
  <c r="AZ66" i="2"/>
  <c r="BC66" i="2"/>
  <c r="BD66" i="2"/>
  <c r="BE66" i="2"/>
  <c r="BF66" i="2"/>
  <c r="BG66" i="2"/>
  <c r="BH66" i="2"/>
  <c r="BI66" i="2"/>
  <c r="L67" i="2"/>
  <c r="P67" i="2"/>
  <c r="R67" i="2"/>
  <c r="T67" i="2"/>
  <c r="V67" i="2"/>
  <c r="X67" i="2"/>
  <c r="Z67" i="2"/>
  <c r="AF67" i="2"/>
  <c r="AH67" i="2"/>
  <c r="AJ67" i="2"/>
  <c r="AL67" i="2"/>
  <c r="AN67" i="2"/>
  <c r="AP67" i="2"/>
  <c r="AR67" i="2"/>
  <c r="AT67" i="2"/>
  <c r="AV67" i="2"/>
  <c r="AX67" i="2"/>
  <c r="AZ67" i="2"/>
  <c r="BC67" i="2"/>
  <c r="BD67" i="2"/>
  <c r="BE67" i="2"/>
  <c r="BF67" i="2"/>
  <c r="BG67" i="2"/>
  <c r="BH67" i="2"/>
  <c r="BI67" i="2"/>
  <c r="L68" i="2"/>
  <c r="P68" i="2"/>
  <c r="T68" i="2"/>
  <c r="AB68" i="2"/>
  <c r="AJ68" i="2"/>
  <c r="AL68" i="2"/>
  <c r="AN68" i="2"/>
  <c r="AP68" i="2"/>
  <c r="AR68" i="2"/>
  <c r="AT68" i="2"/>
  <c r="AV68" i="2"/>
  <c r="AX68" i="2"/>
  <c r="AZ68" i="2"/>
  <c r="BC68" i="2"/>
  <c r="BD68" i="2"/>
  <c r="BE68" i="2"/>
  <c r="BF68" i="2"/>
  <c r="BG68" i="2"/>
  <c r="BH68" i="2"/>
  <c r="BI68" i="2"/>
  <c r="L69" i="2"/>
  <c r="P69" i="2"/>
  <c r="R69" i="2"/>
  <c r="T69" i="2"/>
  <c r="AB69" i="2"/>
  <c r="AF69" i="2"/>
  <c r="AH69" i="2"/>
  <c r="AL69" i="2"/>
  <c r="AN69" i="2"/>
  <c r="AR69" i="2"/>
  <c r="AT69" i="2"/>
  <c r="AV69" i="2"/>
  <c r="AX69" i="2"/>
  <c r="AZ69" i="2"/>
  <c r="BC69" i="2"/>
  <c r="BD69" i="2"/>
  <c r="BE69" i="2"/>
  <c r="BF69" i="2"/>
  <c r="BG69" i="2"/>
  <c r="BH69" i="2"/>
  <c r="BI69" i="2"/>
  <c r="L70" i="2"/>
  <c r="P70" i="2"/>
  <c r="R70" i="2"/>
  <c r="T70" i="2"/>
  <c r="V70" i="2"/>
  <c r="X70" i="2"/>
  <c r="Z70" i="2"/>
  <c r="AB70" i="2"/>
  <c r="AD70" i="2"/>
  <c r="AF70" i="2"/>
  <c r="AH70" i="2"/>
  <c r="AL70" i="2"/>
  <c r="AN70" i="2"/>
  <c r="AP70" i="2"/>
  <c r="AR70" i="2"/>
  <c r="AT70" i="2"/>
  <c r="AV70" i="2"/>
  <c r="AX70" i="2"/>
  <c r="AZ70" i="2"/>
  <c r="BC70" i="2"/>
  <c r="BD70" i="2"/>
  <c r="BE70" i="2"/>
  <c r="BF70" i="2"/>
  <c r="BG70" i="2"/>
  <c r="BH70" i="2"/>
  <c r="BI70" i="2"/>
  <c r="R71" i="2"/>
  <c r="V71" i="2"/>
  <c r="X71" i="2"/>
  <c r="Z71" i="2"/>
  <c r="AB71" i="2"/>
  <c r="AD71" i="2"/>
  <c r="AF71" i="2"/>
  <c r="AH71" i="2"/>
  <c r="AL71" i="2"/>
  <c r="AN71" i="2"/>
  <c r="AP71" i="2"/>
  <c r="AR71" i="2"/>
  <c r="AT71" i="2"/>
  <c r="AV71" i="2"/>
  <c r="AX71" i="2"/>
  <c r="AZ71" i="2"/>
  <c r="BC71" i="2"/>
  <c r="BD71" i="2"/>
  <c r="BE71" i="2"/>
  <c r="BF71" i="2"/>
  <c r="BG71" i="2"/>
  <c r="BH71" i="2"/>
  <c r="BI71" i="2"/>
  <c r="L72" i="2"/>
  <c r="P72" i="2"/>
  <c r="R72" i="2"/>
  <c r="T72" i="2"/>
  <c r="X72" i="2"/>
  <c r="Z72" i="2"/>
  <c r="AB72" i="2"/>
  <c r="AF72" i="2"/>
  <c r="AH72" i="2"/>
  <c r="AJ72" i="2"/>
  <c r="AL72" i="2"/>
  <c r="AN72" i="2"/>
  <c r="AP72" i="2"/>
  <c r="AR72" i="2"/>
  <c r="AT72" i="2"/>
  <c r="AV72" i="2"/>
  <c r="AX72" i="2"/>
  <c r="AZ72" i="2"/>
  <c r="BC72" i="2"/>
  <c r="BD72" i="2"/>
  <c r="BE72" i="2"/>
  <c r="BF72" i="2"/>
  <c r="BG72" i="2"/>
  <c r="BH72" i="2"/>
  <c r="BI72" i="2"/>
  <c r="L73" i="2"/>
  <c r="P73" i="2"/>
  <c r="R73" i="2"/>
  <c r="T73" i="2"/>
  <c r="V73" i="2"/>
  <c r="X73" i="2"/>
  <c r="AB73" i="2"/>
  <c r="AF73" i="2"/>
  <c r="AL73" i="2"/>
  <c r="AN73" i="2"/>
  <c r="AP73" i="2"/>
  <c r="AR73" i="2"/>
  <c r="AT73" i="2"/>
  <c r="AV73" i="2"/>
  <c r="AX73" i="2"/>
  <c r="AZ73" i="2"/>
  <c r="BC73" i="2"/>
  <c r="BD73" i="2"/>
  <c r="BE73" i="2"/>
  <c r="BF73" i="2"/>
  <c r="BG73" i="2"/>
  <c r="BH73" i="2"/>
  <c r="BI73" i="2"/>
  <c r="L74" i="2"/>
  <c r="R74" i="2"/>
  <c r="T74" i="2"/>
  <c r="V74" i="2"/>
  <c r="X74" i="2"/>
  <c r="Z74" i="2"/>
  <c r="AB74" i="2"/>
  <c r="AD74" i="2"/>
  <c r="AF74" i="2"/>
  <c r="AH74" i="2"/>
  <c r="AJ74" i="2"/>
  <c r="AL74" i="2"/>
  <c r="AN74" i="2"/>
  <c r="AP74" i="2"/>
  <c r="AR74" i="2"/>
  <c r="AT74" i="2"/>
  <c r="AV74" i="2"/>
  <c r="AX74" i="2"/>
  <c r="AZ74" i="2"/>
  <c r="BC74" i="2"/>
  <c r="BD74" i="2"/>
  <c r="BE74" i="2"/>
  <c r="BF74" i="2"/>
  <c r="BG74" i="2"/>
  <c r="BH74" i="2"/>
  <c r="BI74" i="2"/>
  <c r="L75" i="2"/>
  <c r="AB75" i="2"/>
  <c r="AL75" i="2"/>
  <c r="AN75" i="2"/>
  <c r="AP75" i="2"/>
  <c r="AR75" i="2"/>
  <c r="AT75" i="2"/>
  <c r="AV75" i="2"/>
  <c r="AZ75" i="2"/>
  <c r="BC75" i="2"/>
  <c r="BD75" i="2"/>
  <c r="BE75" i="2"/>
  <c r="BF75" i="2"/>
  <c r="BG75" i="2"/>
  <c r="BH75" i="2"/>
  <c r="BI75" i="2"/>
  <c r="L76" i="2"/>
  <c r="P76" i="2"/>
  <c r="R76" i="2"/>
  <c r="T76" i="2"/>
  <c r="V76" i="2"/>
  <c r="X76" i="2"/>
  <c r="Z76" i="2"/>
  <c r="AB76" i="2"/>
  <c r="AD76" i="2"/>
  <c r="AF76" i="2"/>
  <c r="AH76" i="2"/>
  <c r="AJ76" i="2"/>
  <c r="AL76" i="2"/>
  <c r="AP76" i="2"/>
  <c r="AR76" i="2"/>
  <c r="AT76" i="2"/>
  <c r="AV76" i="2"/>
  <c r="AX76" i="2"/>
  <c r="AZ76" i="2"/>
  <c r="BC76" i="2"/>
  <c r="BD76" i="2"/>
  <c r="BE76" i="2"/>
  <c r="BF76" i="2"/>
  <c r="BG76" i="2"/>
  <c r="BH76" i="2"/>
  <c r="BI76" i="2"/>
  <c r="L77" i="2"/>
  <c r="P77" i="2"/>
  <c r="R77" i="2"/>
  <c r="T77" i="2"/>
  <c r="V77" i="2"/>
  <c r="X77" i="2"/>
  <c r="Z77" i="2"/>
  <c r="AB77" i="2"/>
  <c r="AF77" i="2"/>
  <c r="AL77" i="2"/>
  <c r="AN77" i="2"/>
  <c r="AP77" i="2"/>
  <c r="AR77" i="2"/>
  <c r="AT77" i="2"/>
  <c r="AV77" i="2"/>
  <c r="AX77" i="2"/>
  <c r="AZ77" i="2"/>
  <c r="BC77" i="2"/>
  <c r="BD77" i="2"/>
  <c r="BE77" i="2"/>
  <c r="BF77" i="2"/>
  <c r="BG77" i="2"/>
  <c r="BH77" i="2"/>
  <c r="BI77" i="2"/>
  <c r="L78" i="2"/>
  <c r="P78" i="2"/>
  <c r="R78" i="2"/>
  <c r="T78" i="2"/>
  <c r="V78" i="2"/>
  <c r="X78" i="2"/>
  <c r="Z78" i="2"/>
  <c r="AB78" i="2"/>
  <c r="AD78" i="2"/>
  <c r="AF78" i="2"/>
  <c r="AH78" i="2"/>
  <c r="AJ78" i="2"/>
  <c r="AN78" i="2"/>
  <c r="AP78" i="2"/>
  <c r="AR78" i="2"/>
  <c r="AT78" i="2"/>
  <c r="AV78" i="2"/>
  <c r="AX78" i="2"/>
  <c r="AZ78" i="2"/>
  <c r="BC78" i="2"/>
  <c r="BD78" i="2"/>
  <c r="BE78" i="2"/>
  <c r="BF78" i="2"/>
  <c r="BG78" i="2"/>
  <c r="BH78" i="2"/>
  <c r="BI78" i="2"/>
  <c r="L79" i="2"/>
  <c r="P79" i="2"/>
  <c r="R79" i="2"/>
  <c r="T79" i="2"/>
  <c r="X79" i="2"/>
  <c r="Z79" i="2"/>
  <c r="AB79" i="2"/>
  <c r="AD79" i="2"/>
  <c r="AF79" i="2"/>
  <c r="AH79" i="2"/>
  <c r="AJ79" i="2"/>
  <c r="AL79" i="2"/>
  <c r="AN79" i="2"/>
  <c r="AP79" i="2"/>
  <c r="AR79" i="2"/>
  <c r="AT79" i="2"/>
  <c r="AV79" i="2"/>
  <c r="AX79" i="2"/>
  <c r="AZ79" i="2"/>
  <c r="BC79" i="2"/>
  <c r="BD79" i="2"/>
  <c r="BE79" i="2"/>
  <c r="BF79" i="2"/>
  <c r="BG79" i="2"/>
  <c r="BH79" i="2"/>
  <c r="BI79" i="2"/>
  <c r="L80" i="2"/>
  <c r="P80" i="2"/>
  <c r="R80" i="2"/>
  <c r="T80" i="2"/>
  <c r="V80" i="2"/>
  <c r="Z80" i="2"/>
  <c r="AB80" i="2"/>
  <c r="AD80" i="2"/>
  <c r="AF80" i="2"/>
  <c r="AH80" i="2"/>
  <c r="AJ80" i="2"/>
  <c r="AL80" i="2"/>
  <c r="AN80" i="2"/>
  <c r="AP80" i="2"/>
  <c r="AR80" i="2"/>
  <c r="AT80" i="2"/>
  <c r="AV80" i="2"/>
  <c r="AX80" i="2"/>
  <c r="AZ80" i="2"/>
  <c r="BC80" i="2"/>
  <c r="BD80" i="2"/>
  <c r="BE80" i="2"/>
  <c r="BF80" i="2"/>
  <c r="BG80" i="2"/>
  <c r="BH80" i="2"/>
  <c r="BI80" i="2"/>
  <c r="L81" i="2"/>
  <c r="P81" i="2"/>
  <c r="T81" i="2"/>
  <c r="V81" i="2"/>
  <c r="X81" i="2"/>
  <c r="AB81" i="2"/>
  <c r="AD81" i="2"/>
  <c r="AH81" i="2"/>
  <c r="AJ81" i="2"/>
  <c r="AP81" i="2"/>
  <c r="AR81" i="2"/>
  <c r="AT81" i="2"/>
  <c r="AV81" i="2"/>
  <c r="AX81" i="2"/>
  <c r="AZ81" i="2"/>
  <c r="BC81" i="2"/>
  <c r="BD81" i="2"/>
  <c r="BE81" i="2"/>
  <c r="BF81" i="2"/>
  <c r="BG81" i="2"/>
  <c r="BH81" i="2"/>
  <c r="BI81" i="2"/>
  <c r="L82" i="2"/>
  <c r="AB82" i="2"/>
  <c r="AD82" i="2"/>
  <c r="AF82" i="2"/>
  <c r="AP82" i="2"/>
  <c r="AR82" i="2"/>
  <c r="AT82" i="2"/>
  <c r="AV82" i="2"/>
  <c r="AX82" i="2"/>
  <c r="AZ82" i="2"/>
  <c r="BC82" i="2"/>
  <c r="BD82" i="2"/>
  <c r="BE82" i="2"/>
  <c r="BF82" i="2"/>
  <c r="BG82" i="2"/>
  <c r="BH82" i="2"/>
  <c r="BI82" i="2"/>
  <c r="L83" i="2"/>
  <c r="P83" i="2"/>
  <c r="R83" i="2"/>
  <c r="T83" i="2"/>
  <c r="V83" i="2"/>
  <c r="X83" i="2"/>
  <c r="Z83" i="2"/>
  <c r="AB83" i="2"/>
  <c r="AD83" i="2"/>
  <c r="AF83" i="2"/>
  <c r="AH83" i="2"/>
  <c r="AJ83" i="2"/>
  <c r="AN83" i="2"/>
  <c r="AP83" i="2"/>
  <c r="AR83" i="2"/>
  <c r="AT83" i="2"/>
  <c r="AV83" i="2"/>
  <c r="AX83" i="2"/>
  <c r="AZ83" i="2"/>
  <c r="BC83" i="2"/>
  <c r="BD83" i="2"/>
  <c r="BE83" i="2"/>
  <c r="BF83" i="2"/>
  <c r="BG83" i="2"/>
  <c r="BH83" i="2"/>
  <c r="BI83" i="2"/>
  <c r="L84" i="2"/>
  <c r="P84" i="2"/>
  <c r="R84" i="2"/>
  <c r="T84" i="2"/>
  <c r="V84" i="2"/>
  <c r="X84" i="2"/>
  <c r="Z84" i="2"/>
  <c r="AB84" i="2"/>
  <c r="AD84" i="2"/>
  <c r="AF84" i="2"/>
  <c r="AH84" i="2"/>
  <c r="AL84" i="2"/>
  <c r="AN84" i="2"/>
  <c r="AP84" i="2"/>
  <c r="AR84" i="2"/>
  <c r="AT84" i="2"/>
  <c r="AV84" i="2"/>
  <c r="AX84" i="2"/>
  <c r="AZ84" i="2"/>
  <c r="BC84" i="2"/>
  <c r="BD84" i="2"/>
  <c r="BE84" i="2"/>
  <c r="BF84" i="2"/>
  <c r="BG84" i="2"/>
  <c r="BH84" i="2"/>
  <c r="BI84" i="2"/>
  <c r="L85" i="2"/>
  <c r="P85" i="2"/>
  <c r="R85" i="2"/>
  <c r="T85" i="2"/>
  <c r="V85" i="2"/>
  <c r="X85" i="2"/>
  <c r="Z85" i="2"/>
  <c r="AB85" i="2"/>
  <c r="AD85" i="2"/>
  <c r="AF85" i="2"/>
  <c r="AH85" i="2"/>
  <c r="AL85" i="2"/>
  <c r="AN85" i="2"/>
  <c r="AP85" i="2"/>
  <c r="AR85" i="2"/>
  <c r="AT85" i="2"/>
  <c r="AV85" i="2"/>
  <c r="AX85" i="2"/>
  <c r="AZ85" i="2"/>
  <c r="BC85" i="2"/>
  <c r="BD85" i="2"/>
  <c r="BE85" i="2"/>
  <c r="BF85" i="2"/>
  <c r="BG85" i="2"/>
  <c r="BH85" i="2"/>
  <c r="BI85" i="2"/>
  <c r="L86" i="2"/>
  <c r="P86" i="2"/>
  <c r="R86" i="2"/>
  <c r="T86" i="2"/>
  <c r="V86" i="2"/>
  <c r="X86" i="2"/>
  <c r="Z86" i="2"/>
  <c r="AB86" i="2"/>
  <c r="AD86" i="2"/>
  <c r="AF86" i="2"/>
  <c r="AJ86" i="2"/>
  <c r="AL86" i="2"/>
  <c r="AN86" i="2"/>
  <c r="AP86" i="2"/>
  <c r="AR86" i="2"/>
  <c r="AT86" i="2"/>
  <c r="AV86" i="2"/>
  <c r="AX86" i="2"/>
  <c r="AZ86" i="2"/>
  <c r="BC86" i="2"/>
  <c r="BD86" i="2"/>
  <c r="BE86" i="2"/>
  <c r="BF86" i="2"/>
  <c r="BG86" i="2"/>
  <c r="BH86" i="2"/>
  <c r="BI86" i="2"/>
  <c r="L87" i="2"/>
  <c r="P87" i="2"/>
  <c r="R87" i="2"/>
  <c r="T87" i="2"/>
  <c r="V87" i="2"/>
  <c r="AB87" i="2"/>
  <c r="AF87" i="2"/>
  <c r="AH87" i="2"/>
  <c r="AJ87" i="2"/>
  <c r="AL87" i="2"/>
  <c r="AN87" i="2"/>
  <c r="AP87" i="2"/>
  <c r="AR87" i="2"/>
  <c r="AT87" i="2"/>
  <c r="AV87" i="2"/>
  <c r="AX87" i="2"/>
  <c r="AZ87" i="2"/>
  <c r="BC87" i="2"/>
  <c r="BD87" i="2"/>
  <c r="BE87" i="2"/>
  <c r="BF87" i="2"/>
  <c r="BG87" i="2"/>
  <c r="BH87" i="2"/>
  <c r="BI87" i="2"/>
  <c r="L88" i="2"/>
  <c r="P88" i="2"/>
  <c r="R88" i="2"/>
  <c r="T88" i="2"/>
  <c r="V88" i="2"/>
  <c r="X88" i="2"/>
  <c r="Z88" i="2"/>
  <c r="AB88" i="2"/>
  <c r="AD88" i="2"/>
  <c r="AF88" i="2"/>
  <c r="AH88" i="2"/>
  <c r="AL88" i="2"/>
  <c r="AN88" i="2"/>
  <c r="AP88" i="2"/>
  <c r="AR88" i="2"/>
  <c r="AT88" i="2"/>
  <c r="AV88" i="2"/>
  <c r="AX88" i="2"/>
  <c r="AZ88" i="2"/>
  <c r="BC88" i="2"/>
  <c r="BD88" i="2"/>
  <c r="BE88" i="2"/>
  <c r="BF88" i="2"/>
  <c r="BG88" i="2"/>
  <c r="BH88" i="2"/>
  <c r="BI88" i="2"/>
  <c r="L89" i="2"/>
  <c r="P89" i="2"/>
  <c r="T89" i="2"/>
  <c r="AB89" i="2"/>
  <c r="AF89" i="2"/>
  <c r="AH89" i="2"/>
  <c r="AJ89" i="2"/>
  <c r="AN89" i="2"/>
  <c r="AP89" i="2"/>
  <c r="AR89" i="2"/>
  <c r="AT89" i="2"/>
  <c r="AV89" i="2"/>
  <c r="AX89" i="2"/>
  <c r="AZ89" i="2"/>
  <c r="BC89" i="2"/>
  <c r="BD89" i="2"/>
  <c r="BE89" i="2"/>
  <c r="BF89" i="2"/>
  <c r="BG89" i="2"/>
  <c r="BH89" i="2"/>
  <c r="BI89" i="2"/>
  <c r="L90" i="2"/>
  <c r="P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C90" i="2"/>
  <c r="BD90" i="2"/>
  <c r="BE90" i="2"/>
  <c r="BF90" i="2"/>
  <c r="BG90" i="2"/>
  <c r="BH90" i="2"/>
  <c r="BI90" i="2"/>
  <c r="L91" i="2"/>
  <c r="P91" i="2"/>
  <c r="R91" i="2"/>
  <c r="T91" i="2"/>
  <c r="V91" i="2"/>
  <c r="X91" i="2"/>
  <c r="Z91" i="2"/>
  <c r="AB91" i="2"/>
  <c r="AD91" i="2"/>
  <c r="AF91" i="2"/>
  <c r="AH91" i="2"/>
  <c r="AJ91" i="2"/>
  <c r="AL91" i="2"/>
  <c r="AN91" i="2"/>
  <c r="AR91" i="2"/>
  <c r="AT91" i="2"/>
  <c r="AV91" i="2"/>
  <c r="AX91" i="2"/>
  <c r="AZ91" i="2"/>
  <c r="BC91" i="2"/>
  <c r="BD91" i="2"/>
  <c r="BE91" i="2"/>
  <c r="BF91" i="2"/>
  <c r="BG91" i="2"/>
  <c r="BH91" i="2"/>
  <c r="BI91" i="2"/>
  <c r="L92" i="2"/>
  <c r="P92" i="2"/>
  <c r="T92" i="2"/>
  <c r="V92" i="2"/>
  <c r="X92" i="2"/>
  <c r="Z92" i="2"/>
  <c r="AB92" i="2"/>
  <c r="AD92" i="2"/>
  <c r="AF92" i="2"/>
  <c r="AH92" i="2"/>
  <c r="AJ92" i="2"/>
  <c r="AL92" i="2"/>
  <c r="AN92" i="2"/>
  <c r="AP92" i="2"/>
  <c r="AR92" i="2"/>
  <c r="AT92" i="2"/>
  <c r="AV92" i="2"/>
  <c r="AX92" i="2"/>
  <c r="AZ92" i="2"/>
  <c r="BC92" i="2"/>
  <c r="BD92" i="2"/>
  <c r="BE92" i="2"/>
  <c r="BF92" i="2"/>
  <c r="BG92" i="2"/>
  <c r="BH92" i="2"/>
  <c r="BI92" i="2"/>
  <c r="L93" i="2"/>
  <c r="P93" i="2"/>
  <c r="T93" i="2"/>
  <c r="V93" i="2"/>
  <c r="X93" i="2"/>
  <c r="Z93" i="2"/>
  <c r="AB93" i="2"/>
  <c r="AD93" i="2"/>
  <c r="AF93" i="2"/>
  <c r="AH93" i="2"/>
  <c r="AJ93" i="2"/>
  <c r="AL93" i="2"/>
  <c r="AN93" i="2"/>
  <c r="AP93" i="2"/>
  <c r="AR93" i="2"/>
  <c r="AT93" i="2"/>
  <c r="AV93" i="2"/>
  <c r="AX93" i="2"/>
  <c r="AZ93" i="2"/>
  <c r="BC93" i="2"/>
  <c r="BD93" i="2"/>
  <c r="BE93" i="2"/>
  <c r="BF93" i="2"/>
  <c r="BG93" i="2"/>
  <c r="BH93" i="2"/>
  <c r="BI93" i="2"/>
  <c r="L94" i="2"/>
  <c r="P94" i="2"/>
  <c r="T94" i="2"/>
  <c r="V94" i="2"/>
  <c r="X94" i="2"/>
  <c r="Z94" i="2"/>
  <c r="AB94" i="2"/>
  <c r="AF94" i="2"/>
  <c r="AH94" i="2"/>
  <c r="AJ94" i="2"/>
  <c r="AL94" i="2"/>
  <c r="AN94" i="2"/>
  <c r="AP94" i="2"/>
  <c r="AR94" i="2"/>
  <c r="AT94" i="2"/>
  <c r="AV94" i="2"/>
  <c r="AX94" i="2"/>
  <c r="AZ94" i="2"/>
  <c r="BC94" i="2"/>
  <c r="BD94" i="2"/>
  <c r="BE94" i="2"/>
  <c r="BF94" i="2"/>
  <c r="BG94" i="2"/>
  <c r="BH94" i="2"/>
  <c r="BI94" i="2"/>
  <c r="L95" i="2"/>
  <c r="P95" i="2"/>
  <c r="R95" i="2"/>
  <c r="T95" i="2"/>
  <c r="V95" i="2"/>
  <c r="Z95" i="2"/>
  <c r="AB95" i="2"/>
  <c r="AD95" i="2"/>
  <c r="AF95" i="2"/>
  <c r="AH95" i="2"/>
  <c r="AJ95" i="2"/>
  <c r="AL95" i="2"/>
  <c r="AN95" i="2"/>
  <c r="AP95" i="2"/>
  <c r="AR95" i="2"/>
  <c r="AT95" i="2"/>
  <c r="AV95" i="2"/>
  <c r="AX95" i="2"/>
  <c r="AZ95" i="2"/>
  <c r="BC95" i="2"/>
  <c r="BD95" i="2"/>
  <c r="BE95" i="2"/>
  <c r="BF95" i="2"/>
  <c r="BG95" i="2"/>
  <c r="BH95" i="2"/>
  <c r="BI95" i="2"/>
  <c r="L96" i="2"/>
  <c r="P96" i="2"/>
  <c r="R96" i="2"/>
  <c r="T96" i="2"/>
  <c r="V96" i="2"/>
  <c r="X96" i="2"/>
  <c r="AB96" i="2"/>
  <c r="AD96" i="2"/>
  <c r="AF96" i="2"/>
  <c r="AH96" i="2"/>
  <c r="AJ96" i="2"/>
  <c r="AL96" i="2"/>
  <c r="AN96" i="2"/>
  <c r="AP96" i="2"/>
  <c r="AR96" i="2"/>
  <c r="AT96" i="2"/>
  <c r="AV96" i="2"/>
  <c r="AX96" i="2"/>
  <c r="AZ96" i="2"/>
  <c r="BC96" i="2"/>
  <c r="BD96" i="2"/>
  <c r="BE96" i="2"/>
  <c r="BF96" i="2"/>
  <c r="BG96" i="2"/>
  <c r="BH96" i="2"/>
  <c r="BI96" i="2"/>
  <c r="L97" i="2"/>
  <c r="P97" i="2"/>
  <c r="R97" i="2"/>
  <c r="T97" i="2"/>
  <c r="V97" i="2"/>
  <c r="X97" i="2"/>
  <c r="Z97" i="2"/>
  <c r="AB97" i="2"/>
  <c r="AD97" i="2"/>
  <c r="AF97" i="2"/>
  <c r="AH97" i="2"/>
  <c r="AL97" i="2"/>
  <c r="AN97" i="2"/>
  <c r="AP97" i="2"/>
  <c r="AR97" i="2"/>
  <c r="AT97" i="2"/>
  <c r="AV97" i="2"/>
  <c r="AX97" i="2"/>
  <c r="AZ97" i="2"/>
  <c r="BC97" i="2"/>
  <c r="BD97" i="2"/>
  <c r="BE97" i="2"/>
  <c r="BF97" i="2"/>
  <c r="BG97" i="2"/>
  <c r="BH97" i="2"/>
  <c r="BI97" i="2"/>
  <c r="L98" i="2"/>
  <c r="R98" i="2"/>
  <c r="T98" i="2"/>
  <c r="V98" i="2"/>
  <c r="X98" i="2"/>
  <c r="Z98" i="2"/>
  <c r="AB98" i="2"/>
  <c r="AD98" i="2"/>
  <c r="AF98" i="2"/>
  <c r="AH98" i="2"/>
  <c r="AJ98" i="2"/>
  <c r="AL98" i="2"/>
  <c r="AN98" i="2"/>
  <c r="AP98" i="2"/>
  <c r="AR98" i="2"/>
  <c r="AT98" i="2"/>
  <c r="AV98" i="2"/>
  <c r="AX98" i="2"/>
  <c r="AZ98" i="2"/>
  <c r="BC98" i="2"/>
  <c r="BD98" i="2"/>
  <c r="BE98" i="2"/>
  <c r="BF98" i="2"/>
  <c r="BG98" i="2"/>
  <c r="BH98" i="2"/>
  <c r="BI98" i="2"/>
  <c r="L99" i="2"/>
  <c r="P99" i="2"/>
  <c r="R99" i="2"/>
  <c r="T99" i="2"/>
  <c r="V99" i="2"/>
  <c r="X99" i="2"/>
  <c r="Z99" i="2"/>
  <c r="AB99" i="2"/>
  <c r="AF99" i="2"/>
  <c r="AH99" i="2"/>
  <c r="AJ99" i="2"/>
  <c r="AL99" i="2"/>
  <c r="AN99" i="2"/>
  <c r="AP99" i="2"/>
  <c r="AR99" i="2"/>
  <c r="AT99" i="2"/>
  <c r="AV99" i="2"/>
  <c r="AX99" i="2"/>
  <c r="AZ99" i="2"/>
  <c r="BC99" i="2"/>
  <c r="BD99" i="2"/>
  <c r="BE99" i="2"/>
  <c r="BF99" i="2"/>
  <c r="BG99" i="2"/>
  <c r="BH99" i="2"/>
  <c r="BI99" i="2"/>
  <c r="L100" i="2"/>
  <c r="P100" i="2"/>
  <c r="R100" i="2"/>
  <c r="T100" i="2"/>
  <c r="V100" i="2"/>
  <c r="X100" i="2"/>
  <c r="Z100" i="2"/>
  <c r="AB100" i="2"/>
  <c r="AD100" i="2"/>
  <c r="AF100" i="2"/>
  <c r="AL100" i="2"/>
  <c r="AN100" i="2"/>
  <c r="AP100" i="2"/>
  <c r="AR100" i="2"/>
  <c r="AT100" i="2"/>
  <c r="AV100" i="2"/>
  <c r="AX100" i="2"/>
  <c r="AZ100" i="2"/>
  <c r="BC100" i="2"/>
  <c r="BD100" i="2"/>
  <c r="BE100" i="2"/>
  <c r="BF100" i="2"/>
  <c r="BG100" i="2"/>
  <c r="BH100" i="2"/>
  <c r="BI100" i="2"/>
  <c r="L101" i="2"/>
  <c r="P101" i="2"/>
  <c r="R101" i="2"/>
  <c r="T101" i="2"/>
  <c r="V101" i="2"/>
  <c r="Z101" i="2"/>
  <c r="AB101" i="2"/>
  <c r="AD101" i="2"/>
  <c r="AF101" i="2"/>
  <c r="AH101" i="2"/>
  <c r="AJ101" i="2"/>
  <c r="AL101" i="2"/>
  <c r="AN101" i="2"/>
  <c r="AP101" i="2"/>
  <c r="AR101" i="2"/>
  <c r="AT101" i="2"/>
  <c r="AV101" i="2"/>
  <c r="AX101" i="2"/>
  <c r="AZ101" i="2"/>
  <c r="BC101" i="2"/>
  <c r="BD101" i="2"/>
  <c r="BE101" i="2"/>
  <c r="BF101" i="2"/>
  <c r="BG101" i="2"/>
  <c r="BH101" i="2"/>
  <c r="BI101" i="2"/>
  <c r="L102" i="2"/>
  <c r="P102" i="2"/>
  <c r="T102" i="2"/>
  <c r="V102" i="2"/>
  <c r="X102" i="2"/>
  <c r="AB102" i="2"/>
  <c r="AD102" i="2"/>
  <c r="AF102" i="2"/>
  <c r="AH102" i="2"/>
  <c r="AJ102" i="2"/>
  <c r="AL102" i="2"/>
  <c r="AN102" i="2"/>
  <c r="AP102" i="2"/>
  <c r="AR102" i="2"/>
  <c r="AT102" i="2"/>
  <c r="AV102" i="2"/>
  <c r="AX102" i="2"/>
  <c r="AZ102" i="2"/>
  <c r="BC102" i="2"/>
  <c r="BD102" i="2"/>
  <c r="BE102" i="2"/>
  <c r="BF102" i="2"/>
  <c r="BG102" i="2"/>
  <c r="BH102" i="2"/>
  <c r="BI102" i="2"/>
  <c r="L103" i="2"/>
  <c r="P103" i="2"/>
  <c r="R103" i="2"/>
  <c r="V103" i="2"/>
  <c r="AB103" i="2"/>
  <c r="AF103" i="2"/>
  <c r="AH103" i="2"/>
  <c r="AJ103" i="2"/>
  <c r="AL103" i="2"/>
  <c r="AN103" i="2"/>
  <c r="AP103" i="2"/>
  <c r="AR103" i="2"/>
  <c r="AT103" i="2"/>
  <c r="AV103" i="2"/>
  <c r="AX103" i="2"/>
  <c r="AZ103" i="2"/>
  <c r="BC103" i="2"/>
  <c r="BD103" i="2"/>
  <c r="BE103" i="2"/>
  <c r="BF103" i="2"/>
  <c r="BG103" i="2"/>
  <c r="BH103" i="2"/>
  <c r="BI103" i="2"/>
  <c r="L104" i="2"/>
  <c r="P104" i="2"/>
  <c r="R104" i="2"/>
  <c r="T104" i="2"/>
  <c r="V104" i="2"/>
  <c r="AB104" i="2"/>
  <c r="AF104" i="2"/>
  <c r="AH104" i="2"/>
  <c r="AJ104" i="2"/>
  <c r="AL104" i="2"/>
  <c r="AN104" i="2"/>
  <c r="AP104" i="2"/>
  <c r="AR104" i="2"/>
  <c r="AT104" i="2"/>
  <c r="AV104" i="2"/>
  <c r="AX104" i="2"/>
  <c r="AZ104" i="2"/>
  <c r="BC104" i="2"/>
  <c r="BD104" i="2"/>
  <c r="BE104" i="2"/>
  <c r="BF104" i="2"/>
  <c r="BG104" i="2"/>
  <c r="BH104" i="2"/>
  <c r="BI104" i="2"/>
  <c r="L105" i="2"/>
  <c r="P105" i="2"/>
  <c r="T105" i="2"/>
  <c r="V105" i="2"/>
  <c r="X105" i="2"/>
  <c r="Z105" i="2"/>
  <c r="AD105" i="2"/>
  <c r="AF105" i="2"/>
  <c r="AH105" i="2"/>
  <c r="AJ105" i="2"/>
  <c r="AL105" i="2"/>
  <c r="AN105" i="2"/>
  <c r="AP105" i="2"/>
  <c r="AR105" i="2"/>
  <c r="AT105" i="2"/>
  <c r="AV105" i="2"/>
  <c r="AX105" i="2"/>
  <c r="AZ105" i="2"/>
  <c r="BC105" i="2"/>
  <c r="BD105" i="2"/>
  <c r="BE105" i="2"/>
  <c r="BF105" i="2"/>
  <c r="BG105" i="2"/>
  <c r="BH105" i="2"/>
  <c r="BI105" i="2"/>
  <c r="L106" i="2"/>
  <c r="P106" i="2"/>
  <c r="T106" i="2"/>
  <c r="V106" i="2"/>
  <c r="X106" i="2"/>
  <c r="Z106" i="2"/>
  <c r="AB106" i="2"/>
  <c r="AD106" i="2"/>
  <c r="AF106" i="2"/>
  <c r="AH106" i="2"/>
  <c r="AJ106" i="2"/>
  <c r="AL106" i="2"/>
  <c r="AN106" i="2"/>
  <c r="AP106" i="2"/>
  <c r="AR106" i="2"/>
  <c r="AT106" i="2"/>
  <c r="AV106" i="2"/>
  <c r="AX106" i="2"/>
  <c r="AZ106" i="2"/>
  <c r="BC106" i="2"/>
  <c r="BD106" i="2"/>
  <c r="BE106" i="2"/>
  <c r="BF106" i="2"/>
  <c r="BG106" i="2"/>
  <c r="BH106" i="2"/>
  <c r="BI106" i="2"/>
  <c r="L107" i="2"/>
  <c r="P107" i="2"/>
  <c r="T107" i="2"/>
  <c r="V107" i="2"/>
  <c r="X107" i="2"/>
  <c r="Z107" i="2"/>
  <c r="AB107" i="2"/>
  <c r="AD107" i="2"/>
  <c r="AF107" i="2"/>
  <c r="AH107" i="2"/>
  <c r="AL107" i="2"/>
  <c r="AN107" i="2"/>
  <c r="AP107" i="2"/>
  <c r="AR107" i="2"/>
  <c r="AT107" i="2"/>
  <c r="AV107" i="2"/>
  <c r="AX107" i="2"/>
  <c r="AZ107" i="2"/>
  <c r="BC107" i="2"/>
  <c r="BD107" i="2"/>
  <c r="BE107" i="2"/>
  <c r="BF107" i="2"/>
  <c r="BG107" i="2"/>
  <c r="BH107" i="2"/>
  <c r="BI107" i="2"/>
  <c r="L108" i="2"/>
  <c r="P108" i="2"/>
  <c r="T108" i="2"/>
  <c r="X108" i="2"/>
  <c r="Z108" i="2"/>
  <c r="AB108" i="2"/>
  <c r="AD108" i="2"/>
  <c r="AF108" i="2"/>
  <c r="AH108" i="2"/>
  <c r="AJ108" i="2"/>
  <c r="AL108" i="2"/>
  <c r="AN108" i="2"/>
  <c r="AP108" i="2"/>
  <c r="AR108" i="2"/>
  <c r="AT108" i="2"/>
  <c r="AV108" i="2"/>
  <c r="AX108" i="2"/>
  <c r="AZ108" i="2"/>
  <c r="BC108" i="2"/>
  <c r="BD108" i="2"/>
  <c r="BE108" i="2"/>
  <c r="BF108" i="2"/>
  <c r="BG108" i="2"/>
  <c r="BH108" i="2"/>
  <c r="BI108" i="2"/>
  <c r="L109" i="2"/>
  <c r="P109" i="2"/>
  <c r="V109" i="2"/>
  <c r="X109" i="2"/>
  <c r="Z109" i="2"/>
  <c r="AB109" i="2"/>
  <c r="AD109" i="2"/>
  <c r="AF109" i="2"/>
  <c r="AH109" i="2"/>
  <c r="AJ109" i="2"/>
  <c r="AL109" i="2"/>
  <c r="AN109" i="2"/>
  <c r="AP109" i="2"/>
  <c r="AR109" i="2"/>
  <c r="AT109" i="2"/>
  <c r="AV109" i="2"/>
  <c r="AX109" i="2"/>
  <c r="AZ109" i="2"/>
  <c r="BC109" i="2"/>
  <c r="BD109" i="2"/>
  <c r="BE109" i="2"/>
  <c r="BF109" i="2"/>
  <c r="BG109" i="2"/>
  <c r="BH109" i="2"/>
  <c r="BI109" i="2"/>
  <c r="L110" i="2"/>
  <c r="P110" i="2"/>
  <c r="R110" i="2"/>
  <c r="T110" i="2"/>
  <c r="V110" i="2"/>
  <c r="X110" i="2"/>
  <c r="Z110" i="2"/>
  <c r="AB110" i="2"/>
  <c r="AD110" i="2"/>
  <c r="AF110" i="2"/>
  <c r="AH110" i="2"/>
  <c r="AL110" i="2"/>
  <c r="AN110" i="2"/>
  <c r="AP110" i="2"/>
  <c r="AR110" i="2"/>
  <c r="AT110" i="2"/>
  <c r="AV110" i="2"/>
  <c r="AX110" i="2"/>
  <c r="AZ110" i="2"/>
  <c r="BC110" i="2"/>
  <c r="BD110" i="2"/>
  <c r="BE110" i="2"/>
  <c r="BF110" i="2"/>
  <c r="BG110" i="2"/>
  <c r="BH110" i="2"/>
  <c r="BI110" i="2"/>
  <c r="L111" i="2"/>
  <c r="P111" i="2"/>
  <c r="R111" i="2"/>
  <c r="T111" i="2"/>
  <c r="V111" i="2"/>
  <c r="AB111" i="2"/>
  <c r="AD111" i="2"/>
  <c r="AF111" i="2"/>
  <c r="AH111" i="2"/>
  <c r="AL111" i="2"/>
  <c r="AN111" i="2"/>
  <c r="AP111" i="2"/>
  <c r="AR111" i="2"/>
  <c r="AT111" i="2"/>
  <c r="AV111" i="2"/>
  <c r="AX111" i="2"/>
  <c r="AZ111" i="2"/>
  <c r="BC111" i="2"/>
  <c r="BD111" i="2"/>
  <c r="BE111" i="2"/>
  <c r="BF111" i="2"/>
  <c r="BG111" i="2"/>
  <c r="BH111" i="2"/>
  <c r="BI111" i="2"/>
  <c r="L112" i="2"/>
  <c r="P112" i="2"/>
  <c r="R112" i="2"/>
  <c r="T112" i="2"/>
  <c r="V112" i="2"/>
  <c r="X112" i="2"/>
  <c r="Z112" i="2"/>
  <c r="AB112" i="2"/>
  <c r="AD112" i="2"/>
  <c r="AF112" i="2"/>
  <c r="AH112" i="2"/>
  <c r="AL112" i="2"/>
  <c r="AN112" i="2"/>
  <c r="AP112" i="2"/>
  <c r="AR112" i="2"/>
  <c r="AT112" i="2"/>
  <c r="AV112" i="2"/>
  <c r="AX112" i="2"/>
  <c r="AZ112" i="2"/>
  <c r="BC112" i="2"/>
  <c r="BD112" i="2"/>
  <c r="BE112" i="2"/>
  <c r="BF112" i="2"/>
  <c r="BG112" i="2"/>
  <c r="BH112" i="2"/>
  <c r="BI112" i="2"/>
  <c r="L113" i="2"/>
  <c r="P113" i="2"/>
  <c r="T113" i="2"/>
  <c r="V113" i="2"/>
  <c r="AB113" i="2"/>
  <c r="AF113" i="2"/>
  <c r="AH113" i="2"/>
  <c r="AJ113" i="2"/>
  <c r="AL113" i="2"/>
  <c r="AN113" i="2"/>
  <c r="AP113" i="2"/>
  <c r="AR113" i="2"/>
  <c r="AT113" i="2"/>
  <c r="AV113" i="2"/>
  <c r="AX113" i="2"/>
  <c r="AZ113" i="2"/>
  <c r="BC113" i="2"/>
  <c r="BD113" i="2"/>
  <c r="BE113" i="2"/>
  <c r="BF113" i="2"/>
  <c r="BG113" i="2"/>
  <c r="BH113" i="2"/>
  <c r="BI113" i="2"/>
  <c r="L114" i="2"/>
  <c r="P114" i="2"/>
  <c r="R114" i="2"/>
  <c r="T114" i="2"/>
  <c r="V114" i="2"/>
  <c r="X114" i="2"/>
  <c r="Z114" i="2"/>
  <c r="AB114" i="2"/>
  <c r="AD114" i="2"/>
  <c r="AF114" i="2"/>
  <c r="AH114" i="2"/>
  <c r="AL114" i="2"/>
  <c r="AN114" i="2"/>
  <c r="AP114" i="2"/>
  <c r="AR114" i="2"/>
  <c r="AT114" i="2"/>
  <c r="AV114" i="2"/>
  <c r="AX114" i="2"/>
  <c r="AZ114" i="2"/>
  <c r="BC114" i="2"/>
  <c r="BD114" i="2"/>
  <c r="BE114" i="2"/>
  <c r="BF114" i="2"/>
  <c r="BG114" i="2"/>
  <c r="BH114" i="2"/>
  <c r="BI114" i="2"/>
  <c r="L115" i="2"/>
  <c r="P115" i="2"/>
  <c r="R115" i="2"/>
  <c r="T115" i="2"/>
  <c r="V115" i="2"/>
  <c r="Z115" i="2"/>
  <c r="AB115" i="2"/>
  <c r="AD115" i="2"/>
  <c r="AF115" i="2"/>
  <c r="AH115" i="2"/>
  <c r="AJ115" i="2"/>
  <c r="AL115" i="2"/>
  <c r="AN115" i="2"/>
  <c r="AP115" i="2"/>
  <c r="AR115" i="2"/>
  <c r="AT115" i="2"/>
  <c r="AV115" i="2"/>
  <c r="AX115" i="2"/>
  <c r="AZ115" i="2"/>
  <c r="BC115" i="2"/>
  <c r="BD115" i="2"/>
  <c r="BE115" i="2"/>
  <c r="BF115" i="2"/>
  <c r="BG115" i="2"/>
  <c r="BH115" i="2"/>
  <c r="BI115" i="2"/>
  <c r="L116" i="2"/>
  <c r="P116" i="2"/>
  <c r="R116" i="2"/>
  <c r="T116" i="2"/>
  <c r="V116" i="2"/>
  <c r="AB116" i="2"/>
  <c r="AD116" i="2"/>
  <c r="AF116" i="2"/>
  <c r="AH116" i="2"/>
  <c r="AJ116" i="2"/>
  <c r="AL116" i="2"/>
  <c r="AP116" i="2"/>
  <c r="AR116" i="2"/>
  <c r="AT116" i="2"/>
  <c r="AV116" i="2"/>
  <c r="AX116" i="2"/>
  <c r="AZ116" i="2"/>
  <c r="BC116" i="2"/>
  <c r="BD116" i="2"/>
  <c r="BE116" i="2"/>
  <c r="BF116" i="2"/>
  <c r="BG116" i="2"/>
  <c r="BH116" i="2"/>
  <c r="BI116" i="2"/>
  <c r="L117" i="2"/>
  <c r="P117" i="2"/>
  <c r="R117" i="2"/>
  <c r="T117" i="2"/>
  <c r="V117" i="2"/>
  <c r="X117" i="2"/>
  <c r="AB117" i="2"/>
  <c r="AD117" i="2"/>
  <c r="AF117" i="2"/>
  <c r="AH117" i="2"/>
  <c r="AJ117" i="2"/>
  <c r="AP117" i="2"/>
  <c r="AR117" i="2"/>
  <c r="AT117" i="2"/>
  <c r="AV117" i="2"/>
  <c r="AX117" i="2"/>
  <c r="AZ117" i="2"/>
  <c r="BC117" i="2"/>
  <c r="BD117" i="2"/>
  <c r="BE117" i="2"/>
  <c r="BF117" i="2"/>
  <c r="BG117" i="2"/>
  <c r="BH117" i="2"/>
  <c r="BI117" i="2"/>
  <c r="L118" i="2"/>
  <c r="P118" i="2"/>
  <c r="R118" i="2"/>
  <c r="T118" i="2"/>
  <c r="V118" i="2"/>
  <c r="X118" i="2"/>
  <c r="AB118" i="2"/>
  <c r="AD118" i="2"/>
  <c r="AF118" i="2"/>
  <c r="AH118" i="2"/>
  <c r="AJ118" i="2"/>
  <c r="AL118" i="2"/>
  <c r="AN118" i="2"/>
  <c r="AP118" i="2"/>
  <c r="AR118" i="2"/>
  <c r="AT118" i="2"/>
  <c r="AV118" i="2"/>
  <c r="AX118" i="2"/>
  <c r="AZ118" i="2"/>
  <c r="BC118" i="2"/>
  <c r="BD118" i="2"/>
  <c r="BE118" i="2"/>
  <c r="BF118" i="2"/>
  <c r="BG118" i="2"/>
  <c r="BH118" i="2"/>
  <c r="BI118" i="2"/>
  <c r="L119" i="2"/>
  <c r="P119" i="2"/>
  <c r="R119" i="2"/>
  <c r="T119" i="2"/>
  <c r="V119" i="2"/>
  <c r="X119" i="2"/>
  <c r="Z119" i="2"/>
  <c r="AB119" i="2"/>
  <c r="AD119" i="2"/>
  <c r="AF119" i="2"/>
  <c r="AH119" i="2"/>
  <c r="AL119" i="2"/>
  <c r="AN119" i="2"/>
  <c r="AP119" i="2"/>
  <c r="AR119" i="2"/>
  <c r="AT119" i="2"/>
  <c r="AV119" i="2"/>
  <c r="AX119" i="2"/>
  <c r="AZ119" i="2"/>
  <c r="BC119" i="2"/>
  <c r="BD119" i="2"/>
  <c r="BE119" i="2"/>
  <c r="BF119" i="2"/>
  <c r="BG119" i="2"/>
  <c r="BH119" i="2"/>
  <c r="BI119" i="2"/>
  <c r="L120" i="2"/>
  <c r="P120" i="2"/>
  <c r="R120" i="2"/>
  <c r="T120" i="2"/>
  <c r="V120" i="2"/>
  <c r="X120" i="2"/>
  <c r="Z120" i="2"/>
  <c r="AB120" i="2"/>
  <c r="AF120" i="2"/>
  <c r="AH120" i="2"/>
  <c r="AJ120" i="2"/>
  <c r="AL120" i="2"/>
  <c r="AN120" i="2"/>
  <c r="AP120" i="2"/>
  <c r="AR120" i="2"/>
  <c r="AT120" i="2"/>
  <c r="AV120" i="2"/>
  <c r="AX120" i="2"/>
  <c r="AZ120" i="2"/>
  <c r="BC120" i="2"/>
  <c r="BD120" i="2"/>
  <c r="BE120" i="2"/>
  <c r="BF120" i="2"/>
  <c r="BG120" i="2"/>
  <c r="BH120" i="2"/>
  <c r="BI120" i="2"/>
  <c r="L121" i="2"/>
  <c r="P121" i="2"/>
  <c r="R121" i="2"/>
  <c r="T121" i="2"/>
  <c r="V121" i="2"/>
  <c r="X121" i="2"/>
  <c r="Z121" i="2"/>
  <c r="AB121" i="2"/>
  <c r="AD121" i="2"/>
  <c r="AF121" i="2"/>
  <c r="AH121" i="2"/>
  <c r="AJ121" i="2"/>
  <c r="AL121" i="2"/>
  <c r="AN121" i="2"/>
  <c r="AR121" i="2"/>
  <c r="AT121" i="2"/>
  <c r="AV121" i="2"/>
  <c r="AX121" i="2"/>
  <c r="AZ121" i="2"/>
  <c r="BC121" i="2"/>
  <c r="BD121" i="2"/>
  <c r="BE121" i="2"/>
  <c r="BF121" i="2"/>
  <c r="BG121" i="2"/>
  <c r="BH121" i="2"/>
  <c r="BI121" i="2"/>
  <c r="L122" i="2"/>
  <c r="P122" i="2"/>
  <c r="R122" i="2"/>
  <c r="T122" i="2"/>
  <c r="V122" i="2"/>
  <c r="X122" i="2"/>
  <c r="AD122" i="2"/>
  <c r="AF122" i="2"/>
  <c r="AH122" i="2"/>
  <c r="AJ122" i="2"/>
  <c r="AN122" i="2"/>
  <c r="AP122" i="2"/>
  <c r="AR122" i="2"/>
  <c r="AT122" i="2"/>
  <c r="AV122" i="2"/>
  <c r="AX122" i="2"/>
  <c r="AZ122" i="2"/>
  <c r="BC122" i="2"/>
  <c r="BD122" i="2"/>
  <c r="BE122" i="2"/>
  <c r="BF122" i="2"/>
  <c r="BG122" i="2"/>
  <c r="BH122" i="2"/>
  <c r="BI122" i="2"/>
  <c r="L123" i="2"/>
  <c r="P123" i="2"/>
  <c r="R123" i="2"/>
  <c r="T123" i="2"/>
  <c r="V123" i="2"/>
  <c r="X123" i="2"/>
  <c r="Z123" i="2"/>
  <c r="AB123" i="2"/>
  <c r="AD123" i="2"/>
  <c r="AF123" i="2"/>
  <c r="AH123" i="2"/>
  <c r="AL123" i="2"/>
  <c r="AN123" i="2"/>
  <c r="AP123" i="2"/>
  <c r="AR123" i="2"/>
  <c r="AT123" i="2"/>
  <c r="AV123" i="2"/>
  <c r="AX123" i="2"/>
  <c r="AZ123" i="2"/>
  <c r="BC123" i="2"/>
  <c r="BD123" i="2"/>
  <c r="BE123" i="2"/>
  <c r="BF123" i="2"/>
  <c r="BG123" i="2"/>
  <c r="BH123" i="2"/>
  <c r="BI123" i="2"/>
  <c r="L124" i="2"/>
  <c r="T124" i="2"/>
  <c r="Z124" i="2"/>
  <c r="AB124" i="2"/>
  <c r="AF124" i="2"/>
  <c r="AH124" i="2"/>
  <c r="AN124" i="2"/>
  <c r="AP124" i="2"/>
  <c r="AR124" i="2"/>
  <c r="AT124" i="2"/>
  <c r="AV124" i="2"/>
  <c r="AX124" i="2"/>
  <c r="AZ124" i="2"/>
  <c r="BC124" i="2"/>
  <c r="BD124" i="2"/>
  <c r="BE124" i="2"/>
  <c r="BF124" i="2"/>
  <c r="BG124" i="2"/>
  <c r="BH124" i="2"/>
  <c r="BI124" i="2"/>
  <c r="L125" i="2"/>
  <c r="P125" i="2"/>
  <c r="T125" i="2"/>
  <c r="V125" i="2"/>
  <c r="X125" i="2"/>
  <c r="Z125" i="2"/>
  <c r="AD125" i="2"/>
  <c r="AH125" i="2"/>
  <c r="AP125" i="2"/>
  <c r="AR125" i="2"/>
  <c r="AT125" i="2"/>
  <c r="AV125" i="2"/>
  <c r="AX125" i="2"/>
  <c r="AZ125" i="2"/>
  <c r="BC125" i="2"/>
  <c r="BD125" i="2"/>
  <c r="BE125" i="2"/>
  <c r="BF125" i="2"/>
  <c r="BG125" i="2"/>
  <c r="BH125" i="2"/>
  <c r="BI125" i="2"/>
  <c r="L126" i="2"/>
  <c r="P126" i="2"/>
  <c r="R126" i="2"/>
  <c r="T126" i="2"/>
  <c r="X126" i="2"/>
  <c r="AB126" i="2"/>
  <c r="AD126" i="2"/>
  <c r="AF126" i="2"/>
  <c r="AH126" i="2"/>
  <c r="AJ126" i="2"/>
  <c r="AL126" i="2"/>
  <c r="AN126" i="2"/>
  <c r="AP126" i="2"/>
  <c r="AR126" i="2"/>
  <c r="AT126" i="2"/>
  <c r="AV126" i="2"/>
  <c r="AX126" i="2"/>
  <c r="AZ126" i="2"/>
  <c r="BC126" i="2"/>
  <c r="BD126" i="2"/>
  <c r="BE126" i="2"/>
  <c r="BF126" i="2"/>
  <c r="BG126" i="2"/>
  <c r="BH126" i="2"/>
  <c r="BI126" i="2"/>
  <c r="L127" i="2"/>
  <c r="P127" i="2"/>
  <c r="R127" i="2"/>
  <c r="T127" i="2"/>
  <c r="V127" i="2"/>
  <c r="X127" i="2"/>
  <c r="Z127" i="2"/>
  <c r="AB127" i="2"/>
  <c r="AD127" i="2"/>
  <c r="AF127" i="2"/>
  <c r="AH127" i="2"/>
  <c r="AJ127" i="2"/>
  <c r="AN127" i="2"/>
  <c r="AP127" i="2"/>
  <c r="AR127" i="2"/>
  <c r="AT127" i="2"/>
  <c r="AV127" i="2"/>
  <c r="AX127" i="2"/>
  <c r="AZ127" i="2"/>
  <c r="BC127" i="2"/>
  <c r="BD127" i="2"/>
  <c r="BE127" i="2"/>
  <c r="BF127" i="2"/>
  <c r="BG127" i="2"/>
  <c r="BH127" i="2"/>
  <c r="BI127" i="2"/>
  <c r="L128" i="2"/>
  <c r="P128" i="2"/>
  <c r="T128" i="2"/>
  <c r="V128" i="2"/>
  <c r="X128" i="2"/>
  <c r="Z128" i="2"/>
  <c r="AF128" i="2"/>
  <c r="AH128" i="2"/>
  <c r="AJ128" i="2"/>
  <c r="AN128" i="2"/>
  <c r="AP128" i="2"/>
  <c r="AR128" i="2"/>
  <c r="AV128" i="2"/>
  <c r="AX128" i="2"/>
  <c r="AZ128" i="2"/>
  <c r="BC128" i="2"/>
  <c r="BD128" i="2"/>
  <c r="BE128" i="2"/>
  <c r="BF128" i="2"/>
  <c r="BG128" i="2"/>
  <c r="BH128" i="2"/>
  <c r="BI128" i="2"/>
  <c r="L129" i="2"/>
  <c r="P129" i="2"/>
  <c r="R129" i="2"/>
  <c r="T129" i="2"/>
  <c r="V129" i="2"/>
  <c r="X129" i="2"/>
  <c r="Z129" i="2"/>
  <c r="AB129" i="2"/>
  <c r="AD129" i="2"/>
  <c r="AF129" i="2"/>
  <c r="AH129" i="2"/>
  <c r="AJ129" i="2"/>
  <c r="AN129" i="2"/>
  <c r="AP129" i="2"/>
  <c r="AR129" i="2"/>
  <c r="AT129" i="2"/>
  <c r="AV129" i="2"/>
  <c r="AX129" i="2"/>
  <c r="AZ129" i="2"/>
  <c r="BC129" i="2"/>
  <c r="BD129" i="2"/>
  <c r="BE129" i="2"/>
  <c r="BF129" i="2"/>
  <c r="BG129" i="2"/>
  <c r="BH129" i="2"/>
  <c r="BI129" i="2"/>
  <c r="L130" i="2"/>
  <c r="P130" i="2"/>
  <c r="T130" i="2"/>
  <c r="V130" i="2"/>
  <c r="X130" i="2"/>
  <c r="Z130" i="2"/>
  <c r="AB130" i="2"/>
  <c r="AD130" i="2"/>
  <c r="AF130" i="2"/>
  <c r="AH130" i="2"/>
  <c r="AJ130" i="2"/>
  <c r="AL130" i="2"/>
  <c r="AN130" i="2"/>
  <c r="AP130" i="2"/>
  <c r="AR130" i="2"/>
  <c r="AT130" i="2"/>
  <c r="AV130" i="2"/>
  <c r="AX130" i="2"/>
  <c r="AZ130" i="2"/>
  <c r="BC130" i="2"/>
  <c r="BD130" i="2"/>
  <c r="BE130" i="2"/>
  <c r="BF130" i="2"/>
  <c r="BG130" i="2"/>
  <c r="BH130" i="2"/>
  <c r="BI130" i="2"/>
  <c r="L131" i="2"/>
  <c r="P131" i="2"/>
  <c r="R131" i="2"/>
  <c r="T131" i="2"/>
  <c r="V131" i="2"/>
  <c r="X131" i="2"/>
  <c r="AB131" i="2"/>
  <c r="AD131" i="2"/>
  <c r="AF131" i="2"/>
  <c r="AH131" i="2"/>
  <c r="AJ131" i="2"/>
  <c r="AN131" i="2"/>
  <c r="AP131" i="2"/>
  <c r="AR131" i="2"/>
  <c r="AT131" i="2"/>
  <c r="AV131" i="2"/>
  <c r="AX131" i="2"/>
  <c r="AZ131" i="2"/>
  <c r="BC131" i="2"/>
  <c r="BD131" i="2"/>
  <c r="BE131" i="2"/>
  <c r="BF131" i="2"/>
  <c r="BG131" i="2"/>
  <c r="BH131" i="2"/>
  <c r="BI131" i="2"/>
  <c r="L132" i="2"/>
  <c r="P132" i="2"/>
  <c r="T132" i="2"/>
  <c r="V132" i="2"/>
  <c r="X132" i="2"/>
  <c r="Z132" i="2"/>
  <c r="AB132" i="2"/>
  <c r="AD132" i="2"/>
  <c r="AF132" i="2"/>
  <c r="AH132" i="2"/>
  <c r="AJ132" i="2"/>
  <c r="AL132" i="2"/>
  <c r="AN132" i="2"/>
  <c r="AP132" i="2"/>
  <c r="AR132" i="2"/>
  <c r="AT132" i="2"/>
  <c r="AV132" i="2"/>
  <c r="AX132" i="2"/>
  <c r="AZ132" i="2"/>
  <c r="BC132" i="2"/>
  <c r="BD132" i="2"/>
  <c r="BE132" i="2"/>
  <c r="BF132" i="2"/>
  <c r="BG132" i="2"/>
  <c r="BH132" i="2"/>
  <c r="BI132" i="2"/>
  <c r="L133" i="2"/>
  <c r="P133" i="2"/>
  <c r="R133" i="2"/>
  <c r="T133" i="2"/>
  <c r="V133" i="2"/>
  <c r="AF133" i="2"/>
  <c r="AH133" i="2"/>
  <c r="AL133" i="2"/>
  <c r="AP133" i="2"/>
  <c r="AR133" i="2"/>
  <c r="AT133" i="2"/>
  <c r="AV133" i="2"/>
  <c r="AX133" i="2"/>
  <c r="AZ133" i="2"/>
  <c r="BC133" i="2"/>
  <c r="BD133" i="2"/>
  <c r="BE133" i="2"/>
  <c r="BF133" i="2"/>
  <c r="BG133" i="2"/>
  <c r="BH133" i="2"/>
  <c r="BI133" i="2"/>
  <c r="L134" i="2"/>
  <c r="P134" i="2"/>
  <c r="R134" i="2"/>
  <c r="T134" i="2"/>
  <c r="V134" i="2"/>
  <c r="X134" i="2"/>
  <c r="Z134" i="2"/>
  <c r="AB134" i="2"/>
  <c r="AD134" i="2"/>
  <c r="AF134" i="2"/>
  <c r="AH134" i="2"/>
  <c r="AJ134" i="2"/>
  <c r="AN134" i="2"/>
  <c r="AP134" i="2"/>
  <c r="AR134" i="2"/>
  <c r="AT134" i="2"/>
  <c r="AV134" i="2"/>
  <c r="AX134" i="2"/>
  <c r="AZ134" i="2"/>
  <c r="BC134" i="2"/>
  <c r="BD134" i="2"/>
  <c r="BE134" i="2"/>
  <c r="BF134" i="2"/>
  <c r="BG134" i="2"/>
  <c r="BH134" i="2"/>
  <c r="BI134" i="2"/>
  <c r="L135" i="2"/>
  <c r="P135" i="2"/>
  <c r="T135" i="2"/>
  <c r="V135" i="2"/>
  <c r="X135" i="2"/>
  <c r="Z135" i="2"/>
  <c r="AB135" i="2"/>
  <c r="AD135" i="2"/>
  <c r="AF135" i="2"/>
  <c r="AH135" i="2"/>
  <c r="AJ135" i="2"/>
  <c r="AL135" i="2"/>
  <c r="AN135" i="2"/>
  <c r="AP135" i="2"/>
  <c r="AR135" i="2"/>
  <c r="AT135" i="2"/>
  <c r="AV135" i="2"/>
  <c r="AX135" i="2"/>
  <c r="AZ135" i="2"/>
  <c r="BC135" i="2"/>
  <c r="BD135" i="2"/>
  <c r="BE135" i="2"/>
  <c r="BF135" i="2"/>
  <c r="BG135" i="2"/>
  <c r="BH135" i="2"/>
  <c r="BI135" i="2"/>
  <c r="L136" i="2"/>
  <c r="P136" i="2"/>
  <c r="R136" i="2"/>
  <c r="T136" i="2"/>
  <c r="AB136" i="2"/>
  <c r="AD136" i="2"/>
  <c r="AF136" i="2"/>
  <c r="AH136" i="2"/>
  <c r="AJ136" i="2"/>
  <c r="AN136" i="2"/>
  <c r="AP136" i="2"/>
  <c r="AR136" i="2"/>
  <c r="AT136" i="2"/>
  <c r="AV136" i="2"/>
  <c r="AX136" i="2"/>
  <c r="BC136" i="2"/>
  <c r="BD136" i="2"/>
  <c r="BE136" i="2"/>
  <c r="BF136" i="2"/>
  <c r="BG136" i="2"/>
  <c r="BH136" i="2"/>
  <c r="BI136" i="2"/>
  <c r="L137" i="2"/>
  <c r="P137" i="2"/>
  <c r="T137" i="2"/>
  <c r="V137" i="2"/>
  <c r="X137" i="2"/>
  <c r="Z137" i="2"/>
  <c r="AB137" i="2"/>
  <c r="AD137" i="2"/>
  <c r="AF137" i="2"/>
  <c r="AH137" i="2"/>
  <c r="AJ137" i="2"/>
  <c r="AL137" i="2"/>
  <c r="AN137" i="2"/>
  <c r="AP137" i="2"/>
  <c r="AR137" i="2"/>
  <c r="AT137" i="2"/>
  <c r="AV137" i="2"/>
  <c r="AX137" i="2"/>
  <c r="AZ137" i="2"/>
  <c r="BC137" i="2"/>
  <c r="BD137" i="2"/>
  <c r="BE137" i="2"/>
  <c r="BF137" i="2"/>
  <c r="BG137" i="2"/>
  <c r="BH137" i="2"/>
  <c r="BI137" i="2"/>
  <c r="L138" i="2"/>
  <c r="P138" i="2"/>
  <c r="R138" i="2"/>
  <c r="T138" i="2"/>
  <c r="V138" i="2"/>
  <c r="X138" i="2"/>
  <c r="Z138" i="2"/>
  <c r="AB138" i="2"/>
  <c r="AD138" i="2"/>
  <c r="AF138" i="2"/>
  <c r="AH138" i="2"/>
  <c r="AJ138" i="2"/>
  <c r="AN138" i="2"/>
  <c r="AP138" i="2"/>
  <c r="AR138" i="2"/>
  <c r="AT138" i="2"/>
  <c r="AV138" i="2"/>
  <c r="AX138" i="2"/>
  <c r="AZ138" i="2"/>
  <c r="BC138" i="2"/>
  <c r="BD138" i="2"/>
  <c r="BE138" i="2"/>
  <c r="BF138" i="2"/>
  <c r="BG138" i="2"/>
  <c r="BH138" i="2"/>
  <c r="BI138" i="2"/>
  <c r="L139" i="2"/>
  <c r="P139" i="2"/>
  <c r="R139" i="2"/>
  <c r="T139" i="2"/>
  <c r="V139" i="2"/>
  <c r="X139" i="2"/>
  <c r="AB139" i="2"/>
  <c r="AD139" i="2"/>
  <c r="AF139" i="2"/>
  <c r="AH139" i="2"/>
  <c r="AJ139" i="2"/>
  <c r="AL139" i="2"/>
  <c r="AN139" i="2"/>
  <c r="AP139" i="2"/>
  <c r="AR139" i="2"/>
  <c r="AT139" i="2"/>
  <c r="AV139" i="2"/>
  <c r="AX139" i="2"/>
  <c r="AZ139" i="2"/>
  <c r="BC139" i="2"/>
  <c r="BD139" i="2"/>
  <c r="BE139" i="2"/>
  <c r="BF139" i="2"/>
  <c r="BG139" i="2"/>
  <c r="BH139" i="2"/>
  <c r="BI139" i="2"/>
  <c r="L140" i="2"/>
  <c r="P140" i="2"/>
  <c r="R140" i="2"/>
  <c r="T140" i="2"/>
  <c r="V140" i="2"/>
  <c r="X140" i="2"/>
  <c r="Z140" i="2"/>
  <c r="AB140" i="2"/>
  <c r="AD140" i="2"/>
  <c r="AH140" i="2"/>
  <c r="AJ140" i="2"/>
  <c r="AL140" i="2"/>
  <c r="AN140" i="2"/>
  <c r="AP140" i="2"/>
  <c r="AR140" i="2"/>
  <c r="AT140" i="2"/>
  <c r="AV140" i="2"/>
  <c r="AX140" i="2"/>
  <c r="AZ140" i="2"/>
  <c r="BC140" i="2"/>
  <c r="BD140" i="2"/>
  <c r="BE140" i="2"/>
  <c r="BF140" i="2"/>
  <c r="BG140" i="2"/>
  <c r="BH140" i="2"/>
  <c r="BI140" i="2"/>
  <c r="L141" i="2"/>
  <c r="P141" i="2"/>
  <c r="R141" i="2"/>
  <c r="T141" i="2"/>
  <c r="V141" i="2"/>
  <c r="X141" i="2"/>
  <c r="Z141" i="2"/>
  <c r="AB141" i="2"/>
  <c r="AD141" i="2"/>
  <c r="AF141" i="2"/>
  <c r="AL141" i="2"/>
  <c r="AN141" i="2"/>
  <c r="AP141" i="2"/>
  <c r="AR141" i="2"/>
  <c r="AT141" i="2"/>
  <c r="AV141" i="2"/>
  <c r="AX141" i="2"/>
  <c r="AZ141" i="2"/>
  <c r="BC141" i="2"/>
  <c r="BD141" i="2"/>
  <c r="BE141" i="2"/>
  <c r="BF141" i="2"/>
  <c r="BG141" i="2"/>
  <c r="BH141" i="2"/>
  <c r="BI141" i="2"/>
  <c r="L142" i="2"/>
  <c r="P142" i="2"/>
  <c r="R142" i="2"/>
  <c r="T142" i="2"/>
  <c r="X142" i="2"/>
  <c r="Z142" i="2"/>
  <c r="AB142" i="2"/>
  <c r="AD142" i="2"/>
  <c r="AF142" i="2"/>
  <c r="AH142" i="2"/>
  <c r="AJ142" i="2"/>
  <c r="AL142" i="2"/>
  <c r="AN142" i="2"/>
  <c r="AP142" i="2"/>
  <c r="AR142" i="2"/>
  <c r="AT142" i="2"/>
  <c r="AV142" i="2"/>
  <c r="AX142" i="2"/>
  <c r="AZ142" i="2"/>
  <c r="BC142" i="2"/>
  <c r="BD142" i="2"/>
  <c r="BE142" i="2"/>
  <c r="BF142" i="2"/>
  <c r="BG142" i="2"/>
  <c r="BH142" i="2"/>
  <c r="BI142" i="2"/>
  <c r="L143" i="2"/>
  <c r="P143" i="2"/>
  <c r="R143" i="2"/>
  <c r="T143" i="2"/>
  <c r="V143" i="2"/>
  <c r="X143" i="2"/>
  <c r="AB143" i="2"/>
  <c r="AD143" i="2"/>
  <c r="AF143" i="2"/>
  <c r="AH143" i="2"/>
  <c r="AL143" i="2"/>
  <c r="AN143" i="2"/>
  <c r="AP143" i="2"/>
  <c r="AR143" i="2"/>
  <c r="AT143" i="2"/>
  <c r="AV143" i="2"/>
  <c r="AX143" i="2"/>
  <c r="AZ143" i="2"/>
  <c r="BC143" i="2"/>
  <c r="BD143" i="2"/>
  <c r="BE143" i="2"/>
  <c r="BF143" i="2"/>
  <c r="BG143" i="2"/>
  <c r="BH143" i="2"/>
  <c r="BI143" i="2"/>
  <c r="L144" i="2"/>
  <c r="P144" i="2"/>
  <c r="T144" i="2"/>
  <c r="V144" i="2"/>
  <c r="AB144" i="2"/>
  <c r="AF144" i="2"/>
  <c r="AH144" i="2"/>
  <c r="AL144" i="2"/>
  <c r="AN144" i="2"/>
  <c r="AP144" i="2"/>
  <c r="AR144" i="2"/>
  <c r="AT144" i="2"/>
  <c r="AV144" i="2"/>
  <c r="AX144" i="2"/>
  <c r="AZ144" i="2"/>
  <c r="BC144" i="2"/>
  <c r="BD144" i="2"/>
  <c r="BE144" i="2"/>
  <c r="BF144" i="2"/>
  <c r="BG144" i="2"/>
  <c r="BH144" i="2"/>
  <c r="BI144" i="2"/>
  <c r="L145" i="2"/>
  <c r="P145" i="2"/>
  <c r="R145" i="2"/>
  <c r="T145" i="2"/>
  <c r="V145" i="2"/>
  <c r="AB145" i="2"/>
  <c r="AF145" i="2"/>
  <c r="AH145" i="2"/>
  <c r="AJ145" i="2"/>
  <c r="AL145" i="2"/>
  <c r="AN145" i="2"/>
  <c r="AP145" i="2"/>
  <c r="AR145" i="2"/>
  <c r="AT145" i="2"/>
  <c r="AV145" i="2"/>
  <c r="AX145" i="2"/>
  <c r="AZ145" i="2"/>
  <c r="BC145" i="2"/>
  <c r="BD145" i="2"/>
  <c r="BE145" i="2"/>
  <c r="BF145" i="2"/>
  <c r="BG145" i="2"/>
  <c r="BH145" i="2"/>
  <c r="BI145" i="2"/>
  <c r="L146" i="2"/>
  <c r="P146" i="2"/>
  <c r="T146" i="2"/>
  <c r="V146" i="2"/>
  <c r="X146" i="2"/>
  <c r="Z146" i="2"/>
  <c r="AB146" i="2"/>
  <c r="AD146" i="2"/>
  <c r="AF146" i="2"/>
  <c r="AH146" i="2"/>
  <c r="AL146" i="2"/>
  <c r="AN146" i="2"/>
  <c r="AP146" i="2"/>
  <c r="AR146" i="2"/>
  <c r="AT146" i="2"/>
  <c r="AV146" i="2"/>
  <c r="AX146" i="2"/>
  <c r="AZ146" i="2"/>
  <c r="BC146" i="2"/>
  <c r="BD146" i="2"/>
  <c r="BE146" i="2"/>
  <c r="BF146" i="2"/>
  <c r="BG146" i="2"/>
  <c r="BH146" i="2"/>
  <c r="BI146" i="2"/>
  <c r="L147" i="2"/>
  <c r="P147" i="2"/>
  <c r="T147" i="2"/>
  <c r="V147" i="2"/>
  <c r="X147" i="2"/>
  <c r="Z147" i="2"/>
  <c r="AB147" i="2"/>
  <c r="AD147" i="2"/>
  <c r="AF147" i="2"/>
  <c r="AH147" i="2"/>
  <c r="AJ147" i="2"/>
  <c r="AL147" i="2"/>
  <c r="AN147" i="2"/>
  <c r="AP147" i="2"/>
  <c r="AR147" i="2"/>
  <c r="AT147" i="2"/>
  <c r="AV147" i="2"/>
  <c r="AX147" i="2"/>
  <c r="AZ147" i="2"/>
  <c r="BC147" i="2"/>
  <c r="BD147" i="2"/>
  <c r="BE147" i="2"/>
  <c r="BF147" i="2"/>
  <c r="BG147" i="2"/>
  <c r="BH147" i="2"/>
  <c r="BI147" i="2"/>
  <c r="L148" i="2"/>
  <c r="P148" i="2"/>
  <c r="R148" i="2"/>
  <c r="T148" i="2"/>
  <c r="AB148" i="2"/>
  <c r="AF148" i="2"/>
  <c r="AH148" i="2"/>
  <c r="AL148" i="2"/>
  <c r="AN148" i="2"/>
  <c r="AP148" i="2"/>
  <c r="AR148" i="2"/>
  <c r="AT148" i="2"/>
  <c r="AV148" i="2"/>
  <c r="AX148" i="2"/>
  <c r="AZ148" i="2"/>
  <c r="BC148" i="2"/>
  <c r="BD148" i="2"/>
  <c r="BE148" i="2"/>
  <c r="BF148" i="2"/>
  <c r="BG148" i="2"/>
  <c r="BH148" i="2"/>
  <c r="BI148" i="2"/>
  <c r="L149" i="2"/>
  <c r="P149" i="2"/>
  <c r="R149" i="2"/>
  <c r="T149" i="2"/>
  <c r="V149" i="2"/>
  <c r="Z149" i="2"/>
  <c r="AB149" i="2"/>
  <c r="AF149" i="2"/>
  <c r="AH149" i="2"/>
  <c r="AJ149" i="2"/>
  <c r="AL149" i="2"/>
  <c r="AN149" i="2"/>
  <c r="AP149" i="2"/>
  <c r="AR149" i="2"/>
  <c r="AT149" i="2"/>
  <c r="AV149" i="2"/>
  <c r="AX149" i="2"/>
  <c r="AZ149" i="2"/>
  <c r="BC149" i="2"/>
  <c r="BD149" i="2"/>
  <c r="BE149" i="2"/>
  <c r="BF149" i="2"/>
  <c r="BG149" i="2"/>
  <c r="BH149" i="2"/>
  <c r="BI149" i="2"/>
  <c r="L150" i="2"/>
  <c r="P150" i="2"/>
  <c r="T150" i="2"/>
  <c r="V150" i="2"/>
  <c r="X150" i="2"/>
  <c r="Z150" i="2"/>
  <c r="AB150" i="2"/>
  <c r="AD150" i="2"/>
  <c r="AF150" i="2"/>
  <c r="AH150" i="2"/>
  <c r="AJ150" i="2"/>
  <c r="AL150" i="2"/>
  <c r="AN150" i="2"/>
  <c r="AP150" i="2"/>
  <c r="AR150" i="2"/>
  <c r="AT150" i="2"/>
  <c r="AV150" i="2"/>
  <c r="AX150" i="2"/>
  <c r="AZ150" i="2"/>
  <c r="BC150" i="2"/>
  <c r="BD150" i="2"/>
  <c r="BE150" i="2"/>
  <c r="BF150" i="2"/>
  <c r="BG150" i="2"/>
  <c r="BH150" i="2"/>
  <c r="BI150" i="2"/>
  <c r="L151" i="2"/>
  <c r="T151" i="2"/>
  <c r="V151" i="2"/>
  <c r="X151" i="2"/>
  <c r="Z151" i="2"/>
  <c r="AB151" i="2"/>
  <c r="AF151" i="2"/>
  <c r="AH151" i="2"/>
  <c r="AJ151" i="2"/>
  <c r="AL151" i="2"/>
  <c r="AN151" i="2"/>
  <c r="AP151" i="2"/>
  <c r="AR151" i="2"/>
  <c r="AT151" i="2"/>
  <c r="AV151" i="2"/>
  <c r="AX151" i="2"/>
  <c r="AZ151" i="2"/>
  <c r="BC151" i="2"/>
  <c r="BD151" i="2"/>
  <c r="BE151" i="2"/>
  <c r="BF151" i="2"/>
  <c r="BG151" i="2"/>
  <c r="BH151" i="2"/>
  <c r="BI151" i="2"/>
  <c r="L152" i="2"/>
  <c r="P152" i="2"/>
  <c r="R152" i="2"/>
  <c r="V152" i="2"/>
  <c r="X152" i="2"/>
  <c r="AB152" i="2"/>
  <c r="AD152" i="2"/>
  <c r="AF152" i="2"/>
  <c r="AH152" i="2"/>
  <c r="AN152" i="2"/>
  <c r="AR152" i="2"/>
  <c r="AT152" i="2"/>
  <c r="AV152" i="2"/>
  <c r="AX152" i="2"/>
  <c r="AZ152" i="2"/>
  <c r="BC152" i="2"/>
  <c r="BD152" i="2"/>
  <c r="BE152" i="2"/>
  <c r="BF152" i="2"/>
  <c r="BG152" i="2"/>
  <c r="BH152" i="2"/>
  <c r="BI152" i="2"/>
  <c r="L153" i="2"/>
  <c r="P153" i="2"/>
  <c r="R153" i="2"/>
  <c r="V153" i="2"/>
  <c r="X153" i="2"/>
  <c r="Z153" i="2"/>
  <c r="AB153" i="2"/>
  <c r="AD153" i="2"/>
  <c r="AF153" i="2"/>
  <c r="AH153" i="2"/>
  <c r="AJ153" i="2"/>
  <c r="AL153" i="2"/>
  <c r="AN153" i="2"/>
  <c r="AP153" i="2"/>
  <c r="AR153" i="2"/>
  <c r="AT153" i="2"/>
  <c r="AV153" i="2"/>
  <c r="AX153" i="2"/>
  <c r="AZ153" i="2"/>
  <c r="BC153" i="2"/>
  <c r="BD153" i="2"/>
  <c r="BE153" i="2"/>
  <c r="BF153" i="2"/>
  <c r="BG153" i="2"/>
  <c r="BH153" i="2"/>
  <c r="BI153" i="2"/>
  <c r="L154" i="2"/>
  <c r="P154" i="2"/>
  <c r="R154" i="2"/>
  <c r="T154" i="2"/>
  <c r="V154" i="2"/>
  <c r="X154" i="2"/>
  <c r="Z154" i="2"/>
  <c r="AB154" i="2"/>
  <c r="AD154" i="2"/>
  <c r="AF154" i="2"/>
  <c r="AH154" i="2"/>
  <c r="AJ154" i="2"/>
  <c r="AN154" i="2"/>
  <c r="AP154" i="2"/>
  <c r="AR154" i="2"/>
  <c r="AT154" i="2"/>
  <c r="AV154" i="2"/>
  <c r="AX154" i="2"/>
  <c r="AZ154" i="2"/>
  <c r="BC154" i="2"/>
  <c r="BD154" i="2"/>
  <c r="BE154" i="2"/>
  <c r="BF154" i="2"/>
  <c r="BG154" i="2"/>
  <c r="BH154" i="2"/>
  <c r="BI154" i="2"/>
  <c r="L155" i="2"/>
  <c r="P155" i="2"/>
  <c r="R155" i="2"/>
  <c r="T155" i="2"/>
  <c r="V155" i="2"/>
  <c r="X155" i="2"/>
  <c r="Z155" i="2"/>
  <c r="AB155" i="2"/>
  <c r="AD155" i="2"/>
  <c r="AF155" i="2"/>
  <c r="AH155" i="2"/>
  <c r="AJ155" i="2"/>
  <c r="AN155" i="2"/>
  <c r="AP155" i="2"/>
  <c r="AR155" i="2"/>
  <c r="AT155" i="2"/>
  <c r="AV155" i="2"/>
  <c r="AX155" i="2"/>
  <c r="AZ155" i="2"/>
  <c r="BC155" i="2"/>
  <c r="BD155" i="2"/>
  <c r="BE155" i="2"/>
  <c r="BF155" i="2"/>
  <c r="BG155" i="2"/>
  <c r="BH155" i="2"/>
  <c r="BI155" i="2"/>
  <c r="L156" i="2"/>
  <c r="P156" i="2"/>
  <c r="R156" i="2"/>
  <c r="V156" i="2"/>
  <c r="X156" i="2"/>
  <c r="Z156" i="2"/>
  <c r="AB156" i="2"/>
  <c r="AD156" i="2"/>
  <c r="AF156" i="2"/>
  <c r="AH156" i="2"/>
  <c r="AJ156" i="2"/>
  <c r="AL156" i="2"/>
  <c r="AN156" i="2"/>
  <c r="AP156" i="2"/>
  <c r="AR156" i="2"/>
  <c r="AT156" i="2"/>
  <c r="AV156" i="2"/>
  <c r="AX156" i="2"/>
  <c r="AZ156" i="2"/>
  <c r="BC156" i="2"/>
  <c r="BD156" i="2"/>
  <c r="BE156" i="2"/>
  <c r="BF156" i="2"/>
  <c r="BG156" i="2"/>
  <c r="BH156" i="2"/>
  <c r="BI156" i="2"/>
  <c r="L157" i="2"/>
  <c r="P157" i="2"/>
  <c r="V157" i="2"/>
  <c r="AB157" i="2"/>
  <c r="AD157" i="2"/>
  <c r="AF157" i="2"/>
  <c r="AH157" i="2"/>
  <c r="AJ157" i="2"/>
  <c r="AN157" i="2"/>
  <c r="AR157" i="2"/>
  <c r="AT157" i="2"/>
  <c r="AV157" i="2"/>
  <c r="AX157" i="2"/>
  <c r="AZ157" i="2"/>
  <c r="BC157" i="2"/>
  <c r="BD157" i="2"/>
  <c r="BE157" i="2"/>
  <c r="BF157" i="2"/>
  <c r="BG157" i="2"/>
  <c r="BH157" i="2"/>
  <c r="BI157" i="2"/>
  <c r="L158" i="2"/>
  <c r="P158" i="2"/>
  <c r="T158" i="2"/>
  <c r="V158" i="2"/>
  <c r="X158" i="2"/>
  <c r="Z158" i="2"/>
  <c r="AB158" i="2"/>
  <c r="AD158" i="2"/>
  <c r="AF158" i="2"/>
  <c r="AH158" i="2"/>
  <c r="AJ158" i="2"/>
  <c r="AL158" i="2"/>
  <c r="AN158" i="2"/>
  <c r="AP158" i="2"/>
  <c r="AR158" i="2"/>
  <c r="AT158" i="2"/>
  <c r="AV158" i="2"/>
  <c r="AX158" i="2"/>
  <c r="AZ158" i="2"/>
  <c r="BC158" i="2"/>
  <c r="BD158" i="2"/>
  <c r="BE158" i="2"/>
  <c r="BF158" i="2"/>
  <c r="BG158" i="2"/>
  <c r="BH158" i="2"/>
  <c r="BI158" i="2"/>
  <c r="L159" i="2"/>
  <c r="P159" i="2"/>
  <c r="R159" i="2"/>
  <c r="T159" i="2"/>
  <c r="V159" i="2"/>
  <c r="AB159" i="2"/>
  <c r="AF159" i="2"/>
  <c r="AL159" i="2"/>
  <c r="AN159" i="2"/>
  <c r="AP159" i="2"/>
  <c r="AR159" i="2"/>
  <c r="AT159" i="2"/>
  <c r="AV159" i="2"/>
  <c r="AX159" i="2"/>
  <c r="AZ159" i="2"/>
  <c r="BC159" i="2"/>
  <c r="BD159" i="2"/>
  <c r="BE159" i="2"/>
  <c r="BF159" i="2"/>
  <c r="BG159" i="2"/>
  <c r="BH159" i="2"/>
  <c r="BI159" i="2"/>
  <c r="L160" i="2"/>
  <c r="P160" i="2"/>
  <c r="R160" i="2"/>
  <c r="T160" i="2"/>
  <c r="AB160" i="2"/>
  <c r="AH160" i="2"/>
  <c r="AJ160" i="2"/>
  <c r="AL160" i="2"/>
  <c r="AN160" i="2"/>
  <c r="AP160" i="2"/>
  <c r="AR160" i="2"/>
  <c r="AT160" i="2"/>
  <c r="AV160" i="2"/>
  <c r="AX160" i="2"/>
  <c r="AZ160" i="2"/>
  <c r="BC160" i="2"/>
  <c r="BD160" i="2"/>
  <c r="BE160" i="2"/>
  <c r="BF160" i="2"/>
  <c r="BG160" i="2"/>
  <c r="BH160" i="2"/>
  <c r="BI160" i="2"/>
  <c r="L161" i="2"/>
  <c r="P161" i="2"/>
  <c r="R161" i="2"/>
  <c r="T161" i="2"/>
  <c r="V161" i="2"/>
  <c r="AB161" i="2"/>
  <c r="AD161" i="2"/>
  <c r="AF161" i="2"/>
  <c r="AH161" i="2"/>
  <c r="AJ161" i="2"/>
  <c r="AL161" i="2"/>
  <c r="AN161" i="2"/>
  <c r="AP161" i="2"/>
  <c r="AR161" i="2"/>
  <c r="AT161" i="2"/>
  <c r="AV161" i="2"/>
  <c r="AX161" i="2"/>
  <c r="AZ161" i="2"/>
  <c r="BC161" i="2"/>
  <c r="BD161" i="2"/>
  <c r="BE161" i="2"/>
  <c r="BF161" i="2"/>
  <c r="BG161" i="2"/>
  <c r="BH161" i="2"/>
  <c r="BI161" i="2"/>
  <c r="L162" i="2"/>
  <c r="P162" i="2"/>
  <c r="T162" i="2"/>
  <c r="AB162" i="2"/>
  <c r="AF162" i="2"/>
  <c r="AH162" i="2"/>
  <c r="AL162" i="2"/>
  <c r="AN162" i="2"/>
  <c r="AP162" i="2"/>
  <c r="AR162" i="2"/>
  <c r="AT162" i="2"/>
  <c r="AV162" i="2"/>
  <c r="AX162" i="2"/>
  <c r="AZ162" i="2"/>
  <c r="BC162" i="2"/>
  <c r="BD162" i="2"/>
  <c r="BE162" i="2"/>
  <c r="BF162" i="2"/>
  <c r="BG162" i="2"/>
  <c r="BH162" i="2"/>
  <c r="BI162" i="2"/>
  <c r="L163" i="2"/>
  <c r="P163" i="2"/>
  <c r="R163" i="2"/>
  <c r="T163" i="2"/>
  <c r="Z163" i="2"/>
  <c r="AB163" i="2"/>
  <c r="AD163" i="2"/>
  <c r="AF163" i="2"/>
  <c r="AH163" i="2"/>
  <c r="AJ163" i="2"/>
  <c r="AL163" i="2"/>
  <c r="AN163" i="2"/>
  <c r="AP163" i="2"/>
  <c r="AR163" i="2"/>
  <c r="AT163" i="2"/>
  <c r="AV163" i="2"/>
  <c r="AX163" i="2"/>
  <c r="AZ163" i="2"/>
  <c r="BC163" i="2"/>
  <c r="BD163" i="2"/>
  <c r="BE163" i="2"/>
  <c r="BF163" i="2"/>
  <c r="BG163" i="2"/>
  <c r="BH163" i="2"/>
  <c r="BI163" i="2"/>
  <c r="L164" i="2"/>
  <c r="P164" i="2"/>
  <c r="R164" i="2"/>
  <c r="T164" i="2"/>
  <c r="V164" i="2"/>
  <c r="X164" i="2"/>
  <c r="Z164" i="2"/>
  <c r="AB164" i="2"/>
  <c r="AD164" i="2"/>
  <c r="AF164" i="2"/>
  <c r="AH164" i="2"/>
  <c r="AL164" i="2"/>
  <c r="AN164" i="2"/>
  <c r="AP164" i="2"/>
  <c r="AR164" i="2"/>
  <c r="AT164" i="2"/>
  <c r="AV164" i="2"/>
  <c r="AX164" i="2"/>
  <c r="AZ164" i="2"/>
  <c r="BC164" i="2"/>
  <c r="BD164" i="2"/>
  <c r="BE164" i="2"/>
  <c r="BF164" i="2"/>
  <c r="BG164" i="2"/>
  <c r="BH164" i="2"/>
  <c r="BI164" i="2"/>
  <c r="L165" i="2"/>
  <c r="P165" i="2"/>
  <c r="T165" i="2"/>
  <c r="V165" i="2"/>
  <c r="AB165" i="2"/>
  <c r="AD165" i="2"/>
  <c r="AF165" i="2"/>
  <c r="AH165" i="2"/>
  <c r="AJ165" i="2"/>
  <c r="AL165" i="2"/>
  <c r="AN165" i="2"/>
  <c r="AP165" i="2"/>
  <c r="AR165" i="2"/>
  <c r="AT165" i="2"/>
  <c r="AV165" i="2"/>
  <c r="AX165" i="2"/>
  <c r="BC165" i="2"/>
  <c r="BD165" i="2"/>
  <c r="BE165" i="2"/>
  <c r="BF165" i="2"/>
  <c r="BG165" i="2"/>
  <c r="BH165" i="2"/>
  <c r="BI165" i="2"/>
  <c r="L166" i="2"/>
  <c r="P166" i="2"/>
  <c r="R166" i="2"/>
  <c r="T166" i="2"/>
  <c r="X166" i="2"/>
  <c r="Z166" i="2"/>
  <c r="AB166" i="2"/>
  <c r="AD166" i="2"/>
  <c r="AF166" i="2"/>
  <c r="AH166" i="2"/>
  <c r="AJ166" i="2"/>
  <c r="AL166" i="2"/>
  <c r="AN166" i="2"/>
  <c r="AP166" i="2"/>
  <c r="AR166" i="2"/>
  <c r="AT166" i="2"/>
  <c r="AV166" i="2"/>
  <c r="AX166" i="2"/>
  <c r="AZ166" i="2"/>
  <c r="BC166" i="2"/>
  <c r="BD166" i="2"/>
  <c r="BE166" i="2"/>
  <c r="BF166" i="2"/>
  <c r="BG166" i="2"/>
  <c r="BH166" i="2"/>
  <c r="BI166" i="2"/>
  <c r="L167" i="2"/>
  <c r="P167" i="2"/>
  <c r="R167" i="2"/>
  <c r="T167" i="2"/>
  <c r="V167" i="2"/>
  <c r="AB167" i="2"/>
  <c r="AD167" i="2"/>
  <c r="AF167" i="2"/>
  <c r="AH167" i="2"/>
  <c r="AJ167" i="2"/>
  <c r="AN167" i="2"/>
  <c r="AP167" i="2"/>
  <c r="AR167" i="2"/>
  <c r="AT167" i="2"/>
  <c r="AV167" i="2"/>
  <c r="AX167" i="2"/>
  <c r="AZ167" i="2"/>
  <c r="BC167" i="2"/>
  <c r="BD167" i="2"/>
  <c r="BE167" i="2"/>
  <c r="BF167" i="2"/>
  <c r="BG167" i="2"/>
  <c r="BH167" i="2"/>
  <c r="BI167" i="2"/>
  <c r="L168" i="2"/>
  <c r="P168" i="2"/>
  <c r="R168" i="2"/>
  <c r="T168" i="2"/>
  <c r="V168" i="2"/>
  <c r="Z168" i="2"/>
  <c r="AB168" i="2"/>
  <c r="AD168" i="2"/>
  <c r="AF168" i="2"/>
  <c r="AH168" i="2"/>
  <c r="AJ168" i="2"/>
  <c r="AP168" i="2"/>
  <c r="AR168" i="2"/>
  <c r="AT168" i="2"/>
  <c r="AV168" i="2"/>
  <c r="AX168" i="2"/>
  <c r="AZ168" i="2"/>
  <c r="BC168" i="2"/>
  <c r="BD168" i="2"/>
  <c r="BE168" i="2"/>
  <c r="BF168" i="2"/>
  <c r="BG168" i="2"/>
  <c r="BH168" i="2"/>
  <c r="BI168" i="2"/>
  <c r="L169" i="2"/>
  <c r="P169" i="2"/>
  <c r="R169" i="2"/>
  <c r="T169" i="2"/>
  <c r="V169" i="2"/>
  <c r="Z169" i="2"/>
  <c r="AB169" i="2"/>
  <c r="AD169" i="2"/>
  <c r="AF169" i="2"/>
  <c r="AH169" i="2"/>
  <c r="AJ169" i="2"/>
  <c r="AL169" i="2"/>
  <c r="AP169" i="2"/>
  <c r="AR169" i="2"/>
  <c r="AT169" i="2"/>
  <c r="AV169" i="2"/>
  <c r="AX169" i="2"/>
  <c r="AZ169" i="2"/>
  <c r="BC169" i="2"/>
  <c r="BD169" i="2"/>
  <c r="BE169" i="2"/>
  <c r="BF169" i="2"/>
  <c r="BG169" i="2"/>
  <c r="BH169" i="2"/>
  <c r="BI169" i="2"/>
  <c r="L170" i="2"/>
  <c r="P170" i="2"/>
  <c r="R170" i="2"/>
  <c r="T170" i="2"/>
  <c r="Z170" i="2"/>
  <c r="AB170" i="2"/>
  <c r="AD170" i="2"/>
  <c r="AF170" i="2"/>
  <c r="AH170" i="2"/>
  <c r="AJ170" i="2"/>
  <c r="AP170" i="2"/>
  <c r="AV170" i="2"/>
  <c r="AZ170" i="2"/>
  <c r="BC170" i="2"/>
  <c r="BD170" i="2"/>
  <c r="BE170" i="2"/>
  <c r="BF170" i="2"/>
  <c r="BG170" i="2"/>
  <c r="BH170" i="2"/>
  <c r="BI170" i="2"/>
  <c r="L171" i="2"/>
  <c r="P171" i="2"/>
  <c r="T171" i="2"/>
  <c r="V171" i="2"/>
  <c r="X171" i="2"/>
  <c r="Z171" i="2"/>
  <c r="AB171" i="2"/>
  <c r="AD171" i="2"/>
  <c r="AF171" i="2"/>
  <c r="AH171" i="2"/>
  <c r="AJ171" i="2"/>
  <c r="AL171" i="2"/>
  <c r="AP171" i="2"/>
  <c r="AR171" i="2"/>
  <c r="AT171" i="2"/>
  <c r="AV171" i="2"/>
  <c r="AX171" i="2"/>
  <c r="AZ171" i="2"/>
  <c r="BC171" i="2"/>
  <c r="BD171" i="2"/>
  <c r="BE171" i="2"/>
  <c r="BF171" i="2"/>
  <c r="BG171" i="2"/>
  <c r="BH171" i="2"/>
  <c r="BI171" i="2"/>
  <c r="L172" i="2"/>
  <c r="P172" i="2"/>
  <c r="R172" i="2"/>
  <c r="T172" i="2"/>
  <c r="V172" i="2"/>
  <c r="Z172" i="2"/>
  <c r="AB172" i="2"/>
  <c r="AD172" i="2"/>
  <c r="AF172" i="2"/>
  <c r="AH172" i="2"/>
  <c r="AJ172" i="2"/>
  <c r="AL172" i="2"/>
  <c r="AN172" i="2"/>
  <c r="AP172" i="2"/>
  <c r="AR172" i="2"/>
  <c r="AT172" i="2"/>
  <c r="AV172" i="2"/>
  <c r="AX172" i="2"/>
  <c r="AZ172" i="2"/>
  <c r="BC172" i="2"/>
  <c r="BD172" i="2"/>
  <c r="BE172" i="2"/>
  <c r="BF172" i="2"/>
  <c r="BG172" i="2"/>
  <c r="BH172" i="2"/>
  <c r="BI172" i="2"/>
  <c r="L173" i="2"/>
  <c r="P173" i="2"/>
  <c r="R173" i="2"/>
  <c r="T173" i="2"/>
  <c r="V173" i="2"/>
  <c r="X173" i="2"/>
  <c r="Z173" i="2"/>
  <c r="AB173" i="2"/>
  <c r="AD173" i="2"/>
  <c r="AF173" i="2"/>
  <c r="AH173" i="2"/>
  <c r="AJ173" i="2"/>
  <c r="AN173" i="2"/>
  <c r="AP173" i="2"/>
  <c r="AR173" i="2"/>
  <c r="AT173" i="2"/>
  <c r="AV173" i="2"/>
  <c r="AX173" i="2"/>
  <c r="AZ173" i="2"/>
  <c r="BC173" i="2"/>
  <c r="BD173" i="2"/>
  <c r="BE173" i="2"/>
  <c r="BF173" i="2"/>
  <c r="BG173" i="2"/>
  <c r="BH173" i="2"/>
  <c r="BI173" i="2"/>
  <c r="L174" i="2"/>
  <c r="P174" i="2"/>
  <c r="R174" i="2"/>
  <c r="T174" i="2"/>
  <c r="V174" i="2"/>
  <c r="X174" i="2"/>
  <c r="Z174" i="2"/>
  <c r="AB174" i="2"/>
  <c r="AD174" i="2"/>
  <c r="AF174" i="2"/>
  <c r="AH174" i="2"/>
  <c r="AJ174" i="2"/>
  <c r="AL174" i="2"/>
  <c r="AP174" i="2"/>
  <c r="AR174" i="2"/>
  <c r="AV174" i="2"/>
  <c r="AX174" i="2"/>
  <c r="AZ174" i="2"/>
  <c r="BC174" i="2"/>
  <c r="BD174" i="2"/>
  <c r="BE174" i="2"/>
  <c r="BF174" i="2"/>
  <c r="BG174" i="2"/>
  <c r="BH174" i="2"/>
  <c r="BI174" i="2"/>
  <c r="L175" i="2"/>
  <c r="P175" i="2"/>
  <c r="R175" i="2"/>
  <c r="T175" i="2"/>
  <c r="V175" i="2"/>
  <c r="X175" i="2"/>
  <c r="Z175" i="2"/>
  <c r="AB175" i="2"/>
  <c r="AD175" i="2"/>
  <c r="AF175" i="2"/>
  <c r="AH175" i="2"/>
  <c r="AJ175" i="2"/>
  <c r="AL175" i="2"/>
  <c r="AN175" i="2"/>
  <c r="AP175" i="2"/>
  <c r="AR175" i="2"/>
  <c r="AT175" i="2"/>
  <c r="AV175" i="2"/>
  <c r="AX175" i="2"/>
  <c r="AZ175" i="2"/>
  <c r="BC175" i="2"/>
  <c r="BD175" i="2"/>
  <c r="BE175" i="2"/>
  <c r="BF175" i="2"/>
  <c r="BG175" i="2"/>
  <c r="BH175" i="2"/>
  <c r="BI175" i="2"/>
  <c r="L176" i="2"/>
  <c r="P176" i="2"/>
  <c r="R176" i="2"/>
  <c r="T176" i="2"/>
  <c r="AF176" i="2"/>
  <c r="AH176" i="2"/>
  <c r="AJ176" i="2"/>
  <c r="AL176" i="2"/>
  <c r="AN176" i="2"/>
  <c r="AP176" i="2"/>
  <c r="AR176" i="2"/>
  <c r="AT176" i="2"/>
  <c r="AV176" i="2"/>
  <c r="AX176" i="2"/>
  <c r="AZ176" i="2"/>
  <c r="BC176" i="2"/>
  <c r="BD176" i="2"/>
  <c r="BE176" i="2"/>
  <c r="BF176" i="2"/>
  <c r="BG176" i="2"/>
  <c r="BH176" i="2"/>
  <c r="BI176" i="2"/>
  <c r="L177" i="2"/>
  <c r="P177" i="2"/>
  <c r="R177" i="2"/>
  <c r="T177" i="2"/>
  <c r="V177" i="2"/>
  <c r="Z177" i="2"/>
  <c r="AB177" i="2"/>
  <c r="AD177" i="2"/>
  <c r="AF177" i="2"/>
  <c r="AH177" i="2"/>
  <c r="AJ177" i="2"/>
  <c r="AL177" i="2"/>
  <c r="AN177" i="2"/>
  <c r="AP177" i="2"/>
  <c r="AR177" i="2"/>
  <c r="AT177" i="2"/>
  <c r="AV177" i="2"/>
  <c r="AX177" i="2"/>
  <c r="AZ177" i="2"/>
  <c r="BC177" i="2"/>
  <c r="BD177" i="2"/>
  <c r="BE177" i="2"/>
  <c r="BF177" i="2"/>
  <c r="BG177" i="2"/>
  <c r="BH177" i="2"/>
  <c r="BI177" i="2"/>
  <c r="L178" i="2"/>
  <c r="P178" i="2"/>
  <c r="R178" i="2"/>
  <c r="T178" i="2"/>
  <c r="V178" i="2"/>
  <c r="X178" i="2"/>
  <c r="AB178" i="2"/>
  <c r="AD178" i="2"/>
  <c r="AF178" i="2"/>
  <c r="AH178" i="2"/>
  <c r="AJ178" i="2"/>
  <c r="AL178" i="2"/>
  <c r="AN178" i="2"/>
  <c r="AP178" i="2"/>
  <c r="AR178" i="2"/>
  <c r="AT178" i="2"/>
  <c r="AV178" i="2"/>
  <c r="AX178" i="2"/>
  <c r="AZ178" i="2"/>
  <c r="BC178" i="2"/>
  <c r="BD178" i="2"/>
  <c r="BE178" i="2"/>
  <c r="BF178" i="2"/>
  <c r="BG178" i="2"/>
  <c r="BH178" i="2"/>
  <c r="BI178" i="2"/>
  <c r="L179" i="2"/>
  <c r="P179" i="2"/>
  <c r="R179" i="2"/>
  <c r="T179" i="2"/>
  <c r="V179" i="2"/>
  <c r="Z179" i="2"/>
  <c r="AD179" i="2"/>
  <c r="AF179" i="2"/>
  <c r="AH179" i="2"/>
  <c r="AJ179" i="2"/>
  <c r="AL179" i="2"/>
  <c r="AN179" i="2"/>
  <c r="AP179" i="2"/>
  <c r="AR179" i="2"/>
  <c r="AT179" i="2"/>
  <c r="AV179" i="2"/>
  <c r="AX179" i="2"/>
  <c r="AZ179" i="2"/>
  <c r="BC179" i="2"/>
  <c r="BD179" i="2"/>
  <c r="BE179" i="2"/>
  <c r="BF179" i="2"/>
  <c r="BG179" i="2"/>
  <c r="BH179" i="2"/>
  <c r="BI179" i="2"/>
  <c r="L180" i="2"/>
  <c r="P180" i="2"/>
  <c r="T180" i="2"/>
  <c r="X180" i="2"/>
  <c r="Z180" i="2"/>
  <c r="AB180" i="2"/>
  <c r="AD180" i="2"/>
  <c r="AF180" i="2"/>
  <c r="AH180" i="2"/>
  <c r="AJ180" i="2"/>
  <c r="AL180" i="2"/>
  <c r="AN180" i="2"/>
  <c r="AP180" i="2"/>
  <c r="AR180" i="2"/>
  <c r="AT180" i="2"/>
  <c r="AV180" i="2"/>
  <c r="AX180" i="2"/>
  <c r="AZ180" i="2"/>
  <c r="BC180" i="2"/>
  <c r="BD180" i="2"/>
  <c r="BE180" i="2"/>
  <c r="BF180" i="2"/>
  <c r="BG180" i="2"/>
  <c r="BH180" i="2"/>
  <c r="BI180" i="2"/>
  <c r="L181" i="2"/>
  <c r="P181" i="2"/>
  <c r="R181" i="2"/>
  <c r="T181" i="2"/>
  <c r="V181" i="2"/>
  <c r="X181" i="2"/>
  <c r="Z181" i="2"/>
  <c r="AB181" i="2"/>
  <c r="AD181" i="2"/>
  <c r="AF181" i="2"/>
  <c r="AH181" i="2"/>
  <c r="AJ181" i="2"/>
  <c r="AP181" i="2"/>
  <c r="AR181" i="2"/>
  <c r="AT181" i="2"/>
  <c r="AV181" i="2"/>
  <c r="AX181" i="2"/>
  <c r="AZ181" i="2"/>
  <c r="BC181" i="2"/>
  <c r="BD181" i="2"/>
  <c r="BE181" i="2"/>
  <c r="BF181" i="2"/>
  <c r="BG181" i="2"/>
  <c r="BH181" i="2"/>
  <c r="BI181" i="2"/>
  <c r="L182" i="2"/>
  <c r="P182" i="2"/>
  <c r="R182" i="2"/>
  <c r="T182" i="2"/>
  <c r="AB182" i="2"/>
  <c r="AF182" i="2"/>
  <c r="AH182" i="2"/>
  <c r="AJ182" i="2"/>
  <c r="AL182" i="2"/>
  <c r="AN182" i="2"/>
  <c r="AP182" i="2"/>
  <c r="AR182" i="2"/>
  <c r="AT182" i="2"/>
  <c r="AV182" i="2"/>
  <c r="AX182" i="2"/>
  <c r="AZ182" i="2"/>
  <c r="BC182" i="2"/>
  <c r="BD182" i="2"/>
  <c r="BE182" i="2"/>
  <c r="BF182" i="2"/>
  <c r="BG182" i="2"/>
  <c r="BH182" i="2"/>
  <c r="BI182" i="2"/>
  <c r="L183" i="2"/>
  <c r="P183" i="2"/>
  <c r="T183" i="2"/>
  <c r="AF183" i="2"/>
  <c r="AH183" i="2"/>
  <c r="AL183" i="2"/>
  <c r="AN183" i="2"/>
  <c r="AP183" i="2"/>
  <c r="AR183" i="2"/>
  <c r="AT183" i="2"/>
  <c r="AV183" i="2"/>
  <c r="AX183" i="2"/>
  <c r="AZ183" i="2"/>
  <c r="BC183" i="2"/>
  <c r="BD183" i="2"/>
  <c r="BE183" i="2"/>
  <c r="BF183" i="2"/>
  <c r="BG183" i="2"/>
  <c r="BH183" i="2"/>
  <c r="BI183" i="2"/>
  <c r="L184" i="2"/>
  <c r="P184" i="2"/>
  <c r="R184" i="2"/>
  <c r="T184" i="2"/>
  <c r="V184" i="2"/>
  <c r="Z184" i="2"/>
  <c r="AB184" i="2"/>
  <c r="AD184" i="2"/>
  <c r="AF184" i="2"/>
  <c r="AH184" i="2"/>
  <c r="AJ184" i="2"/>
  <c r="AL184" i="2"/>
  <c r="AN184" i="2"/>
  <c r="AP184" i="2"/>
  <c r="AR184" i="2"/>
  <c r="AT184" i="2"/>
  <c r="AV184" i="2"/>
  <c r="AX184" i="2"/>
  <c r="AZ184" i="2"/>
  <c r="BC184" i="2"/>
  <c r="BD184" i="2"/>
  <c r="BE184" i="2"/>
  <c r="BF184" i="2"/>
  <c r="BG184" i="2"/>
  <c r="BH184" i="2"/>
  <c r="BI184" i="2"/>
  <c r="L185" i="2"/>
  <c r="P185" i="2"/>
  <c r="T185" i="2"/>
  <c r="V185" i="2"/>
  <c r="X185" i="2"/>
  <c r="Z185" i="2"/>
  <c r="AB185" i="2"/>
  <c r="AD185" i="2"/>
  <c r="AF185" i="2"/>
  <c r="AH185" i="2"/>
  <c r="AJ185" i="2"/>
  <c r="AL185" i="2"/>
  <c r="AN185" i="2"/>
  <c r="AP185" i="2"/>
  <c r="AR185" i="2"/>
  <c r="AT185" i="2"/>
  <c r="AV185" i="2"/>
  <c r="AX185" i="2"/>
  <c r="AZ185" i="2"/>
  <c r="BC185" i="2"/>
  <c r="BD185" i="2"/>
  <c r="BE185" i="2"/>
  <c r="BF185" i="2"/>
  <c r="BG185" i="2"/>
  <c r="BH185" i="2"/>
  <c r="BI185" i="2"/>
  <c r="L186" i="2"/>
  <c r="P186" i="2"/>
  <c r="R186" i="2"/>
  <c r="T186" i="2"/>
  <c r="V186" i="2"/>
  <c r="X186" i="2"/>
  <c r="Z186" i="2"/>
  <c r="AB186" i="2"/>
  <c r="AD186" i="2"/>
  <c r="AF186" i="2"/>
  <c r="AJ186" i="2"/>
  <c r="AL186" i="2"/>
  <c r="AN186" i="2"/>
  <c r="AP186" i="2"/>
  <c r="AR186" i="2"/>
  <c r="AT186" i="2"/>
  <c r="AV186" i="2"/>
  <c r="AX186" i="2"/>
  <c r="AZ186" i="2"/>
  <c r="BC186" i="2"/>
  <c r="BD186" i="2"/>
  <c r="BE186" i="2"/>
  <c r="BF186" i="2"/>
  <c r="BG186" i="2"/>
  <c r="BH186" i="2"/>
  <c r="BI186" i="2"/>
  <c r="L187" i="2"/>
  <c r="P187" i="2"/>
  <c r="R187" i="2"/>
  <c r="T187" i="2"/>
  <c r="V187" i="2"/>
  <c r="X187" i="2"/>
  <c r="Z187" i="2"/>
  <c r="AB187" i="2"/>
  <c r="AF187" i="2"/>
  <c r="AH187" i="2"/>
  <c r="AL187" i="2"/>
  <c r="AN187" i="2"/>
  <c r="AP187" i="2"/>
  <c r="AR187" i="2"/>
  <c r="AT187" i="2"/>
  <c r="AV187" i="2"/>
  <c r="AX187" i="2"/>
  <c r="AZ187" i="2"/>
  <c r="BC187" i="2"/>
  <c r="BD187" i="2"/>
  <c r="BE187" i="2"/>
  <c r="BF187" i="2"/>
  <c r="BG187" i="2"/>
  <c r="BH187" i="2"/>
  <c r="BI187" i="2"/>
  <c r="L188" i="2"/>
  <c r="P188" i="2"/>
  <c r="R188" i="2"/>
  <c r="T188" i="2"/>
  <c r="V188" i="2"/>
  <c r="X188" i="2"/>
  <c r="AB188" i="2"/>
  <c r="AF188" i="2"/>
  <c r="AH188" i="2"/>
  <c r="AL188" i="2"/>
  <c r="AN188" i="2"/>
  <c r="AP188" i="2"/>
  <c r="AR188" i="2"/>
  <c r="AT188" i="2"/>
  <c r="AV188" i="2"/>
  <c r="AX188" i="2"/>
  <c r="AZ188" i="2"/>
  <c r="BC188" i="2"/>
  <c r="BD188" i="2"/>
  <c r="BE188" i="2"/>
  <c r="BF188" i="2"/>
  <c r="BG188" i="2"/>
  <c r="BH188" i="2"/>
  <c r="BI188" i="2"/>
  <c r="L189" i="2"/>
  <c r="P189" i="2"/>
  <c r="R189" i="2"/>
  <c r="T189" i="2"/>
  <c r="V189" i="2"/>
  <c r="AB189" i="2"/>
  <c r="AF189" i="2"/>
  <c r="AH189" i="2"/>
  <c r="AJ189" i="2"/>
  <c r="AL189" i="2"/>
  <c r="AN189" i="2"/>
  <c r="AP189" i="2"/>
  <c r="AR189" i="2"/>
  <c r="AT189" i="2"/>
  <c r="AV189" i="2"/>
  <c r="AX189" i="2"/>
  <c r="AZ189" i="2"/>
  <c r="BC189" i="2"/>
  <c r="BD189" i="2"/>
  <c r="BE189" i="2"/>
  <c r="BF189" i="2"/>
  <c r="BG189" i="2"/>
  <c r="BH189" i="2"/>
  <c r="BI189" i="2"/>
  <c r="L190" i="2"/>
  <c r="P190" i="2"/>
  <c r="T190" i="2"/>
  <c r="V190" i="2"/>
  <c r="X190" i="2"/>
  <c r="AB190" i="2"/>
  <c r="AF190" i="2"/>
  <c r="AH190" i="2"/>
  <c r="AL190" i="2"/>
  <c r="AN190" i="2"/>
  <c r="AP190" i="2"/>
  <c r="AR190" i="2"/>
  <c r="AT190" i="2"/>
  <c r="AV190" i="2"/>
  <c r="AX190" i="2"/>
  <c r="AZ190" i="2"/>
  <c r="BC190" i="2"/>
  <c r="BD190" i="2"/>
  <c r="BE190" i="2"/>
  <c r="BF190" i="2"/>
  <c r="BG190" i="2"/>
  <c r="BH190" i="2"/>
  <c r="BI190" i="2"/>
  <c r="L191" i="2"/>
  <c r="P191" i="2"/>
  <c r="R191" i="2"/>
  <c r="T191" i="2"/>
  <c r="V191" i="2"/>
  <c r="X191" i="2"/>
  <c r="Z191" i="2"/>
  <c r="AB191" i="2"/>
  <c r="AF191" i="2"/>
  <c r="AH191" i="2"/>
  <c r="AL191" i="2"/>
  <c r="AN191" i="2"/>
  <c r="AP191" i="2"/>
  <c r="AR191" i="2"/>
  <c r="AT191" i="2"/>
  <c r="AV191" i="2"/>
  <c r="AX191" i="2"/>
  <c r="AZ191" i="2"/>
  <c r="BC191" i="2"/>
  <c r="BD191" i="2"/>
  <c r="BE191" i="2"/>
  <c r="BF191" i="2"/>
  <c r="BG191" i="2"/>
  <c r="BH191" i="2"/>
  <c r="BI191" i="2"/>
  <c r="L192" i="2"/>
  <c r="P192" i="2"/>
  <c r="R192" i="2"/>
  <c r="T192" i="2"/>
  <c r="Z192" i="2"/>
  <c r="AB192" i="2"/>
  <c r="AD192" i="2"/>
  <c r="AF192" i="2"/>
  <c r="AH192" i="2"/>
  <c r="AJ192" i="2"/>
  <c r="AL192" i="2"/>
  <c r="AN192" i="2"/>
  <c r="AP192" i="2"/>
  <c r="AR192" i="2"/>
  <c r="AT192" i="2"/>
  <c r="AV192" i="2"/>
  <c r="AX192" i="2"/>
  <c r="AZ192" i="2"/>
  <c r="BC192" i="2"/>
  <c r="BD192" i="2"/>
  <c r="BE192" i="2"/>
  <c r="BF192" i="2"/>
  <c r="BG192" i="2"/>
  <c r="BH192" i="2"/>
  <c r="BI192" i="2"/>
  <c r="L193" i="2"/>
  <c r="P193" i="2"/>
  <c r="R193" i="2"/>
  <c r="T193" i="2"/>
  <c r="Z193" i="2"/>
  <c r="AB193" i="2"/>
  <c r="AF193" i="2"/>
  <c r="AH193" i="2"/>
  <c r="AJ193" i="2"/>
  <c r="AL193" i="2"/>
  <c r="AN193" i="2"/>
  <c r="AP193" i="2"/>
  <c r="AR193" i="2"/>
  <c r="AT193" i="2"/>
  <c r="AV193" i="2"/>
  <c r="AX193" i="2"/>
  <c r="AZ193" i="2"/>
  <c r="BC193" i="2"/>
  <c r="BD193" i="2"/>
  <c r="BE193" i="2"/>
  <c r="BF193" i="2"/>
  <c r="BG193" i="2"/>
  <c r="BH193" i="2"/>
  <c r="BI193" i="2"/>
  <c r="L194" i="2"/>
  <c r="P194" i="2"/>
  <c r="T194" i="2"/>
  <c r="Z194" i="2"/>
  <c r="AB194" i="2"/>
  <c r="AD194" i="2"/>
  <c r="AF194" i="2"/>
  <c r="AH194" i="2"/>
  <c r="AL194" i="2"/>
  <c r="AN194" i="2"/>
  <c r="AP194" i="2"/>
  <c r="AR194" i="2"/>
  <c r="AT194" i="2"/>
  <c r="AV194" i="2"/>
  <c r="AX194" i="2"/>
  <c r="AZ194" i="2"/>
  <c r="BC194" i="2"/>
  <c r="BD194" i="2"/>
  <c r="BE194" i="2"/>
  <c r="BF194" i="2"/>
  <c r="BG194" i="2"/>
  <c r="BH194" i="2"/>
  <c r="BI194" i="2"/>
  <c r="L195" i="2"/>
  <c r="P195" i="2"/>
  <c r="R195" i="2"/>
  <c r="T195" i="2"/>
  <c r="V195" i="2"/>
  <c r="Z195" i="2"/>
  <c r="AB195" i="2"/>
  <c r="AD195" i="2"/>
  <c r="AF195" i="2"/>
  <c r="AH195" i="2"/>
  <c r="AJ195" i="2"/>
  <c r="AL195" i="2"/>
  <c r="AN195" i="2"/>
  <c r="AP195" i="2"/>
  <c r="AR195" i="2"/>
  <c r="AT195" i="2"/>
  <c r="AV195" i="2"/>
  <c r="AX195" i="2"/>
  <c r="AZ195" i="2"/>
  <c r="BC195" i="2"/>
  <c r="BD195" i="2"/>
  <c r="BE195" i="2"/>
  <c r="BF195" i="2"/>
  <c r="BG195" i="2"/>
  <c r="BH195" i="2"/>
  <c r="BI195" i="2"/>
  <c r="L196" i="2"/>
  <c r="P196" i="2"/>
  <c r="R196" i="2"/>
  <c r="T196" i="2"/>
  <c r="AB196" i="2"/>
  <c r="AD196" i="2"/>
  <c r="AF196" i="2"/>
  <c r="AH196" i="2"/>
  <c r="AJ196" i="2"/>
  <c r="AL196" i="2"/>
  <c r="AN196" i="2"/>
  <c r="AP196" i="2"/>
  <c r="AR196" i="2"/>
  <c r="AT196" i="2"/>
  <c r="AV196" i="2"/>
  <c r="AX196" i="2"/>
  <c r="AZ196" i="2"/>
  <c r="BC196" i="2"/>
  <c r="BD196" i="2"/>
  <c r="BE196" i="2"/>
  <c r="BF196" i="2"/>
  <c r="BG196" i="2"/>
  <c r="BH196" i="2"/>
  <c r="BI196" i="2"/>
  <c r="L197" i="2"/>
  <c r="P197" i="2"/>
  <c r="T197" i="2"/>
  <c r="V197" i="2"/>
  <c r="Z197" i="2"/>
  <c r="AB197" i="2"/>
  <c r="AF197" i="2"/>
  <c r="AJ197" i="2"/>
  <c r="AL197" i="2"/>
  <c r="AN197" i="2"/>
  <c r="AP197" i="2"/>
  <c r="AT197" i="2"/>
  <c r="AV197" i="2"/>
  <c r="AX197" i="2"/>
  <c r="AZ197" i="2"/>
  <c r="BC197" i="2"/>
  <c r="BD197" i="2"/>
  <c r="BE197" i="2"/>
  <c r="BF197" i="2"/>
  <c r="BG197" i="2"/>
  <c r="BH197" i="2"/>
  <c r="BI197" i="2"/>
  <c r="L198" i="2"/>
  <c r="P198" i="2"/>
  <c r="T198" i="2"/>
  <c r="V198" i="2"/>
  <c r="X198" i="2"/>
  <c r="AB198" i="2"/>
  <c r="AD198" i="2"/>
  <c r="AF198" i="2"/>
  <c r="AH198" i="2"/>
  <c r="AJ198" i="2"/>
  <c r="AL198" i="2"/>
  <c r="AP198" i="2"/>
  <c r="AR198" i="2"/>
  <c r="AT198" i="2"/>
  <c r="AV198" i="2"/>
  <c r="AX198" i="2"/>
  <c r="AZ198" i="2"/>
  <c r="BC198" i="2"/>
  <c r="BD198" i="2"/>
  <c r="BE198" i="2"/>
  <c r="BF198" i="2"/>
  <c r="BG198" i="2"/>
  <c r="BH198" i="2"/>
  <c r="BI198" i="2"/>
  <c r="L199" i="2"/>
  <c r="R199" i="2"/>
  <c r="T199" i="2"/>
  <c r="V199" i="2"/>
  <c r="X199" i="2"/>
  <c r="Z199" i="2"/>
  <c r="AB199" i="2"/>
  <c r="AD199" i="2"/>
  <c r="AF199" i="2"/>
  <c r="AH199" i="2"/>
  <c r="AJ199" i="2"/>
  <c r="AL199" i="2"/>
  <c r="AN199" i="2"/>
  <c r="AP199" i="2"/>
  <c r="AT199" i="2"/>
  <c r="AV199" i="2"/>
  <c r="BC199" i="2"/>
  <c r="BD199" i="2"/>
  <c r="BE199" i="2"/>
  <c r="BF199" i="2"/>
  <c r="BG199" i="2"/>
  <c r="BH199" i="2"/>
  <c r="BI199" i="2"/>
  <c r="L200" i="2"/>
  <c r="T200" i="2"/>
  <c r="AN200" i="2"/>
  <c r="AP200" i="2"/>
  <c r="AR200" i="2"/>
  <c r="AT200" i="2"/>
  <c r="AV200" i="2"/>
  <c r="BC200" i="2"/>
  <c r="BD200" i="2"/>
  <c r="BE200" i="2"/>
  <c r="BF200" i="2"/>
  <c r="BG200" i="2"/>
  <c r="BH200" i="2"/>
  <c r="BI200" i="2"/>
  <c r="L201" i="2"/>
  <c r="T201" i="2"/>
  <c r="AB201" i="2"/>
  <c r="AD201" i="2"/>
  <c r="AF201" i="2"/>
  <c r="AJ201" i="2"/>
  <c r="AL201" i="2"/>
  <c r="AN201" i="2"/>
  <c r="AP201" i="2"/>
  <c r="AR201" i="2"/>
  <c r="AT201" i="2"/>
  <c r="AV201" i="2"/>
  <c r="AX201" i="2"/>
  <c r="BC201" i="2"/>
  <c r="BD201" i="2"/>
  <c r="BE201" i="2"/>
  <c r="BF201" i="2"/>
  <c r="BG201" i="2"/>
  <c r="BH201" i="2"/>
  <c r="BI201" i="2"/>
  <c r="L202" i="2"/>
  <c r="P202" i="2"/>
  <c r="R202" i="2"/>
  <c r="T202" i="2"/>
  <c r="X202" i="2"/>
  <c r="Z202" i="2"/>
  <c r="AB202" i="2"/>
  <c r="AF202" i="2"/>
  <c r="AJ202" i="2"/>
  <c r="AL202" i="2"/>
  <c r="AP202" i="2"/>
  <c r="AT202" i="2"/>
  <c r="AV202" i="2"/>
  <c r="AX202" i="2"/>
  <c r="AZ202" i="2"/>
  <c r="BC202" i="2"/>
  <c r="BD202" i="2"/>
  <c r="BE202" i="2"/>
  <c r="BF202" i="2"/>
  <c r="BG202" i="2"/>
  <c r="BH202" i="2"/>
  <c r="BI202" i="2"/>
  <c r="L203" i="2"/>
  <c r="P203" i="2"/>
  <c r="R203" i="2"/>
  <c r="T203" i="2"/>
  <c r="AF203" i="2"/>
  <c r="AH203" i="2"/>
  <c r="AJ203" i="2"/>
  <c r="AL203" i="2"/>
  <c r="AN203" i="2"/>
  <c r="AP203" i="2"/>
  <c r="AR203" i="2"/>
  <c r="AT203" i="2"/>
  <c r="AV203" i="2"/>
  <c r="AX203" i="2"/>
  <c r="BC203" i="2"/>
  <c r="BD203" i="2"/>
  <c r="BE203" i="2"/>
  <c r="BF203" i="2"/>
  <c r="BG203" i="2"/>
  <c r="BH203" i="2"/>
  <c r="BI203" i="2"/>
  <c r="L204" i="2"/>
  <c r="P204" i="2"/>
  <c r="R204" i="2"/>
  <c r="T204" i="2"/>
  <c r="X204" i="2"/>
  <c r="Z204" i="2"/>
  <c r="AB204" i="2"/>
  <c r="AD204" i="2"/>
  <c r="AF204" i="2"/>
  <c r="AH204" i="2"/>
  <c r="AJ204" i="2"/>
  <c r="AL204" i="2"/>
  <c r="AN204" i="2"/>
  <c r="AP204" i="2"/>
  <c r="AR204" i="2"/>
  <c r="AT204" i="2"/>
  <c r="AV204" i="2"/>
  <c r="AZ204" i="2"/>
  <c r="BC204" i="2"/>
  <c r="BD204" i="2"/>
  <c r="BE204" i="2"/>
  <c r="BF204" i="2"/>
  <c r="BG204" i="2"/>
  <c r="BH204" i="2"/>
  <c r="BI204" i="2"/>
  <c r="L205" i="2"/>
  <c r="P205" i="2"/>
  <c r="R205" i="2"/>
  <c r="T205" i="2"/>
  <c r="AB205" i="2"/>
  <c r="AF205" i="2"/>
  <c r="AJ205" i="2"/>
  <c r="AL205" i="2"/>
  <c r="AN205" i="2"/>
  <c r="AP205" i="2"/>
  <c r="AR205" i="2"/>
  <c r="AT205" i="2"/>
  <c r="AX205" i="2"/>
  <c r="AZ205" i="2"/>
  <c r="BC205" i="2"/>
  <c r="BD205" i="2"/>
  <c r="BE205" i="2"/>
  <c r="BF205" i="2"/>
  <c r="BG205" i="2"/>
  <c r="BH205" i="2"/>
  <c r="BI205" i="2"/>
  <c r="L206" i="2"/>
  <c r="P206" i="2"/>
  <c r="T206" i="2"/>
  <c r="V206" i="2"/>
  <c r="X206" i="2"/>
  <c r="Z206" i="2"/>
  <c r="AB206" i="2"/>
  <c r="AD206" i="2"/>
  <c r="AF206" i="2"/>
  <c r="AH206" i="2"/>
  <c r="AL206" i="2"/>
  <c r="AN206" i="2"/>
  <c r="AP206" i="2"/>
  <c r="AR206" i="2"/>
  <c r="AT206" i="2"/>
  <c r="AV206" i="2"/>
  <c r="AX206" i="2"/>
  <c r="AZ206" i="2"/>
  <c r="BC206" i="2"/>
  <c r="BD206" i="2"/>
  <c r="BE206" i="2"/>
  <c r="BF206" i="2"/>
  <c r="BG206" i="2"/>
  <c r="BH206" i="2"/>
  <c r="BI206" i="2"/>
  <c r="L207" i="2"/>
  <c r="P207" i="2"/>
  <c r="T207" i="2"/>
  <c r="V207" i="2"/>
  <c r="X207" i="2"/>
  <c r="Z207" i="2"/>
  <c r="AB207" i="2"/>
  <c r="AD207" i="2"/>
  <c r="AF207" i="2"/>
  <c r="AH207" i="2"/>
  <c r="AJ207" i="2"/>
  <c r="AN207" i="2"/>
  <c r="AP207" i="2"/>
  <c r="AR207" i="2"/>
  <c r="AT207" i="2"/>
  <c r="AV207" i="2"/>
  <c r="AX207" i="2"/>
  <c r="AZ207" i="2"/>
  <c r="BC207" i="2"/>
  <c r="BD207" i="2"/>
  <c r="BE207" i="2"/>
  <c r="BF207" i="2"/>
  <c r="BG207" i="2"/>
  <c r="BH207" i="2"/>
  <c r="BI207" i="2"/>
  <c r="L208" i="2"/>
  <c r="P208" i="2"/>
  <c r="T208" i="2"/>
  <c r="V208" i="2"/>
  <c r="X208" i="2"/>
  <c r="AB208" i="2"/>
  <c r="AF208" i="2"/>
  <c r="AL208" i="2"/>
  <c r="AN208" i="2"/>
  <c r="AP208" i="2"/>
  <c r="AR208" i="2"/>
  <c r="AT208" i="2"/>
  <c r="AV208" i="2"/>
  <c r="AX208" i="2"/>
  <c r="AZ208" i="2"/>
  <c r="BC208" i="2"/>
  <c r="BD208" i="2"/>
  <c r="BE208" i="2"/>
  <c r="BF208" i="2"/>
  <c r="BG208" i="2"/>
  <c r="BH208" i="2"/>
  <c r="BI208" i="2"/>
  <c r="L209" i="2"/>
  <c r="P209" i="2"/>
  <c r="R209" i="2"/>
  <c r="T209" i="2"/>
  <c r="V209" i="2"/>
  <c r="X209" i="2"/>
  <c r="Z209" i="2"/>
  <c r="AB209" i="2"/>
  <c r="AF209" i="2"/>
  <c r="AH209" i="2"/>
  <c r="AJ209" i="2"/>
  <c r="AL209" i="2"/>
  <c r="AN209" i="2"/>
  <c r="AP209" i="2"/>
  <c r="AR209" i="2"/>
  <c r="AT209" i="2"/>
  <c r="AV209" i="2"/>
  <c r="AX209" i="2"/>
  <c r="AZ209" i="2"/>
  <c r="BC209" i="2"/>
  <c r="BD209" i="2"/>
  <c r="BE209" i="2"/>
  <c r="BF209" i="2"/>
  <c r="BG209" i="2"/>
  <c r="BH209" i="2"/>
  <c r="BI209" i="2"/>
  <c r="L210" i="2"/>
  <c r="T210" i="2"/>
  <c r="V210" i="2"/>
  <c r="Z210" i="2"/>
  <c r="AB210" i="2"/>
  <c r="AD210" i="2"/>
  <c r="AF210" i="2"/>
  <c r="AH210" i="2"/>
  <c r="AJ210" i="2"/>
  <c r="AL210" i="2"/>
  <c r="AN210" i="2"/>
  <c r="AP210" i="2"/>
  <c r="AR210" i="2"/>
  <c r="AT210" i="2"/>
  <c r="AV210" i="2"/>
  <c r="AX210" i="2"/>
  <c r="AZ210" i="2"/>
  <c r="BC210" i="2"/>
  <c r="BD210" i="2"/>
  <c r="BE210" i="2"/>
  <c r="BF210" i="2"/>
  <c r="BG210" i="2"/>
  <c r="BH210" i="2"/>
  <c r="BI210" i="2"/>
  <c r="P211" i="2"/>
  <c r="R211" i="2"/>
  <c r="T211" i="2"/>
  <c r="V211" i="2"/>
  <c r="X211" i="2"/>
  <c r="Z211" i="2"/>
  <c r="AB211" i="2"/>
  <c r="AD211" i="2"/>
  <c r="AF211" i="2"/>
  <c r="AH211" i="2"/>
  <c r="AL211" i="2"/>
  <c r="AN211" i="2"/>
  <c r="AP211" i="2"/>
  <c r="AR211" i="2"/>
  <c r="AT211" i="2"/>
  <c r="AV211" i="2"/>
  <c r="AX211" i="2"/>
  <c r="AZ211" i="2"/>
  <c r="BC211" i="2"/>
  <c r="BD211" i="2"/>
  <c r="BE211" i="2"/>
  <c r="BF211" i="2"/>
  <c r="BG211" i="2"/>
  <c r="BH211" i="2"/>
  <c r="BI211" i="2"/>
  <c r="L212" i="2"/>
  <c r="P212" i="2"/>
  <c r="R212" i="2"/>
  <c r="T212" i="2"/>
  <c r="V212" i="2"/>
  <c r="X212" i="2"/>
  <c r="Z212" i="2"/>
  <c r="AB212" i="2"/>
  <c r="AD212" i="2"/>
  <c r="AF212" i="2"/>
  <c r="AH212" i="2"/>
  <c r="AL212" i="2"/>
  <c r="AN212" i="2"/>
  <c r="AP212" i="2"/>
  <c r="AR212" i="2"/>
  <c r="AT212" i="2"/>
  <c r="AV212" i="2"/>
  <c r="AX212" i="2"/>
  <c r="AZ212" i="2"/>
  <c r="BC212" i="2"/>
  <c r="BD212" i="2"/>
  <c r="BE212" i="2"/>
  <c r="BF212" i="2"/>
  <c r="BG212" i="2"/>
  <c r="BH212" i="2"/>
  <c r="BI212" i="2"/>
  <c r="L213" i="2"/>
  <c r="P213" i="2"/>
  <c r="R213" i="2"/>
  <c r="T213" i="2"/>
  <c r="X213" i="2"/>
  <c r="Z213" i="2"/>
  <c r="AB213" i="2"/>
  <c r="AD213" i="2"/>
  <c r="AF213" i="2"/>
  <c r="AH213" i="2"/>
  <c r="AJ213" i="2"/>
  <c r="AL213" i="2"/>
  <c r="AN213" i="2"/>
  <c r="AP213" i="2"/>
  <c r="AR213" i="2"/>
  <c r="AT213" i="2"/>
  <c r="AV213" i="2"/>
  <c r="AX213" i="2"/>
  <c r="AZ213" i="2"/>
  <c r="BC213" i="2"/>
  <c r="BD213" i="2"/>
  <c r="BE213" i="2"/>
  <c r="BF213" i="2"/>
  <c r="BG213" i="2"/>
  <c r="BH213" i="2"/>
  <c r="BI213" i="2"/>
  <c r="L214" i="2"/>
  <c r="P214" i="2"/>
  <c r="R214" i="2"/>
  <c r="T214" i="2"/>
  <c r="V214" i="2"/>
  <c r="X214" i="2"/>
  <c r="Z214" i="2"/>
  <c r="AB214" i="2"/>
  <c r="AD214" i="2"/>
  <c r="AF214" i="2"/>
  <c r="AH214" i="2"/>
  <c r="AJ214" i="2"/>
  <c r="AN214" i="2"/>
  <c r="AP214" i="2"/>
  <c r="AR214" i="2"/>
  <c r="AT214" i="2"/>
  <c r="AV214" i="2"/>
  <c r="AX214" i="2"/>
  <c r="AZ214" i="2"/>
  <c r="BC214" i="2"/>
  <c r="BD214" i="2"/>
  <c r="BE214" i="2"/>
  <c r="BF214" i="2"/>
  <c r="BG214" i="2"/>
  <c r="BH214" i="2"/>
  <c r="BI214" i="2"/>
  <c r="R215" i="2"/>
  <c r="T215" i="2"/>
  <c r="X215" i="2"/>
  <c r="Z215" i="2"/>
  <c r="AB215" i="2"/>
  <c r="AF215" i="2"/>
  <c r="AH215" i="2"/>
  <c r="AN215" i="2"/>
  <c r="AP215" i="2"/>
  <c r="AR215" i="2"/>
  <c r="AT215" i="2"/>
  <c r="AV215" i="2"/>
  <c r="AX215" i="2"/>
  <c r="AZ215" i="2"/>
  <c r="BC215" i="2"/>
  <c r="BD215" i="2"/>
  <c r="BE215" i="2"/>
  <c r="BF215" i="2"/>
  <c r="BG215" i="2"/>
  <c r="BH215" i="2"/>
  <c r="BI215" i="2"/>
  <c r="L216" i="2"/>
  <c r="P216" i="2"/>
  <c r="T216" i="2"/>
  <c r="AF216" i="2"/>
  <c r="AL216" i="2"/>
  <c r="AN216" i="2"/>
  <c r="AP216" i="2"/>
  <c r="AR216" i="2"/>
  <c r="AT216" i="2"/>
  <c r="AV216" i="2"/>
  <c r="AX216" i="2"/>
  <c r="AZ216" i="2"/>
  <c r="BC216" i="2"/>
  <c r="BD216" i="2"/>
  <c r="BE216" i="2"/>
  <c r="BF216" i="2"/>
  <c r="BG216" i="2"/>
  <c r="BH216" i="2"/>
  <c r="BI216" i="2"/>
  <c r="L217" i="2"/>
  <c r="R217" i="2"/>
  <c r="T217" i="2"/>
  <c r="V217" i="2"/>
  <c r="X217" i="2"/>
  <c r="Z217" i="2"/>
  <c r="AB217" i="2"/>
  <c r="AD217" i="2"/>
  <c r="AF217" i="2"/>
  <c r="AH217" i="2"/>
  <c r="AJ217" i="2"/>
  <c r="AL217" i="2"/>
  <c r="AN217" i="2"/>
  <c r="AP217" i="2"/>
  <c r="AR217" i="2"/>
  <c r="AT217" i="2"/>
  <c r="AV217" i="2"/>
  <c r="AX217" i="2"/>
  <c r="AZ217" i="2"/>
  <c r="BC217" i="2"/>
  <c r="BD217" i="2"/>
  <c r="BE217" i="2"/>
  <c r="BF217" i="2"/>
  <c r="BG217" i="2"/>
  <c r="BH217" i="2"/>
  <c r="BI217" i="2"/>
  <c r="L218" i="2"/>
  <c r="P218" i="2"/>
  <c r="R218" i="2"/>
  <c r="T218" i="2"/>
  <c r="V218" i="2"/>
  <c r="X218" i="2"/>
  <c r="Z218" i="2"/>
  <c r="AB218" i="2"/>
  <c r="AD218" i="2"/>
  <c r="AF218" i="2"/>
  <c r="AH218" i="2"/>
  <c r="AJ218" i="2"/>
  <c r="AL218" i="2"/>
  <c r="AN218" i="2"/>
  <c r="AP218" i="2"/>
  <c r="AR218" i="2"/>
  <c r="AT218" i="2"/>
  <c r="AV218" i="2"/>
  <c r="AX218" i="2"/>
  <c r="BC218" i="2"/>
  <c r="BD218" i="2"/>
  <c r="BE218" i="2"/>
  <c r="BF218" i="2"/>
  <c r="BG218" i="2"/>
  <c r="BH218" i="2"/>
  <c r="BI218" i="2"/>
  <c r="P219" i="2"/>
  <c r="R219" i="2"/>
  <c r="T219" i="2"/>
  <c r="V219" i="2"/>
  <c r="X219" i="2"/>
  <c r="Z219" i="2"/>
  <c r="AB219" i="2"/>
  <c r="AD219" i="2"/>
  <c r="AF219" i="2"/>
  <c r="AJ219" i="2"/>
  <c r="AL219" i="2"/>
  <c r="AN219" i="2"/>
  <c r="AP219" i="2"/>
  <c r="AR219" i="2"/>
  <c r="AT219" i="2"/>
  <c r="AV219" i="2"/>
  <c r="AX219" i="2"/>
  <c r="AZ219" i="2"/>
  <c r="BC219" i="2"/>
  <c r="BD219" i="2"/>
  <c r="BE219" i="2"/>
  <c r="BF219" i="2"/>
  <c r="BG219" i="2"/>
  <c r="BH219" i="2"/>
  <c r="BI219" i="2"/>
  <c r="L220" i="2"/>
  <c r="P220" i="2"/>
  <c r="T220" i="2"/>
  <c r="V220" i="2"/>
  <c r="AB220" i="2"/>
  <c r="AF220" i="2"/>
  <c r="AH220" i="2"/>
  <c r="AJ220" i="2"/>
  <c r="AL220" i="2"/>
  <c r="AN220" i="2"/>
  <c r="AP220" i="2"/>
  <c r="AR220" i="2"/>
  <c r="AT220" i="2"/>
  <c r="AV220" i="2"/>
  <c r="AX220" i="2"/>
  <c r="AZ220" i="2"/>
  <c r="BC220" i="2"/>
  <c r="BD220" i="2"/>
  <c r="BE220" i="2"/>
  <c r="BF220" i="2"/>
  <c r="BG220" i="2"/>
  <c r="BH220" i="2"/>
  <c r="BI220" i="2"/>
  <c r="L221" i="2"/>
  <c r="P221" i="2"/>
  <c r="R221" i="2"/>
  <c r="T221" i="2"/>
  <c r="V221" i="2"/>
  <c r="X221" i="2"/>
  <c r="Z221" i="2"/>
  <c r="AB221" i="2"/>
  <c r="AD221" i="2"/>
  <c r="AF221" i="2"/>
  <c r="AH221" i="2"/>
  <c r="AL221" i="2"/>
  <c r="AN221" i="2"/>
  <c r="AP221" i="2"/>
  <c r="AR221" i="2"/>
  <c r="AT221" i="2"/>
  <c r="AV221" i="2"/>
  <c r="AX221" i="2"/>
  <c r="AZ221" i="2"/>
  <c r="BC221" i="2"/>
  <c r="BD221" i="2"/>
  <c r="BE221" i="2"/>
  <c r="BF221" i="2"/>
  <c r="BG221" i="2"/>
  <c r="BH221" i="2"/>
  <c r="BI221" i="2"/>
  <c r="L222" i="2"/>
  <c r="P222" i="2"/>
  <c r="R222" i="2"/>
  <c r="T222" i="2"/>
  <c r="V222" i="2"/>
  <c r="X222" i="2"/>
  <c r="Z222" i="2"/>
  <c r="AB222" i="2"/>
  <c r="AD222" i="2"/>
  <c r="AF222" i="2"/>
  <c r="AH222" i="2"/>
  <c r="AL222" i="2"/>
  <c r="AN222" i="2"/>
  <c r="AP222" i="2"/>
  <c r="AR222" i="2"/>
  <c r="AT222" i="2"/>
  <c r="AV222" i="2"/>
  <c r="AX222" i="2"/>
  <c r="AZ222" i="2"/>
  <c r="BC222" i="2"/>
  <c r="BD222" i="2"/>
  <c r="BE222" i="2"/>
  <c r="BF222" i="2"/>
  <c r="BG222" i="2"/>
  <c r="BH222" i="2"/>
  <c r="BI222" i="2"/>
  <c r="L223" i="2"/>
  <c r="P223" i="2"/>
  <c r="T223" i="2"/>
  <c r="AD223" i="2"/>
  <c r="AF223" i="2"/>
  <c r="AL223" i="2"/>
  <c r="AP223" i="2"/>
  <c r="AR223" i="2"/>
  <c r="AT223" i="2"/>
  <c r="AV223" i="2"/>
  <c r="AX223" i="2"/>
  <c r="AZ223" i="2"/>
  <c r="BC223" i="2"/>
  <c r="BD223" i="2"/>
  <c r="BE223" i="2"/>
  <c r="BF223" i="2"/>
  <c r="BG223" i="2"/>
  <c r="BH223" i="2"/>
  <c r="BI223" i="2"/>
  <c r="L224" i="2"/>
  <c r="P224" i="2"/>
  <c r="R224" i="2"/>
  <c r="T224" i="2"/>
  <c r="V224" i="2"/>
  <c r="X224" i="2"/>
  <c r="Z224" i="2"/>
  <c r="AB224" i="2"/>
  <c r="AD224" i="2"/>
  <c r="AF224" i="2"/>
  <c r="AL224" i="2"/>
  <c r="AN224" i="2"/>
  <c r="AP224" i="2"/>
  <c r="AR224" i="2"/>
  <c r="AT224" i="2"/>
  <c r="AV224" i="2"/>
  <c r="AX224" i="2"/>
  <c r="AZ224" i="2"/>
  <c r="BC224" i="2"/>
  <c r="BD224" i="2"/>
  <c r="BE224" i="2"/>
  <c r="BF224" i="2"/>
  <c r="BG224" i="2"/>
  <c r="BH224" i="2"/>
  <c r="BI224" i="2"/>
  <c r="L225" i="2"/>
  <c r="P225" i="2"/>
  <c r="R225" i="2"/>
  <c r="T225" i="2"/>
  <c r="V225" i="2"/>
  <c r="X225" i="2"/>
  <c r="Z225" i="2"/>
  <c r="AB225" i="2"/>
  <c r="AF225" i="2"/>
  <c r="AH225" i="2"/>
  <c r="AJ225" i="2"/>
  <c r="AL225" i="2"/>
  <c r="AN225" i="2"/>
  <c r="AP225" i="2"/>
  <c r="AR225" i="2"/>
  <c r="AT225" i="2"/>
  <c r="AV225" i="2"/>
  <c r="AX225" i="2"/>
  <c r="AZ225" i="2"/>
  <c r="BC225" i="2"/>
  <c r="BD225" i="2"/>
  <c r="BE225" i="2"/>
  <c r="BF225" i="2"/>
  <c r="BG225" i="2"/>
  <c r="BH225" i="2"/>
  <c r="BI225" i="2"/>
  <c r="L226" i="2"/>
  <c r="P226" i="2"/>
  <c r="T226" i="2"/>
  <c r="V226" i="2"/>
  <c r="X226" i="2"/>
  <c r="Z226" i="2"/>
  <c r="AB226" i="2"/>
  <c r="AD226" i="2"/>
  <c r="AF226" i="2"/>
  <c r="AH226" i="2"/>
  <c r="AJ226" i="2"/>
  <c r="AL226" i="2"/>
  <c r="AN226" i="2"/>
  <c r="AP226" i="2"/>
  <c r="AR226" i="2"/>
  <c r="AT226" i="2"/>
  <c r="AV226" i="2"/>
  <c r="AX226" i="2"/>
  <c r="AZ226" i="2"/>
  <c r="BC226" i="2"/>
  <c r="BD226" i="2"/>
  <c r="BE226" i="2"/>
  <c r="BF226" i="2"/>
  <c r="BG226" i="2"/>
  <c r="BH226" i="2"/>
  <c r="BI226" i="2"/>
  <c r="L227" i="2"/>
  <c r="P227" i="2"/>
  <c r="R227" i="2"/>
  <c r="T227" i="2"/>
  <c r="X227" i="2"/>
  <c r="Z227" i="2"/>
  <c r="AB227" i="2"/>
  <c r="AD227" i="2"/>
  <c r="AL227" i="2"/>
  <c r="AN227" i="2"/>
  <c r="AP227" i="2"/>
  <c r="AR227" i="2"/>
  <c r="AT227" i="2"/>
  <c r="AV227" i="2"/>
  <c r="AX227" i="2"/>
  <c r="AZ227" i="2"/>
  <c r="BC227" i="2"/>
  <c r="BD227" i="2"/>
  <c r="BE227" i="2"/>
  <c r="BF227" i="2"/>
  <c r="BG227" i="2"/>
  <c r="BH227" i="2"/>
  <c r="BI227" i="2"/>
  <c r="L228" i="2"/>
  <c r="P228" i="2"/>
  <c r="R228" i="2"/>
  <c r="T228" i="2"/>
  <c r="V228" i="2"/>
  <c r="X228" i="2"/>
  <c r="Z228" i="2"/>
  <c r="AB228" i="2"/>
  <c r="AD228" i="2"/>
  <c r="AF228" i="2"/>
  <c r="AH228" i="2"/>
  <c r="AJ228" i="2"/>
  <c r="AL228" i="2"/>
  <c r="AP228" i="2"/>
  <c r="AR228" i="2"/>
  <c r="AT228" i="2"/>
  <c r="AV228" i="2"/>
  <c r="AX228" i="2"/>
  <c r="AZ228" i="2"/>
  <c r="BC228" i="2"/>
  <c r="BD228" i="2"/>
  <c r="BE228" i="2"/>
  <c r="BF228" i="2"/>
  <c r="BG228" i="2"/>
  <c r="BH228" i="2"/>
  <c r="BI228" i="2"/>
  <c r="L229" i="2"/>
  <c r="P229" i="2"/>
  <c r="R229" i="2"/>
  <c r="T229" i="2"/>
  <c r="V229" i="2"/>
  <c r="X229" i="2"/>
  <c r="Z229" i="2"/>
  <c r="AB229" i="2"/>
  <c r="AD229" i="2"/>
  <c r="AF229" i="2"/>
  <c r="AH229" i="2"/>
  <c r="AJ229" i="2"/>
  <c r="AN229" i="2"/>
  <c r="AP229" i="2"/>
  <c r="AR229" i="2"/>
  <c r="AT229" i="2"/>
  <c r="AV229" i="2"/>
  <c r="AX229" i="2"/>
  <c r="AZ229" i="2"/>
  <c r="BC229" i="2"/>
  <c r="BD229" i="2"/>
  <c r="BE229" i="2"/>
  <c r="BF229" i="2"/>
  <c r="BG229" i="2"/>
  <c r="BH229" i="2"/>
  <c r="BI229" i="2"/>
  <c r="L230" i="2"/>
  <c r="P230" i="2"/>
  <c r="R230" i="2"/>
  <c r="T230" i="2"/>
  <c r="Z230" i="2"/>
  <c r="AB230" i="2"/>
  <c r="AD230" i="2"/>
  <c r="AF230" i="2"/>
  <c r="AH230" i="2"/>
  <c r="AN230" i="2"/>
  <c r="AP230" i="2"/>
  <c r="AR230" i="2"/>
  <c r="AT230" i="2"/>
  <c r="AV230" i="2"/>
  <c r="AX230" i="2"/>
  <c r="AZ230" i="2"/>
  <c r="BC230" i="2"/>
  <c r="BD230" i="2"/>
  <c r="BE230" i="2"/>
  <c r="BF230" i="2"/>
  <c r="BG230" i="2"/>
  <c r="BH230" i="2"/>
  <c r="BI230" i="2"/>
  <c r="L231" i="2"/>
  <c r="P231" i="2"/>
  <c r="R231" i="2"/>
  <c r="T231" i="2"/>
  <c r="V231" i="2"/>
  <c r="AB231" i="2"/>
  <c r="AD231" i="2"/>
  <c r="AF231" i="2"/>
  <c r="AH231" i="2"/>
  <c r="AJ231" i="2"/>
  <c r="AL231" i="2"/>
  <c r="AN231" i="2"/>
  <c r="AP231" i="2"/>
  <c r="AR231" i="2"/>
  <c r="AT231" i="2"/>
  <c r="AV231" i="2"/>
  <c r="AX231" i="2"/>
  <c r="AZ231" i="2"/>
  <c r="BC231" i="2"/>
  <c r="BD231" i="2"/>
  <c r="BE231" i="2"/>
  <c r="BF231" i="2"/>
  <c r="BG231" i="2"/>
  <c r="BH231" i="2"/>
  <c r="BI231" i="2"/>
  <c r="L232" i="2"/>
  <c r="P232" i="2"/>
  <c r="R232" i="2"/>
  <c r="T232" i="2"/>
  <c r="AF232" i="2"/>
  <c r="AJ232" i="2"/>
  <c r="AP232" i="2"/>
  <c r="AT232" i="2"/>
  <c r="AV232" i="2"/>
  <c r="AX232" i="2"/>
  <c r="AZ232" i="2"/>
  <c r="BC232" i="2"/>
  <c r="BD232" i="2"/>
  <c r="BE232" i="2"/>
  <c r="BF232" i="2"/>
  <c r="BG232" i="2"/>
  <c r="BH232" i="2"/>
  <c r="BI232" i="2"/>
  <c r="L233" i="2"/>
  <c r="P233" i="2"/>
  <c r="R233" i="2"/>
  <c r="T233" i="2"/>
  <c r="V233" i="2"/>
  <c r="AF233" i="2"/>
  <c r="AJ233" i="2"/>
  <c r="AL233" i="2"/>
  <c r="AN233" i="2"/>
  <c r="AP233" i="2"/>
  <c r="AR233" i="2"/>
  <c r="AT233" i="2"/>
  <c r="AV233" i="2"/>
  <c r="AX233" i="2"/>
  <c r="AZ233" i="2"/>
  <c r="BC233" i="2"/>
  <c r="BD233" i="2"/>
  <c r="BE233" i="2"/>
  <c r="BF233" i="2"/>
  <c r="BG233" i="2"/>
  <c r="BH233" i="2"/>
  <c r="BI233" i="2"/>
  <c r="L234" i="2"/>
  <c r="P234" i="2"/>
  <c r="R234" i="2"/>
  <c r="T234" i="2"/>
  <c r="V234" i="2"/>
  <c r="Z234" i="2"/>
  <c r="AB234" i="2"/>
  <c r="AD234" i="2"/>
  <c r="AF234" i="2"/>
  <c r="AH234" i="2"/>
  <c r="AJ234" i="2"/>
  <c r="AL234" i="2"/>
  <c r="AN234" i="2"/>
  <c r="AP234" i="2"/>
  <c r="AR234" i="2"/>
  <c r="AT234" i="2"/>
  <c r="AV234" i="2"/>
  <c r="AX234" i="2"/>
  <c r="AZ234" i="2"/>
  <c r="BC234" i="2"/>
  <c r="BD234" i="2"/>
  <c r="BE234" i="2"/>
  <c r="BF234" i="2"/>
  <c r="BG234" i="2"/>
  <c r="BH234" i="2"/>
  <c r="BI234" i="2"/>
  <c r="L235" i="2"/>
  <c r="P235" i="2"/>
  <c r="R235" i="2"/>
  <c r="T235" i="2"/>
  <c r="V235" i="2"/>
  <c r="X235" i="2"/>
  <c r="Z235" i="2"/>
  <c r="AB235" i="2"/>
  <c r="AD235" i="2"/>
  <c r="AF235" i="2"/>
  <c r="AH235" i="2"/>
  <c r="AJ235" i="2"/>
  <c r="AN235" i="2"/>
  <c r="AP235" i="2"/>
  <c r="AR235" i="2"/>
  <c r="AT235" i="2"/>
  <c r="AV235" i="2"/>
  <c r="AX235" i="2"/>
  <c r="AZ235" i="2"/>
  <c r="BC235" i="2"/>
  <c r="BD235" i="2"/>
  <c r="BE235" i="2"/>
  <c r="BF235" i="2"/>
  <c r="BG235" i="2"/>
  <c r="BH235" i="2"/>
  <c r="BI235" i="2"/>
  <c r="L236" i="2"/>
  <c r="P236" i="2"/>
  <c r="T236" i="2"/>
  <c r="V236" i="2"/>
  <c r="X236" i="2"/>
  <c r="AB236" i="2"/>
  <c r="AD236" i="2"/>
  <c r="AF236" i="2"/>
  <c r="AH236" i="2"/>
  <c r="AJ236" i="2"/>
  <c r="AL236" i="2"/>
  <c r="AN236" i="2"/>
  <c r="AP236" i="2"/>
  <c r="AR236" i="2"/>
  <c r="AT236" i="2"/>
  <c r="AV236" i="2"/>
  <c r="AX236" i="2"/>
  <c r="AZ236" i="2"/>
  <c r="BC236" i="2"/>
  <c r="BD236" i="2"/>
  <c r="BE236" i="2"/>
  <c r="BF236" i="2"/>
  <c r="BG236" i="2"/>
  <c r="BH236" i="2"/>
  <c r="BI236" i="2"/>
  <c r="L237" i="2"/>
  <c r="P237" i="2"/>
  <c r="R237" i="2"/>
  <c r="T237" i="2"/>
  <c r="V237" i="2"/>
  <c r="X237" i="2"/>
  <c r="Z237" i="2"/>
  <c r="AB237" i="2"/>
  <c r="AF237" i="2"/>
  <c r="AH237" i="2"/>
  <c r="AJ237" i="2"/>
  <c r="AL237" i="2"/>
  <c r="AN237" i="2"/>
  <c r="AP237" i="2"/>
  <c r="AR237" i="2"/>
  <c r="AT237" i="2"/>
  <c r="AV237" i="2"/>
  <c r="AX237" i="2"/>
  <c r="AZ237" i="2"/>
  <c r="BC237" i="2"/>
  <c r="BD237" i="2"/>
  <c r="BE237" i="2"/>
  <c r="BF237" i="2"/>
  <c r="BG237" i="2"/>
  <c r="BH237" i="2"/>
  <c r="BI237" i="2"/>
  <c r="L238" i="2"/>
  <c r="P238" i="2"/>
  <c r="T238" i="2"/>
  <c r="V238" i="2"/>
  <c r="X238" i="2"/>
  <c r="Z238" i="2"/>
  <c r="AB238" i="2"/>
  <c r="AD238" i="2"/>
  <c r="AF238" i="2"/>
  <c r="AH238" i="2"/>
  <c r="AJ238" i="2"/>
  <c r="AL238" i="2"/>
  <c r="AN238" i="2"/>
  <c r="AP238" i="2"/>
  <c r="AR238" i="2"/>
  <c r="AT238" i="2"/>
  <c r="AV238" i="2"/>
  <c r="AX238" i="2"/>
  <c r="AZ238" i="2"/>
  <c r="BC238" i="2"/>
  <c r="BD238" i="2"/>
  <c r="BE238" i="2"/>
  <c r="BF238" i="2"/>
  <c r="BG238" i="2"/>
  <c r="BH238" i="2"/>
  <c r="BI238" i="2"/>
  <c r="L239" i="2"/>
  <c r="P239" i="2"/>
  <c r="T239" i="2"/>
  <c r="X239" i="2"/>
  <c r="AB239" i="2"/>
  <c r="AD239" i="2"/>
  <c r="AF239" i="2"/>
  <c r="AH239" i="2"/>
  <c r="AJ239" i="2"/>
  <c r="AL239" i="2"/>
  <c r="AN239" i="2"/>
  <c r="AP239" i="2"/>
  <c r="AR239" i="2"/>
  <c r="AT239" i="2"/>
  <c r="AV239" i="2"/>
  <c r="AX239" i="2"/>
  <c r="AZ239" i="2"/>
  <c r="BC239" i="2"/>
  <c r="BD239" i="2"/>
  <c r="BE239" i="2"/>
  <c r="BF239" i="2"/>
  <c r="BG239" i="2"/>
  <c r="BH239" i="2"/>
  <c r="BI239" i="2"/>
  <c r="L240" i="2"/>
  <c r="P240" i="2"/>
  <c r="R240" i="2"/>
  <c r="T240" i="2"/>
  <c r="V240" i="2"/>
  <c r="X240" i="2"/>
  <c r="Z240" i="2"/>
  <c r="AB240" i="2"/>
  <c r="AD240" i="2"/>
  <c r="AF240" i="2"/>
  <c r="AH240" i="2"/>
  <c r="AJ240" i="2"/>
  <c r="AL240" i="2"/>
  <c r="AP240" i="2"/>
  <c r="AR240" i="2"/>
  <c r="AT240" i="2"/>
  <c r="AV240" i="2"/>
  <c r="AX240" i="2"/>
  <c r="AZ240" i="2"/>
  <c r="BC240" i="2"/>
  <c r="BD240" i="2"/>
  <c r="BE240" i="2"/>
  <c r="BF240" i="2"/>
  <c r="BG240" i="2"/>
  <c r="BH240" i="2"/>
  <c r="BI240" i="2"/>
  <c r="L241" i="2"/>
  <c r="P241" i="2"/>
  <c r="R241" i="2"/>
  <c r="T241" i="2"/>
  <c r="AB241" i="2"/>
  <c r="AH241" i="2"/>
  <c r="AN241" i="2"/>
  <c r="AP241" i="2"/>
  <c r="AR241" i="2"/>
  <c r="AT241" i="2"/>
  <c r="AV241" i="2"/>
  <c r="AX241" i="2"/>
  <c r="AZ241" i="2"/>
  <c r="BC241" i="2"/>
  <c r="BD241" i="2"/>
  <c r="BE241" i="2"/>
  <c r="BF241" i="2"/>
  <c r="BG241" i="2"/>
  <c r="BH241" i="2"/>
  <c r="BI241" i="2"/>
  <c r="L242" i="2"/>
  <c r="P242" i="2"/>
  <c r="R242" i="2"/>
  <c r="T242" i="2"/>
  <c r="V242" i="2"/>
  <c r="X242" i="2"/>
  <c r="AB242" i="2"/>
  <c r="AD242" i="2"/>
  <c r="AF242" i="2"/>
  <c r="AH242" i="2"/>
  <c r="AJ242" i="2"/>
  <c r="AL242" i="2"/>
  <c r="AN242" i="2"/>
  <c r="AP242" i="2"/>
  <c r="AR242" i="2"/>
  <c r="AT242" i="2"/>
  <c r="AV242" i="2"/>
  <c r="AX242" i="2"/>
  <c r="AZ242" i="2"/>
  <c r="BC242" i="2"/>
  <c r="BD242" i="2"/>
  <c r="BE242" i="2"/>
  <c r="BF242" i="2"/>
  <c r="BG242" i="2"/>
  <c r="BH242" i="2"/>
  <c r="BI242" i="2"/>
  <c r="L243" i="2"/>
  <c r="P243" i="2"/>
  <c r="T243" i="2"/>
  <c r="AH243" i="2"/>
  <c r="AJ243" i="2"/>
  <c r="AN243" i="2"/>
  <c r="AP243" i="2"/>
  <c r="AR243" i="2"/>
  <c r="AT243" i="2"/>
  <c r="AV243" i="2"/>
  <c r="AX243" i="2"/>
  <c r="AZ243" i="2"/>
  <c r="BC243" i="2"/>
  <c r="BD243" i="2"/>
  <c r="BE243" i="2"/>
  <c r="BF243" i="2"/>
  <c r="BG243" i="2"/>
  <c r="BH243" i="2"/>
  <c r="BI243" i="2"/>
  <c r="L244" i="2"/>
  <c r="P244" i="2"/>
  <c r="T244" i="2"/>
  <c r="AB244" i="2"/>
  <c r="AF244" i="2"/>
  <c r="AH244" i="2"/>
  <c r="AJ244" i="2"/>
  <c r="AL244" i="2"/>
  <c r="AN244" i="2"/>
  <c r="AP244" i="2"/>
  <c r="AR244" i="2"/>
  <c r="AT244" i="2"/>
  <c r="AV244" i="2"/>
  <c r="AX244" i="2"/>
  <c r="AZ244" i="2"/>
  <c r="BC244" i="2"/>
  <c r="BD244" i="2"/>
  <c r="BE244" i="2"/>
  <c r="BF244" i="2"/>
  <c r="BG244" i="2"/>
  <c r="BH244" i="2"/>
  <c r="BI244" i="2"/>
  <c r="L245" i="2"/>
  <c r="P245" i="2"/>
  <c r="R245" i="2"/>
  <c r="T245" i="2"/>
  <c r="V245" i="2"/>
  <c r="X245" i="2"/>
  <c r="AD245" i="2"/>
  <c r="AF245" i="2"/>
  <c r="AH245" i="2"/>
  <c r="AJ245" i="2"/>
  <c r="AL245" i="2"/>
  <c r="AN245" i="2"/>
  <c r="AP245" i="2"/>
  <c r="AR245" i="2"/>
  <c r="AT245" i="2"/>
  <c r="AV245" i="2"/>
  <c r="AX245" i="2"/>
  <c r="AZ245" i="2"/>
  <c r="BC245" i="2"/>
  <c r="BD245" i="2"/>
  <c r="BE245" i="2"/>
  <c r="BF245" i="2"/>
  <c r="BG245" i="2"/>
  <c r="BH245" i="2"/>
  <c r="BI245" i="2"/>
  <c r="L246" i="2"/>
  <c r="X246" i="2"/>
  <c r="AF246" i="2"/>
  <c r="AJ246" i="2"/>
  <c r="AP246" i="2"/>
  <c r="AR246" i="2"/>
  <c r="AT246" i="2"/>
  <c r="AV246" i="2"/>
  <c r="AX246" i="2"/>
  <c r="AZ246" i="2"/>
  <c r="BC246" i="2"/>
  <c r="BD246" i="2"/>
  <c r="BE246" i="2"/>
  <c r="BF246" i="2"/>
  <c r="BG246" i="2"/>
  <c r="BH246" i="2"/>
  <c r="BI246" i="2"/>
  <c r="L247" i="2"/>
  <c r="P247" i="2"/>
  <c r="R247" i="2"/>
  <c r="T247" i="2"/>
  <c r="V247" i="2"/>
  <c r="Z247" i="2"/>
  <c r="AB247" i="2"/>
  <c r="AF247" i="2"/>
  <c r="AH247" i="2"/>
  <c r="AJ247" i="2"/>
  <c r="AL247" i="2"/>
  <c r="AN247" i="2"/>
  <c r="AP247" i="2"/>
  <c r="AR247" i="2"/>
  <c r="AT247" i="2"/>
  <c r="AV247" i="2"/>
  <c r="AX247" i="2"/>
  <c r="AZ247" i="2"/>
  <c r="BC247" i="2"/>
  <c r="BD247" i="2"/>
  <c r="BE247" i="2"/>
  <c r="BF247" i="2"/>
  <c r="BG247" i="2"/>
  <c r="BH247" i="2"/>
  <c r="BI247" i="2"/>
  <c r="L248" i="2"/>
  <c r="R248" i="2"/>
  <c r="T248" i="2"/>
  <c r="AD248" i="2"/>
  <c r="AF248" i="2"/>
  <c r="AH248" i="2"/>
  <c r="AJ248" i="2"/>
  <c r="AP248" i="2"/>
  <c r="AR248" i="2"/>
  <c r="AT248" i="2"/>
  <c r="AV248" i="2"/>
  <c r="AX248" i="2"/>
  <c r="AZ248" i="2"/>
  <c r="BC248" i="2"/>
  <c r="BD248" i="2"/>
  <c r="BE248" i="2"/>
  <c r="BF248" i="2"/>
  <c r="BG248" i="2"/>
  <c r="BH248" i="2"/>
  <c r="BI248" i="2"/>
  <c r="L249" i="2"/>
  <c r="P249" i="2"/>
  <c r="T249" i="2"/>
  <c r="X249" i="2"/>
  <c r="Z249" i="2"/>
  <c r="AB249" i="2"/>
  <c r="AD249" i="2"/>
  <c r="AF249" i="2"/>
  <c r="AH249" i="2"/>
  <c r="AJ249" i="2"/>
  <c r="AL249" i="2"/>
  <c r="AN249" i="2"/>
  <c r="AP249" i="2"/>
  <c r="AR249" i="2"/>
  <c r="AT249" i="2"/>
  <c r="AV249" i="2"/>
  <c r="AX249" i="2"/>
  <c r="AZ249" i="2"/>
  <c r="BC249" i="2"/>
  <c r="BD249" i="2"/>
  <c r="BE249" i="2"/>
  <c r="BF249" i="2"/>
  <c r="BG249" i="2"/>
  <c r="BH249" i="2"/>
  <c r="BI249" i="2"/>
  <c r="L250" i="2"/>
  <c r="P250" i="2"/>
  <c r="R250" i="2"/>
  <c r="T250" i="2"/>
  <c r="V250" i="2"/>
  <c r="X250" i="2"/>
  <c r="Z250" i="2"/>
  <c r="AB250" i="2"/>
  <c r="AD250" i="2"/>
  <c r="AF250" i="2"/>
  <c r="AH250" i="2"/>
  <c r="AJ250" i="2"/>
  <c r="AN250" i="2"/>
  <c r="AP250" i="2"/>
  <c r="AR250" i="2"/>
  <c r="AT250" i="2"/>
  <c r="AV250" i="2"/>
  <c r="AX250" i="2"/>
  <c r="AZ250" i="2"/>
  <c r="BC250" i="2"/>
  <c r="BD250" i="2"/>
  <c r="BE250" i="2"/>
  <c r="BF250" i="2"/>
  <c r="BG250" i="2"/>
  <c r="BH250" i="2"/>
  <c r="BI250" i="2"/>
  <c r="L251" i="2"/>
  <c r="R251" i="2"/>
  <c r="T251" i="2"/>
  <c r="V251" i="2"/>
  <c r="X251" i="2"/>
  <c r="Z251" i="2"/>
  <c r="AB251" i="2"/>
  <c r="AD251" i="2"/>
  <c r="AF251" i="2"/>
  <c r="AH251" i="2"/>
  <c r="AJ251" i="2"/>
  <c r="AL251" i="2"/>
  <c r="AN251" i="2"/>
  <c r="AP251" i="2"/>
  <c r="AR251" i="2"/>
  <c r="AT251" i="2"/>
  <c r="AV251" i="2"/>
  <c r="AX251" i="2"/>
  <c r="AZ251" i="2"/>
  <c r="BC251" i="2"/>
  <c r="BD251" i="2"/>
  <c r="BE251" i="2"/>
  <c r="BF251" i="2"/>
  <c r="BG251" i="2"/>
  <c r="BH251" i="2"/>
  <c r="BI251" i="2"/>
  <c r="L252" i="2"/>
  <c r="R252" i="2"/>
  <c r="T252" i="2"/>
  <c r="V252" i="2"/>
  <c r="X252" i="2"/>
  <c r="Z252" i="2"/>
  <c r="AB252" i="2"/>
  <c r="AD252" i="2"/>
  <c r="AF252" i="2"/>
  <c r="AH252" i="2"/>
  <c r="AJ252" i="2"/>
  <c r="AL252" i="2"/>
  <c r="AN252" i="2"/>
  <c r="AP252" i="2"/>
  <c r="AR252" i="2"/>
  <c r="AT252" i="2"/>
  <c r="AV252" i="2"/>
  <c r="AX252" i="2"/>
  <c r="AZ252" i="2"/>
  <c r="BC252" i="2"/>
  <c r="BD252" i="2"/>
  <c r="BE252" i="2"/>
  <c r="BF252" i="2"/>
  <c r="BG252" i="2"/>
  <c r="BH252" i="2"/>
  <c r="BI252" i="2"/>
  <c r="L253" i="2"/>
  <c r="P253" i="2"/>
  <c r="T253" i="2"/>
  <c r="V253" i="2"/>
  <c r="X253" i="2"/>
  <c r="Z253" i="2"/>
  <c r="AB253" i="2"/>
  <c r="AD253" i="2"/>
  <c r="AF253" i="2"/>
  <c r="AH253" i="2"/>
  <c r="AJ253" i="2"/>
  <c r="AL253" i="2"/>
  <c r="AN253" i="2"/>
  <c r="AP253" i="2"/>
  <c r="AR253" i="2"/>
  <c r="AT253" i="2"/>
  <c r="AV253" i="2"/>
  <c r="AX253" i="2"/>
  <c r="AZ253" i="2"/>
  <c r="BC253" i="2"/>
  <c r="BD253" i="2"/>
  <c r="BE253" i="2"/>
  <c r="BF253" i="2"/>
  <c r="BG253" i="2"/>
  <c r="BH253" i="2"/>
  <c r="BI253" i="2"/>
  <c r="L254" i="2"/>
  <c r="P254" i="2"/>
  <c r="R254" i="2"/>
  <c r="T254" i="2"/>
  <c r="V254" i="2"/>
  <c r="X254" i="2"/>
  <c r="AB254" i="2"/>
  <c r="AD254" i="2"/>
  <c r="AF254" i="2"/>
  <c r="AH254" i="2"/>
  <c r="AJ254" i="2"/>
  <c r="AL254" i="2"/>
  <c r="AN254" i="2"/>
  <c r="AP254" i="2"/>
  <c r="AR254" i="2"/>
  <c r="AT254" i="2"/>
  <c r="AV254" i="2"/>
  <c r="AX254" i="2"/>
  <c r="AZ254" i="2"/>
  <c r="BC254" i="2"/>
  <c r="BD254" i="2"/>
  <c r="BE254" i="2"/>
  <c r="BF254" i="2"/>
  <c r="BG254" i="2"/>
  <c r="BH254" i="2"/>
  <c r="BI254" i="2"/>
  <c r="L255" i="2"/>
  <c r="T255" i="2"/>
  <c r="V255" i="2"/>
  <c r="X255" i="2"/>
  <c r="Z255" i="2"/>
  <c r="AB255" i="2"/>
  <c r="AD255" i="2"/>
  <c r="AF255" i="2"/>
  <c r="AH255" i="2"/>
  <c r="AJ255" i="2"/>
  <c r="AL255" i="2"/>
  <c r="AN255" i="2"/>
  <c r="AP255" i="2"/>
  <c r="AR255" i="2"/>
  <c r="AT255" i="2"/>
  <c r="AV255" i="2"/>
  <c r="AX255" i="2"/>
  <c r="AZ255" i="2"/>
  <c r="BC255" i="2"/>
  <c r="BD255" i="2"/>
  <c r="BE255" i="2"/>
  <c r="BF255" i="2"/>
  <c r="BG255" i="2"/>
  <c r="BH255" i="2"/>
  <c r="BI255" i="2"/>
  <c r="L256" i="2"/>
  <c r="P256" i="2"/>
  <c r="R256" i="2"/>
  <c r="T256" i="2"/>
  <c r="X256" i="2"/>
  <c r="Z256" i="2"/>
  <c r="AB256" i="2"/>
  <c r="AF256" i="2"/>
  <c r="AH256" i="2"/>
  <c r="AJ256" i="2"/>
  <c r="AL256" i="2"/>
  <c r="AN256" i="2"/>
  <c r="AP256" i="2"/>
  <c r="AR256" i="2"/>
  <c r="AT256" i="2"/>
  <c r="AV256" i="2"/>
  <c r="AX256" i="2"/>
  <c r="AZ256" i="2"/>
  <c r="BC256" i="2"/>
  <c r="BD256" i="2"/>
  <c r="BE256" i="2"/>
  <c r="BF256" i="2"/>
  <c r="BG256" i="2"/>
  <c r="BH256" i="2"/>
  <c r="BI256" i="2"/>
  <c r="L257" i="2"/>
  <c r="P257" i="2"/>
  <c r="R257" i="2"/>
  <c r="T257" i="2"/>
  <c r="Z257" i="2"/>
  <c r="AB257" i="2"/>
  <c r="AD257" i="2"/>
  <c r="AF257" i="2"/>
  <c r="AH257" i="2"/>
  <c r="AJ257" i="2"/>
  <c r="AN257" i="2"/>
  <c r="AP257" i="2"/>
  <c r="AR257" i="2"/>
  <c r="AT257" i="2"/>
  <c r="AV257" i="2"/>
  <c r="AZ257" i="2"/>
  <c r="BC257" i="2"/>
  <c r="BD257" i="2"/>
  <c r="BE257" i="2"/>
  <c r="BF257" i="2"/>
  <c r="BG257" i="2"/>
  <c r="BH257" i="2"/>
  <c r="BI257" i="2"/>
  <c r="L258" i="2"/>
  <c r="P258" i="2"/>
  <c r="R258" i="2"/>
  <c r="T258" i="2"/>
  <c r="V258" i="2"/>
  <c r="Z258" i="2"/>
  <c r="AB258" i="2"/>
  <c r="AD258" i="2"/>
  <c r="AF258" i="2"/>
  <c r="AH258" i="2"/>
  <c r="AJ258" i="2"/>
  <c r="AL258" i="2"/>
  <c r="AN258" i="2"/>
  <c r="AP258" i="2"/>
  <c r="AR258" i="2"/>
  <c r="AT258" i="2"/>
  <c r="AV258" i="2"/>
  <c r="AX258" i="2"/>
  <c r="AZ258" i="2"/>
  <c r="BC258" i="2"/>
  <c r="BD258" i="2"/>
  <c r="BE258" i="2"/>
  <c r="BF258" i="2"/>
  <c r="BG258" i="2"/>
  <c r="BH258" i="2"/>
  <c r="BI258" i="2"/>
  <c r="L259" i="2"/>
  <c r="P259" i="2"/>
  <c r="T259" i="2"/>
  <c r="V259" i="2"/>
  <c r="X259" i="2"/>
  <c r="Z259" i="2"/>
  <c r="AB259" i="2"/>
  <c r="AF259" i="2"/>
  <c r="AJ259" i="2"/>
  <c r="AL259" i="2"/>
  <c r="AN259" i="2"/>
  <c r="AP259" i="2"/>
  <c r="AR259" i="2"/>
  <c r="AT259" i="2"/>
  <c r="AV259" i="2"/>
  <c r="AX259" i="2"/>
  <c r="AZ259" i="2"/>
  <c r="BC259" i="2"/>
  <c r="BD259" i="2"/>
  <c r="BE259" i="2"/>
  <c r="BF259" i="2"/>
  <c r="BG259" i="2"/>
  <c r="BH259" i="2"/>
  <c r="BI259" i="2"/>
  <c r="L260" i="2"/>
  <c r="P260" i="2"/>
  <c r="R260" i="2"/>
  <c r="T260" i="2"/>
  <c r="V260" i="2"/>
  <c r="X260" i="2"/>
  <c r="Z260" i="2"/>
  <c r="AB260" i="2"/>
  <c r="AD260" i="2"/>
  <c r="AF260" i="2"/>
  <c r="AH260" i="2"/>
  <c r="AJ260" i="2"/>
  <c r="AL260" i="2"/>
  <c r="AP260" i="2"/>
  <c r="AR260" i="2"/>
  <c r="AT260" i="2"/>
  <c r="AV260" i="2"/>
  <c r="AX260" i="2"/>
  <c r="AZ260" i="2"/>
  <c r="BC260" i="2"/>
  <c r="BD260" i="2"/>
  <c r="BE260" i="2"/>
  <c r="BF260" i="2"/>
  <c r="BG260" i="2"/>
  <c r="BH260" i="2"/>
  <c r="BI260" i="2"/>
  <c r="L261" i="2"/>
  <c r="P261" i="2"/>
  <c r="R261" i="2"/>
  <c r="V261" i="2"/>
  <c r="X261" i="2"/>
  <c r="Z261" i="2"/>
  <c r="AB261" i="2"/>
  <c r="AD261" i="2"/>
  <c r="AF261" i="2"/>
  <c r="AH261" i="2"/>
  <c r="AJ261" i="2"/>
  <c r="AL261" i="2"/>
  <c r="AN261" i="2"/>
  <c r="AP261" i="2"/>
  <c r="AR261" i="2"/>
  <c r="AT261" i="2"/>
  <c r="AV261" i="2"/>
  <c r="AX261" i="2"/>
  <c r="AZ261" i="2"/>
  <c r="BC261" i="2"/>
  <c r="BD261" i="2"/>
  <c r="BE261" i="2"/>
  <c r="BF261" i="2"/>
  <c r="BG261" i="2"/>
  <c r="BH261" i="2"/>
  <c r="BI261" i="2"/>
  <c r="L262" i="2"/>
  <c r="P262" i="2"/>
  <c r="R262" i="2"/>
  <c r="T262" i="2"/>
  <c r="V262" i="2"/>
  <c r="Z262" i="2"/>
  <c r="AB262" i="2"/>
  <c r="AD262" i="2"/>
  <c r="AF262" i="2"/>
  <c r="AH262" i="2"/>
  <c r="AJ262" i="2"/>
  <c r="AL262" i="2"/>
  <c r="AN262" i="2"/>
  <c r="AP262" i="2"/>
  <c r="AR262" i="2"/>
  <c r="AT262" i="2"/>
  <c r="AV262" i="2"/>
  <c r="AX262" i="2"/>
  <c r="AZ262" i="2"/>
  <c r="BC262" i="2"/>
  <c r="BD262" i="2"/>
  <c r="BE262" i="2"/>
  <c r="BF262" i="2"/>
  <c r="BG262" i="2"/>
  <c r="BH262" i="2"/>
  <c r="BI262" i="2"/>
  <c r="L263" i="2"/>
  <c r="R263" i="2"/>
  <c r="T263" i="2"/>
  <c r="V263" i="2"/>
  <c r="X263" i="2"/>
  <c r="Z263" i="2"/>
  <c r="AB263" i="2"/>
  <c r="AD263" i="2"/>
  <c r="AF263" i="2"/>
  <c r="AH263" i="2"/>
  <c r="AJ263" i="2"/>
  <c r="AL263" i="2"/>
  <c r="AP263" i="2"/>
  <c r="AR263" i="2"/>
  <c r="AT263" i="2"/>
  <c r="AV263" i="2"/>
  <c r="AX263" i="2"/>
  <c r="AZ263" i="2"/>
  <c r="BC263" i="2"/>
  <c r="BD263" i="2"/>
  <c r="BE263" i="2"/>
  <c r="BF263" i="2"/>
  <c r="BG263" i="2"/>
  <c r="BH263" i="2"/>
  <c r="BI263" i="2"/>
  <c r="L264" i="2"/>
  <c r="R264" i="2"/>
  <c r="T264" i="2"/>
  <c r="V264" i="2"/>
  <c r="X264" i="2"/>
  <c r="Z264" i="2"/>
  <c r="AD264" i="2"/>
  <c r="AF264" i="2"/>
  <c r="AH264" i="2"/>
  <c r="AJ264" i="2"/>
  <c r="AL264" i="2"/>
  <c r="AN264" i="2"/>
  <c r="AR264" i="2"/>
  <c r="AT264" i="2"/>
  <c r="AV264" i="2"/>
  <c r="AX264" i="2"/>
  <c r="AZ264" i="2"/>
  <c r="BC264" i="2"/>
  <c r="BD264" i="2"/>
  <c r="BE264" i="2"/>
  <c r="BF264" i="2"/>
  <c r="BG264" i="2"/>
  <c r="BH264" i="2"/>
  <c r="BI264" i="2"/>
  <c r="L265" i="2"/>
  <c r="P265" i="2"/>
  <c r="R265" i="2"/>
  <c r="T265" i="2"/>
  <c r="V265" i="2"/>
  <c r="X265" i="2"/>
  <c r="Z265" i="2"/>
  <c r="AB265" i="2"/>
  <c r="AD265" i="2"/>
  <c r="AF265" i="2"/>
  <c r="AH265" i="2"/>
  <c r="AJ265" i="2"/>
  <c r="AN265" i="2"/>
  <c r="AP265" i="2"/>
  <c r="AR265" i="2"/>
  <c r="AT265" i="2"/>
  <c r="AV265" i="2"/>
  <c r="AX265" i="2"/>
  <c r="AZ265" i="2"/>
  <c r="BC265" i="2"/>
  <c r="BD265" i="2"/>
  <c r="BE265" i="2"/>
  <c r="BF265" i="2"/>
  <c r="BG265" i="2"/>
  <c r="BH265" i="2"/>
  <c r="BI265" i="2"/>
  <c r="L266" i="2"/>
  <c r="P266" i="2"/>
  <c r="T266" i="2"/>
  <c r="V266" i="2"/>
  <c r="X266" i="2"/>
  <c r="Z266" i="2"/>
  <c r="AB266" i="2"/>
  <c r="AD266" i="2"/>
  <c r="AF266" i="2"/>
  <c r="AH266" i="2"/>
  <c r="AJ266" i="2"/>
  <c r="AL266" i="2"/>
  <c r="AN266" i="2"/>
  <c r="AP266" i="2"/>
  <c r="AR266" i="2"/>
  <c r="AT266" i="2"/>
  <c r="AV266" i="2"/>
  <c r="AX266" i="2"/>
  <c r="AZ266" i="2"/>
  <c r="BC266" i="2"/>
  <c r="BD266" i="2"/>
  <c r="BE266" i="2"/>
  <c r="BF266" i="2"/>
  <c r="BG266" i="2"/>
  <c r="BH266" i="2"/>
  <c r="BI266" i="2"/>
  <c r="L267" i="2"/>
  <c r="P267" i="2"/>
  <c r="R267" i="2"/>
  <c r="T267" i="2"/>
  <c r="V267" i="2"/>
  <c r="AD267" i="2"/>
  <c r="AH267" i="2"/>
  <c r="AJ267" i="2"/>
  <c r="AL267" i="2"/>
  <c r="AN267" i="2"/>
  <c r="AP267" i="2"/>
  <c r="AR267" i="2"/>
  <c r="AT267" i="2"/>
  <c r="AV267" i="2"/>
  <c r="AX267" i="2"/>
  <c r="AZ267" i="2"/>
  <c r="BC267" i="2"/>
  <c r="BD267" i="2"/>
  <c r="BE267" i="2"/>
  <c r="BF267" i="2"/>
  <c r="BG267" i="2"/>
  <c r="BH267" i="2"/>
  <c r="BI267" i="2"/>
  <c r="L268" i="2"/>
  <c r="P268" i="2"/>
  <c r="R268" i="2"/>
  <c r="T268" i="2"/>
  <c r="V268" i="2"/>
  <c r="Z268" i="2"/>
  <c r="AB268" i="2"/>
  <c r="AD268" i="2"/>
  <c r="AF268" i="2"/>
  <c r="AH268" i="2"/>
  <c r="AJ268" i="2"/>
  <c r="AN268" i="2"/>
  <c r="AP268" i="2"/>
  <c r="AR268" i="2"/>
  <c r="AT268" i="2"/>
  <c r="AV268" i="2"/>
  <c r="AX268" i="2"/>
  <c r="AZ268" i="2"/>
  <c r="BC268" i="2"/>
  <c r="BD268" i="2"/>
  <c r="BE268" i="2"/>
  <c r="BF268" i="2"/>
  <c r="BG268" i="2"/>
  <c r="BH268" i="2"/>
  <c r="BI268" i="2"/>
  <c r="L269" i="2"/>
  <c r="P269" i="2"/>
  <c r="R269" i="2"/>
  <c r="T269" i="2"/>
  <c r="V269" i="2"/>
  <c r="AB269" i="2"/>
  <c r="AD269" i="2"/>
  <c r="AF269" i="2"/>
  <c r="AH269" i="2"/>
  <c r="AJ269" i="2"/>
  <c r="AL269" i="2"/>
  <c r="AN269" i="2"/>
  <c r="AP269" i="2"/>
  <c r="AR269" i="2"/>
  <c r="AT269" i="2"/>
  <c r="AV269" i="2"/>
  <c r="AX269" i="2"/>
  <c r="AZ269" i="2"/>
  <c r="BC269" i="2"/>
  <c r="BD269" i="2"/>
  <c r="BE269" i="2"/>
  <c r="BF269" i="2"/>
  <c r="BG269" i="2"/>
  <c r="BH269" i="2"/>
  <c r="BI269" i="2"/>
  <c r="L270" i="2"/>
  <c r="P270" i="2"/>
  <c r="R270" i="2"/>
  <c r="T270" i="2"/>
  <c r="Z270" i="2"/>
  <c r="AB270" i="2"/>
  <c r="AD270" i="2"/>
  <c r="AF270" i="2"/>
  <c r="AH270" i="2"/>
  <c r="AJ270" i="2"/>
  <c r="AL270" i="2"/>
  <c r="AN270" i="2"/>
  <c r="AP270" i="2"/>
  <c r="AR270" i="2"/>
  <c r="AT270" i="2"/>
  <c r="AV270" i="2"/>
  <c r="AX270" i="2"/>
  <c r="AZ270" i="2"/>
  <c r="BC270" i="2"/>
  <c r="BD270" i="2"/>
  <c r="BE270" i="2"/>
  <c r="BF270" i="2"/>
  <c r="BG270" i="2"/>
  <c r="BH270" i="2"/>
  <c r="BI270" i="2"/>
  <c r="L271" i="2"/>
  <c r="P271" i="2"/>
  <c r="T271" i="2"/>
  <c r="X271" i="2"/>
  <c r="AB271" i="2"/>
  <c r="AF271" i="2"/>
  <c r="AH271" i="2"/>
  <c r="AJ271" i="2"/>
  <c r="AL271" i="2"/>
  <c r="AN271" i="2"/>
  <c r="AP271" i="2"/>
  <c r="AR271" i="2"/>
  <c r="AT271" i="2"/>
  <c r="AV271" i="2"/>
  <c r="AX271" i="2"/>
  <c r="AZ271" i="2"/>
  <c r="BC271" i="2"/>
  <c r="BD271" i="2"/>
  <c r="BE271" i="2"/>
  <c r="BF271" i="2"/>
  <c r="BG271" i="2"/>
  <c r="BH271" i="2"/>
  <c r="BI271" i="2"/>
  <c r="L272" i="2"/>
  <c r="P272" i="2"/>
  <c r="R272" i="2"/>
  <c r="T272" i="2"/>
  <c r="V272" i="2"/>
  <c r="AB272" i="2"/>
  <c r="AD272" i="2"/>
  <c r="AF272" i="2"/>
  <c r="AH272" i="2"/>
  <c r="AJ272" i="2"/>
  <c r="AL272" i="2"/>
  <c r="AN272" i="2"/>
  <c r="AP272" i="2"/>
  <c r="AR272" i="2"/>
  <c r="AT272" i="2"/>
  <c r="AV272" i="2"/>
  <c r="AX272" i="2"/>
  <c r="AZ272" i="2"/>
  <c r="BC272" i="2"/>
  <c r="BD272" i="2"/>
  <c r="BE272" i="2"/>
  <c r="BF272" i="2"/>
  <c r="BG272" i="2"/>
  <c r="BH272" i="2"/>
  <c r="BI272" i="2"/>
  <c r="L273" i="2"/>
  <c r="P273" i="2"/>
  <c r="R273" i="2"/>
  <c r="T273" i="2"/>
  <c r="Z273" i="2"/>
  <c r="AB273" i="2"/>
  <c r="AD273" i="2"/>
  <c r="AF273" i="2"/>
  <c r="AH273" i="2"/>
  <c r="AJ273" i="2"/>
  <c r="AL273" i="2"/>
  <c r="AN273" i="2"/>
  <c r="AP273" i="2"/>
  <c r="AR273" i="2"/>
  <c r="AT273" i="2"/>
  <c r="AV273" i="2"/>
  <c r="AX273" i="2"/>
  <c r="AZ273" i="2"/>
  <c r="BC273" i="2"/>
  <c r="BD273" i="2"/>
  <c r="BE273" i="2"/>
  <c r="BF273" i="2"/>
  <c r="BG273" i="2"/>
  <c r="BH273" i="2"/>
  <c r="BI273" i="2"/>
  <c r="L274" i="2"/>
  <c r="P274" i="2"/>
  <c r="R274" i="2"/>
  <c r="T274" i="2"/>
  <c r="X274" i="2"/>
  <c r="Z274" i="2"/>
  <c r="AB274" i="2"/>
  <c r="AD274" i="2"/>
  <c r="AF274" i="2"/>
  <c r="AH274" i="2"/>
  <c r="AJ274" i="2"/>
  <c r="AL274" i="2"/>
  <c r="AN274" i="2"/>
  <c r="AP274" i="2"/>
  <c r="AR274" i="2"/>
  <c r="AT274" i="2"/>
  <c r="AV274" i="2"/>
  <c r="AX274" i="2"/>
  <c r="AZ274" i="2"/>
  <c r="BC274" i="2"/>
  <c r="BD274" i="2"/>
  <c r="BE274" i="2"/>
  <c r="BF274" i="2"/>
  <c r="BG274" i="2"/>
  <c r="BH274" i="2"/>
  <c r="BI274" i="2"/>
  <c r="L275" i="2"/>
  <c r="P275" i="2"/>
  <c r="R275" i="2"/>
  <c r="T275" i="2"/>
  <c r="V275" i="2"/>
  <c r="X275" i="2"/>
  <c r="Z275" i="2"/>
  <c r="AB275" i="2"/>
  <c r="AD275" i="2"/>
  <c r="AF275" i="2"/>
  <c r="AH275" i="2"/>
  <c r="AJ275" i="2"/>
  <c r="AL275" i="2"/>
  <c r="AN275" i="2"/>
  <c r="AR275" i="2"/>
  <c r="AT275" i="2"/>
  <c r="AV275" i="2"/>
  <c r="AX275" i="2"/>
  <c r="AZ275" i="2"/>
  <c r="BC275" i="2"/>
  <c r="BD275" i="2"/>
  <c r="BE275" i="2"/>
  <c r="BF275" i="2"/>
  <c r="BG275" i="2"/>
  <c r="BH275" i="2"/>
  <c r="BI275" i="2"/>
  <c r="L276" i="2"/>
  <c r="P276" i="2"/>
  <c r="R276" i="2"/>
  <c r="T276" i="2"/>
  <c r="Z276" i="2"/>
  <c r="AF276" i="2"/>
  <c r="AJ276" i="2"/>
  <c r="AL276" i="2"/>
  <c r="AN276" i="2"/>
  <c r="AP276" i="2"/>
  <c r="AR276" i="2"/>
  <c r="AT276" i="2"/>
  <c r="AV276" i="2"/>
  <c r="AX276" i="2"/>
  <c r="AZ276" i="2"/>
  <c r="BC276" i="2"/>
  <c r="BD276" i="2"/>
  <c r="BE276" i="2"/>
  <c r="BF276" i="2"/>
  <c r="BG276" i="2"/>
  <c r="BH276" i="2"/>
  <c r="BI276" i="2"/>
  <c r="L277" i="2"/>
  <c r="P277" i="2"/>
  <c r="R277" i="2"/>
  <c r="T277" i="2"/>
  <c r="AF277" i="2"/>
  <c r="AJ277" i="2"/>
  <c r="AL277" i="2"/>
  <c r="AN277" i="2"/>
  <c r="AP277" i="2"/>
  <c r="AR277" i="2"/>
  <c r="AT277" i="2"/>
  <c r="AV277" i="2"/>
  <c r="AX277" i="2"/>
  <c r="AZ277" i="2"/>
  <c r="BC277" i="2"/>
  <c r="BD277" i="2"/>
  <c r="BE277" i="2"/>
  <c r="BF277" i="2"/>
  <c r="BG277" i="2"/>
  <c r="BH277" i="2"/>
  <c r="BI277" i="2"/>
  <c r="L278" i="2"/>
  <c r="R278" i="2"/>
  <c r="T278" i="2"/>
  <c r="V278" i="2"/>
  <c r="X278" i="2"/>
  <c r="Z278" i="2"/>
  <c r="AB278" i="2"/>
  <c r="AD278" i="2"/>
  <c r="AF278" i="2"/>
  <c r="AH278" i="2"/>
  <c r="AJ278" i="2"/>
  <c r="AL278" i="2"/>
  <c r="AN278" i="2"/>
  <c r="AP278" i="2"/>
  <c r="AR278" i="2"/>
  <c r="AT278" i="2"/>
  <c r="AV278" i="2"/>
  <c r="AX278" i="2"/>
  <c r="AZ278" i="2"/>
  <c r="BC278" i="2"/>
  <c r="BD278" i="2"/>
  <c r="BE278" i="2"/>
  <c r="BF278" i="2"/>
  <c r="BG278" i="2"/>
  <c r="BH278" i="2"/>
  <c r="BI278" i="2"/>
  <c r="L279" i="2"/>
  <c r="R279" i="2"/>
  <c r="T279" i="2"/>
  <c r="V279" i="2"/>
  <c r="X279" i="2"/>
  <c r="AB279" i="2"/>
  <c r="AH279" i="2"/>
  <c r="AL279" i="2"/>
  <c r="AN279" i="2"/>
  <c r="AP279" i="2"/>
  <c r="AR279" i="2"/>
  <c r="AT279" i="2"/>
  <c r="AV279" i="2"/>
  <c r="AX279" i="2"/>
  <c r="AZ279" i="2"/>
  <c r="BC279" i="2"/>
  <c r="BD279" i="2"/>
  <c r="BE279" i="2"/>
  <c r="BF279" i="2"/>
  <c r="BG279" i="2"/>
  <c r="BH279" i="2"/>
  <c r="BI279" i="2"/>
  <c r="L280" i="2"/>
  <c r="P280" i="2"/>
  <c r="R280" i="2"/>
  <c r="T280" i="2"/>
  <c r="V280" i="2"/>
  <c r="X280" i="2"/>
  <c r="Z280" i="2"/>
  <c r="AB280" i="2"/>
  <c r="AD280" i="2"/>
  <c r="AF280" i="2"/>
  <c r="AH280" i="2"/>
  <c r="AL280" i="2"/>
  <c r="AN280" i="2"/>
  <c r="AP280" i="2"/>
  <c r="AR280" i="2"/>
  <c r="AT280" i="2"/>
  <c r="AV280" i="2"/>
  <c r="AX280" i="2"/>
  <c r="AZ280" i="2"/>
  <c r="BC280" i="2"/>
  <c r="BD280" i="2"/>
  <c r="BE280" i="2"/>
  <c r="BF280" i="2"/>
  <c r="BG280" i="2"/>
  <c r="BH280" i="2"/>
  <c r="BI280" i="2"/>
  <c r="L281" i="2"/>
  <c r="T281" i="2"/>
  <c r="AB281" i="2"/>
  <c r="AF281" i="2"/>
  <c r="AL281" i="2"/>
  <c r="AN281" i="2"/>
  <c r="AP281" i="2"/>
  <c r="AR281" i="2"/>
  <c r="AT281" i="2"/>
  <c r="AV281" i="2"/>
  <c r="AX281" i="2"/>
  <c r="AZ281" i="2"/>
  <c r="BC281" i="2"/>
  <c r="BD281" i="2"/>
  <c r="BE281" i="2"/>
  <c r="BF281" i="2"/>
  <c r="BG281" i="2"/>
  <c r="BH281" i="2"/>
  <c r="BI281" i="2"/>
  <c r="L282" i="2"/>
  <c r="P282" i="2"/>
  <c r="R282" i="2"/>
  <c r="T282" i="2"/>
  <c r="Z282" i="2"/>
  <c r="AB282" i="2"/>
  <c r="AD282" i="2"/>
  <c r="AF282" i="2"/>
  <c r="AH282" i="2"/>
  <c r="AJ282" i="2"/>
  <c r="AL282" i="2"/>
  <c r="AN282" i="2"/>
  <c r="AP282" i="2"/>
  <c r="AR282" i="2"/>
  <c r="AT282" i="2"/>
  <c r="AV282" i="2"/>
  <c r="AX282" i="2"/>
  <c r="AZ282" i="2"/>
  <c r="BC282" i="2"/>
  <c r="BD282" i="2"/>
  <c r="BE282" i="2"/>
  <c r="BF282" i="2"/>
  <c r="BG282" i="2"/>
  <c r="BH282" i="2"/>
  <c r="BI282" i="2"/>
  <c r="L283" i="2"/>
  <c r="R283" i="2"/>
  <c r="T283" i="2"/>
  <c r="V283" i="2"/>
  <c r="Z283" i="2"/>
  <c r="AD283" i="2"/>
  <c r="AF283" i="2"/>
  <c r="AH283" i="2"/>
  <c r="AL283" i="2"/>
  <c r="AP283" i="2"/>
  <c r="AR283" i="2"/>
  <c r="AT283" i="2"/>
  <c r="AV283" i="2"/>
  <c r="AX283" i="2"/>
  <c r="AZ283" i="2"/>
  <c r="BC283" i="2"/>
  <c r="BD283" i="2"/>
  <c r="BE283" i="2"/>
  <c r="BF283" i="2"/>
  <c r="BG283" i="2"/>
  <c r="BH283" i="2"/>
  <c r="BI283" i="2"/>
  <c r="L284" i="2"/>
  <c r="T284" i="2"/>
  <c r="Z284" i="2"/>
  <c r="AB284" i="2"/>
  <c r="AH284" i="2"/>
  <c r="AL284" i="2"/>
  <c r="AN284" i="2"/>
  <c r="AP284" i="2"/>
  <c r="AR284" i="2"/>
  <c r="AT284" i="2"/>
  <c r="AV284" i="2"/>
  <c r="AX284" i="2"/>
  <c r="AZ284" i="2"/>
  <c r="BC284" i="2"/>
  <c r="BD284" i="2"/>
  <c r="BE284" i="2"/>
  <c r="BF284" i="2"/>
  <c r="BG284" i="2"/>
  <c r="BH284" i="2"/>
  <c r="BI284" i="2"/>
  <c r="L285" i="2"/>
  <c r="R285" i="2"/>
  <c r="T285" i="2"/>
  <c r="X285" i="2"/>
  <c r="Z285" i="2"/>
  <c r="AB285" i="2"/>
  <c r="AD285" i="2"/>
  <c r="AF285" i="2"/>
  <c r="AJ285" i="2"/>
  <c r="AP285" i="2"/>
  <c r="AR285" i="2"/>
  <c r="AT285" i="2"/>
  <c r="AV285" i="2"/>
  <c r="AX285" i="2"/>
  <c r="AZ285" i="2"/>
  <c r="BC285" i="2"/>
  <c r="BD285" i="2"/>
  <c r="BE285" i="2"/>
  <c r="BF285" i="2"/>
  <c r="BG285" i="2"/>
  <c r="BH285" i="2"/>
  <c r="BI285" i="2"/>
  <c r="L286" i="2"/>
  <c r="P286" i="2"/>
  <c r="R286" i="2"/>
  <c r="T286" i="2"/>
  <c r="V286" i="2"/>
  <c r="Z286" i="2"/>
  <c r="AB286" i="2"/>
  <c r="AD286" i="2"/>
  <c r="AF286" i="2"/>
  <c r="AH286" i="2"/>
  <c r="AJ286" i="2"/>
  <c r="AL286" i="2"/>
  <c r="AN286" i="2"/>
  <c r="AP286" i="2"/>
  <c r="AR286" i="2"/>
  <c r="AT286" i="2"/>
  <c r="AV286" i="2"/>
  <c r="AX286" i="2"/>
  <c r="AZ286" i="2"/>
  <c r="BC286" i="2"/>
  <c r="BD286" i="2"/>
  <c r="BE286" i="2"/>
  <c r="BF286" i="2"/>
  <c r="BG286" i="2"/>
  <c r="BH286" i="2"/>
  <c r="BI286" i="2"/>
  <c r="L287" i="2"/>
  <c r="P287" i="2"/>
  <c r="R287" i="2"/>
  <c r="T287" i="2"/>
  <c r="V287" i="2"/>
  <c r="Z287" i="2"/>
  <c r="AB287" i="2"/>
  <c r="AD287" i="2"/>
  <c r="AF287" i="2"/>
  <c r="AH287" i="2"/>
  <c r="AJ287" i="2"/>
  <c r="AL287" i="2"/>
  <c r="AN287" i="2"/>
  <c r="AP287" i="2"/>
  <c r="AR287" i="2"/>
  <c r="AT287" i="2"/>
  <c r="AV287" i="2"/>
  <c r="AX287" i="2"/>
  <c r="AZ287" i="2"/>
  <c r="BC287" i="2"/>
  <c r="BD287" i="2"/>
  <c r="BE287" i="2"/>
  <c r="BF287" i="2"/>
  <c r="BG287" i="2"/>
  <c r="BH287" i="2"/>
  <c r="BI287" i="2"/>
  <c r="L288" i="2"/>
  <c r="P288" i="2"/>
  <c r="R288" i="2"/>
  <c r="T288" i="2"/>
  <c r="V288" i="2"/>
  <c r="AB288" i="2"/>
  <c r="AD288" i="2"/>
  <c r="AF288" i="2"/>
  <c r="AH288" i="2"/>
  <c r="AJ288" i="2"/>
  <c r="AL288" i="2"/>
  <c r="AN288" i="2"/>
  <c r="AP288" i="2"/>
  <c r="AR288" i="2"/>
  <c r="AT288" i="2"/>
  <c r="AV288" i="2"/>
  <c r="AX288" i="2"/>
  <c r="AZ288" i="2"/>
  <c r="BC288" i="2"/>
  <c r="BD288" i="2"/>
  <c r="BE288" i="2"/>
  <c r="BF288" i="2"/>
  <c r="BG288" i="2"/>
  <c r="BH288" i="2"/>
  <c r="BI288" i="2"/>
  <c r="L289" i="2"/>
  <c r="P289" i="2"/>
  <c r="R289" i="2"/>
  <c r="T289" i="2"/>
  <c r="V289" i="2"/>
  <c r="X289" i="2"/>
  <c r="Z289" i="2"/>
  <c r="AB289" i="2"/>
  <c r="AD289" i="2"/>
  <c r="AF289" i="2"/>
  <c r="AH289" i="2"/>
  <c r="AL289" i="2"/>
  <c r="AN289" i="2"/>
  <c r="AP289" i="2"/>
  <c r="AR289" i="2"/>
  <c r="AT289" i="2"/>
  <c r="AV289" i="2"/>
  <c r="AX289" i="2"/>
  <c r="AZ289" i="2"/>
  <c r="BC289" i="2"/>
  <c r="BD289" i="2"/>
  <c r="BE289" i="2"/>
  <c r="BF289" i="2"/>
  <c r="BG289" i="2"/>
  <c r="BH289" i="2"/>
  <c r="BI289" i="2"/>
  <c r="L290" i="2"/>
  <c r="P290" i="2"/>
  <c r="R290" i="2"/>
  <c r="T290" i="2"/>
  <c r="V290" i="2"/>
  <c r="X290" i="2"/>
  <c r="Z290" i="2"/>
  <c r="AB290" i="2"/>
  <c r="AF290" i="2"/>
  <c r="AH290" i="2"/>
  <c r="AJ290" i="2"/>
  <c r="AL290" i="2"/>
  <c r="AN290" i="2"/>
  <c r="AP290" i="2"/>
  <c r="AR290" i="2"/>
  <c r="AT290" i="2"/>
  <c r="AV290" i="2"/>
  <c r="AX290" i="2"/>
  <c r="AZ290" i="2"/>
  <c r="BC290" i="2"/>
  <c r="BD290" i="2"/>
  <c r="BE290" i="2"/>
  <c r="BF290" i="2"/>
  <c r="BG290" i="2"/>
  <c r="BH290" i="2"/>
  <c r="BI290" i="2"/>
  <c r="L291" i="2"/>
  <c r="P291" i="2"/>
  <c r="R291" i="2"/>
  <c r="T291" i="2"/>
  <c r="V291" i="2"/>
  <c r="Z291" i="2"/>
  <c r="AB291" i="2"/>
  <c r="AD291" i="2"/>
  <c r="AF291" i="2"/>
  <c r="AH291" i="2"/>
  <c r="AJ291" i="2"/>
  <c r="AL291" i="2"/>
  <c r="AN291" i="2"/>
  <c r="AP291" i="2"/>
  <c r="AR291" i="2"/>
  <c r="AT291" i="2"/>
  <c r="AV291" i="2"/>
  <c r="AX291" i="2"/>
  <c r="AZ291" i="2"/>
  <c r="BC291" i="2"/>
  <c r="BD291" i="2"/>
  <c r="BE291" i="2"/>
  <c r="BF291" i="2"/>
  <c r="BG291" i="2"/>
  <c r="BH291" i="2"/>
  <c r="BI291" i="2"/>
  <c r="L292" i="2"/>
  <c r="P292" i="2"/>
  <c r="R292" i="2"/>
  <c r="T292" i="2"/>
  <c r="AB292" i="2"/>
  <c r="AD292" i="2"/>
  <c r="AF292" i="2"/>
  <c r="AH292" i="2"/>
  <c r="AJ292" i="2"/>
  <c r="AP292" i="2"/>
  <c r="AR292" i="2"/>
  <c r="AT292" i="2"/>
  <c r="AV292" i="2"/>
  <c r="AX292" i="2"/>
  <c r="AZ292" i="2"/>
  <c r="BC292" i="2"/>
  <c r="BD292" i="2"/>
  <c r="BE292" i="2"/>
  <c r="BF292" i="2"/>
  <c r="BG292" i="2"/>
  <c r="BH292" i="2"/>
  <c r="BI292" i="2"/>
  <c r="L293" i="2"/>
  <c r="P293" i="2"/>
  <c r="R293" i="2"/>
  <c r="T293" i="2"/>
  <c r="V293" i="2"/>
  <c r="AB293" i="2"/>
  <c r="AF293" i="2"/>
  <c r="AH293" i="2"/>
  <c r="AJ293" i="2"/>
  <c r="AL293" i="2"/>
  <c r="AN293" i="2"/>
  <c r="AP293" i="2"/>
  <c r="AR293" i="2"/>
  <c r="AT293" i="2"/>
  <c r="AV293" i="2"/>
  <c r="AX293" i="2"/>
  <c r="AZ293" i="2"/>
  <c r="BC293" i="2"/>
  <c r="BD293" i="2"/>
  <c r="BE293" i="2"/>
  <c r="BF293" i="2"/>
  <c r="BG293" i="2"/>
  <c r="BH293" i="2"/>
  <c r="BI293" i="2"/>
  <c r="L294" i="2"/>
  <c r="P294" i="2"/>
  <c r="R294" i="2"/>
  <c r="T294" i="2"/>
  <c r="V294" i="2"/>
  <c r="X294" i="2"/>
  <c r="Z294" i="2"/>
  <c r="AB294" i="2"/>
  <c r="AD294" i="2"/>
  <c r="AF294" i="2"/>
  <c r="AH294" i="2"/>
  <c r="AL294" i="2"/>
  <c r="AN294" i="2"/>
  <c r="AP294" i="2"/>
  <c r="AR294" i="2"/>
  <c r="AT294" i="2"/>
  <c r="AV294" i="2"/>
  <c r="AX294" i="2"/>
  <c r="AZ294" i="2"/>
  <c r="BC294" i="2"/>
  <c r="BD294" i="2"/>
  <c r="BE294" i="2"/>
  <c r="BF294" i="2"/>
  <c r="BG294" i="2"/>
  <c r="BH294" i="2"/>
  <c r="BI294" i="2"/>
  <c r="L295" i="2"/>
  <c r="P295" i="2"/>
  <c r="R295" i="2"/>
  <c r="T295" i="2"/>
  <c r="V295" i="2"/>
  <c r="X295" i="2"/>
  <c r="Z295" i="2"/>
  <c r="AB295" i="2"/>
  <c r="AD295" i="2"/>
  <c r="AF295" i="2"/>
  <c r="AH295" i="2"/>
  <c r="AL295" i="2"/>
  <c r="AN295" i="2"/>
  <c r="AP295" i="2"/>
  <c r="AR295" i="2"/>
  <c r="AT295" i="2"/>
  <c r="AV295" i="2"/>
  <c r="AX295" i="2"/>
  <c r="AZ295" i="2"/>
  <c r="BC295" i="2"/>
  <c r="BD295" i="2"/>
  <c r="BE295" i="2"/>
  <c r="BF295" i="2"/>
  <c r="BG295" i="2"/>
  <c r="BH295" i="2"/>
  <c r="BI295" i="2"/>
  <c r="L296" i="2"/>
  <c r="P296" i="2"/>
  <c r="R296" i="2"/>
  <c r="T296" i="2"/>
  <c r="Z296" i="2"/>
  <c r="AB296" i="2"/>
  <c r="AF296" i="2"/>
  <c r="AH296" i="2"/>
  <c r="AJ296" i="2"/>
  <c r="AP296" i="2"/>
  <c r="AR296" i="2"/>
  <c r="AT296" i="2"/>
  <c r="AV296" i="2"/>
  <c r="AX296" i="2"/>
  <c r="AZ296" i="2"/>
  <c r="BC296" i="2"/>
  <c r="BD296" i="2"/>
  <c r="BE296" i="2"/>
  <c r="BF296" i="2"/>
  <c r="BG296" i="2"/>
  <c r="BH296" i="2"/>
  <c r="BI296" i="2"/>
  <c r="L297" i="2"/>
  <c r="R297" i="2"/>
  <c r="T297" i="2"/>
  <c r="V297" i="2"/>
  <c r="X297" i="2"/>
  <c r="Z297" i="2"/>
  <c r="AB297" i="2"/>
  <c r="AD297" i="2"/>
  <c r="AF297" i="2"/>
  <c r="AH297" i="2"/>
  <c r="AJ297" i="2"/>
  <c r="AL297" i="2"/>
  <c r="AN297" i="2"/>
  <c r="AP297" i="2"/>
  <c r="AR297" i="2"/>
  <c r="AT297" i="2"/>
  <c r="AV297" i="2"/>
  <c r="AX297" i="2"/>
  <c r="AZ297" i="2"/>
  <c r="BC297" i="2"/>
  <c r="BD297" i="2"/>
  <c r="BE297" i="2"/>
  <c r="BF297" i="2"/>
  <c r="BG297" i="2"/>
  <c r="BH297" i="2"/>
  <c r="BI297" i="2"/>
  <c r="P298" i="2"/>
  <c r="R298" i="2"/>
  <c r="T298" i="2"/>
  <c r="V298" i="2"/>
  <c r="X298" i="2"/>
  <c r="Z298" i="2"/>
  <c r="AB298" i="2"/>
  <c r="AD298" i="2"/>
  <c r="AF298" i="2"/>
  <c r="AH298" i="2"/>
  <c r="AJ298" i="2"/>
  <c r="AL298" i="2"/>
  <c r="AN298" i="2"/>
  <c r="AP298" i="2"/>
  <c r="AR298" i="2"/>
  <c r="AT298" i="2"/>
  <c r="AV298" i="2"/>
  <c r="AZ298" i="2"/>
  <c r="BC298" i="2"/>
  <c r="BD298" i="2"/>
  <c r="BE298" i="2"/>
  <c r="BF298" i="2"/>
  <c r="BG298" i="2"/>
  <c r="BH298" i="2"/>
  <c r="BI298" i="2"/>
  <c r="L299" i="2"/>
  <c r="R299" i="2"/>
  <c r="T299" i="2"/>
  <c r="V299" i="2"/>
  <c r="X299" i="2"/>
  <c r="Z299" i="2"/>
  <c r="AB299" i="2"/>
  <c r="AD299" i="2"/>
  <c r="AF299" i="2"/>
  <c r="AH299" i="2"/>
  <c r="AJ299" i="2"/>
  <c r="AL299" i="2"/>
  <c r="AN299" i="2"/>
  <c r="AP299" i="2"/>
  <c r="AR299" i="2"/>
  <c r="AT299" i="2"/>
  <c r="AV299" i="2"/>
  <c r="AX299" i="2"/>
  <c r="AZ299" i="2"/>
  <c r="BC299" i="2"/>
  <c r="BD299" i="2"/>
  <c r="BE299" i="2"/>
  <c r="BF299" i="2"/>
  <c r="BG299" i="2"/>
  <c r="BH299" i="2"/>
  <c r="BI299" i="2"/>
  <c r="L300" i="2"/>
  <c r="R300" i="2"/>
  <c r="T300" i="2"/>
  <c r="V300" i="2"/>
  <c r="X300" i="2"/>
  <c r="Z300" i="2"/>
  <c r="AB300" i="2"/>
  <c r="AD300" i="2"/>
  <c r="AF300" i="2"/>
  <c r="AH300" i="2"/>
  <c r="AJ300" i="2"/>
  <c r="AL300" i="2"/>
  <c r="AN300" i="2"/>
  <c r="AP300" i="2"/>
  <c r="AR300" i="2"/>
  <c r="AT300" i="2"/>
  <c r="AV300" i="2"/>
  <c r="AX300" i="2"/>
  <c r="AZ300" i="2"/>
  <c r="BC300" i="2"/>
  <c r="BD300" i="2"/>
  <c r="BE300" i="2"/>
  <c r="BF300" i="2"/>
  <c r="BG300" i="2"/>
  <c r="BH300" i="2"/>
  <c r="BI300" i="2"/>
  <c r="L301" i="2"/>
  <c r="P301" i="2"/>
  <c r="T301" i="2"/>
  <c r="AB301" i="2"/>
  <c r="AD301" i="2"/>
  <c r="AF301" i="2"/>
  <c r="AH301" i="2"/>
  <c r="AJ301" i="2"/>
  <c r="AL301" i="2"/>
  <c r="AN301" i="2"/>
  <c r="AP301" i="2"/>
  <c r="AR301" i="2"/>
  <c r="AT301" i="2"/>
  <c r="AV301" i="2"/>
  <c r="AX301" i="2"/>
  <c r="AZ301" i="2"/>
  <c r="BC301" i="2"/>
  <c r="BD301" i="2"/>
  <c r="BE301" i="2"/>
  <c r="BF301" i="2"/>
  <c r="BG301" i="2"/>
  <c r="BH301" i="2"/>
  <c r="BI301" i="2"/>
  <c r="L302" i="2"/>
  <c r="P302" i="2"/>
  <c r="R302" i="2"/>
  <c r="T302" i="2"/>
  <c r="V302" i="2"/>
  <c r="X302" i="2"/>
  <c r="AB302" i="2"/>
  <c r="AD302" i="2"/>
  <c r="AF302" i="2"/>
  <c r="AH302" i="2"/>
  <c r="AJ302" i="2"/>
  <c r="AL302" i="2"/>
  <c r="AN302" i="2"/>
  <c r="AP302" i="2"/>
  <c r="AR302" i="2"/>
  <c r="AT302" i="2"/>
  <c r="AV302" i="2"/>
  <c r="AX302" i="2"/>
  <c r="AZ302" i="2"/>
  <c r="BC302" i="2"/>
  <c r="BD302" i="2"/>
  <c r="BE302" i="2"/>
  <c r="BF302" i="2"/>
  <c r="BG302" i="2"/>
  <c r="BH302" i="2"/>
  <c r="BI302" i="2"/>
  <c r="L303" i="2"/>
  <c r="P303" i="2"/>
  <c r="R303" i="2"/>
  <c r="T303" i="2"/>
  <c r="X303" i="2"/>
  <c r="Z303" i="2"/>
  <c r="AB303" i="2"/>
  <c r="AD303" i="2"/>
  <c r="AF303" i="2"/>
  <c r="AH303" i="2"/>
  <c r="AJ303" i="2"/>
  <c r="AL303" i="2"/>
  <c r="AN303" i="2"/>
  <c r="AP303" i="2"/>
  <c r="AR303" i="2"/>
  <c r="AT303" i="2"/>
  <c r="AV303" i="2"/>
  <c r="AX303" i="2"/>
  <c r="AZ303" i="2"/>
  <c r="BC303" i="2"/>
  <c r="BD303" i="2"/>
  <c r="BE303" i="2"/>
  <c r="BF303" i="2"/>
  <c r="BG303" i="2"/>
  <c r="BH303" i="2"/>
  <c r="BI303" i="2"/>
  <c r="L304" i="2"/>
  <c r="T304" i="2"/>
  <c r="Z304" i="2"/>
  <c r="AB304" i="2"/>
  <c r="AD304" i="2"/>
  <c r="AF304" i="2"/>
  <c r="AH304" i="2"/>
  <c r="AJ304" i="2"/>
  <c r="AL304" i="2"/>
  <c r="AN304" i="2"/>
  <c r="AP304" i="2"/>
  <c r="AR304" i="2"/>
  <c r="AT304" i="2"/>
  <c r="AV304" i="2"/>
  <c r="AX304" i="2"/>
  <c r="AZ304" i="2"/>
  <c r="BC304" i="2"/>
  <c r="BD304" i="2"/>
  <c r="BE304" i="2"/>
  <c r="BF304" i="2"/>
  <c r="BG304" i="2"/>
  <c r="BH304" i="2"/>
  <c r="BI304" i="2"/>
  <c r="L305" i="2"/>
  <c r="P305" i="2"/>
  <c r="R305" i="2"/>
  <c r="T305" i="2"/>
  <c r="X305" i="2"/>
  <c r="Z305" i="2"/>
  <c r="AB305" i="2"/>
  <c r="AD305" i="2"/>
  <c r="AF305" i="2"/>
  <c r="AH305" i="2"/>
  <c r="AJ305" i="2"/>
  <c r="AL305" i="2"/>
  <c r="AN305" i="2"/>
  <c r="AP305" i="2"/>
  <c r="AR305" i="2"/>
  <c r="AT305" i="2"/>
  <c r="AV305" i="2"/>
  <c r="AX305" i="2"/>
  <c r="AZ305" i="2"/>
  <c r="BC305" i="2"/>
  <c r="BD305" i="2"/>
  <c r="BE305" i="2"/>
  <c r="BF305" i="2"/>
  <c r="BG305" i="2"/>
  <c r="BH305" i="2"/>
  <c r="BI305" i="2"/>
  <c r="BE4" i="2"/>
  <c r="BE5" i="2"/>
  <c r="BE3" i="2"/>
  <c r="L4" i="2"/>
  <c r="R4" i="2"/>
  <c r="T4" i="2"/>
  <c r="V4" i="2"/>
  <c r="AB4" i="2"/>
  <c r="AF4" i="2"/>
  <c r="AH4" i="2"/>
  <c r="AJ4" i="2"/>
  <c r="AL4" i="2"/>
  <c r="AN4" i="2"/>
  <c r="AP4" i="2"/>
  <c r="AR4" i="2"/>
  <c r="AT4" i="2"/>
  <c r="AV4" i="2"/>
  <c r="AX4" i="2"/>
  <c r="AZ4" i="2"/>
  <c r="BC4" i="2"/>
  <c r="BD4" i="2"/>
  <c r="L5" i="2"/>
  <c r="T5" i="2"/>
  <c r="AB5" i="2"/>
  <c r="AF5" i="2"/>
  <c r="AJ5" i="2"/>
  <c r="AL5" i="2"/>
  <c r="AN5" i="2"/>
  <c r="AP5" i="2"/>
  <c r="AR5" i="2"/>
  <c r="AT5" i="2"/>
  <c r="AV5" i="2"/>
  <c r="AX5" i="2"/>
  <c r="AZ5" i="2"/>
  <c r="BC5" i="2"/>
  <c r="BD5" i="2"/>
  <c r="L3" i="2"/>
  <c r="R3" i="2"/>
  <c r="T3" i="2"/>
  <c r="V3" i="2"/>
  <c r="AB3" i="2"/>
  <c r="AD3" i="2"/>
  <c r="AF3" i="2"/>
  <c r="AH3" i="2"/>
  <c r="AJ3" i="2"/>
  <c r="AN3" i="2"/>
  <c r="AP3" i="2"/>
  <c r="AR3" i="2"/>
  <c r="AV3" i="2"/>
  <c r="AX3" i="2"/>
  <c r="AZ3" i="2"/>
  <c r="BC3" i="2"/>
  <c r="P4" i="2"/>
  <c r="P5" i="2"/>
  <c r="P3" i="2"/>
  <c r="BG3" i="2"/>
  <c r="BH3" i="2"/>
  <c r="BG4" i="2"/>
  <c r="BH4" i="2"/>
  <c r="BG5" i="2"/>
  <c r="BH5" i="2"/>
  <c r="BD3" i="2"/>
  <c r="BF4" i="2"/>
  <c r="BF5" i="2"/>
  <c r="BF3" i="2"/>
</calcChain>
</file>

<file path=xl/sharedStrings.xml><?xml version="1.0" encoding="utf-8"?>
<sst xmlns="http://schemas.openxmlformats.org/spreadsheetml/2006/main" count="5315" uniqueCount="483">
  <si>
    <t>Nom Marchandise</t>
  </si>
  <si>
    <t>Direction</t>
  </si>
  <si>
    <t>Prix unitaire / unité de compte Lt</t>
  </si>
  <si>
    <t>Prix unitaire / unité de compte Sous</t>
  </si>
  <si>
    <t>Prix unitaire / unité de compte Deniers</t>
  </si>
  <si>
    <t>Prix unitaire en décimale de Lt</t>
  </si>
  <si>
    <t>Remarques</t>
  </si>
  <si>
    <t>Entré par</t>
  </si>
  <si>
    <t>Source</t>
  </si>
  <si>
    <t>Page</t>
  </si>
  <si>
    <t>Année</t>
  </si>
  <si>
    <t>Exportations (Sorties)/Importations (Entrées)</t>
  </si>
  <si>
    <t>Jérémy Hervelin</t>
  </si>
  <si>
    <t>Bureau Principal</t>
  </si>
  <si>
    <t>quintal</t>
  </si>
  <si>
    <t>livre</t>
  </si>
  <si>
    <t>Dunkerque</t>
  </si>
  <si>
    <t>Hollande</t>
  </si>
  <si>
    <t>Lorient</t>
  </si>
  <si>
    <t>Bayonne</t>
  </si>
  <si>
    <t>Espagne</t>
  </si>
  <si>
    <t>4 Villes Anséatiques</t>
  </si>
  <si>
    <t>Russie</t>
  </si>
  <si>
    <t>F12 1667</t>
  </si>
  <si>
    <t>Unité de mesure</t>
  </si>
  <si>
    <t>Ports et Pays de France</t>
  </si>
  <si>
    <t>Noms</t>
  </si>
  <si>
    <t>Quantités</t>
  </si>
  <si>
    <t>Portugal</t>
  </si>
  <si>
    <t>Total Général</t>
  </si>
  <si>
    <t>Valeurs</t>
  </si>
  <si>
    <t>Acier</t>
  </si>
  <si>
    <t>Beurre</t>
  </si>
  <si>
    <t>Bierre</t>
  </si>
  <si>
    <t>pièce</t>
  </si>
  <si>
    <t>Farine</t>
  </si>
  <si>
    <t>douzaine</t>
  </si>
  <si>
    <t>Valeurs sommées</t>
  </si>
  <si>
    <t>Différences quantité</t>
  </si>
  <si>
    <t>Différence valeurs</t>
  </si>
  <si>
    <t>Erreur</t>
  </si>
  <si>
    <t>Remarque calculs</t>
  </si>
  <si>
    <t>Thé</t>
  </si>
  <si>
    <t>Total Valeur en décimales de Lt</t>
  </si>
  <si>
    <t>Total quantité en décimales</t>
  </si>
  <si>
    <t>Importations</t>
  </si>
  <si>
    <t>le cent</t>
  </si>
  <si>
    <t>paire</t>
  </si>
  <si>
    <t>pinte</t>
  </si>
  <si>
    <t>Marseille</t>
  </si>
  <si>
    <t>Penne</t>
  </si>
  <si>
    <t>Septeme</t>
  </si>
  <si>
    <t>Arles</t>
  </si>
  <si>
    <t>Etats du Roi de Sardaigne</t>
  </si>
  <si>
    <t>Genes</t>
  </si>
  <si>
    <t>Milan, Toscane et Lucques</t>
  </si>
  <si>
    <t>Etat Eclésiastique</t>
  </si>
  <si>
    <t>Naples, Sicile et Parme</t>
  </si>
  <si>
    <t>Venise</t>
  </si>
  <si>
    <t>Etat de Barbarie</t>
  </si>
  <si>
    <t>Levant et Empire Ottoman</t>
  </si>
  <si>
    <t>Etats de l'Empereur en Allemagne et Flandre</t>
  </si>
  <si>
    <t>Darnemark et Norvege</t>
  </si>
  <si>
    <t>Suede</t>
  </si>
  <si>
    <t>Etats du Roi de Prusse</t>
  </si>
  <si>
    <t>Etats-Unis d'Amérique</t>
  </si>
  <si>
    <t>Pays ou Région</t>
  </si>
  <si>
    <t>Noms des Ports et Pays de France</t>
  </si>
  <si>
    <t>Quantité</t>
  </si>
  <si>
    <t>Unité de poids ou quantité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</si>
  <si>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</si>
  <si>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</si>
  <si>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</si>
  <si>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</si>
  <si>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</si>
  <si>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</si>
  <si>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Largeur en lignes (pour tissu)</t>
  </si>
  <si>
    <t>Amadou</t>
  </si>
  <si>
    <t>Amandes ; cassées</t>
  </si>
  <si>
    <t>Balais ; de palme</t>
  </si>
  <si>
    <t>Baleine ; canon</t>
  </si>
  <si>
    <t>Bijoutrie</t>
  </si>
  <si>
    <t>Bois ; de buis</t>
  </si>
  <si>
    <t>Bois ; à brûler</t>
  </si>
  <si>
    <t>Corse</t>
  </si>
  <si>
    <t>Bois ; en cercles</t>
  </si>
  <si>
    <t>paquet</t>
  </si>
  <si>
    <t>Bois ; en cercles ; pour tanier</t>
  </si>
  <si>
    <t>Bois ; de charonage</t>
  </si>
  <si>
    <t>Bois ; de chene</t>
  </si>
  <si>
    <t>Bois ; merrein ; en donelles</t>
  </si>
  <si>
    <t>Bois ; en matures</t>
  </si>
  <si>
    <t>Bois ; de Pui ; en planches</t>
  </si>
  <si>
    <t>Bois ; en planches ; du Nord</t>
  </si>
  <si>
    <t>Bois ; en poutres</t>
  </si>
  <si>
    <t>Bois ; ouvré ; divers</t>
  </si>
  <si>
    <t>Bois ; ouvré ; en  barre ; de Cabestan</t>
  </si>
  <si>
    <t>Bois ; en rames</t>
  </si>
  <si>
    <t>Bois ; des Indes ; de Brésil</t>
  </si>
  <si>
    <t>Bois ; des Indes ; de Campêche</t>
  </si>
  <si>
    <t>Bois ; des Indes ; d'Ebene</t>
  </si>
  <si>
    <t>Bois ; des Indes ; de Gayac</t>
  </si>
  <si>
    <t>Bois ; des Indes ; jaune</t>
  </si>
  <si>
    <t>Bois ; des Indes ; de Saint Marthois</t>
  </si>
  <si>
    <r>
      <t xml:space="preserve">Bois ; des Indes ; de Santal ; </t>
    </r>
    <r>
      <rPr>
        <sz val="12"/>
        <color rgb="FFFF0000"/>
        <rFont val="Calibri"/>
        <family val="2"/>
        <scheme val="minor"/>
      </rPr>
      <t>mouton</t>
    </r>
  </si>
  <si>
    <t>Bonneterie ; de coton ; en bas</t>
  </si>
  <si>
    <t>Bonneterie ; de coton ; en bonnet</t>
  </si>
  <si>
    <t>Bonneterie ; de fil ; en bas</t>
  </si>
  <si>
    <t>Bourre ; de soye</t>
  </si>
  <si>
    <t>Bourre ; de fil</t>
  </si>
  <si>
    <t>Bray</t>
  </si>
  <si>
    <t>Bray ; goudron</t>
  </si>
  <si>
    <t>Bray ; resine</t>
  </si>
  <si>
    <t>Cacao</t>
  </si>
  <si>
    <t>prix venant d'Espagne</t>
  </si>
  <si>
    <t>prix venant des autres puissances</t>
  </si>
  <si>
    <t>Caffé ; divers</t>
  </si>
  <si>
    <t>Caffé ; du Levant</t>
  </si>
  <si>
    <t>Cendres ; diverses</t>
  </si>
  <si>
    <t>Cendres ; barille</t>
  </si>
  <si>
    <t>Cendres ; bourde</t>
  </si>
  <si>
    <r>
      <t xml:space="preserve">Cendres ; de </t>
    </r>
    <r>
      <rPr>
        <sz val="12"/>
        <color rgb="FFFF0000"/>
        <rFont val="Calibri"/>
        <family val="2"/>
        <scheme val="minor"/>
      </rPr>
      <t>griguonia</t>
    </r>
  </si>
  <si>
    <t>Cendres ; potasse</t>
  </si>
  <si>
    <t>Cendres ; soude</t>
  </si>
  <si>
    <t>Cendres ; d'Egipte</t>
  </si>
  <si>
    <t>Chairs ; salées ; diverses</t>
  </si>
  <si>
    <t>Chairs ; salées ; de bœuf</t>
  </si>
  <si>
    <t>Chairs ; salées ; saucissons</t>
  </si>
  <si>
    <t>Chairs ; salées ; boyaux</t>
  </si>
  <si>
    <t>Chanvre ; brut</t>
  </si>
  <si>
    <t>Chanvre ; peigné</t>
  </si>
  <si>
    <t>Chapeaux ; de paille</t>
  </si>
  <si>
    <t>Charbon ; de bois</t>
  </si>
  <si>
    <t>Charbon ; de pierre</t>
  </si>
  <si>
    <t>Chocolat</t>
  </si>
  <si>
    <t>Cire ; en grain</t>
  </si>
  <si>
    <t>Cire ; jaune</t>
  </si>
  <si>
    <t>Colles ; diverses</t>
  </si>
  <si>
    <t>Corail ; ouvré</t>
  </si>
  <si>
    <t>Corail ; brut</t>
  </si>
  <si>
    <t>Cordages</t>
  </si>
  <si>
    <t>Cordes ; à violon</t>
  </si>
  <si>
    <t>Cornes ; de mouton</t>
  </si>
  <si>
    <t>Coton ; filé</t>
  </si>
  <si>
    <t>Coton ; filé ; rouge</t>
  </si>
  <si>
    <t>Coton ; en laine</t>
  </si>
  <si>
    <t>Couvertures ; fil et coton</t>
  </si>
  <si>
    <t>Crin</t>
  </si>
  <si>
    <t>Cuir ; de bœuf ; en poil</t>
  </si>
  <si>
    <t>Cuivre ; en feuille</t>
  </si>
  <si>
    <t>Cuivre ; en pain</t>
  </si>
  <si>
    <t>Cuivre ; ouvré</t>
  </si>
  <si>
    <t>Cuivre ; vieux</t>
  </si>
  <si>
    <t>Dentelle ; de fil</t>
  </si>
  <si>
    <t>Drogues ; diverses</t>
  </si>
  <si>
    <t>Drogues ; borax</t>
  </si>
  <si>
    <t>Drogues ; gomme ; arabique</t>
  </si>
  <si>
    <t>Drogues ; gomme ; adragants</t>
  </si>
  <si>
    <t>Drogues ; gomme ; de barbarie</t>
  </si>
  <si>
    <t>Drogues ; gomme ; commune</t>
  </si>
  <si>
    <t>Drogues ; mastic</t>
  </si>
  <si>
    <t>Drogues ; medicinales ; diverses</t>
  </si>
  <si>
    <t>Drogues ; medinales ; beaume</t>
  </si>
  <si>
    <t>Drogues ; medinales ; benjoin</t>
  </si>
  <si>
    <t>Drogues ; medinales ; cachou</t>
  </si>
  <si>
    <t>Drogues ; medinales ; corne ; fine</t>
  </si>
  <si>
    <r>
      <t xml:space="preserve">Drogues ; medinales ; </t>
    </r>
    <r>
      <rPr>
        <sz val="12"/>
        <color rgb="FFFF0000"/>
        <rFont val="Calibri"/>
        <family val="2"/>
        <scheme val="minor"/>
      </rPr>
      <t>cautharida</t>
    </r>
  </si>
  <si>
    <t>Drogues ; medinales ; carrouge</t>
  </si>
  <si>
    <t>Drogues ; medinales ; coloquinte</t>
  </si>
  <si>
    <t>Drogues ; medinales ; coq ; du Levant</t>
  </si>
  <si>
    <t>Drogues ; medinales ; coralin</t>
  </si>
  <si>
    <t>Drogues ; medinales ; crème ; de tarte</t>
  </si>
  <si>
    <t>Drogues ; medinales ; cumin</t>
  </si>
  <si>
    <t>Drogues ; medinales ; huile ; d'amandes ; douce</t>
  </si>
  <si>
    <t>Drogues ; medinales ; jalap</t>
  </si>
  <si>
    <t>Drogues ; medinales ; ipecacuana</t>
  </si>
  <si>
    <t>Drogues ; medinales ; manne</t>
  </si>
  <si>
    <t>Drogues ; medinales ; quinquina</t>
  </si>
  <si>
    <t>Drogues ; medinales ; reglisses</t>
  </si>
  <si>
    <t>Drogues ; medinales ; rhubarbe</t>
  </si>
  <si>
    <t>Drogues ; medinales ; saffran</t>
  </si>
  <si>
    <t>Drogues ; medinales ; salsepareille</t>
  </si>
  <si>
    <t>Drogues ; medinales ; scamonée</t>
  </si>
  <si>
    <t>Drogues ; medinales ; séné</t>
  </si>
  <si>
    <t>Drogues ; medinales ; storax</t>
  </si>
  <si>
    <t>Drogues ; medinales ; suc ; de reglisse</t>
  </si>
  <si>
    <t>Drogues ; medinales ; tamarin</t>
  </si>
  <si>
    <t>Drogues ; medinales ; vanille</t>
  </si>
  <si>
    <t>Drogues ; metalliques et chimiques ; argent</t>
  </si>
  <si>
    <t>Drogues ; metalliques et chimiques ; arsenic</t>
  </si>
  <si>
    <t>Drogues ; metalliques et chimiques ; antimoine</t>
  </si>
  <si>
    <t>Drogues ; metalliques et chimiques ; sel ; amoniac</t>
  </si>
  <si>
    <t>Drogues ; metalliques et chimiques ; sel ; de tartre</t>
  </si>
  <si>
    <r>
      <t xml:space="preserve">Drogues ; metalliques et chimiques ; </t>
    </r>
    <r>
      <rPr>
        <sz val="12"/>
        <color rgb="FFFF0000"/>
        <rFont val="Calibri"/>
        <family val="2"/>
        <scheme val="minor"/>
      </rPr>
      <t>toutemayen</t>
    </r>
  </si>
  <si>
    <t>Drogues ; metalliques et chimiques ; vitriol</t>
  </si>
  <si>
    <t>Drogues ; odorantes ; encens</t>
  </si>
  <si>
    <t>Drogues ; pour peinture et teinture ; diverses</t>
  </si>
  <si>
    <t>Drogues ; pour peinture et teinture ; alun</t>
  </si>
  <si>
    <t>Drogues ; pour peinture et teinture ; alquifoux</t>
  </si>
  <si>
    <t>Drogues ; pour peinture et teinture ; azur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</si>
  <si>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</si>
  <si>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</si>
  <si>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</si>
  <si>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</si>
  <si>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craye</t>
  </si>
  <si>
    <t>Drogues ; pour peinture et teinture ; galles</t>
  </si>
  <si>
    <t>Drogues ; pour peinture et teinture ; garence</t>
  </si>
  <si>
    <t>Drogues ; pour peinture et teinture ; graine ; d'avignon</t>
  </si>
  <si>
    <t>Drogues ; pour peinture et teinture ; indigo</t>
  </si>
  <si>
    <t>Drogues ; pour peinture et teinture ; indigo ; de Guatemala</t>
  </si>
  <si>
    <t>Drogues ; pour peinture et teinture ; inde ; platte</t>
  </si>
  <si>
    <t>Drogues ; pour peinture et teinture ; iris</t>
  </si>
  <si>
    <t>Drogues ; pour peinture et teinture ; lacque</t>
  </si>
  <si>
    <r>
      <t xml:space="preserve">Drogues ; pour peinture et teinture ; </t>
    </r>
    <r>
      <rPr>
        <sz val="12"/>
        <color rgb="FFFF0000"/>
        <rFont val="Calibri"/>
        <family val="2"/>
        <scheme val="minor"/>
      </rPr>
      <t>?</t>
    </r>
  </si>
  <si>
    <t>Drogues ; pour peinture et teinture ; rocou</t>
  </si>
  <si>
    <t>Drogues ; pour peinture et teinture ; saffranon</t>
  </si>
  <si>
    <t>Drogues ; pour peinture et teinture ; sumac</t>
  </si>
  <si>
    <t>Drogues ; pour peinture et teinture ; tartre</t>
  </si>
  <si>
    <t>Drogues ; pour peinture et teinture ; vermillon</t>
  </si>
  <si>
    <t>Drogues ; pour peinture et teinture ; verdet</t>
  </si>
  <si>
    <t>Eau ; de fleurs ; d'orange</t>
  </si>
  <si>
    <t>Eau ; de senteur</t>
  </si>
  <si>
    <t>Eau ; de vie</t>
  </si>
  <si>
    <t>Engrais ; en colombien</t>
  </si>
  <si>
    <t>Epicerie ; en canelle</t>
  </si>
  <si>
    <t>Epicerie ; fleurs ; de canelle</t>
  </si>
  <si>
    <t>Epicerie ; girofle</t>
  </si>
  <si>
    <t>Epicerie ; noix ; muscade</t>
  </si>
  <si>
    <t>Epicerie ; piment</t>
  </si>
  <si>
    <t>Epicerie ; poivre</t>
  </si>
  <si>
    <t>Epicerie ; poivre ; girofle</t>
  </si>
  <si>
    <t>Eponge</t>
  </si>
  <si>
    <t>Essence</t>
  </si>
  <si>
    <t>Etain</t>
  </si>
  <si>
    <t>Etoffe ; de soye</t>
  </si>
  <si>
    <t>Etoffe ; en velours</t>
  </si>
  <si>
    <t>Etoffe ; en bours ; du Levant</t>
  </si>
  <si>
    <t>Fayence</t>
  </si>
  <si>
    <t>Fers ; divers ou fondu</t>
  </si>
  <si>
    <t>Fers ; en barre</t>
  </si>
  <si>
    <t>Fers ; en balons</t>
  </si>
  <si>
    <t>Fers ; en ancre</t>
  </si>
  <si>
    <t>Fers ; blanc</t>
  </si>
  <si>
    <t>Fers ; ouvré</t>
  </si>
  <si>
    <t>Fers ; en plaque</t>
  </si>
  <si>
    <t>Fers ; en tôle</t>
  </si>
  <si>
    <t>Fers ; vieux</t>
  </si>
  <si>
    <t>Fil ; de chanvre ; blanc</t>
  </si>
  <si>
    <t>Fil ; à voile</t>
  </si>
  <si>
    <t>Fourage ; en glands ; de chêne</t>
  </si>
  <si>
    <t>Fourage ; en sou</t>
  </si>
  <si>
    <t>Fromage ; commun</t>
  </si>
  <si>
    <t>Fromage ; de Hollande</t>
  </si>
  <si>
    <t>Fromage ; de parmeson</t>
  </si>
  <si>
    <t>Fruits ; divers</t>
  </si>
  <si>
    <t>Fruits ; confits ; en confitures</t>
  </si>
  <si>
    <t>Fruits ; confits ; au vinaigre ; en capris</t>
  </si>
  <si>
    <t>Fruits ; secs ; en dattes</t>
  </si>
  <si>
    <t>Fruits ; secs ; figues</t>
  </si>
  <si>
    <t>Fruits ; secs ; noix et noisettes</t>
  </si>
  <si>
    <t>Fruits ; secs ; pistaches</t>
  </si>
  <si>
    <t>Fruits ; secs ; raisins</t>
  </si>
  <si>
    <t>Fruits ; secs ; raisins ; de Corenthe</t>
  </si>
  <si>
    <t>Fruits ; verds ou crus ; chateignes</t>
  </si>
  <si>
    <t>Fruits ; verds ou crus ; limons</t>
  </si>
  <si>
    <t>Fruits ; verds ou crus ; oranges</t>
  </si>
  <si>
    <t>Fruits ; verds ou crus ; poires</t>
  </si>
  <si>
    <t>Fruits ; verds ou crus ; prommes</t>
  </si>
  <si>
    <t>Futailles ; vides</t>
  </si>
  <si>
    <t>Grains ; comestibles ; avoine</t>
  </si>
  <si>
    <t>charge de 300 livres</t>
  </si>
  <si>
    <t>Grains ; comestibles ; bled ; froment</t>
  </si>
  <si>
    <t>Grains ; comestibles ; miltet</t>
  </si>
  <si>
    <t>Grains ; comestibles ; orge</t>
  </si>
  <si>
    <t>Grains ; comestibles ; ris</t>
  </si>
  <si>
    <t>Grains ; comestibles ; seigle</t>
  </si>
  <si>
    <t>Graines ; diverses</t>
  </si>
  <si>
    <t>Graines ; d'anis</t>
  </si>
  <si>
    <t>Graines ; de lin</t>
  </si>
  <si>
    <t>Graines ; longue</t>
  </si>
  <si>
    <t>Graines ; de moutarde</t>
  </si>
  <si>
    <t>Graisse</t>
  </si>
  <si>
    <t>Habillements ; en capots ; de laine</t>
  </si>
  <si>
    <t>Habillements ; en fourure ; de soye</t>
  </si>
  <si>
    <t>Horlogerie</t>
  </si>
  <si>
    <t>Huile ; spirituelle ; de girofle</t>
  </si>
  <si>
    <t>Huile ; spirituelle ; de lin</t>
  </si>
  <si>
    <t>Huile ; spirituelle ; d'olive</t>
  </si>
  <si>
    <t>muid de 120 livres</t>
  </si>
  <si>
    <t>ou 12 sous la livre</t>
  </si>
  <si>
    <t>Huile ; spirituelle ; de poisson</t>
  </si>
  <si>
    <t>Huile ; spirituelle ; de baleine</t>
  </si>
  <si>
    <t>Ivoire ; en dents ; d'éléphant</t>
  </si>
  <si>
    <t>Jus ; de limon</t>
  </si>
  <si>
    <t>Laine ; de chevron</t>
  </si>
  <si>
    <t>Laine ; fine</t>
  </si>
  <si>
    <t>Laine ; lavée</t>
  </si>
  <si>
    <t>Laine ; pellade</t>
  </si>
  <si>
    <t>Laine ; de pouille</t>
  </si>
  <si>
    <t>Laine ; de segovie</t>
  </si>
  <si>
    <t>Laine ; surge</t>
  </si>
  <si>
    <t>Laine ; commune</t>
  </si>
  <si>
    <t>Laiton ; filé</t>
  </si>
  <si>
    <t>Légumes ; divers</t>
  </si>
  <si>
    <t>Légumes ; aile</t>
  </si>
  <si>
    <t>Légumes ; feves</t>
  </si>
  <si>
    <t>Légumes ; haricots</t>
  </si>
  <si>
    <t>Légumes ; oignons</t>
  </si>
  <si>
    <t>Légumes ; pois</t>
  </si>
  <si>
    <t>Légumes ; pois ; chiche</t>
  </si>
  <si>
    <t>Lie ; de vin</t>
  </si>
  <si>
    <t>Liege ; en planche</t>
  </si>
  <si>
    <t>Liege ; en bouchon</t>
  </si>
  <si>
    <t>Lin ; peigné</t>
  </si>
  <si>
    <t>Liqueur ; commune</t>
  </si>
  <si>
    <t>Liqueur ; sirops ; fin</t>
  </si>
  <si>
    <t>Libraririe</t>
  </si>
  <si>
    <t>Marbre ; brut</t>
  </si>
  <si>
    <t>Marbre ; ouvré</t>
  </si>
  <si>
    <t>Marchandises ; à la valeur</t>
  </si>
  <si>
    <t>Meches ; souffrée</t>
  </si>
  <si>
    <t>Mercerie ; diverse</t>
  </si>
  <si>
    <t>le reste</t>
  </si>
  <si>
    <t>Miel</t>
  </si>
  <si>
    <t>Mineraux</t>
  </si>
  <si>
    <t>Mouchoirs ; de coton ; blanc</t>
  </si>
  <si>
    <t>Mouhcoirs ; de fil</t>
  </si>
  <si>
    <t>Mouchoirs ; de soye</t>
  </si>
  <si>
    <t>Oignons ; de fleurs</t>
  </si>
  <si>
    <r>
      <t xml:space="preserve">Oignons ; de </t>
    </r>
    <r>
      <rPr>
        <sz val="12"/>
        <color rgb="FFFF0000"/>
        <rFont val="Calibri"/>
        <family val="2"/>
        <scheme val="minor"/>
      </rPr>
      <t>squille</t>
    </r>
  </si>
  <si>
    <t>Orfevrerie</t>
  </si>
  <si>
    <t>marc</t>
  </si>
  <si>
    <t>Ouvrages ; divers</t>
  </si>
  <si>
    <t>Ouvrages ; d'auffe ; en cousses</t>
  </si>
  <si>
    <t>Ouvrages ; d'auffe ; ouvré</t>
  </si>
  <si>
    <t>Ouvrages ; de jonc ; en mattes</t>
  </si>
  <si>
    <t>Ouvrages ; d'ivoire</t>
  </si>
  <si>
    <t>Ouvrages ; de porcelaine</t>
  </si>
  <si>
    <t>Ouvrages ; d'ozier ; en corbeilles</t>
  </si>
  <si>
    <t>Ouvrages ; de terre ; cuite ; en pipes</t>
  </si>
  <si>
    <r>
      <t xml:space="preserve">Ouvrages ; en briques ; </t>
    </r>
    <r>
      <rPr>
        <sz val="12"/>
        <color rgb="FFFF0000"/>
        <rFont val="Calibri"/>
        <family val="2"/>
        <scheme val="minor"/>
      </rPr>
      <t>?</t>
    </r>
  </si>
  <si>
    <r>
      <t>Ouvrages ; de verre ; en</t>
    </r>
    <r>
      <rPr>
        <sz val="12"/>
        <color rgb="FFFF0000"/>
        <rFont val="Calibri"/>
        <family val="2"/>
        <scheme val="minor"/>
      </rPr>
      <t xml:space="preserve"> ?</t>
    </r>
  </si>
  <si>
    <t>Papier ; blanc ; à ecrire</t>
  </si>
  <si>
    <t>Papier ; de pliage</t>
  </si>
  <si>
    <t>Parapluye</t>
  </si>
  <si>
    <t>rame</t>
  </si>
  <si>
    <t>Parfumerie ; diverse</t>
  </si>
  <si>
    <t>Parfumerie ; pâte ; d'amande</t>
  </si>
  <si>
    <t>Parfumerie ; pomade</t>
  </si>
  <si>
    <t>Parfumerie ; savonettes</t>
  </si>
  <si>
    <t>Pâte ; d'Italie ; sagon</t>
  </si>
  <si>
    <t>Pâte ; d'Italie ; semouille</t>
  </si>
  <si>
    <t>Pâte ; d'Italie ; vemissel</t>
  </si>
  <si>
    <t>Peaux ; diverses</t>
  </si>
  <si>
    <t>Peaux ; de bouc</t>
  </si>
  <si>
    <t>Peaux ; de chevre ; en poil</t>
  </si>
  <si>
    <t>Peaux ; de lapin ; en poil</t>
  </si>
  <si>
    <t>Peaux ; de lievres ; en poil</t>
  </si>
  <si>
    <t>Peaux ; de mouton ; en laine</t>
  </si>
  <si>
    <t>Peaux ; de veaux ; en poil</t>
  </si>
  <si>
    <t>Pierres ; d'ardoises</t>
  </si>
  <si>
    <t>Pierres ; à éguiser</t>
  </si>
  <si>
    <t>Pierres ; à faulx</t>
  </si>
  <si>
    <t>Pierres ; à huile</t>
  </si>
  <si>
    <t>Pierres ; ponce</t>
  </si>
  <si>
    <t>Plume ; à lit</t>
  </si>
  <si>
    <t>Poil ; de chevre ; simple</t>
  </si>
  <si>
    <t>Poil ; de chevre ; filé</t>
  </si>
  <si>
    <t>Plomb ; en pain</t>
  </si>
  <si>
    <t>Poissons ; divers</t>
  </si>
  <si>
    <t>Poissons ; salé ; en harangs</t>
  </si>
  <si>
    <t>barils</t>
  </si>
  <si>
    <t>Poissons ; morue ; seche</t>
  </si>
  <si>
    <t>Poissons ; sardines</t>
  </si>
  <si>
    <t>barique</t>
  </si>
  <si>
    <t>baril</t>
  </si>
  <si>
    <t>Poissons ; saumon</t>
  </si>
  <si>
    <t>Poissons ; stocfich</t>
  </si>
  <si>
    <t>Poissons ; thon</t>
  </si>
  <si>
    <t>Poissons ; salés ; marinés ; anchois</t>
  </si>
  <si>
    <t>Perles ; en semeuse ; sous la dénomination de Grainelle</t>
  </si>
  <si>
    <t>Quincaillerie ; diverse</t>
  </si>
  <si>
    <t>Quincaillerie ; de fer ; en clous</t>
  </si>
  <si>
    <t>Quincaillerie ; de fer ; en fil</t>
  </si>
  <si>
    <t>Quincaillerie ; de fer ; etain ; en faulx</t>
  </si>
  <si>
    <t>Quincaillerie ; de cuivre ; en caffetieres</t>
  </si>
  <si>
    <t>? ; de corne</t>
  </si>
  <si>
    <t>Rubans ; de soye</t>
  </si>
  <si>
    <t>Rubans ; de fil</t>
  </si>
  <si>
    <t>Souffre</t>
  </si>
  <si>
    <t>Souffre ; en canon</t>
  </si>
  <si>
    <t>Soye ; brousse</t>
  </si>
  <si>
    <t>Soye ; ecrue</t>
  </si>
  <si>
    <t>Soye ; greze</t>
  </si>
  <si>
    <t>Soye ; moresque</t>
  </si>
  <si>
    <t>Soye ; ouvrée</t>
  </si>
  <si>
    <t>Soye ; en cocou</t>
  </si>
  <si>
    <t>Soye ; en strasse</t>
  </si>
  <si>
    <t>Suif ; en chandelle</t>
  </si>
  <si>
    <t>Suif ; en pain</t>
  </si>
  <si>
    <t>Tabac ; en feuilles</t>
  </si>
  <si>
    <r>
      <t>Terre ;</t>
    </r>
    <r>
      <rPr>
        <sz val="12"/>
        <color rgb="FFFF0000"/>
        <rFont val="Calibri"/>
        <family val="2"/>
        <scheme val="minor"/>
      </rPr>
      <t xml:space="preserve"> pozolane</t>
    </r>
  </si>
  <si>
    <t>Terre ; rouge</t>
  </si>
  <si>
    <t>Terraille ; commune</t>
  </si>
  <si>
    <t>Toile ; de coton ; blanche ; dite abati</t>
  </si>
  <si>
    <t>Toile ; de coton ; blanche ; dite aman</t>
  </si>
  <si>
    <t>Toile ; de coton ; blanche ; dite guinée</t>
  </si>
  <si>
    <t>Toile ; de coton ; blanche ; dite escanite</t>
  </si>
  <si>
    <t>Toile ; de coton ; blanche ; dite large</t>
  </si>
  <si>
    <t>Toile ; de coton ; blanche ; dite de mitte</t>
  </si>
  <si>
    <t>Toile ; de coton ; blanche ; mousseline</t>
  </si>
  <si>
    <t>Toile ; de coton ; blanche ; nanquin</t>
  </si>
  <si>
    <t>Toile ; de chanvre ; blanche</t>
  </si>
  <si>
    <t>Toile ; d'emballage</t>
  </si>
  <si>
    <t>Toile ; de crin</t>
  </si>
  <si>
    <t>Verre ; cassé</t>
  </si>
  <si>
    <t>Vin ; blanc</t>
  </si>
  <si>
    <t>Vin ; de Chipre</t>
  </si>
  <si>
    <t>Vin ; de liqueur</t>
  </si>
  <si>
    <t>Vin ; de Malaga</t>
  </si>
  <si>
    <t>Vin ; muscat</t>
  </si>
  <si>
    <t>Vin ; rouge</t>
  </si>
  <si>
    <t>Vin ; de Tinto</t>
  </si>
  <si>
    <t>Ustenciles ; de pêche ; en filets</t>
  </si>
  <si>
    <t>muid de 62,5 pintes</t>
  </si>
  <si>
    <t>problème d'unité entre le prix et les quantités</t>
  </si>
  <si>
    <t>?</t>
  </si>
  <si>
    <t>muid</t>
  </si>
  <si>
    <t>Plomb ; en grenaille</t>
  </si>
  <si>
    <t>Angleterre</t>
  </si>
  <si>
    <t>Bois ; merrein</t>
  </si>
  <si>
    <t>Bois ; divers ; des Isles</t>
  </si>
  <si>
    <t>Etain ; en bloc</t>
  </si>
  <si>
    <t>Fer ; blanc</t>
  </si>
  <si>
    <t>Fer ; en barres</t>
  </si>
  <si>
    <t>Goudron</t>
  </si>
  <si>
    <t>Fer ; fondu</t>
  </si>
  <si>
    <t>Fer ; noir ; en feuilles</t>
  </si>
  <si>
    <t>Fer ; en cercles</t>
  </si>
  <si>
    <t>Plomb</t>
  </si>
  <si>
    <t>Suif</t>
  </si>
  <si>
    <t>Thon ; mariné</t>
  </si>
  <si>
    <t>Catégorie</t>
  </si>
  <si>
    <t>Bois, métaux, combustibles</t>
  </si>
  <si>
    <t>Comestibles</t>
  </si>
  <si>
    <t>Drogueries et epiceries</t>
  </si>
  <si>
    <t>Alquifoux</t>
  </si>
  <si>
    <t>Houblon</t>
  </si>
  <si>
    <t>Canelle</t>
  </si>
  <si>
    <t>Castoream</t>
  </si>
  <si>
    <t>Indigo</t>
  </si>
  <si>
    <t>Alun</t>
  </si>
  <si>
    <t>Litarge</t>
  </si>
  <si>
    <t>Piment</t>
  </si>
  <si>
    <t>Poivre ; ordinaire</t>
  </si>
  <si>
    <t>Poivre ; en grabeau</t>
  </si>
  <si>
    <t>Cavia liquea</t>
  </si>
  <si>
    <t>Objets manufacturés</t>
  </si>
  <si>
    <t>Bonneterie ; de coton</t>
  </si>
  <si>
    <t>Bonneterie ; de fil</t>
  </si>
  <si>
    <t>Bonneterie ; de laine</t>
  </si>
  <si>
    <t>Etoffes ; de coton</t>
  </si>
  <si>
    <t>Etoffes ; de laine</t>
  </si>
  <si>
    <t>Objets d'industrie</t>
  </si>
  <si>
    <t>Cornes ; à lanterne</t>
  </si>
  <si>
    <t>Futailles ; vuides</t>
  </si>
  <si>
    <t>Instruments ; de musique</t>
  </si>
  <si>
    <t>Instruments ; de mathématique</t>
  </si>
  <si>
    <t>Mercerie</t>
  </si>
  <si>
    <t>Ouvrages ; de cuir</t>
  </si>
  <si>
    <t>Pelleterie</t>
  </si>
  <si>
    <t>Quincaillerie ; de fer ; en acier</t>
  </si>
  <si>
    <t>Quincaillerie ; de cuivre ; en chaud</t>
  </si>
  <si>
    <t>Verrerie</t>
  </si>
  <si>
    <t>Boisson</t>
  </si>
  <si>
    <t>Marchandises à la valeur</t>
  </si>
  <si>
    <t>Divers</t>
  </si>
  <si>
    <t>en nombre</t>
  </si>
  <si>
    <t>prix identique pratiqué par le port de Lorient et le Levant mais différent du Portugal</t>
  </si>
  <si>
    <t>prix pratiqué d'Espagne et Gènes différent</t>
  </si>
  <si>
    <r>
      <t xml:space="preserve">prix implicite de environ </t>
    </r>
    <r>
      <rPr>
        <b/>
        <sz val="11"/>
        <rFont val="Trebuchet MS"/>
        <family val="2"/>
      </rPr>
      <t>7 lt</t>
    </r>
    <r>
      <rPr>
        <sz val="11"/>
        <rFont val="Trebuchet MS"/>
        <family val="2"/>
      </rPr>
      <t xml:space="preserve"> le quintal</t>
    </r>
  </si>
  <si>
    <r>
      <t xml:space="preserve">prix implicite de environ </t>
    </r>
    <r>
      <rPr>
        <b/>
        <sz val="11"/>
        <rFont val="Trebuchet MS"/>
        <family val="2"/>
      </rPr>
      <t>113 lt et 12 sous</t>
    </r>
    <r>
      <rPr>
        <sz val="11"/>
        <rFont val="Trebuchet MS"/>
        <family val="2"/>
      </rPr>
      <t>, soit 113,6 lt le muid</t>
    </r>
  </si>
  <si>
    <r>
      <t xml:space="preserve">prix implicite de environ </t>
    </r>
    <r>
      <rPr>
        <b/>
        <sz val="11"/>
        <rFont val="Trebuchet MS"/>
        <family val="2"/>
      </rPr>
      <t>90 lt 6 sous</t>
    </r>
    <r>
      <rPr>
        <sz val="11"/>
        <rFont val="Trebuchet MS"/>
        <family val="2"/>
      </rPr>
      <t>, soit 90,3 lt le quintal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</si>
</sst>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0000"/>
  </numFmts>
  <fonts count="10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6600"/>
      <name val="Trebuchet MS"/>
    </font>
    <font>
      <sz val="12"/>
      <color rgb="FFFF0000"/>
      <name val="Calibri"/>
      <family val="2"/>
      <scheme val="minor"/>
    </font>
    <font>
      <sz val="11"/>
      <color rgb="FFFF0000"/>
      <name val="Trebuchet MS"/>
    </font>
    <font>
      <sz val="11"/>
      <color rgb="FF008000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49" fontId="0" fillId="0" borderId="0" xfId="0" applyNumberFormat="1" applyAlignment="1">
      <alignment horizontal="left"/>
    </xf>
    <xf numFmtId="2" fontId="2" fillId="3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6" fillId="4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7" fillId="0" borderId="1" xfId="0" applyFont="1" applyBorder="1"/>
    <xf numFmtId="2" fontId="9" fillId="2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2" borderId="1" xfId="0" applyNumberFormat="1" applyFont="1" applyFill="1" applyBorder="1" applyAlignment="1">
      <alignment vertical="center"/>
    </xf>
  </cellXfs>
  <cellStyles count="3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workbookViewId="0">
      <selection activeCell="D20" sqref="D20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7.83203125" bestFit="1" customWidth="1"/>
    <col min="9" max="9" width="7.6640625" bestFit="1" customWidth="1"/>
    <col min="10" max="10" width="8.6640625" bestFit="1" customWidth="1"/>
    <col min="11" max="11" width="9.1640625" bestFit="1" customWidth="1"/>
    <col min="12" max="12" width="8.5" bestFit="1" customWidth="1"/>
    <col min="13" max="13" width="18.33203125" style="14" bestFit="1" customWidth="1"/>
    <col min="14" max="15" width="8" bestFit="1" customWidth="1"/>
    <col min="16" max="16" width="10.6640625" bestFit="1" customWidth="1"/>
    <col min="17" max="17" width="9.33203125" bestFit="1" customWidth="1"/>
    <col min="18" max="18" width="7.6640625" bestFit="1" customWidth="1"/>
    <col min="19" max="19" width="6.83203125" bestFit="1" customWidth="1"/>
    <col min="20" max="20" width="11.33203125" bestFit="1" customWidth="1"/>
    <col min="21" max="21" width="9.6640625" bestFit="1" customWidth="1"/>
    <col min="22" max="22" width="10.33203125" bestFit="1" customWidth="1"/>
    <col min="23" max="23" width="10.5" bestFit="1" customWidth="1"/>
    <col min="24" max="24" width="9" bestFit="1" customWidth="1"/>
    <col min="25" max="25" width="9.6640625" bestFit="1" customWidth="1"/>
    <col min="26" max="26" width="9.1640625" bestFit="1" customWidth="1"/>
    <col min="27" max="33" width="9.6640625" bestFit="1" customWidth="1"/>
    <col min="34" max="34" width="9.1640625" bestFit="1" customWidth="1"/>
    <col min="35" max="36" width="9.6640625" bestFit="1" customWidth="1"/>
    <col min="37" max="37" width="10.6640625" bestFit="1" customWidth="1"/>
    <col min="38" max="38" width="12.5" bestFit="1" customWidth="1"/>
    <col min="39" max="39" width="8.1640625" bestFit="1" customWidth="1"/>
    <col min="40" max="40" width="15.33203125" bestFit="1" customWidth="1"/>
    <col min="41" max="41" width="8.33203125" bestFit="1" customWidth="1"/>
    <col min="42" max="42" width="18.5" bestFit="1" customWidth="1"/>
    <col min="43" max="43" width="14" bestFit="1" customWidth="1"/>
    <col min="44" max="44" width="15.33203125" bestFit="1" customWidth="1"/>
    <col min="45" max="45" width="17.1640625" bestFit="1" customWidth="1"/>
    <col min="46" max="46" width="23.1640625" bestFit="1" customWidth="1"/>
  </cols>
  <sheetData>
    <row r="1" spans="1:24" ht="78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34" t="s">
        <v>66</v>
      </c>
      <c r="J1" s="34" t="s">
        <v>67</v>
      </c>
      <c r="K1" s="19" t="s">
        <v>68</v>
      </c>
      <c r="L1" s="21" t="s">
        <v>69</v>
      </c>
      <c r="M1" s="19" t="s">
        <v>2</v>
      </c>
      <c r="N1" s="19" t="s">
        <v>3</v>
      </c>
      <c r="O1" s="19" t="s">
        <v>4</v>
      </c>
      <c r="P1" s="20" t="s">
        <v>5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21" t="s">
        <v>76</v>
      </c>
      <c r="X1" s="21" t="s">
        <v>6</v>
      </c>
    </row>
    <row r="2" spans="1:24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50</v>
      </c>
      <c r="G2" s="31">
        <v>2</v>
      </c>
      <c r="H2" s="35"/>
      <c r="I2" s="36"/>
      <c r="J2" s="36"/>
      <c r="K2" s="5"/>
      <c r="L2" s="37"/>
      <c r="M2" s="5"/>
      <c r="N2" s="5"/>
      <c r="O2" s="6"/>
      <c r="P2" s="7">
        <f t="shared" ref="P2:P4" si="0">M2+(0.05*N2)+(O2/240)</f>
        <v>0</v>
      </c>
      <c r="Q2" s="5"/>
      <c r="R2" s="5"/>
      <c r="S2" s="5"/>
      <c r="T2" s="5">
        <f t="shared" ref="T2:T4" si="1">Q2+(R2*0.05)+(S2/240)</f>
        <v>0</v>
      </c>
      <c r="U2" s="5">
        <f t="shared" ref="U2:U4" si="2">K2*P2</f>
        <v>0</v>
      </c>
      <c r="V2" s="38">
        <f>T2-U2</f>
        <v>0</v>
      </c>
      <c r="W2" s="2"/>
      <c r="X2" s="2"/>
    </row>
    <row r="3" spans="1:24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50</v>
      </c>
      <c r="G3" s="31">
        <v>2</v>
      </c>
      <c r="H3" s="35"/>
      <c r="I3" s="36"/>
      <c r="J3" s="36"/>
      <c r="K3" s="5"/>
      <c r="L3" s="37"/>
      <c r="M3" s="5"/>
      <c r="N3" s="5"/>
      <c r="O3" s="6"/>
      <c r="P3" s="7">
        <f t="shared" si="0"/>
        <v>0</v>
      </c>
      <c r="Q3" s="5"/>
      <c r="R3" s="5"/>
      <c r="S3" s="5"/>
      <c r="T3" s="5">
        <f t="shared" si="1"/>
        <v>0</v>
      </c>
      <c r="U3" s="5">
        <f t="shared" si="2"/>
        <v>0</v>
      </c>
      <c r="V3" s="38">
        <f t="shared" ref="V3:V5" si="3">T3-U3</f>
        <v>0</v>
      </c>
      <c r="W3" s="2"/>
      <c r="X3" s="2"/>
    </row>
    <row r="4" spans="1:24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50</v>
      </c>
      <c r="G4" s="31">
        <v>2</v>
      </c>
      <c r="H4" s="35"/>
      <c r="I4" s="36"/>
      <c r="J4" s="36"/>
      <c r="K4" s="5"/>
      <c r="L4" s="37"/>
      <c r="M4" s="5"/>
      <c r="N4" s="5"/>
      <c r="O4" s="6"/>
      <c r="P4" s="7">
        <f t="shared" si="0"/>
        <v>0</v>
      </c>
      <c r="Q4" s="5"/>
      <c r="R4" s="5"/>
      <c r="S4" s="5"/>
      <c r="T4" s="5">
        <f t="shared" si="1"/>
        <v>0</v>
      </c>
      <c r="U4" s="5">
        <f t="shared" si="2"/>
        <v>0</v>
      </c>
      <c r="V4" s="38">
        <f t="shared" si="3"/>
        <v>0</v>
      </c>
      <c r="W4" s="2"/>
      <c r="X4" s="2"/>
    </row>
    <row r="5" spans="1:24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50</v>
      </c>
      <c r="G5" s="31">
        <v>2</v>
      </c>
      <c r="H5" s="35"/>
      <c r="I5" s="36"/>
      <c r="J5" s="36"/>
      <c r="K5" s="5"/>
      <c r="L5" s="37"/>
      <c r="M5" s="5"/>
      <c r="N5" s="5"/>
      <c r="O5" s="6"/>
      <c r="P5" s="7">
        <f t="shared" ref="P5:P68" si="4">M5+(0.05*N5)+(O5/240)</f>
        <v>0</v>
      </c>
      <c r="Q5" s="5"/>
      <c r="R5" s="5"/>
      <c r="S5" s="5"/>
      <c r="T5" s="5">
        <f t="shared" ref="T5:T68" si="5">Q5+(R5*0.05)+(S5/240)</f>
        <v>0</v>
      </c>
      <c r="U5" s="5">
        <f t="shared" ref="U5:U68" si="6">K5*P5</f>
        <v>0</v>
      </c>
      <c r="V5" s="38">
        <f t="shared" si="3"/>
        <v>0</v>
      </c>
      <c r="W5" s="2"/>
      <c r="X5" s="2"/>
    </row>
    <row r="6" spans="1:24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50</v>
      </c>
      <c r="G6" s="31">
        <v>2</v>
      </c>
      <c r="H6" s="35"/>
      <c r="I6" s="36"/>
      <c r="J6" s="36"/>
      <c r="K6" s="5"/>
      <c r="L6" s="37"/>
      <c r="M6" s="5"/>
      <c r="N6" s="5"/>
      <c r="O6" s="6"/>
      <c r="P6" s="7">
        <f t="shared" si="4"/>
        <v>0</v>
      </c>
      <c r="Q6" s="5"/>
      <c r="R6" s="5"/>
      <c r="S6" s="5"/>
      <c r="T6" s="5">
        <f t="shared" si="5"/>
        <v>0</v>
      </c>
      <c r="U6" s="5">
        <f t="shared" si="6"/>
        <v>0</v>
      </c>
      <c r="V6" s="38">
        <f t="shared" ref="V6:V69" si="7">T6-U6</f>
        <v>0</v>
      </c>
      <c r="W6" s="2"/>
      <c r="X6" s="2"/>
    </row>
    <row r="7" spans="1:24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50</v>
      </c>
      <c r="G7" s="31">
        <v>2</v>
      </c>
      <c r="H7" s="35"/>
      <c r="I7" s="36"/>
      <c r="J7" s="36"/>
      <c r="K7" s="5"/>
      <c r="L7" s="37"/>
      <c r="M7" s="5"/>
      <c r="N7" s="5"/>
      <c r="O7" s="6"/>
      <c r="P7" s="7">
        <f t="shared" si="4"/>
        <v>0</v>
      </c>
      <c r="Q7" s="5"/>
      <c r="R7" s="5"/>
      <c r="S7" s="5"/>
      <c r="T7" s="5">
        <f t="shared" si="5"/>
        <v>0</v>
      </c>
      <c r="U7" s="5">
        <f t="shared" si="6"/>
        <v>0</v>
      </c>
      <c r="V7" s="38">
        <f t="shared" si="7"/>
        <v>0</v>
      </c>
      <c r="W7" s="2"/>
      <c r="X7" s="2"/>
    </row>
    <row r="8" spans="1:24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50</v>
      </c>
      <c r="G8" s="31">
        <v>2</v>
      </c>
      <c r="H8" s="35"/>
      <c r="I8" s="36"/>
      <c r="J8" s="36"/>
      <c r="K8" s="5"/>
      <c r="L8" s="37"/>
      <c r="M8" s="5"/>
      <c r="N8" s="5"/>
      <c r="O8" s="6"/>
      <c r="P8" s="7">
        <f t="shared" si="4"/>
        <v>0</v>
      </c>
      <c r="Q8" s="5"/>
      <c r="R8" s="5"/>
      <c r="S8" s="5"/>
      <c r="T8" s="5">
        <f t="shared" si="5"/>
        <v>0</v>
      </c>
      <c r="U8" s="5">
        <f t="shared" si="6"/>
        <v>0</v>
      </c>
      <c r="V8" s="38">
        <f t="shared" si="7"/>
        <v>0</v>
      </c>
      <c r="W8" s="2"/>
      <c r="X8" s="2"/>
    </row>
    <row r="9" spans="1:24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50</v>
      </c>
      <c r="G9" s="31">
        <v>2</v>
      </c>
      <c r="H9" s="35"/>
      <c r="I9" s="36"/>
      <c r="J9" s="36"/>
      <c r="K9" s="5"/>
      <c r="L9" s="37"/>
      <c r="M9" s="5"/>
      <c r="N9" s="5"/>
      <c r="O9" s="6"/>
      <c r="P9" s="7">
        <f t="shared" si="4"/>
        <v>0</v>
      </c>
      <c r="Q9" s="5"/>
      <c r="R9" s="5"/>
      <c r="S9" s="5"/>
      <c r="T9" s="5">
        <f t="shared" si="5"/>
        <v>0</v>
      </c>
      <c r="U9" s="5">
        <f t="shared" si="6"/>
        <v>0</v>
      </c>
      <c r="V9" s="38">
        <f t="shared" si="7"/>
        <v>0</v>
      </c>
      <c r="W9" s="2"/>
      <c r="X9" s="2"/>
    </row>
    <row r="10" spans="1:24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50</v>
      </c>
      <c r="G10" s="31">
        <v>2</v>
      </c>
      <c r="H10" s="35"/>
      <c r="I10" s="36"/>
      <c r="J10" s="36"/>
      <c r="K10" s="5"/>
      <c r="L10" s="37"/>
      <c r="M10" s="5"/>
      <c r="N10" s="5"/>
      <c r="O10" s="6"/>
      <c r="P10" s="7">
        <f t="shared" si="4"/>
        <v>0</v>
      </c>
      <c r="Q10" s="5"/>
      <c r="R10" s="5"/>
      <c r="S10" s="5"/>
      <c r="T10" s="5">
        <f t="shared" si="5"/>
        <v>0</v>
      </c>
      <c r="U10" s="5">
        <f t="shared" si="6"/>
        <v>0</v>
      </c>
      <c r="V10" s="38">
        <f t="shared" si="7"/>
        <v>0</v>
      </c>
      <c r="W10" s="2"/>
      <c r="X10" s="2"/>
    </row>
    <row r="11" spans="1:24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50</v>
      </c>
      <c r="G11" s="31">
        <v>2</v>
      </c>
      <c r="H11" s="35"/>
      <c r="I11" s="36"/>
      <c r="J11" s="36"/>
      <c r="K11" s="5"/>
      <c r="L11" s="37"/>
      <c r="M11" s="5"/>
      <c r="N11" s="5"/>
      <c r="O11" s="6"/>
      <c r="P11" s="7">
        <f t="shared" si="4"/>
        <v>0</v>
      </c>
      <c r="Q11" s="5"/>
      <c r="R11" s="5"/>
      <c r="S11" s="5"/>
      <c r="T11" s="5">
        <f t="shared" si="5"/>
        <v>0</v>
      </c>
      <c r="U11" s="5">
        <f t="shared" si="6"/>
        <v>0</v>
      </c>
      <c r="V11" s="38">
        <f t="shared" si="7"/>
        <v>0</v>
      </c>
      <c r="W11" s="2"/>
      <c r="X11" s="2"/>
    </row>
    <row r="12" spans="1:24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50</v>
      </c>
      <c r="G12" s="31">
        <v>2</v>
      </c>
      <c r="H12" s="35"/>
      <c r="I12" s="36"/>
      <c r="J12" s="36"/>
      <c r="K12" s="5"/>
      <c r="L12" s="37"/>
      <c r="M12" s="5"/>
      <c r="N12" s="5"/>
      <c r="O12" s="6"/>
      <c r="P12" s="7">
        <f t="shared" si="4"/>
        <v>0</v>
      </c>
      <c r="Q12" s="5"/>
      <c r="R12" s="5"/>
      <c r="S12" s="5"/>
      <c r="T12" s="5">
        <f t="shared" si="5"/>
        <v>0</v>
      </c>
      <c r="U12" s="5">
        <f t="shared" si="6"/>
        <v>0</v>
      </c>
      <c r="V12" s="38">
        <f t="shared" si="7"/>
        <v>0</v>
      </c>
      <c r="W12" s="2"/>
      <c r="X12" s="2"/>
    </row>
    <row r="13" spans="1:24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50</v>
      </c>
      <c r="G13" s="31">
        <v>2</v>
      </c>
      <c r="H13" s="35"/>
      <c r="I13" s="36"/>
      <c r="J13" s="36"/>
      <c r="K13" s="5"/>
      <c r="L13" s="37"/>
      <c r="M13" s="5"/>
      <c r="N13" s="5"/>
      <c r="O13" s="6"/>
      <c r="P13" s="7">
        <f t="shared" si="4"/>
        <v>0</v>
      </c>
      <c r="Q13" s="5"/>
      <c r="R13" s="5"/>
      <c r="S13" s="5"/>
      <c r="T13" s="5">
        <f t="shared" si="5"/>
        <v>0</v>
      </c>
      <c r="U13" s="5">
        <f t="shared" si="6"/>
        <v>0</v>
      </c>
      <c r="V13" s="38">
        <f t="shared" si="7"/>
        <v>0</v>
      </c>
      <c r="W13" s="2"/>
      <c r="X13" s="2"/>
    </row>
    <row r="14" spans="1:24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50</v>
      </c>
      <c r="G14" s="31">
        <v>2</v>
      </c>
      <c r="H14" s="35"/>
      <c r="I14" s="36"/>
      <c r="J14" s="36"/>
      <c r="K14" s="5"/>
      <c r="L14" s="37"/>
      <c r="M14" s="5"/>
      <c r="N14" s="5"/>
      <c r="O14" s="6"/>
      <c r="P14" s="7">
        <f t="shared" si="4"/>
        <v>0</v>
      </c>
      <c r="Q14" s="5"/>
      <c r="R14" s="5"/>
      <c r="S14" s="5"/>
      <c r="T14" s="5">
        <f t="shared" si="5"/>
        <v>0</v>
      </c>
      <c r="U14" s="5">
        <f t="shared" si="6"/>
        <v>0</v>
      </c>
      <c r="V14" s="38">
        <f t="shared" si="7"/>
        <v>0</v>
      </c>
      <c r="W14" s="2"/>
      <c r="X14" s="2"/>
    </row>
    <row r="15" spans="1:24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50</v>
      </c>
      <c r="G15" s="31">
        <v>2</v>
      </c>
      <c r="H15" s="35"/>
      <c r="I15" s="36"/>
      <c r="J15" s="36"/>
      <c r="K15" s="5"/>
      <c r="L15" s="37"/>
      <c r="M15" s="5"/>
      <c r="N15" s="5"/>
      <c r="O15" s="6"/>
      <c r="P15" s="7">
        <f t="shared" si="4"/>
        <v>0</v>
      </c>
      <c r="Q15" s="5"/>
      <c r="R15" s="5"/>
      <c r="S15" s="5"/>
      <c r="T15" s="5">
        <f t="shared" si="5"/>
        <v>0</v>
      </c>
      <c r="U15" s="5">
        <f t="shared" si="6"/>
        <v>0</v>
      </c>
      <c r="V15" s="38">
        <f t="shared" si="7"/>
        <v>0</v>
      </c>
      <c r="W15" s="2"/>
      <c r="X15" s="2"/>
    </row>
    <row r="16" spans="1:24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50</v>
      </c>
      <c r="G16" s="31">
        <v>2</v>
      </c>
      <c r="H16" s="35"/>
      <c r="I16" s="36"/>
      <c r="J16" s="36"/>
      <c r="K16" s="5"/>
      <c r="L16" s="37"/>
      <c r="M16" s="5"/>
      <c r="N16" s="5"/>
      <c r="O16" s="6"/>
      <c r="P16" s="7">
        <f t="shared" si="4"/>
        <v>0</v>
      </c>
      <c r="Q16" s="5"/>
      <c r="R16" s="5"/>
      <c r="S16" s="5"/>
      <c r="T16" s="5">
        <f t="shared" si="5"/>
        <v>0</v>
      </c>
      <c r="U16" s="5">
        <f t="shared" si="6"/>
        <v>0</v>
      </c>
      <c r="V16" s="38">
        <f t="shared" si="7"/>
        <v>0</v>
      </c>
      <c r="W16" s="2"/>
      <c r="X16" s="2"/>
    </row>
    <row r="17" spans="1:24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50</v>
      </c>
      <c r="G17" s="31">
        <v>2</v>
      </c>
      <c r="H17" s="35"/>
      <c r="I17" s="36"/>
      <c r="J17" s="36"/>
      <c r="K17" s="5"/>
      <c r="L17" s="37"/>
      <c r="M17" s="5"/>
      <c r="N17" s="5"/>
      <c r="O17" s="6"/>
      <c r="P17" s="7">
        <f t="shared" si="4"/>
        <v>0</v>
      </c>
      <c r="Q17" s="5"/>
      <c r="R17" s="5"/>
      <c r="S17" s="5"/>
      <c r="T17" s="5">
        <f t="shared" si="5"/>
        <v>0</v>
      </c>
      <c r="U17" s="5">
        <f t="shared" si="6"/>
        <v>0</v>
      </c>
      <c r="V17" s="38">
        <f t="shared" si="7"/>
        <v>0</v>
      </c>
      <c r="W17" s="2"/>
      <c r="X17" s="2"/>
    </row>
    <row r="18" spans="1:24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50</v>
      </c>
      <c r="G18" s="31">
        <v>2</v>
      </c>
      <c r="H18" s="35"/>
      <c r="I18" s="36"/>
      <c r="J18" s="36"/>
      <c r="K18" s="5"/>
      <c r="L18" s="37"/>
      <c r="M18" s="5"/>
      <c r="N18" s="5"/>
      <c r="O18" s="6"/>
      <c r="P18" s="7">
        <f t="shared" si="4"/>
        <v>0</v>
      </c>
      <c r="Q18" s="5"/>
      <c r="R18" s="5"/>
      <c r="S18" s="5"/>
      <c r="T18" s="5">
        <f t="shared" si="5"/>
        <v>0</v>
      </c>
      <c r="U18" s="5">
        <f t="shared" si="6"/>
        <v>0</v>
      </c>
      <c r="V18" s="38">
        <f t="shared" si="7"/>
        <v>0</v>
      </c>
      <c r="W18" s="2"/>
      <c r="X18" s="2"/>
    </row>
    <row r="19" spans="1:24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50</v>
      </c>
      <c r="G19" s="31">
        <v>2</v>
      </c>
      <c r="H19" s="35"/>
      <c r="I19" s="36"/>
      <c r="J19" s="36"/>
      <c r="K19" s="5"/>
      <c r="L19" s="37"/>
      <c r="M19" s="5"/>
      <c r="N19" s="5"/>
      <c r="O19" s="6"/>
      <c r="P19" s="7">
        <f t="shared" si="4"/>
        <v>0</v>
      </c>
      <c r="Q19" s="5"/>
      <c r="R19" s="5"/>
      <c r="S19" s="5"/>
      <c r="T19" s="5">
        <f t="shared" si="5"/>
        <v>0</v>
      </c>
      <c r="U19" s="5">
        <f t="shared" si="6"/>
        <v>0</v>
      </c>
      <c r="V19" s="38">
        <f t="shared" si="7"/>
        <v>0</v>
      </c>
      <c r="W19" s="2"/>
      <c r="X19" s="2"/>
    </row>
    <row r="20" spans="1:24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50</v>
      </c>
      <c r="G20" s="31">
        <v>2</v>
      </c>
      <c r="H20" s="35"/>
      <c r="I20" s="36"/>
      <c r="J20" s="36"/>
      <c r="K20" s="5"/>
      <c r="L20" s="37"/>
      <c r="M20" s="5"/>
      <c r="N20" s="5"/>
      <c r="O20" s="6"/>
      <c r="P20" s="7">
        <f t="shared" si="4"/>
        <v>0</v>
      </c>
      <c r="Q20" s="5"/>
      <c r="R20" s="5"/>
      <c r="S20" s="5"/>
      <c r="T20" s="5">
        <f t="shared" si="5"/>
        <v>0</v>
      </c>
      <c r="U20" s="5">
        <f t="shared" si="6"/>
        <v>0</v>
      </c>
      <c r="V20" s="38">
        <f t="shared" si="7"/>
        <v>0</v>
      </c>
      <c r="W20" s="2"/>
      <c r="X20" s="2"/>
    </row>
    <row r="21" spans="1:24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50</v>
      </c>
      <c r="G21" s="31">
        <v>2</v>
      </c>
      <c r="H21" s="35"/>
      <c r="I21" s="36"/>
      <c r="J21" s="36"/>
      <c r="K21" s="5"/>
      <c r="L21" s="37"/>
      <c r="M21" s="5"/>
      <c r="N21" s="5"/>
      <c r="O21" s="6"/>
      <c r="P21" s="7">
        <f t="shared" si="4"/>
        <v>0</v>
      </c>
      <c r="Q21" s="5"/>
      <c r="R21" s="5"/>
      <c r="S21" s="5"/>
      <c r="T21" s="5">
        <f t="shared" si="5"/>
        <v>0</v>
      </c>
      <c r="U21" s="5">
        <f t="shared" si="6"/>
        <v>0</v>
      </c>
      <c r="V21" s="38">
        <f t="shared" si="7"/>
        <v>0</v>
      </c>
      <c r="W21" s="2"/>
      <c r="X21" s="2"/>
    </row>
    <row r="22" spans="1:24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50</v>
      </c>
      <c r="G22" s="31">
        <v>2</v>
      </c>
      <c r="H22" s="35"/>
      <c r="I22" s="36"/>
      <c r="J22" s="36"/>
      <c r="K22" s="5"/>
      <c r="L22" s="37"/>
      <c r="M22" s="5"/>
      <c r="N22" s="5"/>
      <c r="O22" s="6"/>
      <c r="P22" s="7">
        <f t="shared" si="4"/>
        <v>0</v>
      </c>
      <c r="Q22" s="5"/>
      <c r="R22" s="5"/>
      <c r="S22" s="5"/>
      <c r="T22" s="5">
        <f t="shared" si="5"/>
        <v>0</v>
      </c>
      <c r="U22" s="5">
        <f t="shared" si="6"/>
        <v>0</v>
      </c>
      <c r="V22" s="38">
        <f t="shared" si="7"/>
        <v>0</v>
      </c>
      <c r="W22" s="2"/>
      <c r="X22" s="2"/>
    </row>
    <row r="23" spans="1:24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50</v>
      </c>
      <c r="G23" s="31">
        <v>2</v>
      </c>
      <c r="H23" s="35"/>
      <c r="I23" s="36"/>
      <c r="J23" s="36"/>
      <c r="K23" s="5"/>
      <c r="L23" s="37"/>
      <c r="M23" s="5"/>
      <c r="N23" s="5"/>
      <c r="O23" s="6"/>
      <c r="P23" s="7">
        <f t="shared" si="4"/>
        <v>0</v>
      </c>
      <c r="Q23" s="5"/>
      <c r="R23" s="5"/>
      <c r="S23" s="5"/>
      <c r="T23" s="5">
        <f t="shared" si="5"/>
        <v>0</v>
      </c>
      <c r="U23" s="5">
        <f t="shared" si="6"/>
        <v>0</v>
      </c>
      <c r="V23" s="38">
        <f t="shared" si="7"/>
        <v>0</v>
      </c>
      <c r="W23" s="2"/>
      <c r="X23" s="2"/>
    </row>
    <row r="24" spans="1:24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50</v>
      </c>
      <c r="G24" s="31">
        <v>2</v>
      </c>
      <c r="H24" s="35"/>
      <c r="I24" s="36"/>
      <c r="J24" s="36"/>
      <c r="K24" s="5"/>
      <c r="L24" s="37"/>
      <c r="M24" s="5"/>
      <c r="N24" s="5"/>
      <c r="O24" s="6"/>
      <c r="P24" s="7">
        <f t="shared" si="4"/>
        <v>0</v>
      </c>
      <c r="Q24" s="5"/>
      <c r="R24" s="5"/>
      <c r="S24" s="5"/>
      <c r="T24" s="5">
        <f t="shared" si="5"/>
        <v>0</v>
      </c>
      <c r="U24" s="5">
        <f t="shared" si="6"/>
        <v>0</v>
      </c>
      <c r="V24" s="38">
        <f t="shared" si="7"/>
        <v>0</v>
      </c>
      <c r="W24" s="2"/>
      <c r="X24" s="2"/>
    </row>
    <row r="25" spans="1:24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50</v>
      </c>
      <c r="G25" s="31">
        <v>2</v>
      </c>
      <c r="H25" s="35"/>
      <c r="I25" s="36"/>
      <c r="J25" s="36"/>
      <c r="K25" s="5"/>
      <c r="L25" s="37"/>
      <c r="M25" s="5"/>
      <c r="N25" s="5"/>
      <c r="O25" s="6"/>
      <c r="P25" s="7">
        <f t="shared" si="4"/>
        <v>0</v>
      </c>
      <c r="Q25" s="5"/>
      <c r="R25" s="5"/>
      <c r="S25" s="5"/>
      <c r="T25" s="5">
        <f t="shared" si="5"/>
        <v>0</v>
      </c>
      <c r="U25" s="5">
        <f t="shared" si="6"/>
        <v>0</v>
      </c>
      <c r="V25" s="38">
        <f t="shared" si="7"/>
        <v>0</v>
      </c>
      <c r="W25" s="2"/>
      <c r="X25" s="2"/>
    </row>
    <row r="26" spans="1:24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50</v>
      </c>
      <c r="G26" s="31">
        <v>2</v>
      </c>
      <c r="H26" s="35"/>
      <c r="I26" s="36"/>
      <c r="J26" s="36"/>
      <c r="K26" s="5"/>
      <c r="L26" s="37"/>
      <c r="M26" s="5"/>
      <c r="N26" s="5"/>
      <c r="O26" s="6"/>
      <c r="P26" s="7">
        <f t="shared" si="4"/>
        <v>0</v>
      </c>
      <c r="Q26" s="5"/>
      <c r="R26" s="5"/>
      <c r="S26" s="5"/>
      <c r="T26" s="5">
        <f t="shared" si="5"/>
        <v>0</v>
      </c>
      <c r="U26" s="5">
        <f t="shared" si="6"/>
        <v>0</v>
      </c>
      <c r="V26" s="38">
        <f t="shared" si="7"/>
        <v>0</v>
      </c>
      <c r="W26" s="2"/>
      <c r="X26" s="2"/>
    </row>
    <row r="27" spans="1:24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50</v>
      </c>
      <c r="G27" s="31">
        <v>2</v>
      </c>
      <c r="H27" s="35"/>
      <c r="I27" s="36"/>
      <c r="J27" s="36"/>
      <c r="K27" s="5"/>
      <c r="L27" s="37"/>
      <c r="M27" s="5"/>
      <c r="N27" s="5"/>
      <c r="O27" s="6"/>
      <c r="P27" s="7">
        <f t="shared" si="4"/>
        <v>0</v>
      </c>
      <c r="Q27" s="5"/>
      <c r="R27" s="5"/>
      <c r="S27" s="5"/>
      <c r="T27" s="5">
        <f t="shared" si="5"/>
        <v>0</v>
      </c>
      <c r="U27" s="5">
        <f t="shared" si="6"/>
        <v>0</v>
      </c>
      <c r="V27" s="38">
        <f t="shared" si="7"/>
        <v>0</v>
      </c>
      <c r="W27" s="2"/>
      <c r="X27" s="2"/>
    </row>
    <row r="28" spans="1:24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50</v>
      </c>
      <c r="G28" s="31">
        <v>2</v>
      </c>
      <c r="H28" s="35"/>
      <c r="I28" s="36"/>
      <c r="J28" s="36"/>
      <c r="K28" s="5"/>
      <c r="L28" s="37"/>
      <c r="M28" s="5"/>
      <c r="N28" s="5"/>
      <c r="O28" s="6"/>
      <c r="P28" s="7">
        <f t="shared" si="4"/>
        <v>0</v>
      </c>
      <c r="Q28" s="5"/>
      <c r="R28" s="5"/>
      <c r="S28" s="5"/>
      <c r="T28" s="5">
        <f t="shared" si="5"/>
        <v>0</v>
      </c>
      <c r="U28" s="5">
        <f t="shared" si="6"/>
        <v>0</v>
      </c>
      <c r="V28" s="38">
        <f t="shared" si="7"/>
        <v>0</v>
      </c>
      <c r="W28" s="2"/>
      <c r="X28" s="2"/>
    </row>
    <row r="29" spans="1:24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50</v>
      </c>
      <c r="G29" s="31">
        <v>2</v>
      </c>
      <c r="H29" s="35"/>
      <c r="I29" s="36"/>
      <c r="J29" s="36"/>
      <c r="K29" s="5"/>
      <c r="L29" s="37"/>
      <c r="M29" s="5"/>
      <c r="N29" s="5"/>
      <c r="O29" s="6"/>
      <c r="P29" s="7">
        <f t="shared" si="4"/>
        <v>0</v>
      </c>
      <c r="Q29" s="5"/>
      <c r="R29" s="5"/>
      <c r="S29" s="5"/>
      <c r="T29" s="5">
        <f t="shared" si="5"/>
        <v>0</v>
      </c>
      <c r="U29" s="5">
        <f t="shared" si="6"/>
        <v>0</v>
      </c>
      <c r="V29" s="38">
        <f t="shared" si="7"/>
        <v>0</v>
      </c>
      <c r="W29" s="2"/>
      <c r="X29" s="2"/>
    </row>
    <row r="30" spans="1:24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50</v>
      </c>
      <c r="G30" s="31">
        <v>2</v>
      </c>
      <c r="H30" s="35"/>
      <c r="I30" s="36"/>
      <c r="J30" s="36"/>
      <c r="K30" s="5"/>
      <c r="L30" s="37"/>
      <c r="M30" s="5"/>
      <c r="N30" s="5"/>
      <c r="O30" s="6"/>
      <c r="P30" s="7">
        <f t="shared" si="4"/>
        <v>0</v>
      </c>
      <c r="Q30" s="5"/>
      <c r="R30" s="5"/>
      <c r="S30" s="5"/>
      <c r="T30" s="5">
        <f t="shared" si="5"/>
        <v>0</v>
      </c>
      <c r="U30" s="5">
        <f t="shared" si="6"/>
        <v>0</v>
      </c>
      <c r="V30" s="38">
        <f t="shared" si="7"/>
        <v>0</v>
      </c>
      <c r="W30" s="2"/>
      <c r="X30" s="2"/>
    </row>
    <row r="31" spans="1:24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50</v>
      </c>
      <c r="G31" s="31">
        <v>2</v>
      </c>
      <c r="H31" s="35"/>
      <c r="I31" s="36"/>
      <c r="J31" s="36"/>
      <c r="K31" s="5"/>
      <c r="L31" s="37"/>
      <c r="M31" s="5"/>
      <c r="N31" s="5"/>
      <c r="O31" s="6"/>
      <c r="P31" s="7">
        <f t="shared" si="4"/>
        <v>0</v>
      </c>
      <c r="Q31" s="5"/>
      <c r="R31" s="5"/>
      <c r="S31" s="5"/>
      <c r="T31" s="5">
        <f t="shared" si="5"/>
        <v>0</v>
      </c>
      <c r="U31" s="5">
        <f t="shared" si="6"/>
        <v>0</v>
      </c>
      <c r="V31" s="38">
        <f t="shared" si="7"/>
        <v>0</v>
      </c>
      <c r="W31" s="2"/>
      <c r="X31" s="2"/>
    </row>
    <row r="32" spans="1:24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50</v>
      </c>
      <c r="G32" s="31">
        <v>2</v>
      </c>
      <c r="H32" s="35"/>
      <c r="I32" s="36"/>
      <c r="J32" s="36"/>
      <c r="K32" s="5"/>
      <c r="L32" s="37"/>
      <c r="M32" s="5"/>
      <c r="N32" s="5"/>
      <c r="O32" s="6"/>
      <c r="P32" s="7">
        <f t="shared" si="4"/>
        <v>0</v>
      </c>
      <c r="Q32" s="5"/>
      <c r="R32" s="5"/>
      <c r="S32" s="5"/>
      <c r="T32" s="5">
        <f t="shared" si="5"/>
        <v>0</v>
      </c>
      <c r="U32" s="5">
        <f t="shared" si="6"/>
        <v>0</v>
      </c>
      <c r="V32" s="38">
        <f t="shared" si="7"/>
        <v>0</v>
      </c>
      <c r="W32" s="2"/>
      <c r="X32" s="2"/>
    </row>
    <row r="33" spans="1:24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50</v>
      </c>
      <c r="G33" s="31">
        <v>2</v>
      </c>
      <c r="H33" s="35"/>
      <c r="I33" s="36"/>
      <c r="J33" s="36"/>
      <c r="K33" s="5"/>
      <c r="L33" s="37"/>
      <c r="M33" s="5"/>
      <c r="N33" s="5"/>
      <c r="O33" s="6"/>
      <c r="P33" s="7">
        <f t="shared" si="4"/>
        <v>0</v>
      </c>
      <c r="Q33" s="5"/>
      <c r="R33" s="5"/>
      <c r="S33" s="5"/>
      <c r="T33" s="5">
        <f t="shared" si="5"/>
        <v>0</v>
      </c>
      <c r="U33" s="5">
        <f t="shared" si="6"/>
        <v>0</v>
      </c>
      <c r="V33" s="38">
        <f t="shared" si="7"/>
        <v>0</v>
      </c>
      <c r="W33" s="2"/>
      <c r="X33" s="2"/>
    </row>
    <row r="34" spans="1:24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50</v>
      </c>
      <c r="G34" s="31">
        <v>2</v>
      </c>
      <c r="H34" s="35"/>
      <c r="I34" s="36"/>
      <c r="J34" s="36"/>
      <c r="K34" s="5"/>
      <c r="L34" s="37"/>
      <c r="M34" s="5"/>
      <c r="N34" s="5"/>
      <c r="O34" s="6"/>
      <c r="P34" s="7">
        <f t="shared" si="4"/>
        <v>0</v>
      </c>
      <c r="Q34" s="5"/>
      <c r="R34" s="5"/>
      <c r="S34" s="5"/>
      <c r="T34" s="5">
        <f t="shared" si="5"/>
        <v>0</v>
      </c>
      <c r="U34" s="5">
        <f t="shared" si="6"/>
        <v>0</v>
      </c>
      <c r="V34" s="38">
        <f t="shared" si="7"/>
        <v>0</v>
      </c>
      <c r="W34" s="2"/>
      <c r="X34" s="2"/>
    </row>
    <row r="35" spans="1:24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50</v>
      </c>
      <c r="G35" s="31">
        <v>2</v>
      </c>
      <c r="H35" s="35"/>
      <c r="I35" s="36"/>
      <c r="J35" s="36"/>
      <c r="K35" s="5"/>
      <c r="L35" s="37"/>
      <c r="M35" s="5"/>
      <c r="N35" s="5"/>
      <c r="O35" s="6"/>
      <c r="P35" s="7">
        <f t="shared" si="4"/>
        <v>0</v>
      </c>
      <c r="Q35" s="5"/>
      <c r="R35" s="5"/>
      <c r="S35" s="5"/>
      <c r="T35" s="5">
        <f t="shared" si="5"/>
        <v>0</v>
      </c>
      <c r="U35" s="5">
        <f t="shared" si="6"/>
        <v>0</v>
      </c>
      <c r="V35" s="38">
        <f t="shared" si="7"/>
        <v>0</v>
      </c>
      <c r="W35" s="2"/>
      <c r="X35" s="2"/>
    </row>
    <row r="36" spans="1:24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50</v>
      </c>
      <c r="G36" s="31">
        <v>2</v>
      </c>
      <c r="H36" s="35"/>
      <c r="I36" s="36"/>
      <c r="J36" s="36"/>
      <c r="K36" s="5"/>
      <c r="L36" s="37"/>
      <c r="M36" s="5"/>
      <c r="N36" s="5"/>
      <c r="O36" s="6"/>
      <c r="P36" s="7">
        <f t="shared" si="4"/>
        <v>0</v>
      </c>
      <c r="Q36" s="5"/>
      <c r="R36" s="5"/>
      <c r="S36" s="5"/>
      <c r="T36" s="5">
        <f t="shared" si="5"/>
        <v>0</v>
      </c>
      <c r="U36" s="5">
        <f t="shared" si="6"/>
        <v>0</v>
      </c>
      <c r="V36" s="38">
        <f t="shared" si="7"/>
        <v>0</v>
      </c>
      <c r="W36" s="2"/>
      <c r="X36" s="2"/>
    </row>
    <row r="37" spans="1:24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50</v>
      </c>
      <c r="G37" s="31">
        <v>2</v>
      </c>
      <c r="H37" s="35"/>
      <c r="I37" s="36"/>
      <c r="J37" s="36"/>
      <c r="K37" s="5"/>
      <c r="L37" s="37"/>
      <c r="M37" s="5"/>
      <c r="N37" s="5"/>
      <c r="O37" s="6"/>
      <c r="P37" s="7">
        <f t="shared" si="4"/>
        <v>0</v>
      </c>
      <c r="Q37" s="5"/>
      <c r="R37" s="5"/>
      <c r="S37" s="5"/>
      <c r="T37" s="5">
        <f t="shared" si="5"/>
        <v>0</v>
      </c>
      <c r="U37" s="5">
        <f t="shared" si="6"/>
        <v>0</v>
      </c>
      <c r="V37" s="38">
        <f t="shared" si="7"/>
        <v>0</v>
      </c>
      <c r="W37" s="2"/>
      <c r="X37" s="2"/>
    </row>
    <row r="38" spans="1:24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50</v>
      </c>
      <c r="G38" s="31">
        <v>2</v>
      </c>
      <c r="H38" s="35"/>
      <c r="I38" s="36"/>
      <c r="J38" s="36"/>
      <c r="K38" s="5"/>
      <c r="L38" s="37"/>
      <c r="M38" s="5"/>
      <c r="N38" s="5"/>
      <c r="O38" s="6"/>
      <c r="P38" s="7">
        <f t="shared" si="4"/>
        <v>0</v>
      </c>
      <c r="Q38" s="5"/>
      <c r="R38" s="5"/>
      <c r="S38" s="5"/>
      <c r="T38" s="5">
        <f t="shared" si="5"/>
        <v>0</v>
      </c>
      <c r="U38" s="5">
        <f t="shared" si="6"/>
        <v>0</v>
      </c>
      <c r="V38" s="38">
        <f t="shared" si="7"/>
        <v>0</v>
      </c>
      <c r="W38" s="2"/>
      <c r="X38" s="2"/>
    </row>
    <row r="39" spans="1:24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50</v>
      </c>
      <c r="G39" s="31">
        <v>2</v>
      </c>
      <c r="H39" s="35"/>
      <c r="I39" s="36"/>
      <c r="J39" s="36"/>
      <c r="K39" s="5"/>
      <c r="L39" s="37"/>
      <c r="M39" s="5"/>
      <c r="N39" s="5"/>
      <c r="O39" s="6"/>
      <c r="P39" s="7">
        <f t="shared" si="4"/>
        <v>0</v>
      </c>
      <c r="Q39" s="5"/>
      <c r="R39" s="5"/>
      <c r="S39" s="5"/>
      <c r="T39" s="5">
        <f t="shared" si="5"/>
        <v>0</v>
      </c>
      <c r="U39" s="5">
        <f t="shared" si="6"/>
        <v>0</v>
      </c>
      <c r="V39" s="38">
        <f t="shared" si="7"/>
        <v>0</v>
      </c>
      <c r="W39" s="2"/>
      <c r="X39" s="2"/>
    </row>
    <row r="40" spans="1:24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50</v>
      </c>
      <c r="G40" s="31">
        <v>2</v>
      </c>
      <c r="H40" s="35"/>
      <c r="I40" s="36"/>
      <c r="J40" s="36"/>
      <c r="K40" s="5"/>
      <c r="L40" s="37"/>
      <c r="M40" s="5"/>
      <c r="N40" s="5"/>
      <c r="O40" s="6"/>
      <c r="P40" s="7">
        <f t="shared" si="4"/>
        <v>0</v>
      </c>
      <c r="Q40" s="5"/>
      <c r="R40" s="5"/>
      <c r="S40" s="5"/>
      <c r="T40" s="5">
        <f t="shared" si="5"/>
        <v>0</v>
      </c>
      <c r="U40" s="5">
        <f t="shared" si="6"/>
        <v>0</v>
      </c>
      <c r="V40" s="38">
        <f t="shared" si="7"/>
        <v>0</v>
      </c>
      <c r="W40" s="2"/>
      <c r="X40" s="2"/>
    </row>
    <row r="41" spans="1:24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50</v>
      </c>
      <c r="G41" s="31">
        <v>2</v>
      </c>
      <c r="H41" s="35"/>
      <c r="I41" s="36"/>
      <c r="J41" s="36"/>
      <c r="K41" s="5"/>
      <c r="L41" s="37"/>
      <c r="M41" s="5"/>
      <c r="N41" s="5"/>
      <c r="O41" s="6"/>
      <c r="P41" s="7">
        <f t="shared" si="4"/>
        <v>0</v>
      </c>
      <c r="Q41" s="5"/>
      <c r="R41" s="5"/>
      <c r="S41" s="5"/>
      <c r="T41" s="5">
        <f t="shared" si="5"/>
        <v>0</v>
      </c>
      <c r="U41" s="5">
        <f t="shared" si="6"/>
        <v>0</v>
      </c>
      <c r="V41" s="38">
        <f t="shared" si="7"/>
        <v>0</v>
      </c>
      <c r="W41" s="2"/>
      <c r="X41" s="2"/>
    </row>
    <row r="42" spans="1:24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50</v>
      </c>
      <c r="G42" s="31">
        <v>2</v>
      </c>
      <c r="H42" s="35"/>
      <c r="I42" s="36"/>
      <c r="J42" s="36"/>
      <c r="K42" s="5"/>
      <c r="L42" s="37"/>
      <c r="M42" s="5"/>
      <c r="N42" s="5"/>
      <c r="O42" s="6"/>
      <c r="P42" s="7">
        <f t="shared" si="4"/>
        <v>0</v>
      </c>
      <c r="Q42" s="5"/>
      <c r="R42" s="5"/>
      <c r="S42" s="5"/>
      <c r="T42" s="5">
        <f t="shared" si="5"/>
        <v>0</v>
      </c>
      <c r="U42" s="5">
        <f t="shared" si="6"/>
        <v>0</v>
      </c>
      <c r="V42" s="38">
        <f t="shared" si="7"/>
        <v>0</v>
      </c>
      <c r="W42" s="2"/>
      <c r="X42" s="2"/>
    </row>
    <row r="43" spans="1:24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50</v>
      </c>
      <c r="G43" s="31">
        <v>2</v>
      </c>
      <c r="H43" s="35"/>
      <c r="I43" s="36"/>
      <c r="J43" s="36"/>
      <c r="K43" s="5"/>
      <c r="L43" s="37"/>
      <c r="M43" s="5"/>
      <c r="N43" s="5"/>
      <c r="O43" s="6"/>
      <c r="P43" s="7">
        <f t="shared" si="4"/>
        <v>0</v>
      </c>
      <c r="Q43" s="5"/>
      <c r="R43" s="5"/>
      <c r="S43" s="5"/>
      <c r="T43" s="5">
        <f t="shared" si="5"/>
        <v>0</v>
      </c>
      <c r="U43" s="5">
        <f t="shared" si="6"/>
        <v>0</v>
      </c>
      <c r="V43" s="38">
        <f t="shared" si="7"/>
        <v>0</v>
      </c>
      <c r="W43" s="2"/>
      <c r="X43" s="2"/>
    </row>
    <row r="44" spans="1:24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50</v>
      </c>
      <c r="G44" s="31">
        <v>2</v>
      </c>
      <c r="H44" s="35"/>
      <c r="I44" s="36"/>
      <c r="J44" s="36"/>
      <c r="K44" s="5"/>
      <c r="L44" s="37"/>
      <c r="M44" s="5"/>
      <c r="N44" s="5"/>
      <c r="O44" s="6"/>
      <c r="P44" s="7">
        <f t="shared" si="4"/>
        <v>0</v>
      </c>
      <c r="Q44" s="5"/>
      <c r="R44" s="5"/>
      <c r="S44" s="5"/>
      <c r="T44" s="5">
        <f t="shared" si="5"/>
        <v>0</v>
      </c>
      <c r="U44" s="5">
        <f t="shared" si="6"/>
        <v>0</v>
      </c>
      <c r="V44" s="38">
        <f t="shared" si="7"/>
        <v>0</v>
      </c>
      <c r="W44" s="2"/>
      <c r="X44" s="2"/>
    </row>
    <row r="45" spans="1:24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50</v>
      </c>
      <c r="G45" s="31">
        <v>2</v>
      </c>
      <c r="H45" s="35"/>
      <c r="I45" s="36"/>
      <c r="J45" s="36"/>
      <c r="K45" s="5"/>
      <c r="L45" s="37"/>
      <c r="M45" s="5"/>
      <c r="N45" s="5"/>
      <c r="O45" s="6"/>
      <c r="P45" s="7">
        <f t="shared" si="4"/>
        <v>0</v>
      </c>
      <c r="Q45" s="5"/>
      <c r="R45" s="5"/>
      <c r="S45" s="5"/>
      <c r="T45" s="5">
        <f t="shared" si="5"/>
        <v>0</v>
      </c>
      <c r="U45" s="5">
        <f t="shared" si="6"/>
        <v>0</v>
      </c>
      <c r="V45" s="38">
        <f t="shared" si="7"/>
        <v>0</v>
      </c>
      <c r="W45" s="2"/>
      <c r="X45" s="2"/>
    </row>
    <row r="46" spans="1:24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50</v>
      </c>
      <c r="G46" s="31">
        <v>2</v>
      </c>
      <c r="H46" s="35"/>
      <c r="I46" s="36"/>
      <c r="J46" s="36"/>
      <c r="K46" s="5"/>
      <c r="L46" s="37"/>
      <c r="M46" s="5"/>
      <c r="N46" s="5"/>
      <c r="O46" s="6"/>
      <c r="P46" s="7">
        <f t="shared" si="4"/>
        <v>0</v>
      </c>
      <c r="Q46" s="5"/>
      <c r="R46" s="5"/>
      <c r="S46" s="5"/>
      <c r="T46" s="5">
        <f t="shared" si="5"/>
        <v>0</v>
      </c>
      <c r="U46" s="5">
        <f t="shared" si="6"/>
        <v>0</v>
      </c>
      <c r="V46" s="38">
        <f t="shared" si="7"/>
        <v>0</v>
      </c>
      <c r="W46" s="2"/>
      <c r="X46" s="2"/>
    </row>
    <row r="47" spans="1:24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50</v>
      </c>
      <c r="G47" s="31">
        <v>2</v>
      </c>
      <c r="H47" s="35"/>
      <c r="I47" s="36"/>
      <c r="J47" s="36"/>
      <c r="K47" s="5"/>
      <c r="L47" s="37"/>
      <c r="M47" s="5"/>
      <c r="N47" s="5"/>
      <c r="O47" s="6"/>
      <c r="P47" s="7">
        <f t="shared" si="4"/>
        <v>0</v>
      </c>
      <c r="Q47" s="5"/>
      <c r="R47" s="5"/>
      <c r="S47" s="5"/>
      <c r="T47" s="5">
        <f t="shared" si="5"/>
        <v>0</v>
      </c>
      <c r="U47" s="5">
        <f t="shared" si="6"/>
        <v>0</v>
      </c>
      <c r="V47" s="38">
        <f t="shared" si="7"/>
        <v>0</v>
      </c>
      <c r="W47" s="2"/>
      <c r="X47" s="2"/>
    </row>
    <row r="48" spans="1:24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50</v>
      </c>
      <c r="G48" s="31">
        <v>2</v>
      </c>
      <c r="H48" s="35"/>
      <c r="I48" s="36"/>
      <c r="J48" s="36"/>
      <c r="K48" s="5"/>
      <c r="L48" s="37"/>
      <c r="M48" s="5"/>
      <c r="N48" s="5"/>
      <c r="O48" s="6"/>
      <c r="P48" s="7">
        <f t="shared" si="4"/>
        <v>0</v>
      </c>
      <c r="Q48" s="5"/>
      <c r="R48" s="5"/>
      <c r="S48" s="5"/>
      <c r="T48" s="5">
        <f t="shared" si="5"/>
        <v>0</v>
      </c>
      <c r="U48" s="5">
        <f t="shared" si="6"/>
        <v>0</v>
      </c>
      <c r="V48" s="38">
        <f t="shared" si="7"/>
        <v>0</v>
      </c>
      <c r="W48" s="2"/>
      <c r="X48" s="2"/>
    </row>
    <row r="49" spans="1:24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50</v>
      </c>
      <c r="G49" s="31">
        <v>2</v>
      </c>
      <c r="H49" s="35"/>
      <c r="I49" s="36"/>
      <c r="J49" s="36"/>
      <c r="K49" s="5"/>
      <c r="L49" s="37"/>
      <c r="M49" s="5"/>
      <c r="N49" s="5"/>
      <c r="O49" s="6"/>
      <c r="P49" s="7">
        <f t="shared" si="4"/>
        <v>0</v>
      </c>
      <c r="Q49" s="5"/>
      <c r="R49" s="5"/>
      <c r="S49" s="5"/>
      <c r="T49" s="5">
        <f t="shared" si="5"/>
        <v>0</v>
      </c>
      <c r="U49" s="5">
        <f t="shared" si="6"/>
        <v>0</v>
      </c>
      <c r="V49" s="38">
        <f t="shared" si="7"/>
        <v>0</v>
      </c>
      <c r="W49" s="2"/>
      <c r="X49" s="2"/>
    </row>
    <row r="50" spans="1:24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50</v>
      </c>
      <c r="G50" s="31">
        <v>2</v>
      </c>
      <c r="H50" s="35"/>
      <c r="I50" s="36"/>
      <c r="J50" s="36"/>
      <c r="K50" s="5"/>
      <c r="L50" s="37"/>
      <c r="M50" s="5"/>
      <c r="N50" s="5"/>
      <c r="O50" s="6"/>
      <c r="P50" s="7">
        <f t="shared" si="4"/>
        <v>0</v>
      </c>
      <c r="Q50" s="5"/>
      <c r="R50" s="5"/>
      <c r="S50" s="5"/>
      <c r="T50" s="5">
        <f t="shared" si="5"/>
        <v>0</v>
      </c>
      <c r="U50" s="5">
        <f t="shared" si="6"/>
        <v>0</v>
      </c>
      <c r="V50" s="38">
        <f t="shared" si="7"/>
        <v>0</v>
      </c>
      <c r="W50" s="2"/>
      <c r="X50" s="2"/>
    </row>
    <row r="51" spans="1:24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50</v>
      </c>
      <c r="G51" s="31">
        <v>2</v>
      </c>
      <c r="H51" s="35"/>
      <c r="I51" s="36"/>
      <c r="J51" s="36"/>
      <c r="K51" s="5"/>
      <c r="L51" s="37"/>
      <c r="M51" s="5"/>
      <c r="N51" s="5"/>
      <c r="O51" s="6"/>
      <c r="P51" s="7">
        <f t="shared" si="4"/>
        <v>0</v>
      </c>
      <c r="Q51" s="5"/>
      <c r="R51" s="5"/>
      <c r="S51" s="5"/>
      <c r="T51" s="5">
        <f t="shared" si="5"/>
        <v>0</v>
      </c>
      <c r="U51" s="5">
        <f t="shared" si="6"/>
        <v>0</v>
      </c>
      <c r="V51" s="38">
        <f t="shared" si="7"/>
        <v>0</v>
      </c>
      <c r="W51" s="2"/>
      <c r="X51" s="2"/>
    </row>
    <row r="52" spans="1:24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50</v>
      </c>
      <c r="G52" s="31">
        <v>2</v>
      </c>
      <c r="H52" s="35"/>
      <c r="I52" s="36"/>
      <c r="J52" s="36"/>
      <c r="K52" s="5"/>
      <c r="L52" s="37"/>
      <c r="M52" s="5"/>
      <c r="N52" s="5"/>
      <c r="O52" s="6"/>
      <c r="P52" s="7">
        <f t="shared" si="4"/>
        <v>0</v>
      </c>
      <c r="Q52" s="5"/>
      <c r="R52" s="5"/>
      <c r="S52" s="5"/>
      <c r="T52" s="5">
        <f t="shared" si="5"/>
        <v>0</v>
      </c>
      <c r="U52" s="5">
        <f t="shared" si="6"/>
        <v>0</v>
      </c>
      <c r="V52" s="38">
        <f t="shared" si="7"/>
        <v>0</v>
      </c>
      <c r="W52" s="2"/>
      <c r="X52" s="2"/>
    </row>
    <row r="53" spans="1:24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50</v>
      </c>
      <c r="G53" s="31">
        <v>2</v>
      </c>
      <c r="H53" s="35"/>
      <c r="I53" s="36"/>
      <c r="J53" s="36"/>
      <c r="K53" s="5"/>
      <c r="L53" s="37"/>
      <c r="M53" s="5"/>
      <c r="N53" s="5"/>
      <c r="O53" s="6"/>
      <c r="P53" s="7">
        <f t="shared" si="4"/>
        <v>0</v>
      </c>
      <c r="Q53" s="5"/>
      <c r="R53" s="5"/>
      <c r="S53" s="5"/>
      <c r="T53" s="5">
        <f t="shared" si="5"/>
        <v>0</v>
      </c>
      <c r="U53" s="5">
        <f t="shared" si="6"/>
        <v>0</v>
      </c>
      <c r="V53" s="38">
        <f t="shared" si="7"/>
        <v>0</v>
      </c>
      <c r="W53" s="2"/>
      <c r="X53" s="2"/>
    </row>
    <row r="54" spans="1:24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50</v>
      </c>
      <c r="G54" s="31">
        <v>2</v>
      </c>
      <c r="H54" s="35"/>
      <c r="I54" s="36"/>
      <c r="J54" s="36"/>
      <c r="K54" s="5"/>
      <c r="L54" s="37"/>
      <c r="M54" s="5"/>
      <c r="N54" s="5"/>
      <c r="O54" s="6"/>
      <c r="P54" s="7">
        <f t="shared" si="4"/>
        <v>0</v>
      </c>
      <c r="Q54" s="5"/>
      <c r="R54" s="5"/>
      <c r="S54" s="5"/>
      <c r="T54" s="5">
        <f t="shared" si="5"/>
        <v>0</v>
      </c>
      <c r="U54" s="5">
        <f t="shared" si="6"/>
        <v>0</v>
      </c>
      <c r="V54" s="38">
        <f t="shared" si="7"/>
        <v>0</v>
      </c>
      <c r="W54" s="2"/>
      <c r="X54" s="2"/>
    </row>
    <row r="55" spans="1:24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50</v>
      </c>
      <c r="G55" s="31">
        <v>2</v>
      </c>
      <c r="H55" s="35"/>
      <c r="I55" s="36"/>
      <c r="J55" s="36"/>
      <c r="K55" s="5"/>
      <c r="L55" s="37"/>
      <c r="M55" s="5"/>
      <c r="N55" s="5"/>
      <c r="O55" s="6"/>
      <c r="P55" s="7">
        <f t="shared" si="4"/>
        <v>0</v>
      </c>
      <c r="Q55" s="5"/>
      <c r="R55" s="5"/>
      <c r="S55" s="5"/>
      <c r="T55" s="5">
        <f t="shared" si="5"/>
        <v>0</v>
      </c>
      <c r="U55" s="5">
        <f t="shared" si="6"/>
        <v>0</v>
      </c>
      <c r="V55" s="38">
        <f t="shared" si="7"/>
        <v>0</v>
      </c>
      <c r="W55" s="2"/>
      <c r="X55" s="2"/>
    </row>
    <row r="56" spans="1:24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50</v>
      </c>
      <c r="G56" s="31">
        <v>2</v>
      </c>
      <c r="H56" s="35"/>
      <c r="I56" s="36"/>
      <c r="J56" s="36"/>
      <c r="K56" s="5"/>
      <c r="L56" s="37"/>
      <c r="M56" s="5"/>
      <c r="N56" s="5"/>
      <c r="O56" s="6"/>
      <c r="P56" s="7">
        <f t="shared" si="4"/>
        <v>0</v>
      </c>
      <c r="Q56" s="5"/>
      <c r="R56" s="5"/>
      <c r="S56" s="5"/>
      <c r="T56" s="5">
        <f t="shared" si="5"/>
        <v>0</v>
      </c>
      <c r="U56" s="5">
        <f t="shared" si="6"/>
        <v>0</v>
      </c>
      <c r="V56" s="38">
        <f t="shared" si="7"/>
        <v>0</v>
      </c>
      <c r="W56" s="2"/>
      <c r="X56" s="2"/>
    </row>
    <row r="57" spans="1:24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50</v>
      </c>
      <c r="G57" s="31">
        <v>2</v>
      </c>
      <c r="H57" s="35"/>
      <c r="I57" s="36"/>
      <c r="J57" s="36"/>
      <c r="K57" s="5"/>
      <c r="L57" s="37"/>
      <c r="M57" s="5"/>
      <c r="N57" s="5"/>
      <c r="O57" s="6"/>
      <c r="P57" s="7">
        <f t="shared" si="4"/>
        <v>0</v>
      </c>
      <c r="Q57" s="5"/>
      <c r="R57" s="5"/>
      <c r="S57" s="5"/>
      <c r="T57" s="5">
        <f t="shared" si="5"/>
        <v>0</v>
      </c>
      <c r="U57" s="5">
        <f t="shared" si="6"/>
        <v>0</v>
      </c>
      <c r="V57" s="38">
        <f t="shared" si="7"/>
        <v>0</v>
      </c>
      <c r="W57" s="2"/>
      <c r="X57" s="2"/>
    </row>
    <row r="58" spans="1:24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50</v>
      </c>
      <c r="G58" s="31">
        <v>2</v>
      </c>
      <c r="H58" s="35"/>
      <c r="I58" s="36"/>
      <c r="J58" s="36"/>
      <c r="K58" s="5"/>
      <c r="L58" s="37"/>
      <c r="M58" s="5"/>
      <c r="N58" s="5"/>
      <c r="O58" s="6"/>
      <c r="P58" s="7">
        <f t="shared" si="4"/>
        <v>0</v>
      </c>
      <c r="Q58" s="5"/>
      <c r="R58" s="5"/>
      <c r="S58" s="5"/>
      <c r="T58" s="5">
        <f t="shared" si="5"/>
        <v>0</v>
      </c>
      <c r="U58" s="5">
        <f t="shared" si="6"/>
        <v>0</v>
      </c>
      <c r="V58" s="38">
        <f t="shared" si="7"/>
        <v>0</v>
      </c>
      <c r="W58" s="2"/>
      <c r="X58" s="2"/>
    </row>
    <row r="59" spans="1:24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50</v>
      </c>
      <c r="G59" s="31">
        <v>2</v>
      </c>
      <c r="H59" s="35"/>
      <c r="I59" s="36"/>
      <c r="J59" s="36"/>
      <c r="K59" s="5"/>
      <c r="L59" s="37"/>
      <c r="M59" s="5"/>
      <c r="N59" s="5"/>
      <c r="O59" s="6"/>
      <c r="P59" s="7">
        <f t="shared" si="4"/>
        <v>0</v>
      </c>
      <c r="Q59" s="5"/>
      <c r="R59" s="5"/>
      <c r="S59" s="5"/>
      <c r="T59" s="5">
        <f t="shared" si="5"/>
        <v>0</v>
      </c>
      <c r="U59" s="5">
        <f t="shared" si="6"/>
        <v>0</v>
      </c>
      <c r="V59" s="38">
        <f t="shared" si="7"/>
        <v>0</v>
      </c>
      <c r="W59" s="2"/>
      <c r="X59" s="2"/>
    </row>
    <row r="60" spans="1:24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50</v>
      </c>
      <c r="G60" s="31">
        <v>2</v>
      </c>
      <c r="H60" s="35"/>
      <c r="I60" s="36"/>
      <c r="J60" s="36"/>
      <c r="K60" s="5"/>
      <c r="L60" s="37"/>
      <c r="M60" s="5"/>
      <c r="N60" s="5"/>
      <c r="O60" s="6"/>
      <c r="P60" s="7">
        <f t="shared" si="4"/>
        <v>0</v>
      </c>
      <c r="Q60" s="5"/>
      <c r="R60" s="5"/>
      <c r="S60" s="5"/>
      <c r="T60" s="5">
        <f t="shared" si="5"/>
        <v>0</v>
      </c>
      <c r="U60" s="5">
        <f t="shared" si="6"/>
        <v>0</v>
      </c>
      <c r="V60" s="38">
        <f t="shared" si="7"/>
        <v>0</v>
      </c>
      <c r="W60" s="2"/>
      <c r="X60" s="2"/>
    </row>
    <row r="61" spans="1:24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50</v>
      </c>
      <c r="G61" s="31">
        <v>2</v>
      </c>
      <c r="H61" s="35"/>
      <c r="I61" s="36"/>
      <c r="J61" s="36"/>
      <c r="K61" s="5"/>
      <c r="L61" s="37"/>
      <c r="M61" s="5"/>
      <c r="N61" s="5"/>
      <c r="O61" s="6"/>
      <c r="P61" s="7">
        <f t="shared" si="4"/>
        <v>0</v>
      </c>
      <c r="Q61" s="5"/>
      <c r="R61" s="5"/>
      <c r="S61" s="5"/>
      <c r="T61" s="5">
        <f t="shared" si="5"/>
        <v>0</v>
      </c>
      <c r="U61" s="5">
        <f t="shared" si="6"/>
        <v>0</v>
      </c>
      <c r="V61" s="38">
        <f t="shared" si="7"/>
        <v>0</v>
      </c>
      <c r="W61" s="2"/>
      <c r="X61" s="2"/>
    </row>
    <row r="62" spans="1:24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50</v>
      </c>
      <c r="G62" s="31">
        <v>2</v>
      </c>
      <c r="H62" s="35"/>
      <c r="I62" s="36"/>
      <c r="J62" s="36"/>
      <c r="K62" s="5"/>
      <c r="L62" s="37"/>
      <c r="M62" s="5"/>
      <c r="N62" s="5"/>
      <c r="O62" s="6"/>
      <c r="P62" s="7">
        <f t="shared" si="4"/>
        <v>0</v>
      </c>
      <c r="Q62" s="5"/>
      <c r="R62" s="5"/>
      <c r="S62" s="5"/>
      <c r="T62" s="5">
        <f t="shared" si="5"/>
        <v>0</v>
      </c>
      <c r="U62" s="5">
        <f t="shared" si="6"/>
        <v>0</v>
      </c>
      <c r="V62" s="38">
        <f t="shared" si="7"/>
        <v>0</v>
      </c>
      <c r="W62" s="2"/>
      <c r="X62" s="2"/>
    </row>
    <row r="63" spans="1:24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50</v>
      </c>
      <c r="G63" s="31">
        <v>2</v>
      </c>
      <c r="H63" s="35"/>
      <c r="I63" s="36"/>
      <c r="J63" s="36"/>
      <c r="K63" s="5"/>
      <c r="L63" s="37"/>
      <c r="M63" s="5"/>
      <c r="N63" s="5"/>
      <c r="O63" s="6"/>
      <c r="P63" s="7">
        <f t="shared" si="4"/>
        <v>0</v>
      </c>
      <c r="Q63" s="5"/>
      <c r="R63" s="5"/>
      <c r="S63" s="5"/>
      <c r="T63" s="5">
        <f t="shared" si="5"/>
        <v>0</v>
      </c>
      <c r="U63" s="5">
        <f t="shared" si="6"/>
        <v>0</v>
      </c>
      <c r="V63" s="38">
        <f t="shared" si="7"/>
        <v>0</v>
      </c>
      <c r="W63" s="2"/>
      <c r="X63" s="2"/>
    </row>
    <row r="64" spans="1:24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50</v>
      </c>
      <c r="G64" s="31">
        <v>2</v>
      </c>
      <c r="H64" s="35"/>
      <c r="I64" s="36"/>
      <c r="J64" s="36"/>
      <c r="K64" s="5"/>
      <c r="L64" s="37"/>
      <c r="M64" s="5"/>
      <c r="N64" s="5"/>
      <c r="O64" s="6"/>
      <c r="P64" s="7">
        <f t="shared" si="4"/>
        <v>0</v>
      </c>
      <c r="Q64" s="5"/>
      <c r="R64" s="5"/>
      <c r="S64" s="5"/>
      <c r="T64" s="5">
        <f t="shared" si="5"/>
        <v>0</v>
      </c>
      <c r="U64" s="5">
        <f t="shared" si="6"/>
        <v>0</v>
      </c>
      <c r="V64" s="38">
        <f t="shared" si="7"/>
        <v>0</v>
      </c>
      <c r="W64" s="2"/>
      <c r="X64" s="2"/>
    </row>
    <row r="65" spans="1:24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50</v>
      </c>
      <c r="G65" s="31">
        <v>2</v>
      </c>
      <c r="H65" s="35"/>
      <c r="I65" s="36"/>
      <c r="J65" s="36"/>
      <c r="K65" s="5"/>
      <c r="L65" s="37"/>
      <c r="M65" s="5"/>
      <c r="N65" s="5"/>
      <c r="O65" s="6"/>
      <c r="P65" s="7">
        <f t="shared" si="4"/>
        <v>0</v>
      </c>
      <c r="Q65" s="5"/>
      <c r="R65" s="5"/>
      <c r="S65" s="5"/>
      <c r="T65" s="5">
        <f t="shared" si="5"/>
        <v>0</v>
      </c>
      <c r="U65" s="5">
        <f t="shared" si="6"/>
        <v>0</v>
      </c>
      <c r="V65" s="38">
        <f t="shared" si="7"/>
        <v>0</v>
      </c>
      <c r="W65" s="2"/>
      <c r="X65" s="2"/>
    </row>
    <row r="66" spans="1:24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50</v>
      </c>
      <c r="G66" s="31">
        <v>2</v>
      </c>
      <c r="H66" s="35"/>
      <c r="I66" s="36"/>
      <c r="J66" s="36"/>
      <c r="K66" s="5"/>
      <c r="L66" s="37"/>
      <c r="M66" s="5"/>
      <c r="N66" s="5"/>
      <c r="O66" s="6"/>
      <c r="P66" s="7">
        <f t="shared" si="4"/>
        <v>0</v>
      </c>
      <c r="Q66" s="5"/>
      <c r="R66" s="5"/>
      <c r="S66" s="5"/>
      <c r="T66" s="5">
        <f t="shared" si="5"/>
        <v>0</v>
      </c>
      <c r="U66" s="5">
        <f t="shared" si="6"/>
        <v>0</v>
      </c>
      <c r="V66" s="38">
        <f t="shared" si="7"/>
        <v>0</v>
      </c>
      <c r="W66" s="2"/>
      <c r="X66" s="2"/>
    </row>
    <row r="67" spans="1:24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50</v>
      </c>
      <c r="G67" s="31">
        <v>2</v>
      </c>
      <c r="H67" s="35"/>
      <c r="I67" s="36"/>
      <c r="J67" s="36"/>
      <c r="K67" s="5"/>
      <c r="L67" s="37"/>
      <c r="M67" s="5"/>
      <c r="N67" s="5"/>
      <c r="O67" s="6"/>
      <c r="P67" s="7">
        <f t="shared" si="4"/>
        <v>0</v>
      </c>
      <c r="Q67" s="5"/>
      <c r="R67" s="5"/>
      <c r="S67" s="5"/>
      <c r="T67" s="5">
        <f t="shared" si="5"/>
        <v>0</v>
      </c>
      <c r="U67" s="5">
        <f t="shared" si="6"/>
        <v>0</v>
      </c>
      <c r="V67" s="38">
        <f t="shared" si="7"/>
        <v>0</v>
      </c>
      <c r="W67" s="2"/>
      <c r="X67" s="2"/>
    </row>
    <row r="68" spans="1:24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50</v>
      </c>
      <c r="G68" s="31">
        <v>2</v>
      </c>
      <c r="H68" s="35"/>
      <c r="I68" s="36"/>
      <c r="J68" s="36"/>
      <c r="K68" s="5"/>
      <c r="L68" s="37"/>
      <c r="M68" s="5"/>
      <c r="N68" s="5"/>
      <c r="O68" s="6"/>
      <c r="P68" s="7">
        <f t="shared" si="4"/>
        <v>0</v>
      </c>
      <c r="Q68" s="5"/>
      <c r="R68" s="5"/>
      <c r="S68" s="5"/>
      <c r="T68" s="5">
        <f t="shared" si="5"/>
        <v>0</v>
      </c>
      <c r="U68" s="5">
        <f t="shared" si="6"/>
        <v>0</v>
      </c>
      <c r="V68" s="38">
        <f t="shared" si="7"/>
        <v>0</v>
      </c>
      <c r="W68" s="2"/>
      <c r="X68" s="2"/>
    </row>
    <row r="69" spans="1:24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50</v>
      </c>
      <c r="G69" s="31">
        <v>2</v>
      </c>
      <c r="H69" s="35"/>
      <c r="I69" s="36"/>
      <c r="J69" s="36"/>
      <c r="K69" s="5"/>
      <c r="L69" s="37"/>
      <c r="M69" s="5"/>
      <c r="N69" s="5"/>
      <c r="O69" s="6"/>
      <c r="P69" s="7">
        <f t="shared" ref="P69:P132" si="8">M69+(0.05*N69)+(O69/240)</f>
        <v>0</v>
      </c>
      <c r="Q69" s="5"/>
      <c r="R69" s="5"/>
      <c r="S69" s="5"/>
      <c r="T69" s="5">
        <f t="shared" ref="T69:T132" si="9">Q69+(R69*0.05)+(S69/240)</f>
        <v>0</v>
      </c>
      <c r="U69" s="5">
        <f t="shared" ref="U69:U132" si="10">K69*P69</f>
        <v>0</v>
      </c>
      <c r="V69" s="38">
        <f t="shared" si="7"/>
        <v>0</v>
      </c>
      <c r="W69" s="2"/>
      <c r="X69" s="2"/>
    </row>
    <row r="70" spans="1:24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50</v>
      </c>
      <c r="G70" s="31">
        <v>2</v>
      </c>
      <c r="H70" s="35"/>
      <c r="I70" s="36"/>
      <c r="J70" s="36"/>
      <c r="K70" s="5"/>
      <c r="L70" s="37"/>
      <c r="M70" s="5"/>
      <c r="N70" s="5"/>
      <c r="O70" s="6"/>
      <c r="P70" s="7">
        <f t="shared" si="8"/>
        <v>0</v>
      </c>
      <c r="Q70" s="5"/>
      <c r="R70" s="5"/>
      <c r="S70" s="5"/>
      <c r="T70" s="5">
        <f t="shared" si="9"/>
        <v>0</v>
      </c>
      <c r="U70" s="5">
        <f t="shared" si="10"/>
        <v>0</v>
      </c>
      <c r="V70" s="38">
        <f t="shared" ref="V70:V133" si="11">T70-U70</f>
        <v>0</v>
      </c>
      <c r="W70" s="2"/>
      <c r="X70" s="2"/>
    </row>
    <row r="71" spans="1:24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50</v>
      </c>
      <c r="G71" s="31">
        <v>2</v>
      </c>
      <c r="H71" s="35"/>
      <c r="I71" s="36"/>
      <c r="J71" s="36"/>
      <c r="K71" s="5"/>
      <c r="L71" s="37"/>
      <c r="M71" s="5"/>
      <c r="N71" s="5"/>
      <c r="O71" s="6"/>
      <c r="P71" s="7">
        <f t="shared" si="8"/>
        <v>0</v>
      </c>
      <c r="Q71" s="5"/>
      <c r="R71" s="5"/>
      <c r="S71" s="5"/>
      <c r="T71" s="5">
        <f t="shared" si="9"/>
        <v>0</v>
      </c>
      <c r="U71" s="5">
        <f t="shared" si="10"/>
        <v>0</v>
      </c>
      <c r="V71" s="38">
        <f t="shared" si="11"/>
        <v>0</v>
      </c>
      <c r="W71" s="2"/>
      <c r="X71" s="2"/>
    </row>
    <row r="72" spans="1:24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50</v>
      </c>
      <c r="G72" s="31">
        <v>2</v>
      </c>
      <c r="H72" s="35"/>
      <c r="I72" s="36"/>
      <c r="J72" s="36"/>
      <c r="K72" s="5"/>
      <c r="L72" s="37"/>
      <c r="M72" s="5"/>
      <c r="N72" s="5"/>
      <c r="O72" s="6"/>
      <c r="P72" s="7">
        <f t="shared" si="8"/>
        <v>0</v>
      </c>
      <c r="Q72" s="5"/>
      <c r="R72" s="5"/>
      <c r="S72" s="5"/>
      <c r="T72" s="5">
        <f t="shared" si="9"/>
        <v>0</v>
      </c>
      <c r="U72" s="5">
        <f t="shared" si="10"/>
        <v>0</v>
      </c>
      <c r="V72" s="38">
        <f t="shared" si="11"/>
        <v>0</v>
      </c>
      <c r="W72" s="2"/>
      <c r="X72" s="2"/>
    </row>
    <row r="73" spans="1:24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50</v>
      </c>
      <c r="G73" s="31">
        <v>2</v>
      </c>
      <c r="H73" s="35"/>
      <c r="I73" s="36"/>
      <c r="J73" s="36"/>
      <c r="K73" s="5"/>
      <c r="L73" s="37"/>
      <c r="M73" s="5"/>
      <c r="N73" s="5"/>
      <c r="O73" s="6"/>
      <c r="P73" s="7">
        <f t="shared" si="8"/>
        <v>0</v>
      </c>
      <c r="Q73" s="5"/>
      <c r="R73" s="5"/>
      <c r="S73" s="5"/>
      <c r="T73" s="5">
        <f t="shared" si="9"/>
        <v>0</v>
      </c>
      <c r="U73" s="5">
        <f t="shared" si="10"/>
        <v>0</v>
      </c>
      <c r="V73" s="38">
        <f t="shared" si="11"/>
        <v>0</v>
      </c>
      <c r="W73" s="2"/>
      <c r="X73" s="2"/>
    </row>
    <row r="74" spans="1:24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50</v>
      </c>
      <c r="G74" s="31">
        <v>2</v>
      </c>
      <c r="H74" s="35"/>
      <c r="I74" s="36"/>
      <c r="J74" s="36"/>
      <c r="K74" s="5"/>
      <c r="L74" s="37"/>
      <c r="M74" s="5"/>
      <c r="N74" s="5"/>
      <c r="O74" s="6"/>
      <c r="P74" s="7">
        <f t="shared" si="8"/>
        <v>0</v>
      </c>
      <c r="Q74" s="5"/>
      <c r="R74" s="5"/>
      <c r="S74" s="5"/>
      <c r="T74" s="5">
        <f t="shared" si="9"/>
        <v>0</v>
      </c>
      <c r="U74" s="5">
        <f t="shared" si="10"/>
        <v>0</v>
      </c>
      <c r="V74" s="38">
        <f t="shared" si="11"/>
        <v>0</v>
      </c>
      <c r="W74" s="2"/>
      <c r="X74" s="2"/>
    </row>
    <row r="75" spans="1:24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50</v>
      </c>
      <c r="G75" s="31">
        <v>2</v>
      </c>
      <c r="H75" s="35"/>
      <c r="I75" s="36"/>
      <c r="J75" s="36"/>
      <c r="K75" s="5"/>
      <c r="L75" s="37"/>
      <c r="M75" s="5"/>
      <c r="N75" s="5"/>
      <c r="O75" s="6"/>
      <c r="P75" s="7">
        <f t="shared" si="8"/>
        <v>0</v>
      </c>
      <c r="Q75" s="5"/>
      <c r="R75" s="5"/>
      <c r="S75" s="5"/>
      <c r="T75" s="5">
        <f t="shared" si="9"/>
        <v>0</v>
      </c>
      <c r="U75" s="5">
        <f t="shared" si="10"/>
        <v>0</v>
      </c>
      <c r="V75" s="38">
        <f t="shared" si="11"/>
        <v>0</v>
      </c>
      <c r="W75" s="2"/>
      <c r="X75" s="2"/>
    </row>
    <row r="76" spans="1:24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50</v>
      </c>
      <c r="G76" s="31">
        <v>2</v>
      </c>
      <c r="H76" s="35"/>
      <c r="I76" s="36"/>
      <c r="J76" s="36"/>
      <c r="K76" s="5"/>
      <c r="L76" s="37"/>
      <c r="M76" s="5"/>
      <c r="N76" s="5"/>
      <c r="O76" s="6"/>
      <c r="P76" s="7">
        <f t="shared" si="8"/>
        <v>0</v>
      </c>
      <c r="Q76" s="5"/>
      <c r="R76" s="5"/>
      <c r="S76" s="5"/>
      <c r="T76" s="5">
        <f t="shared" si="9"/>
        <v>0</v>
      </c>
      <c r="U76" s="5">
        <f t="shared" si="10"/>
        <v>0</v>
      </c>
      <c r="V76" s="38">
        <f t="shared" si="11"/>
        <v>0</v>
      </c>
      <c r="W76" s="2"/>
      <c r="X76" s="2"/>
    </row>
    <row r="77" spans="1:24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50</v>
      </c>
      <c r="G77" s="31">
        <v>2</v>
      </c>
      <c r="H77" s="35"/>
      <c r="I77" s="36"/>
      <c r="J77" s="36"/>
      <c r="K77" s="5"/>
      <c r="L77" s="37"/>
      <c r="M77" s="5"/>
      <c r="N77" s="5"/>
      <c r="O77" s="6"/>
      <c r="P77" s="7">
        <f t="shared" si="8"/>
        <v>0</v>
      </c>
      <c r="Q77" s="5"/>
      <c r="R77" s="5"/>
      <c r="S77" s="5"/>
      <c r="T77" s="5">
        <f t="shared" si="9"/>
        <v>0</v>
      </c>
      <c r="U77" s="5">
        <f t="shared" si="10"/>
        <v>0</v>
      </c>
      <c r="V77" s="38">
        <f t="shared" si="11"/>
        <v>0</v>
      </c>
      <c r="W77" s="2"/>
      <c r="X77" s="2"/>
    </row>
    <row r="78" spans="1:24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50</v>
      </c>
      <c r="G78" s="31">
        <v>2</v>
      </c>
      <c r="H78" s="35"/>
      <c r="I78" s="36"/>
      <c r="J78" s="36"/>
      <c r="K78" s="5"/>
      <c r="L78" s="37"/>
      <c r="M78" s="5"/>
      <c r="N78" s="5"/>
      <c r="O78" s="6"/>
      <c r="P78" s="7">
        <f t="shared" si="8"/>
        <v>0</v>
      </c>
      <c r="Q78" s="5"/>
      <c r="R78" s="5"/>
      <c r="S78" s="5"/>
      <c r="T78" s="5">
        <f t="shared" si="9"/>
        <v>0</v>
      </c>
      <c r="U78" s="5">
        <f t="shared" si="10"/>
        <v>0</v>
      </c>
      <c r="V78" s="38">
        <f t="shared" si="11"/>
        <v>0</v>
      </c>
      <c r="W78" s="2"/>
      <c r="X78" s="2"/>
    </row>
    <row r="79" spans="1:24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50</v>
      </c>
      <c r="G79" s="31">
        <v>2</v>
      </c>
      <c r="H79" s="35"/>
      <c r="I79" s="36"/>
      <c r="J79" s="36"/>
      <c r="K79" s="5"/>
      <c r="L79" s="37"/>
      <c r="M79" s="5"/>
      <c r="N79" s="5"/>
      <c r="O79" s="6"/>
      <c r="P79" s="7">
        <f t="shared" si="8"/>
        <v>0</v>
      </c>
      <c r="Q79" s="5"/>
      <c r="R79" s="5"/>
      <c r="S79" s="5"/>
      <c r="T79" s="5">
        <f t="shared" si="9"/>
        <v>0</v>
      </c>
      <c r="U79" s="5">
        <f t="shared" si="10"/>
        <v>0</v>
      </c>
      <c r="V79" s="38">
        <f t="shared" si="11"/>
        <v>0</v>
      </c>
      <c r="W79" s="2"/>
      <c r="X79" s="2"/>
    </row>
    <row r="80" spans="1:24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50</v>
      </c>
      <c r="G80" s="31">
        <v>2</v>
      </c>
      <c r="H80" s="35"/>
      <c r="I80" s="36"/>
      <c r="J80" s="36"/>
      <c r="K80" s="5"/>
      <c r="L80" s="37"/>
      <c r="M80" s="5"/>
      <c r="N80" s="5"/>
      <c r="O80" s="6"/>
      <c r="P80" s="7">
        <f t="shared" si="8"/>
        <v>0</v>
      </c>
      <c r="Q80" s="5"/>
      <c r="R80" s="5"/>
      <c r="S80" s="5"/>
      <c r="T80" s="5">
        <f t="shared" si="9"/>
        <v>0</v>
      </c>
      <c r="U80" s="5">
        <f t="shared" si="10"/>
        <v>0</v>
      </c>
      <c r="V80" s="38">
        <f t="shared" si="11"/>
        <v>0</v>
      </c>
      <c r="W80" s="2"/>
      <c r="X80" s="2"/>
    </row>
    <row r="81" spans="1:24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50</v>
      </c>
      <c r="G81" s="31">
        <v>2</v>
      </c>
      <c r="H81" s="35"/>
      <c r="I81" s="36"/>
      <c r="J81" s="36"/>
      <c r="K81" s="5"/>
      <c r="L81" s="37"/>
      <c r="M81" s="5"/>
      <c r="N81" s="5"/>
      <c r="O81" s="6"/>
      <c r="P81" s="7">
        <f t="shared" si="8"/>
        <v>0</v>
      </c>
      <c r="Q81" s="5"/>
      <c r="R81" s="5"/>
      <c r="S81" s="5"/>
      <c r="T81" s="5">
        <f t="shared" si="9"/>
        <v>0</v>
      </c>
      <c r="U81" s="5">
        <f t="shared" si="10"/>
        <v>0</v>
      </c>
      <c r="V81" s="38">
        <f t="shared" si="11"/>
        <v>0</v>
      </c>
      <c r="W81" s="2"/>
      <c r="X81" s="2"/>
    </row>
    <row r="82" spans="1:24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50</v>
      </c>
      <c r="G82" s="31">
        <v>2</v>
      </c>
      <c r="H82" s="35"/>
      <c r="I82" s="36"/>
      <c r="J82" s="36"/>
      <c r="K82" s="5"/>
      <c r="L82" s="37"/>
      <c r="M82" s="5"/>
      <c r="N82" s="5"/>
      <c r="O82" s="6"/>
      <c r="P82" s="7">
        <f t="shared" si="8"/>
        <v>0</v>
      </c>
      <c r="Q82" s="5"/>
      <c r="R82" s="5"/>
      <c r="S82" s="5"/>
      <c r="T82" s="5">
        <f t="shared" si="9"/>
        <v>0</v>
      </c>
      <c r="U82" s="5">
        <f t="shared" si="10"/>
        <v>0</v>
      </c>
      <c r="V82" s="38">
        <f t="shared" si="11"/>
        <v>0</v>
      </c>
      <c r="W82" s="2"/>
      <c r="X82" s="2"/>
    </row>
    <row r="83" spans="1:24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50</v>
      </c>
      <c r="G83" s="31">
        <v>2</v>
      </c>
      <c r="H83" s="35"/>
      <c r="I83" s="36"/>
      <c r="J83" s="36"/>
      <c r="K83" s="5"/>
      <c r="L83" s="37"/>
      <c r="M83" s="5"/>
      <c r="N83" s="5"/>
      <c r="O83" s="6"/>
      <c r="P83" s="7">
        <f t="shared" si="8"/>
        <v>0</v>
      </c>
      <c r="Q83" s="5"/>
      <c r="R83" s="5"/>
      <c r="S83" s="5"/>
      <c r="T83" s="5">
        <f t="shared" si="9"/>
        <v>0</v>
      </c>
      <c r="U83" s="5">
        <f t="shared" si="10"/>
        <v>0</v>
      </c>
      <c r="V83" s="38">
        <f t="shared" si="11"/>
        <v>0</v>
      </c>
      <c r="W83" s="2"/>
      <c r="X83" s="2"/>
    </row>
    <row r="84" spans="1:24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50</v>
      </c>
      <c r="G84" s="31">
        <v>2</v>
      </c>
      <c r="H84" s="35"/>
      <c r="I84" s="36"/>
      <c r="J84" s="36"/>
      <c r="K84" s="5"/>
      <c r="L84" s="37"/>
      <c r="M84" s="5"/>
      <c r="N84" s="5"/>
      <c r="O84" s="6"/>
      <c r="P84" s="7">
        <f t="shared" si="8"/>
        <v>0</v>
      </c>
      <c r="Q84" s="5"/>
      <c r="R84" s="5"/>
      <c r="S84" s="5"/>
      <c r="T84" s="5">
        <f t="shared" si="9"/>
        <v>0</v>
      </c>
      <c r="U84" s="5">
        <f t="shared" si="10"/>
        <v>0</v>
      </c>
      <c r="V84" s="38">
        <f t="shared" si="11"/>
        <v>0</v>
      </c>
      <c r="W84" s="2"/>
      <c r="X84" s="2"/>
    </row>
    <row r="85" spans="1:24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50</v>
      </c>
      <c r="G85" s="31">
        <v>2</v>
      </c>
      <c r="H85" s="35"/>
      <c r="I85" s="36"/>
      <c r="J85" s="36"/>
      <c r="K85" s="5"/>
      <c r="L85" s="37"/>
      <c r="M85" s="5"/>
      <c r="N85" s="5"/>
      <c r="O85" s="6"/>
      <c r="P85" s="7">
        <f t="shared" si="8"/>
        <v>0</v>
      </c>
      <c r="Q85" s="5"/>
      <c r="R85" s="5"/>
      <c r="S85" s="5"/>
      <c r="T85" s="5">
        <f t="shared" si="9"/>
        <v>0</v>
      </c>
      <c r="U85" s="5">
        <f t="shared" si="10"/>
        <v>0</v>
      </c>
      <c r="V85" s="38">
        <f t="shared" si="11"/>
        <v>0</v>
      </c>
      <c r="W85" s="2"/>
      <c r="X85" s="2"/>
    </row>
    <row r="86" spans="1:24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50</v>
      </c>
      <c r="G86" s="31">
        <v>2</v>
      </c>
      <c r="H86" s="35"/>
      <c r="I86" s="36"/>
      <c r="J86" s="36"/>
      <c r="K86" s="5"/>
      <c r="L86" s="37"/>
      <c r="M86" s="5"/>
      <c r="N86" s="5"/>
      <c r="O86" s="6"/>
      <c r="P86" s="7">
        <f t="shared" si="8"/>
        <v>0</v>
      </c>
      <c r="Q86" s="5"/>
      <c r="R86" s="5"/>
      <c r="S86" s="5"/>
      <c r="T86" s="5">
        <f t="shared" si="9"/>
        <v>0</v>
      </c>
      <c r="U86" s="5">
        <f t="shared" si="10"/>
        <v>0</v>
      </c>
      <c r="V86" s="38">
        <f t="shared" si="11"/>
        <v>0</v>
      </c>
      <c r="W86" s="2"/>
      <c r="X86" s="2"/>
    </row>
    <row r="87" spans="1:24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50</v>
      </c>
      <c r="G87" s="31">
        <v>2</v>
      </c>
      <c r="H87" s="35"/>
      <c r="I87" s="36"/>
      <c r="J87" s="36"/>
      <c r="K87" s="5"/>
      <c r="L87" s="37"/>
      <c r="M87" s="5"/>
      <c r="N87" s="5"/>
      <c r="O87" s="6"/>
      <c r="P87" s="7">
        <f t="shared" si="8"/>
        <v>0</v>
      </c>
      <c r="Q87" s="5"/>
      <c r="R87" s="5"/>
      <c r="S87" s="5"/>
      <c r="T87" s="5">
        <f t="shared" si="9"/>
        <v>0</v>
      </c>
      <c r="U87" s="5">
        <f t="shared" si="10"/>
        <v>0</v>
      </c>
      <c r="V87" s="38">
        <f t="shared" si="11"/>
        <v>0</v>
      </c>
      <c r="W87" s="2"/>
      <c r="X87" s="2"/>
    </row>
    <row r="88" spans="1:24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50</v>
      </c>
      <c r="G88" s="31">
        <v>2</v>
      </c>
      <c r="H88" s="35"/>
      <c r="I88" s="36"/>
      <c r="J88" s="36"/>
      <c r="K88" s="5"/>
      <c r="L88" s="37"/>
      <c r="M88" s="5"/>
      <c r="N88" s="5"/>
      <c r="O88" s="6"/>
      <c r="P88" s="7">
        <f t="shared" si="8"/>
        <v>0</v>
      </c>
      <c r="Q88" s="5"/>
      <c r="R88" s="5"/>
      <c r="S88" s="5"/>
      <c r="T88" s="5">
        <f t="shared" si="9"/>
        <v>0</v>
      </c>
      <c r="U88" s="5">
        <f t="shared" si="10"/>
        <v>0</v>
      </c>
      <c r="V88" s="38">
        <f t="shared" si="11"/>
        <v>0</v>
      </c>
      <c r="W88" s="2"/>
      <c r="X88" s="2"/>
    </row>
    <row r="89" spans="1:24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50</v>
      </c>
      <c r="G89" s="31">
        <v>2</v>
      </c>
      <c r="H89" s="35"/>
      <c r="I89" s="36"/>
      <c r="J89" s="36"/>
      <c r="K89" s="5"/>
      <c r="L89" s="37"/>
      <c r="M89" s="5"/>
      <c r="N89" s="5"/>
      <c r="O89" s="6"/>
      <c r="P89" s="7">
        <f t="shared" si="8"/>
        <v>0</v>
      </c>
      <c r="Q89" s="5"/>
      <c r="R89" s="5"/>
      <c r="S89" s="5"/>
      <c r="T89" s="5">
        <f t="shared" si="9"/>
        <v>0</v>
      </c>
      <c r="U89" s="5">
        <f t="shared" si="10"/>
        <v>0</v>
      </c>
      <c r="V89" s="38">
        <f t="shared" si="11"/>
        <v>0</v>
      </c>
      <c r="W89" s="2"/>
      <c r="X89" s="2"/>
    </row>
    <row r="90" spans="1:24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50</v>
      </c>
      <c r="G90" s="31">
        <v>2</v>
      </c>
      <c r="H90" s="35"/>
      <c r="I90" s="36"/>
      <c r="J90" s="36"/>
      <c r="K90" s="5"/>
      <c r="L90" s="37"/>
      <c r="M90" s="5"/>
      <c r="N90" s="5"/>
      <c r="O90" s="6"/>
      <c r="P90" s="7">
        <f t="shared" si="8"/>
        <v>0</v>
      </c>
      <c r="Q90" s="5"/>
      <c r="R90" s="5"/>
      <c r="S90" s="5"/>
      <c r="T90" s="5">
        <f t="shared" si="9"/>
        <v>0</v>
      </c>
      <c r="U90" s="5">
        <f t="shared" si="10"/>
        <v>0</v>
      </c>
      <c r="V90" s="38">
        <f t="shared" si="11"/>
        <v>0</v>
      </c>
      <c r="W90" s="2"/>
      <c r="X90" s="2"/>
    </row>
    <row r="91" spans="1:24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50</v>
      </c>
      <c r="G91" s="31">
        <v>2</v>
      </c>
      <c r="H91" s="35"/>
      <c r="I91" s="36"/>
      <c r="J91" s="36"/>
      <c r="K91" s="5"/>
      <c r="L91" s="37"/>
      <c r="M91" s="5"/>
      <c r="N91" s="5"/>
      <c r="O91" s="6"/>
      <c r="P91" s="7">
        <f t="shared" si="8"/>
        <v>0</v>
      </c>
      <c r="Q91" s="5"/>
      <c r="R91" s="5"/>
      <c r="S91" s="5"/>
      <c r="T91" s="5">
        <f t="shared" si="9"/>
        <v>0</v>
      </c>
      <c r="U91" s="5">
        <f t="shared" si="10"/>
        <v>0</v>
      </c>
      <c r="V91" s="38">
        <f t="shared" si="11"/>
        <v>0</v>
      </c>
      <c r="W91" s="2"/>
      <c r="X91" s="2"/>
    </row>
    <row r="92" spans="1:24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50</v>
      </c>
      <c r="G92" s="31">
        <v>2</v>
      </c>
      <c r="H92" s="35"/>
      <c r="I92" s="36"/>
      <c r="J92" s="36"/>
      <c r="K92" s="5"/>
      <c r="L92" s="37"/>
      <c r="M92" s="5"/>
      <c r="N92" s="5"/>
      <c r="O92" s="6"/>
      <c r="P92" s="7">
        <f t="shared" si="8"/>
        <v>0</v>
      </c>
      <c r="Q92" s="5"/>
      <c r="R92" s="5"/>
      <c r="S92" s="5"/>
      <c r="T92" s="5">
        <f t="shared" si="9"/>
        <v>0</v>
      </c>
      <c r="U92" s="5">
        <f t="shared" si="10"/>
        <v>0</v>
      </c>
      <c r="V92" s="38">
        <f t="shared" si="11"/>
        <v>0</v>
      </c>
      <c r="W92" s="2"/>
      <c r="X92" s="2"/>
    </row>
    <row r="93" spans="1:24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50</v>
      </c>
      <c r="G93" s="31">
        <v>2</v>
      </c>
      <c r="H93" s="35"/>
      <c r="I93" s="36"/>
      <c r="J93" s="36"/>
      <c r="K93" s="5"/>
      <c r="L93" s="37"/>
      <c r="M93" s="5"/>
      <c r="N93" s="5"/>
      <c r="O93" s="6"/>
      <c r="P93" s="7">
        <f t="shared" si="8"/>
        <v>0</v>
      </c>
      <c r="Q93" s="5"/>
      <c r="R93" s="5"/>
      <c r="S93" s="5"/>
      <c r="T93" s="5">
        <f t="shared" si="9"/>
        <v>0</v>
      </c>
      <c r="U93" s="5">
        <f t="shared" si="10"/>
        <v>0</v>
      </c>
      <c r="V93" s="38">
        <f t="shared" si="11"/>
        <v>0</v>
      </c>
      <c r="W93" s="2"/>
      <c r="X93" s="2"/>
    </row>
    <row r="94" spans="1:24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50</v>
      </c>
      <c r="G94" s="31">
        <v>2</v>
      </c>
      <c r="H94" s="35"/>
      <c r="I94" s="36"/>
      <c r="J94" s="36"/>
      <c r="K94" s="5"/>
      <c r="L94" s="37"/>
      <c r="M94" s="5"/>
      <c r="N94" s="5"/>
      <c r="O94" s="6"/>
      <c r="P94" s="7">
        <f t="shared" si="8"/>
        <v>0</v>
      </c>
      <c r="Q94" s="5"/>
      <c r="R94" s="5"/>
      <c r="S94" s="5"/>
      <c r="T94" s="5">
        <f t="shared" si="9"/>
        <v>0</v>
      </c>
      <c r="U94" s="5">
        <f t="shared" si="10"/>
        <v>0</v>
      </c>
      <c r="V94" s="38">
        <f t="shared" si="11"/>
        <v>0</v>
      </c>
      <c r="W94" s="2"/>
      <c r="X94" s="2"/>
    </row>
    <row r="95" spans="1:24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50</v>
      </c>
      <c r="G95" s="31">
        <v>2</v>
      </c>
      <c r="H95" s="35"/>
      <c r="I95" s="36"/>
      <c r="J95" s="36"/>
      <c r="K95" s="5"/>
      <c r="L95" s="37"/>
      <c r="M95" s="5"/>
      <c r="N95" s="5"/>
      <c r="O95" s="6"/>
      <c r="P95" s="7">
        <f t="shared" si="8"/>
        <v>0</v>
      </c>
      <c r="Q95" s="5"/>
      <c r="R95" s="5"/>
      <c r="S95" s="5"/>
      <c r="T95" s="5">
        <f t="shared" si="9"/>
        <v>0</v>
      </c>
      <c r="U95" s="5">
        <f t="shared" si="10"/>
        <v>0</v>
      </c>
      <c r="V95" s="38">
        <f t="shared" si="11"/>
        <v>0</v>
      </c>
      <c r="W95" s="2"/>
      <c r="X95" s="2"/>
    </row>
    <row r="96" spans="1:24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50</v>
      </c>
      <c r="G96" s="31">
        <v>2</v>
      </c>
      <c r="H96" s="35"/>
      <c r="I96" s="36"/>
      <c r="J96" s="36"/>
      <c r="K96" s="5"/>
      <c r="L96" s="37"/>
      <c r="M96" s="5"/>
      <c r="N96" s="5"/>
      <c r="O96" s="6"/>
      <c r="P96" s="7">
        <f t="shared" si="8"/>
        <v>0</v>
      </c>
      <c r="Q96" s="5"/>
      <c r="R96" s="5"/>
      <c r="S96" s="5"/>
      <c r="T96" s="5">
        <f t="shared" si="9"/>
        <v>0</v>
      </c>
      <c r="U96" s="5">
        <f t="shared" si="10"/>
        <v>0</v>
      </c>
      <c r="V96" s="38">
        <f t="shared" si="11"/>
        <v>0</v>
      </c>
      <c r="W96" s="2"/>
      <c r="X96" s="2"/>
    </row>
    <row r="97" spans="1:24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50</v>
      </c>
      <c r="G97" s="31">
        <v>2</v>
      </c>
      <c r="H97" s="35"/>
      <c r="I97" s="36"/>
      <c r="J97" s="36"/>
      <c r="K97" s="5"/>
      <c r="L97" s="37"/>
      <c r="M97" s="5"/>
      <c r="N97" s="5"/>
      <c r="O97" s="6"/>
      <c r="P97" s="7">
        <f t="shared" si="8"/>
        <v>0</v>
      </c>
      <c r="Q97" s="5"/>
      <c r="R97" s="5"/>
      <c r="S97" s="5"/>
      <c r="T97" s="5">
        <f t="shared" si="9"/>
        <v>0</v>
      </c>
      <c r="U97" s="5">
        <f t="shared" si="10"/>
        <v>0</v>
      </c>
      <c r="V97" s="38">
        <f t="shared" si="11"/>
        <v>0</v>
      </c>
      <c r="W97" s="2"/>
      <c r="X97" s="2"/>
    </row>
    <row r="98" spans="1:24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50</v>
      </c>
      <c r="G98" s="31">
        <v>2</v>
      </c>
      <c r="H98" s="35"/>
      <c r="I98" s="36"/>
      <c r="J98" s="36"/>
      <c r="K98" s="5"/>
      <c r="L98" s="37"/>
      <c r="M98" s="5"/>
      <c r="N98" s="5"/>
      <c r="O98" s="6"/>
      <c r="P98" s="7">
        <f t="shared" si="8"/>
        <v>0</v>
      </c>
      <c r="Q98" s="5"/>
      <c r="R98" s="5"/>
      <c r="S98" s="5"/>
      <c r="T98" s="5">
        <f t="shared" si="9"/>
        <v>0</v>
      </c>
      <c r="U98" s="5">
        <f t="shared" si="10"/>
        <v>0</v>
      </c>
      <c r="V98" s="38">
        <f t="shared" si="11"/>
        <v>0</v>
      </c>
      <c r="W98" s="2"/>
      <c r="X98" s="2"/>
    </row>
    <row r="99" spans="1:24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50</v>
      </c>
      <c r="G99" s="31">
        <v>2</v>
      </c>
      <c r="H99" s="35"/>
      <c r="I99" s="36"/>
      <c r="J99" s="36"/>
      <c r="K99" s="5"/>
      <c r="L99" s="37"/>
      <c r="M99" s="5"/>
      <c r="N99" s="5"/>
      <c r="O99" s="6"/>
      <c r="P99" s="7">
        <f t="shared" si="8"/>
        <v>0</v>
      </c>
      <c r="Q99" s="5"/>
      <c r="R99" s="5"/>
      <c r="S99" s="5"/>
      <c r="T99" s="5">
        <f t="shared" si="9"/>
        <v>0</v>
      </c>
      <c r="U99" s="5">
        <f t="shared" si="10"/>
        <v>0</v>
      </c>
      <c r="V99" s="38">
        <f t="shared" si="11"/>
        <v>0</v>
      </c>
      <c r="W99" s="2"/>
      <c r="X99" s="2"/>
    </row>
    <row r="100" spans="1:24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50</v>
      </c>
      <c r="G100" s="31">
        <v>2</v>
      </c>
      <c r="H100" s="35"/>
      <c r="I100" s="36"/>
      <c r="J100" s="36"/>
      <c r="K100" s="5"/>
      <c r="L100" s="37"/>
      <c r="M100" s="5"/>
      <c r="N100" s="5"/>
      <c r="O100" s="6"/>
      <c r="P100" s="7">
        <f t="shared" si="8"/>
        <v>0</v>
      </c>
      <c r="Q100" s="5"/>
      <c r="R100" s="5"/>
      <c r="S100" s="5"/>
      <c r="T100" s="5">
        <f t="shared" si="9"/>
        <v>0</v>
      </c>
      <c r="U100" s="5">
        <f t="shared" si="10"/>
        <v>0</v>
      </c>
      <c r="V100" s="38">
        <f t="shared" si="11"/>
        <v>0</v>
      </c>
      <c r="W100" s="2"/>
      <c r="X100" s="2"/>
    </row>
    <row r="101" spans="1:24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50</v>
      </c>
      <c r="G101" s="31">
        <v>2</v>
      </c>
      <c r="H101" s="35"/>
      <c r="I101" s="36"/>
      <c r="J101" s="36"/>
      <c r="K101" s="5"/>
      <c r="L101" s="37"/>
      <c r="M101" s="5"/>
      <c r="N101" s="5"/>
      <c r="O101" s="6"/>
      <c r="P101" s="7">
        <f t="shared" si="8"/>
        <v>0</v>
      </c>
      <c r="Q101" s="5"/>
      <c r="R101" s="5"/>
      <c r="S101" s="5"/>
      <c r="T101" s="5">
        <f t="shared" si="9"/>
        <v>0</v>
      </c>
      <c r="U101" s="5">
        <f t="shared" si="10"/>
        <v>0</v>
      </c>
      <c r="V101" s="38">
        <f t="shared" si="11"/>
        <v>0</v>
      </c>
      <c r="W101" s="2"/>
      <c r="X101" s="2"/>
    </row>
    <row r="102" spans="1:24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50</v>
      </c>
      <c r="G102" s="31">
        <v>2</v>
      </c>
      <c r="H102" s="35"/>
      <c r="I102" s="36"/>
      <c r="J102" s="36"/>
      <c r="K102" s="5"/>
      <c r="L102" s="37"/>
      <c r="M102" s="5"/>
      <c r="N102" s="5"/>
      <c r="O102" s="6"/>
      <c r="P102" s="7">
        <f t="shared" si="8"/>
        <v>0</v>
      </c>
      <c r="Q102" s="5"/>
      <c r="R102" s="5"/>
      <c r="S102" s="5"/>
      <c r="T102" s="5">
        <f t="shared" si="9"/>
        <v>0</v>
      </c>
      <c r="U102" s="5">
        <f t="shared" si="10"/>
        <v>0</v>
      </c>
      <c r="V102" s="38">
        <f t="shared" si="11"/>
        <v>0</v>
      </c>
      <c r="W102" s="2"/>
      <c r="X102" s="2"/>
    </row>
    <row r="103" spans="1:24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50</v>
      </c>
      <c r="G103" s="31">
        <v>2</v>
      </c>
      <c r="H103" s="35"/>
      <c r="I103" s="36"/>
      <c r="J103" s="36"/>
      <c r="K103" s="5"/>
      <c r="L103" s="37"/>
      <c r="M103" s="5"/>
      <c r="N103" s="5"/>
      <c r="O103" s="6"/>
      <c r="P103" s="7">
        <f t="shared" si="8"/>
        <v>0</v>
      </c>
      <c r="Q103" s="5"/>
      <c r="R103" s="5"/>
      <c r="S103" s="5"/>
      <c r="T103" s="5">
        <f t="shared" si="9"/>
        <v>0</v>
      </c>
      <c r="U103" s="5">
        <f t="shared" si="10"/>
        <v>0</v>
      </c>
      <c r="V103" s="38">
        <f t="shared" si="11"/>
        <v>0</v>
      </c>
      <c r="W103" s="2"/>
      <c r="X103" s="2"/>
    </row>
    <row r="104" spans="1:24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50</v>
      </c>
      <c r="G104" s="31">
        <v>2</v>
      </c>
      <c r="H104" s="35"/>
      <c r="I104" s="36"/>
      <c r="J104" s="36"/>
      <c r="K104" s="5"/>
      <c r="L104" s="37"/>
      <c r="M104" s="5"/>
      <c r="N104" s="5"/>
      <c r="O104" s="6"/>
      <c r="P104" s="7">
        <f t="shared" si="8"/>
        <v>0</v>
      </c>
      <c r="Q104" s="5"/>
      <c r="R104" s="5"/>
      <c r="S104" s="5"/>
      <c r="T104" s="5">
        <f t="shared" si="9"/>
        <v>0</v>
      </c>
      <c r="U104" s="5">
        <f t="shared" si="10"/>
        <v>0</v>
      </c>
      <c r="V104" s="38">
        <f t="shared" si="11"/>
        <v>0</v>
      </c>
      <c r="W104" s="2"/>
      <c r="X104" s="2"/>
    </row>
    <row r="105" spans="1:24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50</v>
      </c>
      <c r="G105" s="31">
        <v>2</v>
      </c>
      <c r="H105" s="35"/>
      <c r="I105" s="36"/>
      <c r="J105" s="36"/>
      <c r="K105" s="5"/>
      <c r="L105" s="37"/>
      <c r="M105" s="5"/>
      <c r="N105" s="5"/>
      <c r="O105" s="6"/>
      <c r="P105" s="7">
        <f t="shared" si="8"/>
        <v>0</v>
      </c>
      <c r="Q105" s="5"/>
      <c r="R105" s="5"/>
      <c r="S105" s="5"/>
      <c r="T105" s="5">
        <f t="shared" si="9"/>
        <v>0</v>
      </c>
      <c r="U105" s="5">
        <f t="shared" si="10"/>
        <v>0</v>
      </c>
      <c r="V105" s="38">
        <f t="shared" si="11"/>
        <v>0</v>
      </c>
      <c r="W105" s="2"/>
      <c r="X105" s="2"/>
    </row>
    <row r="106" spans="1:24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50</v>
      </c>
      <c r="G106" s="31">
        <v>2</v>
      </c>
      <c r="H106" s="35"/>
      <c r="I106" s="36"/>
      <c r="J106" s="36"/>
      <c r="K106" s="5"/>
      <c r="L106" s="37"/>
      <c r="M106" s="5"/>
      <c r="N106" s="5"/>
      <c r="O106" s="6"/>
      <c r="P106" s="7">
        <f t="shared" si="8"/>
        <v>0</v>
      </c>
      <c r="Q106" s="5"/>
      <c r="R106" s="5"/>
      <c r="S106" s="5"/>
      <c r="T106" s="5">
        <f t="shared" si="9"/>
        <v>0</v>
      </c>
      <c r="U106" s="5">
        <f t="shared" si="10"/>
        <v>0</v>
      </c>
      <c r="V106" s="38">
        <f t="shared" si="11"/>
        <v>0</v>
      </c>
      <c r="W106" s="2"/>
      <c r="X106" s="2"/>
    </row>
    <row r="107" spans="1:24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50</v>
      </c>
      <c r="G107" s="31">
        <v>2</v>
      </c>
      <c r="H107" s="35"/>
      <c r="I107" s="36"/>
      <c r="J107" s="36"/>
      <c r="K107" s="5"/>
      <c r="L107" s="37"/>
      <c r="M107" s="5"/>
      <c r="N107" s="5"/>
      <c r="O107" s="6"/>
      <c r="P107" s="7">
        <f t="shared" si="8"/>
        <v>0</v>
      </c>
      <c r="Q107" s="5"/>
      <c r="R107" s="5"/>
      <c r="S107" s="5"/>
      <c r="T107" s="5">
        <f t="shared" si="9"/>
        <v>0</v>
      </c>
      <c r="U107" s="5">
        <f t="shared" si="10"/>
        <v>0</v>
      </c>
      <c r="V107" s="38">
        <f t="shared" si="11"/>
        <v>0</v>
      </c>
      <c r="W107" s="2"/>
      <c r="X107" s="2"/>
    </row>
    <row r="108" spans="1:24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50</v>
      </c>
      <c r="G108" s="31">
        <v>2</v>
      </c>
      <c r="H108" s="35"/>
      <c r="I108" s="36"/>
      <c r="J108" s="36"/>
      <c r="K108" s="5"/>
      <c r="L108" s="37"/>
      <c r="M108" s="5"/>
      <c r="N108" s="5"/>
      <c r="O108" s="6"/>
      <c r="P108" s="7">
        <f t="shared" si="8"/>
        <v>0</v>
      </c>
      <c r="Q108" s="5"/>
      <c r="R108" s="5"/>
      <c r="S108" s="5"/>
      <c r="T108" s="5">
        <f t="shared" si="9"/>
        <v>0</v>
      </c>
      <c r="U108" s="5">
        <f t="shared" si="10"/>
        <v>0</v>
      </c>
      <c r="V108" s="38">
        <f t="shared" si="11"/>
        <v>0</v>
      </c>
      <c r="W108" s="2"/>
      <c r="X108" s="2"/>
    </row>
    <row r="109" spans="1:24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50</v>
      </c>
      <c r="G109" s="31">
        <v>2</v>
      </c>
      <c r="H109" s="35"/>
      <c r="I109" s="36"/>
      <c r="J109" s="36"/>
      <c r="K109" s="5"/>
      <c r="L109" s="37"/>
      <c r="M109" s="5"/>
      <c r="N109" s="5"/>
      <c r="O109" s="6"/>
      <c r="P109" s="7">
        <f t="shared" si="8"/>
        <v>0</v>
      </c>
      <c r="Q109" s="5"/>
      <c r="R109" s="5"/>
      <c r="S109" s="5"/>
      <c r="T109" s="5">
        <f t="shared" si="9"/>
        <v>0</v>
      </c>
      <c r="U109" s="5">
        <f t="shared" si="10"/>
        <v>0</v>
      </c>
      <c r="V109" s="38">
        <f t="shared" si="11"/>
        <v>0</v>
      </c>
      <c r="W109" s="2"/>
      <c r="X109" s="2"/>
    </row>
    <row r="110" spans="1:24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50</v>
      </c>
      <c r="G110" s="31">
        <v>2</v>
      </c>
      <c r="H110" s="35"/>
      <c r="I110" s="36"/>
      <c r="J110" s="36"/>
      <c r="K110" s="5"/>
      <c r="L110" s="37"/>
      <c r="M110" s="5"/>
      <c r="N110" s="5"/>
      <c r="O110" s="6"/>
      <c r="P110" s="7">
        <f t="shared" si="8"/>
        <v>0</v>
      </c>
      <c r="Q110" s="5"/>
      <c r="R110" s="5"/>
      <c r="S110" s="5"/>
      <c r="T110" s="5">
        <f t="shared" si="9"/>
        <v>0</v>
      </c>
      <c r="U110" s="5">
        <f t="shared" si="10"/>
        <v>0</v>
      </c>
      <c r="V110" s="38">
        <f t="shared" si="11"/>
        <v>0</v>
      </c>
      <c r="W110" s="2"/>
      <c r="X110" s="2"/>
    </row>
    <row r="111" spans="1:24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50</v>
      </c>
      <c r="G111" s="31">
        <v>2</v>
      </c>
      <c r="H111" s="35"/>
      <c r="I111" s="36"/>
      <c r="J111" s="36"/>
      <c r="K111" s="5"/>
      <c r="L111" s="37"/>
      <c r="M111" s="5"/>
      <c r="N111" s="5"/>
      <c r="O111" s="6"/>
      <c r="P111" s="7">
        <f t="shared" si="8"/>
        <v>0</v>
      </c>
      <c r="Q111" s="5"/>
      <c r="R111" s="5"/>
      <c r="S111" s="5"/>
      <c r="T111" s="5">
        <f t="shared" si="9"/>
        <v>0</v>
      </c>
      <c r="U111" s="5">
        <f t="shared" si="10"/>
        <v>0</v>
      </c>
      <c r="V111" s="38">
        <f t="shared" si="11"/>
        <v>0</v>
      </c>
      <c r="W111" s="2"/>
      <c r="X111" s="2"/>
    </row>
    <row r="112" spans="1:24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50</v>
      </c>
      <c r="G112" s="31">
        <v>2</v>
      </c>
      <c r="H112" s="35"/>
      <c r="I112" s="36"/>
      <c r="J112" s="36"/>
      <c r="K112" s="5"/>
      <c r="L112" s="37"/>
      <c r="M112" s="5"/>
      <c r="N112" s="5"/>
      <c r="O112" s="6"/>
      <c r="P112" s="7">
        <f t="shared" si="8"/>
        <v>0</v>
      </c>
      <c r="Q112" s="5"/>
      <c r="R112" s="5"/>
      <c r="S112" s="5"/>
      <c r="T112" s="5">
        <f t="shared" si="9"/>
        <v>0</v>
      </c>
      <c r="U112" s="5">
        <f t="shared" si="10"/>
        <v>0</v>
      </c>
      <c r="V112" s="38">
        <f t="shared" si="11"/>
        <v>0</v>
      </c>
      <c r="W112" s="2"/>
      <c r="X112" s="2"/>
    </row>
    <row r="113" spans="1:24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50</v>
      </c>
      <c r="G113" s="31">
        <v>2</v>
      </c>
      <c r="H113" s="35"/>
      <c r="I113" s="36"/>
      <c r="J113" s="36"/>
      <c r="K113" s="5"/>
      <c r="L113" s="37"/>
      <c r="M113" s="5"/>
      <c r="N113" s="5"/>
      <c r="O113" s="6"/>
      <c r="P113" s="7">
        <f t="shared" si="8"/>
        <v>0</v>
      </c>
      <c r="Q113" s="5"/>
      <c r="R113" s="5"/>
      <c r="S113" s="5"/>
      <c r="T113" s="5">
        <f t="shared" si="9"/>
        <v>0</v>
      </c>
      <c r="U113" s="5">
        <f t="shared" si="10"/>
        <v>0</v>
      </c>
      <c r="V113" s="38">
        <f t="shared" si="11"/>
        <v>0</v>
      </c>
      <c r="W113" s="2"/>
      <c r="X113" s="2"/>
    </row>
    <row r="114" spans="1:24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50</v>
      </c>
      <c r="G114" s="31">
        <v>2</v>
      </c>
      <c r="H114" s="35"/>
      <c r="I114" s="36"/>
      <c r="J114" s="36"/>
      <c r="K114" s="5"/>
      <c r="L114" s="37"/>
      <c r="M114" s="5"/>
      <c r="N114" s="5"/>
      <c r="O114" s="6"/>
      <c r="P114" s="7">
        <f t="shared" si="8"/>
        <v>0</v>
      </c>
      <c r="Q114" s="5"/>
      <c r="R114" s="5"/>
      <c r="S114" s="5"/>
      <c r="T114" s="5">
        <f t="shared" si="9"/>
        <v>0</v>
      </c>
      <c r="U114" s="5">
        <f t="shared" si="10"/>
        <v>0</v>
      </c>
      <c r="V114" s="38">
        <f t="shared" si="11"/>
        <v>0</v>
      </c>
      <c r="W114" s="2"/>
      <c r="X114" s="2"/>
    </row>
    <row r="115" spans="1:24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50</v>
      </c>
      <c r="G115" s="31">
        <v>2</v>
      </c>
      <c r="H115" s="35"/>
      <c r="I115" s="36"/>
      <c r="J115" s="36"/>
      <c r="K115" s="5"/>
      <c r="L115" s="37"/>
      <c r="M115" s="5"/>
      <c r="N115" s="5"/>
      <c r="O115" s="6"/>
      <c r="P115" s="7">
        <f t="shared" si="8"/>
        <v>0</v>
      </c>
      <c r="Q115" s="5"/>
      <c r="R115" s="5"/>
      <c r="S115" s="5"/>
      <c r="T115" s="5">
        <f t="shared" si="9"/>
        <v>0</v>
      </c>
      <c r="U115" s="5">
        <f t="shared" si="10"/>
        <v>0</v>
      </c>
      <c r="V115" s="38">
        <f t="shared" si="11"/>
        <v>0</v>
      </c>
      <c r="W115" s="2"/>
      <c r="X115" s="2"/>
    </row>
    <row r="116" spans="1:24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50</v>
      </c>
      <c r="G116" s="31">
        <v>2</v>
      </c>
      <c r="H116" s="35"/>
      <c r="I116" s="36"/>
      <c r="J116" s="36"/>
      <c r="K116" s="5"/>
      <c r="L116" s="37"/>
      <c r="M116" s="5"/>
      <c r="N116" s="5"/>
      <c r="O116" s="6"/>
      <c r="P116" s="7">
        <f t="shared" si="8"/>
        <v>0</v>
      </c>
      <c r="Q116" s="5"/>
      <c r="R116" s="5"/>
      <c r="S116" s="5"/>
      <c r="T116" s="5">
        <f t="shared" si="9"/>
        <v>0</v>
      </c>
      <c r="U116" s="5">
        <f t="shared" si="10"/>
        <v>0</v>
      </c>
      <c r="V116" s="38">
        <f t="shared" si="11"/>
        <v>0</v>
      </c>
      <c r="W116" s="2"/>
      <c r="X116" s="2"/>
    </row>
    <row r="117" spans="1:24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50</v>
      </c>
      <c r="G117" s="31">
        <v>2</v>
      </c>
      <c r="H117" s="35"/>
      <c r="I117" s="36"/>
      <c r="J117" s="36"/>
      <c r="K117" s="5"/>
      <c r="L117" s="37"/>
      <c r="M117" s="5"/>
      <c r="N117" s="5"/>
      <c r="O117" s="6"/>
      <c r="P117" s="7">
        <f t="shared" si="8"/>
        <v>0</v>
      </c>
      <c r="Q117" s="5"/>
      <c r="R117" s="5"/>
      <c r="S117" s="5"/>
      <c r="T117" s="5">
        <f t="shared" si="9"/>
        <v>0</v>
      </c>
      <c r="U117" s="5">
        <f t="shared" si="10"/>
        <v>0</v>
      </c>
      <c r="V117" s="38">
        <f t="shared" si="11"/>
        <v>0</v>
      </c>
      <c r="W117" s="2"/>
      <c r="X117" s="2"/>
    </row>
    <row r="118" spans="1:24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50</v>
      </c>
      <c r="G118" s="31">
        <v>2</v>
      </c>
      <c r="H118" s="35"/>
      <c r="I118" s="36"/>
      <c r="J118" s="36"/>
      <c r="K118" s="5"/>
      <c r="L118" s="37"/>
      <c r="M118" s="5"/>
      <c r="N118" s="5"/>
      <c r="O118" s="6"/>
      <c r="P118" s="7">
        <f t="shared" si="8"/>
        <v>0</v>
      </c>
      <c r="Q118" s="5"/>
      <c r="R118" s="5"/>
      <c r="S118" s="5"/>
      <c r="T118" s="5">
        <f t="shared" si="9"/>
        <v>0</v>
      </c>
      <c r="U118" s="5">
        <f t="shared" si="10"/>
        <v>0</v>
      </c>
      <c r="V118" s="38">
        <f t="shared" si="11"/>
        <v>0</v>
      </c>
      <c r="W118" s="2"/>
      <c r="X118" s="2"/>
    </row>
    <row r="119" spans="1:24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50</v>
      </c>
      <c r="G119" s="31">
        <v>2</v>
      </c>
      <c r="H119" s="35"/>
      <c r="I119" s="36"/>
      <c r="J119" s="36"/>
      <c r="K119" s="5"/>
      <c r="L119" s="37"/>
      <c r="M119" s="5"/>
      <c r="N119" s="5"/>
      <c r="O119" s="6"/>
      <c r="P119" s="7">
        <f t="shared" si="8"/>
        <v>0</v>
      </c>
      <c r="Q119" s="5"/>
      <c r="R119" s="5"/>
      <c r="S119" s="5"/>
      <c r="T119" s="5">
        <f t="shared" si="9"/>
        <v>0</v>
      </c>
      <c r="U119" s="5">
        <f t="shared" si="10"/>
        <v>0</v>
      </c>
      <c r="V119" s="38">
        <f t="shared" si="11"/>
        <v>0</v>
      </c>
      <c r="W119" s="2"/>
      <c r="X119" s="2"/>
    </row>
    <row r="120" spans="1:24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50</v>
      </c>
      <c r="G120" s="31">
        <v>2</v>
      </c>
      <c r="H120" s="35"/>
      <c r="I120" s="36"/>
      <c r="J120" s="36"/>
      <c r="K120" s="5"/>
      <c r="L120" s="37"/>
      <c r="M120" s="5"/>
      <c r="N120" s="5"/>
      <c r="O120" s="6"/>
      <c r="P120" s="7">
        <f t="shared" si="8"/>
        <v>0</v>
      </c>
      <c r="Q120" s="5"/>
      <c r="R120" s="5"/>
      <c r="S120" s="5"/>
      <c r="T120" s="5">
        <f t="shared" si="9"/>
        <v>0</v>
      </c>
      <c r="U120" s="5">
        <f t="shared" si="10"/>
        <v>0</v>
      </c>
      <c r="V120" s="38">
        <f t="shared" si="11"/>
        <v>0</v>
      </c>
      <c r="W120" s="2"/>
      <c r="X120" s="2"/>
    </row>
    <row r="121" spans="1:24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50</v>
      </c>
      <c r="G121" s="31">
        <v>2</v>
      </c>
      <c r="H121" s="35"/>
      <c r="I121" s="36"/>
      <c r="J121" s="36"/>
      <c r="K121" s="5"/>
      <c r="L121" s="37"/>
      <c r="M121" s="5"/>
      <c r="N121" s="5"/>
      <c r="O121" s="6"/>
      <c r="P121" s="7">
        <f t="shared" si="8"/>
        <v>0</v>
      </c>
      <c r="Q121" s="5"/>
      <c r="R121" s="5"/>
      <c r="S121" s="5"/>
      <c r="T121" s="5">
        <f t="shared" si="9"/>
        <v>0</v>
      </c>
      <c r="U121" s="5">
        <f t="shared" si="10"/>
        <v>0</v>
      </c>
      <c r="V121" s="38">
        <f t="shared" si="11"/>
        <v>0</v>
      </c>
      <c r="W121" s="2"/>
      <c r="X121" s="2"/>
    </row>
    <row r="122" spans="1:24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50</v>
      </c>
      <c r="G122" s="31">
        <v>2</v>
      </c>
      <c r="H122" s="35"/>
      <c r="I122" s="36"/>
      <c r="J122" s="36"/>
      <c r="K122" s="5"/>
      <c r="L122" s="37"/>
      <c r="M122" s="5"/>
      <c r="N122" s="5"/>
      <c r="O122" s="6"/>
      <c r="P122" s="7">
        <f t="shared" si="8"/>
        <v>0</v>
      </c>
      <c r="Q122" s="5"/>
      <c r="R122" s="5"/>
      <c r="S122" s="5"/>
      <c r="T122" s="5">
        <f t="shared" si="9"/>
        <v>0</v>
      </c>
      <c r="U122" s="5">
        <f t="shared" si="10"/>
        <v>0</v>
      </c>
      <c r="V122" s="38">
        <f t="shared" si="11"/>
        <v>0</v>
      </c>
      <c r="W122" s="2"/>
      <c r="X122" s="2"/>
    </row>
    <row r="123" spans="1:24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50</v>
      </c>
      <c r="G123" s="31">
        <v>2</v>
      </c>
      <c r="H123" s="35"/>
      <c r="I123" s="36"/>
      <c r="J123" s="36"/>
      <c r="K123" s="5"/>
      <c r="L123" s="37"/>
      <c r="M123" s="5"/>
      <c r="N123" s="5"/>
      <c r="O123" s="6"/>
      <c r="P123" s="7">
        <f t="shared" si="8"/>
        <v>0</v>
      </c>
      <c r="Q123" s="5"/>
      <c r="R123" s="5"/>
      <c r="S123" s="5"/>
      <c r="T123" s="5">
        <f t="shared" si="9"/>
        <v>0</v>
      </c>
      <c r="U123" s="5">
        <f t="shared" si="10"/>
        <v>0</v>
      </c>
      <c r="V123" s="38">
        <f t="shared" si="11"/>
        <v>0</v>
      </c>
      <c r="W123" s="2"/>
      <c r="X123" s="2"/>
    </row>
    <row r="124" spans="1:24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50</v>
      </c>
      <c r="G124" s="31">
        <v>2</v>
      </c>
      <c r="H124" s="35"/>
      <c r="I124" s="36"/>
      <c r="J124" s="36"/>
      <c r="K124" s="5"/>
      <c r="L124" s="37"/>
      <c r="M124" s="5"/>
      <c r="N124" s="5"/>
      <c r="O124" s="6"/>
      <c r="P124" s="7">
        <f t="shared" si="8"/>
        <v>0</v>
      </c>
      <c r="Q124" s="5"/>
      <c r="R124" s="5"/>
      <c r="S124" s="5"/>
      <c r="T124" s="5">
        <f t="shared" si="9"/>
        <v>0</v>
      </c>
      <c r="U124" s="5">
        <f t="shared" si="10"/>
        <v>0</v>
      </c>
      <c r="V124" s="38">
        <f t="shared" si="11"/>
        <v>0</v>
      </c>
      <c r="W124" s="2"/>
      <c r="X124" s="2"/>
    </row>
    <row r="125" spans="1:24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50</v>
      </c>
      <c r="G125" s="31">
        <v>2</v>
      </c>
      <c r="H125" s="35"/>
      <c r="I125" s="36"/>
      <c r="J125" s="36"/>
      <c r="K125" s="5"/>
      <c r="L125" s="37"/>
      <c r="M125" s="5"/>
      <c r="N125" s="5"/>
      <c r="O125" s="6"/>
      <c r="P125" s="7">
        <f t="shared" si="8"/>
        <v>0</v>
      </c>
      <c r="Q125" s="5"/>
      <c r="R125" s="5"/>
      <c r="S125" s="5"/>
      <c r="T125" s="5">
        <f t="shared" si="9"/>
        <v>0</v>
      </c>
      <c r="U125" s="5">
        <f t="shared" si="10"/>
        <v>0</v>
      </c>
      <c r="V125" s="38">
        <f t="shared" si="11"/>
        <v>0</v>
      </c>
      <c r="W125" s="2"/>
      <c r="X125" s="2"/>
    </row>
    <row r="126" spans="1:24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50</v>
      </c>
      <c r="G126" s="31">
        <v>2</v>
      </c>
      <c r="H126" s="35"/>
      <c r="I126" s="36"/>
      <c r="J126" s="36"/>
      <c r="K126" s="5"/>
      <c r="L126" s="37"/>
      <c r="M126" s="5"/>
      <c r="N126" s="5"/>
      <c r="O126" s="6"/>
      <c r="P126" s="7">
        <f t="shared" si="8"/>
        <v>0</v>
      </c>
      <c r="Q126" s="5"/>
      <c r="R126" s="5"/>
      <c r="S126" s="5"/>
      <c r="T126" s="5">
        <f t="shared" si="9"/>
        <v>0</v>
      </c>
      <c r="U126" s="5">
        <f t="shared" si="10"/>
        <v>0</v>
      </c>
      <c r="V126" s="38">
        <f t="shared" si="11"/>
        <v>0</v>
      </c>
      <c r="W126" s="2"/>
      <c r="X126" s="2"/>
    </row>
    <row r="127" spans="1:24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50</v>
      </c>
      <c r="G127" s="31">
        <v>2</v>
      </c>
      <c r="H127" s="35"/>
      <c r="I127" s="36"/>
      <c r="J127" s="36"/>
      <c r="K127" s="5"/>
      <c r="L127" s="37"/>
      <c r="M127" s="5"/>
      <c r="N127" s="5"/>
      <c r="O127" s="6"/>
      <c r="P127" s="7">
        <f t="shared" si="8"/>
        <v>0</v>
      </c>
      <c r="Q127" s="5"/>
      <c r="R127" s="5"/>
      <c r="S127" s="5"/>
      <c r="T127" s="5">
        <f t="shared" si="9"/>
        <v>0</v>
      </c>
      <c r="U127" s="5">
        <f t="shared" si="10"/>
        <v>0</v>
      </c>
      <c r="V127" s="38">
        <f t="shared" si="11"/>
        <v>0</v>
      </c>
      <c r="W127" s="2"/>
      <c r="X127" s="2"/>
    </row>
    <row r="128" spans="1:24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50</v>
      </c>
      <c r="G128" s="31">
        <v>2</v>
      </c>
      <c r="H128" s="35"/>
      <c r="I128" s="36"/>
      <c r="J128" s="36"/>
      <c r="K128" s="5"/>
      <c r="L128" s="37"/>
      <c r="M128" s="5"/>
      <c r="N128" s="5"/>
      <c r="O128" s="6"/>
      <c r="P128" s="7">
        <f t="shared" si="8"/>
        <v>0</v>
      </c>
      <c r="Q128" s="5"/>
      <c r="R128" s="5"/>
      <c r="S128" s="5"/>
      <c r="T128" s="5">
        <f t="shared" si="9"/>
        <v>0</v>
      </c>
      <c r="U128" s="5">
        <f t="shared" si="10"/>
        <v>0</v>
      </c>
      <c r="V128" s="38">
        <f t="shared" si="11"/>
        <v>0</v>
      </c>
      <c r="W128" s="2"/>
      <c r="X128" s="2"/>
    </row>
    <row r="129" spans="1:24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50</v>
      </c>
      <c r="G129" s="31">
        <v>2</v>
      </c>
      <c r="H129" s="35"/>
      <c r="I129" s="36"/>
      <c r="J129" s="36"/>
      <c r="K129" s="5"/>
      <c r="L129" s="37"/>
      <c r="M129" s="5"/>
      <c r="N129" s="5"/>
      <c r="O129" s="6"/>
      <c r="P129" s="7">
        <f t="shared" si="8"/>
        <v>0</v>
      </c>
      <c r="Q129" s="5"/>
      <c r="R129" s="5"/>
      <c r="S129" s="5"/>
      <c r="T129" s="5">
        <f t="shared" si="9"/>
        <v>0</v>
      </c>
      <c r="U129" s="5">
        <f t="shared" si="10"/>
        <v>0</v>
      </c>
      <c r="V129" s="38">
        <f t="shared" si="11"/>
        <v>0</v>
      </c>
      <c r="W129" s="2"/>
      <c r="X129" s="2"/>
    </row>
    <row r="130" spans="1:24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50</v>
      </c>
      <c r="G130" s="31">
        <v>2</v>
      </c>
      <c r="H130" s="35"/>
      <c r="I130" s="36"/>
      <c r="J130" s="36"/>
      <c r="K130" s="5"/>
      <c r="L130" s="37"/>
      <c r="M130" s="5"/>
      <c r="N130" s="5"/>
      <c r="O130" s="6"/>
      <c r="P130" s="7">
        <f t="shared" si="8"/>
        <v>0</v>
      </c>
      <c r="Q130" s="5"/>
      <c r="R130" s="5"/>
      <c r="S130" s="5"/>
      <c r="T130" s="5">
        <f t="shared" si="9"/>
        <v>0</v>
      </c>
      <c r="U130" s="5">
        <f t="shared" si="10"/>
        <v>0</v>
      </c>
      <c r="V130" s="38">
        <f t="shared" si="11"/>
        <v>0</v>
      </c>
      <c r="W130" s="2"/>
      <c r="X130" s="2"/>
    </row>
    <row r="131" spans="1:24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50</v>
      </c>
      <c r="G131" s="31">
        <v>2</v>
      </c>
      <c r="H131" s="35"/>
      <c r="I131" s="36"/>
      <c r="J131" s="36"/>
      <c r="K131" s="5"/>
      <c r="L131" s="37"/>
      <c r="M131" s="5"/>
      <c r="N131" s="5"/>
      <c r="O131" s="6"/>
      <c r="P131" s="7">
        <f t="shared" si="8"/>
        <v>0</v>
      </c>
      <c r="Q131" s="5"/>
      <c r="R131" s="5"/>
      <c r="S131" s="5"/>
      <c r="T131" s="5">
        <f t="shared" si="9"/>
        <v>0</v>
      </c>
      <c r="U131" s="5">
        <f t="shared" si="10"/>
        <v>0</v>
      </c>
      <c r="V131" s="38">
        <f t="shared" si="11"/>
        <v>0</v>
      </c>
      <c r="W131" s="2"/>
      <c r="X131" s="2"/>
    </row>
    <row r="132" spans="1:24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50</v>
      </c>
      <c r="G132" s="31">
        <v>2</v>
      </c>
      <c r="H132" s="35"/>
      <c r="I132" s="36"/>
      <c r="J132" s="36"/>
      <c r="K132" s="5"/>
      <c r="L132" s="37"/>
      <c r="M132" s="5"/>
      <c r="N132" s="5"/>
      <c r="O132" s="6"/>
      <c r="P132" s="7">
        <f t="shared" si="8"/>
        <v>0</v>
      </c>
      <c r="Q132" s="5"/>
      <c r="R132" s="5"/>
      <c r="S132" s="5"/>
      <c r="T132" s="5">
        <f t="shared" si="9"/>
        <v>0</v>
      </c>
      <c r="U132" s="5">
        <f t="shared" si="10"/>
        <v>0</v>
      </c>
      <c r="V132" s="38">
        <f t="shared" si="11"/>
        <v>0</v>
      </c>
      <c r="W132" s="2"/>
      <c r="X132" s="2"/>
    </row>
    <row r="133" spans="1:24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50</v>
      </c>
      <c r="G133" s="31">
        <v>2</v>
      </c>
      <c r="H133" s="35"/>
      <c r="I133" s="36"/>
      <c r="J133" s="36"/>
      <c r="K133" s="5"/>
      <c r="L133" s="37"/>
      <c r="M133" s="5"/>
      <c r="N133" s="5"/>
      <c r="O133" s="6"/>
      <c r="P133" s="7">
        <f t="shared" ref="P133:P149" si="12">M133+(0.05*N133)+(O133/240)</f>
        <v>0</v>
      </c>
      <c r="Q133" s="5"/>
      <c r="R133" s="5"/>
      <c r="S133" s="5"/>
      <c r="T133" s="5">
        <f t="shared" ref="T133:T149" si="13">Q133+(R133*0.05)+(S133/240)</f>
        <v>0</v>
      </c>
      <c r="U133" s="5">
        <f t="shared" ref="U133:U149" si="14">K133*P133</f>
        <v>0</v>
      </c>
      <c r="V133" s="38">
        <f t="shared" si="11"/>
        <v>0</v>
      </c>
      <c r="W133" s="2"/>
      <c r="X133" s="2"/>
    </row>
    <row r="134" spans="1:24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50</v>
      </c>
      <c r="G134" s="31">
        <v>2</v>
      </c>
      <c r="H134" s="35"/>
      <c r="I134" s="36"/>
      <c r="J134" s="36"/>
      <c r="K134" s="5"/>
      <c r="L134" s="37"/>
      <c r="M134" s="5"/>
      <c r="N134" s="5"/>
      <c r="O134" s="6"/>
      <c r="P134" s="7">
        <f t="shared" si="12"/>
        <v>0</v>
      </c>
      <c r="Q134" s="5"/>
      <c r="R134" s="5"/>
      <c r="S134" s="5"/>
      <c r="T134" s="5">
        <f t="shared" si="13"/>
        <v>0</v>
      </c>
      <c r="U134" s="5">
        <f t="shared" si="14"/>
        <v>0</v>
      </c>
      <c r="V134" s="38">
        <f t="shared" ref="V134:V149" si="15">T134-U134</f>
        <v>0</v>
      </c>
      <c r="W134" s="2"/>
      <c r="X134" s="2"/>
    </row>
    <row r="135" spans="1:24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50</v>
      </c>
      <c r="G135" s="31">
        <v>2</v>
      </c>
      <c r="H135" s="35"/>
      <c r="I135" s="36"/>
      <c r="J135" s="36"/>
      <c r="K135" s="5"/>
      <c r="L135" s="37"/>
      <c r="M135" s="5"/>
      <c r="N135" s="5"/>
      <c r="O135" s="6"/>
      <c r="P135" s="7">
        <f t="shared" si="12"/>
        <v>0</v>
      </c>
      <c r="Q135" s="5"/>
      <c r="R135" s="5"/>
      <c r="S135" s="5"/>
      <c r="T135" s="5">
        <f t="shared" si="13"/>
        <v>0</v>
      </c>
      <c r="U135" s="5">
        <f t="shared" si="14"/>
        <v>0</v>
      </c>
      <c r="V135" s="38">
        <f t="shared" si="15"/>
        <v>0</v>
      </c>
      <c r="W135" s="2"/>
      <c r="X135" s="2"/>
    </row>
    <row r="136" spans="1:24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50</v>
      </c>
      <c r="G136" s="31">
        <v>2</v>
      </c>
      <c r="H136" s="35"/>
      <c r="I136" s="36"/>
      <c r="J136" s="36"/>
      <c r="K136" s="5"/>
      <c r="L136" s="37"/>
      <c r="M136" s="5"/>
      <c r="N136" s="5"/>
      <c r="O136" s="6"/>
      <c r="P136" s="7">
        <f t="shared" si="12"/>
        <v>0</v>
      </c>
      <c r="Q136" s="5"/>
      <c r="R136" s="5"/>
      <c r="S136" s="5"/>
      <c r="T136" s="5">
        <f t="shared" si="13"/>
        <v>0</v>
      </c>
      <c r="U136" s="5">
        <f t="shared" si="14"/>
        <v>0</v>
      </c>
      <c r="V136" s="38">
        <f t="shared" si="15"/>
        <v>0</v>
      </c>
      <c r="W136" s="2"/>
      <c r="X136" s="2"/>
    </row>
    <row r="137" spans="1:24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50</v>
      </c>
      <c r="G137" s="31">
        <v>2</v>
      </c>
      <c r="H137" s="35"/>
      <c r="I137" s="36"/>
      <c r="J137" s="36"/>
      <c r="K137" s="5"/>
      <c r="L137" s="37"/>
      <c r="M137" s="5"/>
      <c r="N137" s="5"/>
      <c r="O137" s="6"/>
      <c r="P137" s="7">
        <f t="shared" si="12"/>
        <v>0</v>
      </c>
      <c r="Q137" s="5"/>
      <c r="R137" s="5"/>
      <c r="S137" s="5"/>
      <c r="T137" s="5">
        <f t="shared" si="13"/>
        <v>0</v>
      </c>
      <c r="U137" s="5">
        <f t="shared" si="14"/>
        <v>0</v>
      </c>
      <c r="V137" s="38">
        <f t="shared" si="15"/>
        <v>0</v>
      </c>
      <c r="W137" s="2"/>
      <c r="X137" s="2"/>
    </row>
    <row r="138" spans="1:24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50</v>
      </c>
      <c r="G138" s="31">
        <v>2</v>
      </c>
      <c r="H138" s="35"/>
      <c r="I138" s="36"/>
      <c r="J138" s="36"/>
      <c r="K138" s="5"/>
      <c r="L138" s="37"/>
      <c r="M138" s="5"/>
      <c r="N138" s="5"/>
      <c r="O138" s="6"/>
      <c r="P138" s="7">
        <f t="shared" si="12"/>
        <v>0</v>
      </c>
      <c r="Q138" s="5"/>
      <c r="R138" s="5"/>
      <c r="S138" s="5"/>
      <c r="T138" s="5">
        <f t="shared" si="13"/>
        <v>0</v>
      </c>
      <c r="U138" s="5">
        <f t="shared" si="14"/>
        <v>0</v>
      </c>
      <c r="V138" s="38">
        <f t="shared" si="15"/>
        <v>0</v>
      </c>
      <c r="W138" s="2"/>
      <c r="X138" s="2"/>
    </row>
    <row r="139" spans="1:24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50</v>
      </c>
      <c r="G139" s="31">
        <v>2</v>
      </c>
      <c r="H139" s="35"/>
      <c r="I139" s="36"/>
      <c r="J139" s="36"/>
      <c r="K139" s="5"/>
      <c r="L139" s="37"/>
      <c r="M139" s="5"/>
      <c r="N139" s="5"/>
      <c r="O139" s="6"/>
      <c r="P139" s="7">
        <f t="shared" si="12"/>
        <v>0</v>
      </c>
      <c r="Q139" s="5"/>
      <c r="R139" s="5"/>
      <c r="S139" s="5"/>
      <c r="T139" s="5">
        <f t="shared" si="13"/>
        <v>0</v>
      </c>
      <c r="U139" s="5">
        <f t="shared" si="14"/>
        <v>0</v>
      </c>
      <c r="V139" s="38">
        <f t="shared" si="15"/>
        <v>0</v>
      </c>
      <c r="W139" s="2"/>
      <c r="X139" s="2"/>
    </row>
    <row r="140" spans="1:24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50</v>
      </c>
      <c r="G140" s="31">
        <v>2</v>
      </c>
      <c r="H140" s="35"/>
      <c r="I140" s="36"/>
      <c r="J140" s="36"/>
      <c r="K140" s="5"/>
      <c r="L140" s="37"/>
      <c r="M140" s="5"/>
      <c r="N140" s="5"/>
      <c r="O140" s="6"/>
      <c r="P140" s="7">
        <f t="shared" si="12"/>
        <v>0</v>
      </c>
      <c r="Q140" s="5"/>
      <c r="R140" s="5"/>
      <c r="S140" s="5"/>
      <c r="T140" s="5">
        <f t="shared" si="13"/>
        <v>0</v>
      </c>
      <c r="U140" s="5">
        <f t="shared" si="14"/>
        <v>0</v>
      </c>
      <c r="V140" s="38">
        <f t="shared" si="15"/>
        <v>0</v>
      </c>
      <c r="W140" s="2"/>
      <c r="X140" s="2"/>
    </row>
    <row r="141" spans="1:24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50</v>
      </c>
      <c r="G141" s="31">
        <v>2</v>
      </c>
      <c r="H141" s="35"/>
      <c r="I141" s="36"/>
      <c r="J141" s="36"/>
      <c r="K141" s="5"/>
      <c r="L141" s="37"/>
      <c r="M141" s="5"/>
      <c r="N141" s="5"/>
      <c r="O141" s="6"/>
      <c r="P141" s="7">
        <f t="shared" si="12"/>
        <v>0</v>
      </c>
      <c r="Q141" s="5"/>
      <c r="R141" s="5"/>
      <c r="S141" s="5"/>
      <c r="T141" s="5">
        <f t="shared" si="13"/>
        <v>0</v>
      </c>
      <c r="U141" s="5">
        <f t="shared" si="14"/>
        <v>0</v>
      </c>
      <c r="V141" s="38">
        <f t="shared" si="15"/>
        <v>0</v>
      </c>
      <c r="W141" s="2"/>
      <c r="X141" s="2"/>
    </row>
    <row r="142" spans="1:24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50</v>
      </c>
      <c r="G142" s="31">
        <v>2</v>
      </c>
      <c r="H142" s="35"/>
      <c r="I142" s="36"/>
      <c r="J142" s="36"/>
      <c r="K142" s="5"/>
      <c r="L142" s="37"/>
      <c r="M142" s="5"/>
      <c r="N142" s="5"/>
      <c r="O142" s="6"/>
      <c r="P142" s="7">
        <f t="shared" si="12"/>
        <v>0</v>
      </c>
      <c r="Q142" s="5"/>
      <c r="R142" s="5"/>
      <c r="S142" s="5"/>
      <c r="T142" s="5">
        <f t="shared" si="13"/>
        <v>0</v>
      </c>
      <c r="U142" s="5">
        <f t="shared" si="14"/>
        <v>0</v>
      </c>
      <c r="V142" s="38">
        <f t="shared" si="15"/>
        <v>0</v>
      </c>
      <c r="W142" s="2"/>
      <c r="X142" s="2"/>
    </row>
    <row r="143" spans="1:24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50</v>
      </c>
      <c r="G143" s="31">
        <v>2</v>
      </c>
      <c r="H143" s="35"/>
      <c r="I143" s="36"/>
      <c r="J143" s="36"/>
      <c r="K143" s="5"/>
      <c r="L143" s="37"/>
      <c r="M143" s="5"/>
      <c r="N143" s="5"/>
      <c r="O143" s="6"/>
      <c r="P143" s="7">
        <f t="shared" si="12"/>
        <v>0</v>
      </c>
      <c r="Q143" s="5"/>
      <c r="R143" s="5"/>
      <c r="S143" s="5"/>
      <c r="T143" s="5">
        <f t="shared" si="13"/>
        <v>0</v>
      </c>
      <c r="U143" s="5">
        <f t="shared" si="14"/>
        <v>0</v>
      </c>
      <c r="V143" s="38">
        <f t="shared" si="15"/>
        <v>0</v>
      </c>
      <c r="W143" s="2"/>
      <c r="X143" s="2"/>
    </row>
    <row r="144" spans="1:24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50</v>
      </c>
      <c r="G144" s="31">
        <v>2</v>
      </c>
      <c r="H144" s="35"/>
      <c r="I144" s="36"/>
      <c r="J144" s="36"/>
      <c r="K144" s="5"/>
      <c r="L144" s="37"/>
      <c r="M144" s="5"/>
      <c r="N144" s="5"/>
      <c r="O144" s="6"/>
      <c r="P144" s="7">
        <f t="shared" si="12"/>
        <v>0</v>
      </c>
      <c r="Q144" s="5"/>
      <c r="R144" s="5"/>
      <c r="S144" s="5"/>
      <c r="T144" s="5">
        <f t="shared" si="13"/>
        <v>0</v>
      </c>
      <c r="U144" s="5">
        <f t="shared" si="14"/>
        <v>0</v>
      </c>
      <c r="V144" s="38">
        <f t="shared" si="15"/>
        <v>0</v>
      </c>
      <c r="W144" s="2"/>
      <c r="X144" s="2"/>
    </row>
    <row r="145" spans="1:24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50</v>
      </c>
      <c r="G145" s="31">
        <v>2</v>
      </c>
      <c r="H145" s="35"/>
      <c r="I145" s="36"/>
      <c r="J145" s="36"/>
      <c r="K145" s="5"/>
      <c r="L145" s="37"/>
      <c r="M145" s="5"/>
      <c r="N145" s="5"/>
      <c r="O145" s="6"/>
      <c r="P145" s="7">
        <f t="shared" si="12"/>
        <v>0</v>
      </c>
      <c r="Q145" s="5"/>
      <c r="R145" s="5"/>
      <c r="S145" s="5"/>
      <c r="T145" s="5">
        <f t="shared" si="13"/>
        <v>0</v>
      </c>
      <c r="U145" s="5">
        <f t="shared" si="14"/>
        <v>0</v>
      </c>
      <c r="V145" s="38">
        <f t="shared" si="15"/>
        <v>0</v>
      </c>
      <c r="W145" s="2"/>
      <c r="X145" s="2"/>
    </row>
    <row r="146" spans="1:24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50</v>
      </c>
      <c r="G146" s="31">
        <v>2</v>
      </c>
      <c r="H146" s="35"/>
      <c r="I146" s="36"/>
      <c r="J146" s="36"/>
      <c r="K146" s="5"/>
      <c r="L146" s="37"/>
      <c r="M146" s="5"/>
      <c r="N146" s="5"/>
      <c r="O146" s="6"/>
      <c r="P146" s="7">
        <f t="shared" si="12"/>
        <v>0</v>
      </c>
      <c r="Q146" s="5"/>
      <c r="R146" s="5"/>
      <c r="S146" s="5"/>
      <c r="T146" s="5">
        <f t="shared" si="13"/>
        <v>0</v>
      </c>
      <c r="U146" s="5">
        <f t="shared" si="14"/>
        <v>0</v>
      </c>
      <c r="V146" s="38">
        <f t="shared" si="15"/>
        <v>0</v>
      </c>
      <c r="W146" s="2"/>
      <c r="X146" s="2"/>
    </row>
    <row r="147" spans="1:24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50</v>
      </c>
      <c r="G147" s="31">
        <v>2</v>
      </c>
      <c r="H147" s="35"/>
      <c r="I147" s="36"/>
      <c r="J147" s="36"/>
      <c r="K147" s="5"/>
      <c r="L147" s="37"/>
      <c r="M147" s="5"/>
      <c r="N147" s="5"/>
      <c r="O147" s="6"/>
      <c r="P147" s="7">
        <f t="shared" si="12"/>
        <v>0</v>
      </c>
      <c r="Q147" s="5"/>
      <c r="R147" s="5"/>
      <c r="S147" s="5"/>
      <c r="T147" s="5">
        <f t="shared" si="13"/>
        <v>0</v>
      </c>
      <c r="U147" s="5">
        <f t="shared" si="14"/>
        <v>0</v>
      </c>
      <c r="V147" s="38">
        <f t="shared" si="15"/>
        <v>0</v>
      </c>
      <c r="W147" s="2"/>
      <c r="X147" s="2"/>
    </row>
    <row r="148" spans="1:24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50</v>
      </c>
      <c r="G148" s="31">
        <v>2</v>
      </c>
      <c r="H148" s="35"/>
      <c r="I148" s="36"/>
      <c r="J148" s="36"/>
      <c r="K148" s="5"/>
      <c r="L148" s="37"/>
      <c r="M148" s="5"/>
      <c r="N148" s="5"/>
      <c r="O148" s="6"/>
      <c r="P148" s="7">
        <f t="shared" si="12"/>
        <v>0</v>
      </c>
      <c r="Q148" s="5"/>
      <c r="R148" s="5"/>
      <c r="S148" s="5"/>
      <c r="T148" s="5">
        <f t="shared" si="13"/>
        <v>0</v>
      </c>
      <c r="U148" s="5">
        <f t="shared" si="14"/>
        <v>0</v>
      </c>
      <c r="V148" s="38">
        <f t="shared" si="15"/>
        <v>0</v>
      </c>
      <c r="W148" s="2"/>
      <c r="X148" s="2"/>
    </row>
    <row r="149" spans="1:24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50</v>
      </c>
      <c r="G149" s="31">
        <v>2</v>
      </c>
      <c r="H149" s="35"/>
      <c r="I149" s="36"/>
      <c r="J149" s="36"/>
      <c r="K149" s="5"/>
      <c r="L149" s="37"/>
      <c r="M149" s="5"/>
      <c r="N149" s="5"/>
      <c r="O149" s="6"/>
      <c r="P149" s="7">
        <f t="shared" si="12"/>
        <v>0</v>
      </c>
      <c r="Q149" s="5"/>
      <c r="R149" s="5"/>
      <c r="S149" s="5"/>
      <c r="T149" s="5">
        <f t="shared" si="13"/>
        <v>0</v>
      </c>
      <c r="U149" s="5">
        <f t="shared" si="14"/>
        <v>0</v>
      </c>
      <c r="V149" s="38">
        <f t="shared" si="15"/>
        <v>0</v>
      </c>
      <c r="W149" s="2"/>
      <c r="X149" s="2"/>
    </row>
  </sheetData>
  <conditionalFormatting sqref="V2:V149">
    <cfRule type="cellIs" dxfId="13" priority="2" stopIfTrue="1" operator="greaterThan">
      <formula>0</formula>
    </cfRule>
  </conditionalFormatting>
  <conditionalFormatting sqref="V1">
    <cfRule type="cellIs" dxfId="12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workbookViewId="0">
      <selection activeCell="G16" sqref="G16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7.83203125" bestFit="1" customWidth="1"/>
    <col min="9" max="9" width="7.6640625" bestFit="1" customWidth="1"/>
    <col min="10" max="10" width="8.6640625" bestFit="1" customWidth="1"/>
    <col min="11" max="11" width="9.1640625" bestFit="1" customWidth="1"/>
    <col min="12" max="12" width="8.5" bestFit="1" customWidth="1"/>
    <col min="13" max="13" width="18.33203125" style="14" bestFit="1" customWidth="1"/>
    <col min="14" max="15" width="8" bestFit="1" customWidth="1"/>
    <col min="16" max="16" width="10.6640625" bestFit="1" customWidth="1"/>
    <col min="17" max="17" width="9.33203125" bestFit="1" customWidth="1"/>
    <col min="18" max="18" width="7.6640625" bestFit="1" customWidth="1"/>
    <col min="19" max="19" width="6.83203125" bestFit="1" customWidth="1"/>
    <col min="20" max="20" width="11.33203125" bestFit="1" customWidth="1"/>
    <col min="21" max="21" width="9.6640625" bestFit="1" customWidth="1"/>
    <col min="22" max="22" width="10.33203125" bestFit="1" customWidth="1"/>
    <col min="23" max="23" width="10.5" bestFit="1" customWidth="1"/>
    <col min="24" max="24" width="9" bestFit="1" customWidth="1"/>
    <col min="25" max="25" width="9.6640625" bestFit="1" customWidth="1"/>
    <col min="26" max="26" width="9.1640625" bestFit="1" customWidth="1"/>
    <col min="27" max="33" width="9.6640625" bestFit="1" customWidth="1"/>
    <col min="34" max="34" width="9.1640625" bestFit="1" customWidth="1"/>
    <col min="35" max="36" width="9.6640625" bestFit="1" customWidth="1"/>
    <col min="37" max="37" width="10.6640625" bestFit="1" customWidth="1"/>
    <col min="38" max="38" width="12.5" bestFit="1" customWidth="1"/>
    <col min="39" max="39" width="8.1640625" bestFit="1" customWidth="1"/>
    <col min="40" max="40" width="15.33203125" bestFit="1" customWidth="1"/>
    <col min="41" max="41" width="8.33203125" bestFit="1" customWidth="1"/>
    <col min="42" max="42" width="18.5" bestFit="1" customWidth="1"/>
    <col min="43" max="43" width="14" bestFit="1" customWidth="1"/>
    <col min="44" max="44" width="15.33203125" bestFit="1" customWidth="1"/>
    <col min="45" max="45" width="17.1640625" bestFit="1" customWidth="1"/>
    <col min="46" max="46" width="23.1640625" bestFit="1" customWidth="1"/>
  </cols>
  <sheetData>
    <row r="1" spans="1:24" ht="78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34" t="s">
        <v>66</v>
      </c>
      <c r="J1" s="34" t="s">
        <v>67</v>
      </c>
      <c r="K1" s="19" t="s">
        <v>68</v>
      </c>
      <c r="L1" s="21" t="s">
        <v>69</v>
      </c>
      <c r="M1" s="19" t="s">
        <v>2</v>
      </c>
      <c r="N1" s="19" t="s">
        <v>3</v>
      </c>
      <c r="O1" s="19" t="s">
        <v>4</v>
      </c>
      <c r="P1" s="20" t="s">
        <v>5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21" t="s">
        <v>76</v>
      </c>
      <c r="X1" s="21" t="s">
        <v>6</v>
      </c>
    </row>
    <row r="2" spans="1:24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51</v>
      </c>
      <c r="G2" s="31">
        <v>6</v>
      </c>
      <c r="H2" s="35"/>
      <c r="I2" s="36"/>
      <c r="J2" s="36"/>
      <c r="K2" s="5"/>
      <c r="L2" s="37"/>
      <c r="M2" s="5"/>
      <c r="N2" s="5"/>
      <c r="O2" s="6"/>
      <c r="P2" s="7">
        <f t="shared" ref="P2:P4" si="0">M2+(0.05*N2)+(O2/240)</f>
        <v>0</v>
      </c>
      <c r="Q2" s="5"/>
      <c r="R2" s="5"/>
      <c r="S2" s="5"/>
      <c r="T2" s="5">
        <f t="shared" ref="T2:T4" si="1">Q2+(R2*0.05)+(S2/240)</f>
        <v>0</v>
      </c>
      <c r="U2" s="5">
        <f t="shared" ref="U2:U4" si="2">K2*P2</f>
        <v>0</v>
      </c>
      <c r="V2" s="38">
        <f>T2-U2</f>
        <v>0</v>
      </c>
      <c r="W2" s="2"/>
      <c r="X2" s="2"/>
    </row>
    <row r="3" spans="1:24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51</v>
      </c>
      <c r="G3" s="31">
        <v>6</v>
      </c>
      <c r="H3" s="35"/>
      <c r="I3" s="36"/>
      <c r="J3" s="36"/>
      <c r="K3" s="5"/>
      <c r="L3" s="37"/>
      <c r="M3" s="5"/>
      <c r="N3" s="5"/>
      <c r="O3" s="6"/>
      <c r="P3" s="7">
        <f t="shared" si="0"/>
        <v>0</v>
      </c>
      <c r="Q3" s="5"/>
      <c r="R3" s="5"/>
      <c r="S3" s="5"/>
      <c r="T3" s="5">
        <f t="shared" si="1"/>
        <v>0</v>
      </c>
      <c r="U3" s="5">
        <f t="shared" si="2"/>
        <v>0</v>
      </c>
      <c r="V3" s="38">
        <f t="shared" ref="V3:V5" si="3">T3-U3</f>
        <v>0</v>
      </c>
      <c r="W3" s="2"/>
      <c r="X3" s="2"/>
    </row>
    <row r="4" spans="1:24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51</v>
      </c>
      <c r="G4" s="31">
        <v>6</v>
      </c>
      <c r="H4" s="35"/>
      <c r="I4" s="36"/>
      <c r="J4" s="36"/>
      <c r="K4" s="5"/>
      <c r="L4" s="37"/>
      <c r="M4" s="5"/>
      <c r="N4" s="5"/>
      <c r="O4" s="6"/>
      <c r="P4" s="7">
        <f t="shared" si="0"/>
        <v>0</v>
      </c>
      <c r="Q4" s="5"/>
      <c r="R4" s="5"/>
      <c r="S4" s="5"/>
      <c r="T4" s="5">
        <f t="shared" si="1"/>
        <v>0</v>
      </c>
      <c r="U4" s="5">
        <f t="shared" si="2"/>
        <v>0</v>
      </c>
      <c r="V4" s="38">
        <f t="shared" si="3"/>
        <v>0</v>
      </c>
      <c r="W4" s="2"/>
      <c r="X4" s="2"/>
    </row>
    <row r="5" spans="1:24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51</v>
      </c>
      <c r="G5" s="31">
        <v>6</v>
      </c>
      <c r="H5" s="35"/>
      <c r="I5" s="36"/>
      <c r="J5" s="36"/>
      <c r="K5" s="5"/>
      <c r="L5" s="37"/>
      <c r="M5" s="5"/>
      <c r="N5" s="5"/>
      <c r="O5" s="6"/>
      <c r="P5" s="7">
        <f t="shared" ref="P5:P68" si="4">M5+(0.05*N5)+(O5/240)</f>
        <v>0</v>
      </c>
      <c r="Q5" s="5"/>
      <c r="R5" s="5"/>
      <c r="S5" s="5"/>
      <c r="T5" s="5">
        <f t="shared" ref="T5:T68" si="5">Q5+(R5*0.05)+(S5/240)</f>
        <v>0</v>
      </c>
      <c r="U5" s="5">
        <f t="shared" ref="U5:U68" si="6">K5*P5</f>
        <v>0</v>
      </c>
      <c r="V5" s="38">
        <f t="shared" si="3"/>
        <v>0</v>
      </c>
      <c r="W5" s="2"/>
      <c r="X5" s="2"/>
    </row>
    <row r="6" spans="1:24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51</v>
      </c>
      <c r="G6" s="31">
        <v>6</v>
      </c>
      <c r="H6" s="35"/>
      <c r="I6" s="36"/>
      <c r="J6" s="36"/>
      <c r="K6" s="5"/>
      <c r="L6" s="37"/>
      <c r="M6" s="5"/>
      <c r="N6" s="5"/>
      <c r="O6" s="6"/>
      <c r="P6" s="7">
        <f t="shared" si="4"/>
        <v>0</v>
      </c>
      <c r="Q6" s="5"/>
      <c r="R6" s="5"/>
      <c r="S6" s="5"/>
      <c r="T6" s="5">
        <f t="shared" si="5"/>
        <v>0</v>
      </c>
      <c r="U6" s="5">
        <f t="shared" si="6"/>
        <v>0</v>
      </c>
      <c r="V6" s="38">
        <f t="shared" ref="V6:V69" si="7">T6-U6</f>
        <v>0</v>
      </c>
      <c r="W6" s="2"/>
      <c r="X6" s="2"/>
    </row>
    <row r="7" spans="1:24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51</v>
      </c>
      <c r="G7" s="31">
        <v>6</v>
      </c>
      <c r="H7" s="35"/>
      <c r="I7" s="36"/>
      <c r="J7" s="36"/>
      <c r="K7" s="5"/>
      <c r="L7" s="37"/>
      <c r="M7" s="5"/>
      <c r="N7" s="5"/>
      <c r="O7" s="6"/>
      <c r="P7" s="7">
        <f t="shared" si="4"/>
        <v>0</v>
      </c>
      <c r="Q7" s="5"/>
      <c r="R7" s="5"/>
      <c r="S7" s="5"/>
      <c r="T7" s="5">
        <f t="shared" si="5"/>
        <v>0</v>
      </c>
      <c r="U7" s="5">
        <f t="shared" si="6"/>
        <v>0</v>
      </c>
      <c r="V7" s="38">
        <f t="shared" si="7"/>
        <v>0</v>
      </c>
      <c r="W7" s="2"/>
      <c r="X7" s="2"/>
    </row>
    <row r="8" spans="1:24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51</v>
      </c>
      <c r="G8" s="31">
        <v>6</v>
      </c>
      <c r="H8" s="35"/>
      <c r="I8" s="36"/>
      <c r="J8" s="36"/>
      <c r="K8" s="5"/>
      <c r="L8" s="37"/>
      <c r="M8" s="5"/>
      <c r="N8" s="5"/>
      <c r="O8" s="6"/>
      <c r="P8" s="7">
        <f t="shared" si="4"/>
        <v>0</v>
      </c>
      <c r="Q8" s="5"/>
      <c r="R8" s="5"/>
      <c r="S8" s="5"/>
      <c r="T8" s="5">
        <f t="shared" si="5"/>
        <v>0</v>
      </c>
      <c r="U8" s="5">
        <f t="shared" si="6"/>
        <v>0</v>
      </c>
      <c r="V8" s="38">
        <f t="shared" si="7"/>
        <v>0</v>
      </c>
      <c r="W8" s="2"/>
      <c r="X8" s="2"/>
    </row>
    <row r="9" spans="1:24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51</v>
      </c>
      <c r="G9" s="31">
        <v>6</v>
      </c>
      <c r="H9" s="35"/>
      <c r="I9" s="36"/>
      <c r="J9" s="36"/>
      <c r="K9" s="5"/>
      <c r="L9" s="37"/>
      <c r="M9" s="5"/>
      <c r="N9" s="5"/>
      <c r="O9" s="6"/>
      <c r="P9" s="7">
        <f t="shared" si="4"/>
        <v>0</v>
      </c>
      <c r="Q9" s="5"/>
      <c r="R9" s="5"/>
      <c r="S9" s="5"/>
      <c r="T9" s="5">
        <f t="shared" si="5"/>
        <v>0</v>
      </c>
      <c r="U9" s="5">
        <f t="shared" si="6"/>
        <v>0</v>
      </c>
      <c r="V9" s="38">
        <f t="shared" si="7"/>
        <v>0</v>
      </c>
      <c r="W9" s="2"/>
      <c r="X9" s="2"/>
    </row>
    <row r="10" spans="1:24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51</v>
      </c>
      <c r="G10" s="31">
        <v>6</v>
      </c>
      <c r="H10" s="35"/>
      <c r="I10" s="36"/>
      <c r="J10" s="36"/>
      <c r="K10" s="5"/>
      <c r="L10" s="37"/>
      <c r="M10" s="5"/>
      <c r="N10" s="5"/>
      <c r="O10" s="6"/>
      <c r="P10" s="7">
        <f t="shared" si="4"/>
        <v>0</v>
      </c>
      <c r="Q10" s="5"/>
      <c r="R10" s="5"/>
      <c r="S10" s="5"/>
      <c r="T10" s="5">
        <f t="shared" si="5"/>
        <v>0</v>
      </c>
      <c r="U10" s="5">
        <f t="shared" si="6"/>
        <v>0</v>
      </c>
      <c r="V10" s="38">
        <f t="shared" si="7"/>
        <v>0</v>
      </c>
      <c r="W10" s="2"/>
      <c r="X10" s="2"/>
    </row>
    <row r="11" spans="1:24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51</v>
      </c>
      <c r="G11" s="31">
        <v>6</v>
      </c>
      <c r="H11" s="35"/>
      <c r="I11" s="36"/>
      <c r="J11" s="36"/>
      <c r="K11" s="5"/>
      <c r="L11" s="37"/>
      <c r="M11" s="5"/>
      <c r="N11" s="5"/>
      <c r="O11" s="6"/>
      <c r="P11" s="7">
        <f t="shared" si="4"/>
        <v>0</v>
      </c>
      <c r="Q11" s="5"/>
      <c r="R11" s="5"/>
      <c r="S11" s="5"/>
      <c r="T11" s="5">
        <f t="shared" si="5"/>
        <v>0</v>
      </c>
      <c r="U11" s="5">
        <f t="shared" si="6"/>
        <v>0</v>
      </c>
      <c r="V11" s="38">
        <f t="shared" si="7"/>
        <v>0</v>
      </c>
      <c r="W11" s="2"/>
      <c r="X11" s="2"/>
    </row>
    <row r="12" spans="1:24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51</v>
      </c>
      <c r="G12" s="31">
        <v>6</v>
      </c>
      <c r="H12" s="35"/>
      <c r="I12" s="36"/>
      <c r="J12" s="36"/>
      <c r="K12" s="5"/>
      <c r="L12" s="37"/>
      <c r="M12" s="5"/>
      <c r="N12" s="5"/>
      <c r="O12" s="6"/>
      <c r="P12" s="7">
        <f t="shared" si="4"/>
        <v>0</v>
      </c>
      <c r="Q12" s="5"/>
      <c r="R12" s="5"/>
      <c r="S12" s="5"/>
      <c r="T12" s="5">
        <f t="shared" si="5"/>
        <v>0</v>
      </c>
      <c r="U12" s="5">
        <f t="shared" si="6"/>
        <v>0</v>
      </c>
      <c r="V12" s="38">
        <f t="shared" si="7"/>
        <v>0</v>
      </c>
      <c r="W12" s="2"/>
      <c r="X12" s="2"/>
    </row>
    <row r="13" spans="1:24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51</v>
      </c>
      <c r="G13" s="31">
        <v>6</v>
      </c>
      <c r="H13" s="35"/>
      <c r="I13" s="36"/>
      <c r="J13" s="36"/>
      <c r="K13" s="5"/>
      <c r="L13" s="37"/>
      <c r="M13" s="5"/>
      <c r="N13" s="5"/>
      <c r="O13" s="6"/>
      <c r="P13" s="7">
        <f t="shared" si="4"/>
        <v>0</v>
      </c>
      <c r="Q13" s="5"/>
      <c r="R13" s="5"/>
      <c r="S13" s="5"/>
      <c r="T13" s="5">
        <f t="shared" si="5"/>
        <v>0</v>
      </c>
      <c r="U13" s="5">
        <f t="shared" si="6"/>
        <v>0</v>
      </c>
      <c r="V13" s="38">
        <f t="shared" si="7"/>
        <v>0</v>
      </c>
      <c r="W13" s="2"/>
      <c r="X13" s="2"/>
    </row>
    <row r="14" spans="1:24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51</v>
      </c>
      <c r="G14" s="31">
        <v>6</v>
      </c>
      <c r="H14" s="35"/>
      <c r="I14" s="36"/>
      <c r="J14" s="36"/>
      <c r="K14" s="5"/>
      <c r="L14" s="37"/>
      <c r="M14" s="5"/>
      <c r="N14" s="5"/>
      <c r="O14" s="6"/>
      <c r="P14" s="7">
        <f t="shared" si="4"/>
        <v>0</v>
      </c>
      <c r="Q14" s="5"/>
      <c r="R14" s="5"/>
      <c r="S14" s="5"/>
      <c r="T14" s="5">
        <f t="shared" si="5"/>
        <v>0</v>
      </c>
      <c r="U14" s="5">
        <f t="shared" si="6"/>
        <v>0</v>
      </c>
      <c r="V14" s="38">
        <f t="shared" si="7"/>
        <v>0</v>
      </c>
      <c r="W14" s="2"/>
      <c r="X14" s="2"/>
    </row>
    <row r="15" spans="1:24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51</v>
      </c>
      <c r="G15" s="31">
        <v>6</v>
      </c>
      <c r="H15" s="35"/>
      <c r="I15" s="36"/>
      <c r="J15" s="36"/>
      <c r="K15" s="5"/>
      <c r="L15" s="37"/>
      <c r="M15" s="5"/>
      <c r="N15" s="5"/>
      <c r="O15" s="6"/>
      <c r="P15" s="7">
        <f t="shared" si="4"/>
        <v>0</v>
      </c>
      <c r="Q15" s="5"/>
      <c r="R15" s="5"/>
      <c r="S15" s="5"/>
      <c r="T15" s="5">
        <f t="shared" si="5"/>
        <v>0</v>
      </c>
      <c r="U15" s="5">
        <f t="shared" si="6"/>
        <v>0</v>
      </c>
      <c r="V15" s="38">
        <f t="shared" si="7"/>
        <v>0</v>
      </c>
      <c r="W15" s="2"/>
      <c r="X15" s="2"/>
    </row>
    <row r="16" spans="1:24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51</v>
      </c>
      <c r="G16" s="31">
        <v>6</v>
      </c>
      <c r="H16" s="35"/>
      <c r="I16" s="36"/>
      <c r="J16" s="36"/>
      <c r="K16" s="5"/>
      <c r="L16" s="37"/>
      <c r="M16" s="5"/>
      <c r="N16" s="5"/>
      <c r="O16" s="6"/>
      <c r="P16" s="7">
        <f t="shared" si="4"/>
        <v>0</v>
      </c>
      <c r="Q16" s="5"/>
      <c r="R16" s="5"/>
      <c r="S16" s="5"/>
      <c r="T16" s="5">
        <f t="shared" si="5"/>
        <v>0</v>
      </c>
      <c r="U16" s="5">
        <f t="shared" si="6"/>
        <v>0</v>
      </c>
      <c r="V16" s="38">
        <f t="shared" si="7"/>
        <v>0</v>
      </c>
      <c r="W16" s="2"/>
      <c r="X16" s="2"/>
    </row>
    <row r="17" spans="1:24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51</v>
      </c>
      <c r="G17" s="31">
        <v>6</v>
      </c>
      <c r="H17" s="35"/>
      <c r="I17" s="36"/>
      <c r="J17" s="36"/>
      <c r="K17" s="5"/>
      <c r="L17" s="37"/>
      <c r="M17" s="5"/>
      <c r="N17" s="5"/>
      <c r="O17" s="6"/>
      <c r="P17" s="7">
        <f t="shared" si="4"/>
        <v>0</v>
      </c>
      <c r="Q17" s="5"/>
      <c r="R17" s="5"/>
      <c r="S17" s="5"/>
      <c r="T17" s="5">
        <f t="shared" si="5"/>
        <v>0</v>
      </c>
      <c r="U17" s="5">
        <f t="shared" si="6"/>
        <v>0</v>
      </c>
      <c r="V17" s="38">
        <f t="shared" si="7"/>
        <v>0</v>
      </c>
      <c r="W17" s="2"/>
      <c r="X17" s="2"/>
    </row>
    <row r="18" spans="1:24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51</v>
      </c>
      <c r="G18" s="31">
        <v>6</v>
      </c>
      <c r="H18" s="35"/>
      <c r="I18" s="36"/>
      <c r="J18" s="36"/>
      <c r="K18" s="5"/>
      <c r="L18" s="37"/>
      <c r="M18" s="5"/>
      <c r="N18" s="5"/>
      <c r="O18" s="6"/>
      <c r="P18" s="7">
        <f t="shared" si="4"/>
        <v>0</v>
      </c>
      <c r="Q18" s="5"/>
      <c r="R18" s="5"/>
      <c r="S18" s="5"/>
      <c r="T18" s="5">
        <f t="shared" si="5"/>
        <v>0</v>
      </c>
      <c r="U18" s="5">
        <f t="shared" si="6"/>
        <v>0</v>
      </c>
      <c r="V18" s="38">
        <f t="shared" si="7"/>
        <v>0</v>
      </c>
      <c r="W18" s="2"/>
      <c r="X18" s="2"/>
    </row>
    <row r="19" spans="1:24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51</v>
      </c>
      <c r="G19" s="31">
        <v>6</v>
      </c>
      <c r="H19" s="35"/>
      <c r="I19" s="36"/>
      <c r="J19" s="36"/>
      <c r="K19" s="5"/>
      <c r="L19" s="37"/>
      <c r="M19" s="5"/>
      <c r="N19" s="5"/>
      <c r="O19" s="6"/>
      <c r="P19" s="7">
        <f t="shared" si="4"/>
        <v>0</v>
      </c>
      <c r="Q19" s="5"/>
      <c r="R19" s="5"/>
      <c r="S19" s="5"/>
      <c r="T19" s="5">
        <f t="shared" si="5"/>
        <v>0</v>
      </c>
      <c r="U19" s="5">
        <f t="shared" si="6"/>
        <v>0</v>
      </c>
      <c r="V19" s="38">
        <f t="shared" si="7"/>
        <v>0</v>
      </c>
      <c r="W19" s="2"/>
      <c r="X19" s="2"/>
    </row>
    <row r="20" spans="1:24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51</v>
      </c>
      <c r="G20" s="31">
        <v>6</v>
      </c>
      <c r="H20" s="35"/>
      <c r="I20" s="36"/>
      <c r="J20" s="36"/>
      <c r="K20" s="5"/>
      <c r="L20" s="37"/>
      <c r="M20" s="5"/>
      <c r="N20" s="5"/>
      <c r="O20" s="6"/>
      <c r="P20" s="7">
        <f t="shared" si="4"/>
        <v>0</v>
      </c>
      <c r="Q20" s="5"/>
      <c r="R20" s="5"/>
      <c r="S20" s="5"/>
      <c r="T20" s="5">
        <f t="shared" si="5"/>
        <v>0</v>
      </c>
      <c r="U20" s="5">
        <f t="shared" si="6"/>
        <v>0</v>
      </c>
      <c r="V20" s="38">
        <f t="shared" si="7"/>
        <v>0</v>
      </c>
      <c r="W20" s="2"/>
      <c r="X20" s="2"/>
    </row>
    <row r="21" spans="1:24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51</v>
      </c>
      <c r="G21" s="31">
        <v>6</v>
      </c>
      <c r="H21" s="35"/>
      <c r="I21" s="36"/>
      <c r="J21" s="36"/>
      <c r="K21" s="5"/>
      <c r="L21" s="37"/>
      <c r="M21" s="5"/>
      <c r="N21" s="5"/>
      <c r="O21" s="6"/>
      <c r="P21" s="7">
        <f t="shared" si="4"/>
        <v>0</v>
      </c>
      <c r="Q21" s="5"/>
      <c r="R21" s="5"/>
      <c r="S21" s="5"/>
      <c r="T21" s="5">
        <f t="shared" si="5"/>
        <v>0</v>
      </c>
      <c r="U21" s="5">
        <f t="shared" si="6"/>
        <v>0</v>
      </c>
      <c r="V21" s="38">
        <f t="shared" si="7"/>
        <v>0</v>
      </c>
      <c r="W21" s="2"/>
      <c r="X21" s="2"/>
    </row>
    <row r="22" spans="1:24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51</v>
      </c>
      <c r="G22" s="31">
        <v>6</v>
      </c>
      <c r="H22" s="35"/>
      <c r="I22" s="36"/>
      <c r="J22" s="36"/>
      <c r="K22" s="5"/>
      <c r="L22" s="37"/>
      <c r="M22" s="5"/>
      <c r="N22" s="5"/>
      <c r="O22" s="6"/>
      <c r="P22" s="7">
        <f t="shared" si="4"/>
        <v>0</v>
      </c>
      <c r="Q22" s="5"/>
      <c r="R22" s="5"/>
      <c r="S22" s="5"/>
      <c r="T22" s="5">
        <f t="shared" si="5"/>
        <v>0</v>
      </c>
      <c r="U22" s="5">
        <f t="shared" si="6"/>
        <v>0</v>
      </c>
      <c r="V22" s="38">
        <f t="shared" si="7"/>
        <v>0</v>
      </c>
      <c r="W22" s="2"/>
      <c r="X22" s="2"/>
    </row>
    <row r="23" spans="1:24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51</v>
      </c>
      <c r="G23" s="31">
        <v>6</v>
      </c>
      <c r="H23" s="35"/>
      <c r="I23" s="36"/>
      <c r="J23" s="36"/>
      <c r="K23" s="5"/>
      <c r="L23" s="37"/>
      <c r="M23" s="5"/>
      <c r="N23" s="5"/>
      <c r="O23" s="6"/>
      <c r="P23" s="7">
        <f t="shared" si="4"/>
        <v>0</v>
      </c>
      <c r="Q23" s="5"/>
      <c r="R23" s="5"/>
      <c r="S23" s="5"/>
      <c r="T23" s="5">
        <f t="shared" si="5"/>
        <v>0</v>
      </c>
      <c r="U23" s="5">
        <f t="shared" si="6"/>
        <v>0</v>
      </c>
      <c r="V23" s="38">
        <f t="shared" si="7"/>
        <v>0</v>
      </c>
      <c r="W23" s="2"/>
      <c r="X23" s="2"/>
    </row>
    <row r="24" spans="1:24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51</v>
      </c>
      <c r="G24" s="31">
        <v>6</v>
      </c>
      <c r="H24" s="35"/>
      <c r="I24" s="36"/>
      <c r="J24" s="36"/>
      <c r="K24" s="5"/>
      <c r="L24" s="37"/>
      <c r="M24" s="5"/>
      <c r="N24" s="5"/>
      <c r="O24" s="6"/>
      <c r="P24" s="7">
        <f t="shared" si="4"/>
        <v>0</v>
      </c>
      <c r="Q24" s="5"/>
      <c r="R24" s="5"/>
      <c r="S24" s="5"/>
      <c r="T24" s="5">
        <f t="shared" si="5"/>
        <v>0</v>
      </c>
      <c r="U24" s="5">
        <f t="shared" si="6"/>
        <v>0</v>
      </c>
      <c r="V24" s="38">
        <f t="shared" si="7"/>
        <v>0</v>
      </c>
      <c r="W24" s="2"/>
      <c r="X24" s="2"/>
    </row>
    <row r="25" spans="1:24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51</v>
      </c>
      <c r="G25" s="31">
        <v>6</v>
      </c>
      <c r="H25" s="35"/>
      <c r="I25" s="36"/>
      <c r="J25" s="36"/>
      <c r="K25" s="5"/>
      <c r="L25" s="37"/>
      <c r="M25" s="5"/>
      <c r="N25" s="5"/>
      <c r="O25" s="6"/>
      <c r="P25" s="7">
        <f t="shared" si="4"/>
        <v>0</v>
      </c>
      <c r="Q25" s="5"/>
      <c r="R25" s="5"/>
      <c r="S25" s="5"/>
      <c r="T25" s="5">
        <f t="shared" si="5"/>
        <v>0</v>
      </c>
      <c r="U25" s="5">
        <f t="shared" si="6"/>
        <v>0</v>
      </c>
      <c r="V25" s="38">
        <f t="shared" si="7"/>
        <v>0</v>
      </c>
      <c r="W25" s="2"/>
      <c r="X25" s="2"/>
    </row>
    <row r="26" spans="1:24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51</v>
      </c>
      <c r="G26" s="31">
        <v>6</v>
      </c>
      <c r="H26" s="35"/>
      <c r="I26" s="36"/>
      <c r="J26" s="36"/>
      <c r="K26" s="5"/>
      <c r="L26" s="37"/>
      <c r="M26" s="5"/>
      <c r="N26" s="5"/>
      <c r="O26" s="6"/>
      <c r="P26" s="7">
        <f t="shared" si="4"/>
        <v>0</v>
      </c>
      <c r="Q26" s="5"/>
      <c r="R26" s="5"/>
      <c r="S26" s="5"/>
      <c r="T26" s="5">
        <f t="shared" si="5"/>
        <v>0</v>
      </c>
      <c r="U26" s="5">
        <f t="shared" si="6"/>
        <v>0</v>
      </c>
      <c r="V26" s="38">
        <f t="shared" si="7"/>
        <v>0</v>
      </c>
      <c r="W26" s="2"/>
      <c r="X26" s="2"/>
    </row>
    <row r="27" spans="1:24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51</v>
      </c>
      <c r="G27" s="31">
        <v>6</v>
      </c>
      <c r="H27" s="35"/>
      <c r="I27" s="36"/>
      <c r="J27" s="36"/>
      <c r="K27" s="5"/>
      <c r="L27" s="37"/>
      <c r="M27" s="5"/>
      <c r="N27" s="5"/>
      <c r="O27" s="6"/>
      <c r="P27" s="7">
        <f t="shared" si="4"/>
        <v>0</v>
      </c>
      <c r="Q27" s="5"/>
      <c r="R27" s="5"/>
      <c r="S27" s="5"/>
      <c r="T27" s="5">
        <f t="shared" si="5"/>
        <v>0</v>
      </c>
      <c r="U27" s="5">
        <f t="shared" si="6"/>
        <v>0</v>
      </c>
      <c r="V27" s="38">
        <f t="shared" si="7"/>
        <v>0</v>
      </c>
      <c r="W27" s="2"/>
      <c r="X27" s="2"/>
    </row>
    <row r="28" spans="1:24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51</v>
      </c>
      <c r="G28" s="31">
        <v>6</v>
      </c>
      <c r="H28" s="35"/>
      <c r="I28" s="36"/>
      <c r="J28" s="36"/>
      <c r="K28" s="5"/>
      <c r="L28" s="37"/>
      <c r="M28" s="5"/>
      <c r="N28" s="5"/>
      <c r="O28" s="6"/>
      <c r="P28" s="7">
        <f t="shared" si="4"/>
        <v>0</v>
      </c>
      <c r="Q28" s="5"/>
      <c r="R28" s="5"/>
      <c r="S28" s="5"/>
      <c r="T28" s="5">
        <f t="shared" si="5"/>
        <v>0</v>
      </c>
      <c r="U28" s="5">
        <f t="shared" si="6"/>
        <v>0</v>
      </c>
      <c r="V28" s="38">
        <f t="shared" si="7"/>
        <v>0</v>
      </c>
      <c r="W28" s="2"/>
      <c r="X28" s="2"/>
    </row>
    <row r="29" spans="1:24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51</v>
      </c>
      <c r="G29" s="31">
        <v>6</v>
      </c>
      <c r="H29" s="35"/>
      <c r="I29" s="36"/>
      <c r="J29" s="36"/>
      <c r="K29" s="5"/>
      <c r="L29" s="37"/>
      <c r="M29" s="5"/>
      <c r="N29" s="5"/>
      <c r="O29" s="6"/>
      <c r="P29" s="7">
        <f t="shared" si="4"/>
        <v>0</v>
      </c>
      <c r="Q29" s="5"/>
      <c r="R29" s="5"/>
      <c r="S29" s="5"/>
      <c r="T29" s="5">
        <f t="shared" si="5"/>
        <v>0</v>
      </c>
      <c r="U29" s="5">
        <f t="shared" si="6"/>
        <v>0</v>
      </c>
      <c r="V29" s="38">
        <f t="shared" si="7"/>
        <v>0</v>
      </c>
      <c r="W29" s="2"/>
      <c r="X29" s="2"/>
    </row>
    <row r="30" spans="1:24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51</v>
      </c>
      <c r="G30" s="31">
        <v>6</v>
      </c>
      <c r="H30" s="35"/>
      <c r="I30" s="36"/>
      <c r="J30" s="36"/>
      <c r="K30" s="5"/>
      <c r="L30" s="37"/>
      <c r="M30" s="5"/>
      <c r="N30" s="5"/>
      <c r="O30" s="6"/>
      <c r="P30" s="7">
        <f t="shared" si="4"/>
        <v>0</v>
      </c>
      <c r="Q30" s="5"/>
      <c r="R30" s="5"/>
      <c r="S30" s="5"/>
      <c r="T30" s="5">
        <f t="shared" si="5"/>
        <v>0</v>
      </c>
      <c r="U30" s="5">
        <f t="shared" si="6"/>
        <v>0</v>
      </c>
      <c r="V30" s="38">
        <f t="shared" si="7"/>
        <v>0</v>
      </c>
      <c r="W30" s="2"/>
      <c r="X30" s="2"/>
    </row>
    <row r="31" spans="1:24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51</v>
      </c>
      <c r="G31" s="31">
        <v>6</v>
      </c>
      <c r="H31" s="35"/>
      <c r="I31" s="36"/>
      <c r="J31" s="36"/>
      <c r="K31" s="5"/>
      <c r="L31" s="37"/>
      <c r="M31" s="5"/>
      <c r="N31" s="5"/>
      <c r="O31" s="6"/>
      <c r="P31" s="7">
        <f t="shared" si="4"/>
        <v>0</v>
      </c>
      <c r="Q31" s="5"/>
      <c r="R31" s="5"/>
      <c r="S31" s="5"/>
      <c r="T31" s="5">
        <f t="shared" si="5"/>
        <v>0</v>
      </c>
      <c r="U31" s="5">
        <f t="shared" si="6"/>
        <v>0</v>
      </c>
      <c r="V31" s="38">
        <f t="shared" si="7"/>
        <v>0</v>
      </c>
      <c r="W31" s="2"/>
      <c r="X31" s="2"/>
    </row>
    <row r="32" spans="1:24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51</v>
      </c>
      <c r="G32" s="31">
        <v>6</v>
      </c>
      <c r="H32" s="35"/>
      <c r="I32" s="36"/>
      <c r="J32" s="36"/>
      <c r="K32" s="5"/>
      <c r="L32" s="37"/>
      <c r="M32" s="5"/>
      <c r="N32" s="5"/>
      <c r="O32" s="6"/>
      <c r="P32" s="7">
        <f t="shared" si="4"/>
        <v>0</v>
      </c>
      <c r="Q32" s="5"/>
      <c r="R32" s="5"/>
      <c r="S32" s="5"/>
      <c r="T32" s="5">
        <f t="shared" si="5"/>
        <v>0</v>
      </c>
      <c r="U32" s="5">
        <f t="shared" si="6"/>
        <v>0</v>
      </c>
      <c r="V32" s="38">
        <f t="shared" si="7"/>
        <v>0</v>
      </c>
      <c r="W32" s="2"/>
      <c r="X32" s="2"/>
    </row>
    <row r="33" spans="1:24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51</v>
      </c>
      <c r="G33" s="31">
        <v>6</v>
      </c>
      <c r="H33" s="35"/>
      <c r="I33" s="36"/>
      <c r="J33" s="36"/>
      <c r="K33" s="5"/>
      <c r="L33" s="37"/>
      <c r="M33" s="5"/>
      <c r="N33" s="5"/>
      <c r="O33" s="6"/>
      <c r="P33" s="7">
        <f t="shared" si="4"/>
        <v>0</v>
      </c>
      <c r="Q33" s="5"/>
      <c r="R33" s="5"/>
      <c r="S33" s="5"/>
      <c r="T33" s="5">
        <f t="shared" si="5"/>
        <v>0</v>
      </c>
      <c r="U33" s="5">
        <f t="shared" si="6"/>
        <v>0</v>
      </c>
      <c r="V33" s="38">
        <f t="shared" si="7"/>
        <v>0</v>
      </c>
      <c r="W33" s="2"/>
      <c r="X33" s="2"/>
    </row>
    <row r="34" spans="1:24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51</v>
      </c>
      <c r="G34" s="31">
        <v>6</v>
      </c>
      <c r="H34" s="35"/>
      <c r="I34" s="36"/>
      <c r="J34" s="36"/>
      <c r="K34" s="5"/>
      <c r="L34" s="37"/>
      <c r="M34" s="5"/>
      <c r="N34" s="5"/>
      <c r="O34" s="6"/>
      <c r="P34" s="7">
        <f t="shared" si="4"/>
        <v>0</v>
      </c>
      <c r="Q34" s="5"/>
      <c r="R34" s="5"/>
      <c r="S34" s="5"/>
      <c r="T34" s="5">
        <f t="shared" si="5"/>
        <v>0</v>
      </c>
      <c r="U34" s="5">
        <f t="shared" si="6"/>
        <v>0</v>
      </c>
      <c r="V34" s="38">
        <f t="shared" si="7"/>
        <v>0</v>
      </c>
      <c r="W34" s="2"/>
      <c r="X34" s="2"/>
    </row>
    <row r="35" spans="1:24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51</v>
      </c>
      <c r="G35" s="31">
        <v>6</v>
      </c>
      <c r="H35" s="35"/>
      <c r="I35" s="36"/>
      <c r="J35" s="36"/>
      <c r="K35" s="5"/>
      <c r="L35" s="37"/>
      <c r="M35" s="5"/>
      <c r="N35" s="5"/>
      <c r="O35" s="6"/>
      <c r="P35" s="7">
        <f t="shared" si="4"/>
        <v>0</v>
      </c>
      <c r="Q35" s="5"/>
      <c r="R35" s="5"/>
      <c r="S35" s="5"/>
      <c r="T35" s="5">
        <f t="shared" si="5"/>
        <v>0</v>
      </c>
      <c r="U35" s="5">
        <f t="shared" si="6"/>
        <v>0</v>
      </c>
      <c r="V35" s="38">
        <f t="shared" si="7"/>
        <v>0</v>
      </c>
      <c r="W35" s="2"/>
      <c r="X35" s="2"/>
    </row>
    <row r="36" spans="1:24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51</v>
      </c>
      <c r="G36" s="31">
        <v>6</v>
      </c>
      <c r="H36" s="35"/>
      <c r="I36" s="36"/>
      <c r="J36" s="36"/>
      <c r="K36" s="5"/>
      <c r="L36" s="37"/>
      <c r="M36" s="5"/>
      <c r="N36" s="5"/>
      <c r="O36" s="6"/>
      <c r="P36" s="7">
        <f t="shared" si="4"/>
        <v>0</v>
      </c>
      <c r="Q36" s="5"/>
      <c r="R36" s="5"/>
      <c r="S36" s="5"/>
      <c r="T36" s="5">
        <f t="shared" si="5"/>
        <v>0</v>
      </c>
      <c r="U36" s="5">
        <f t="shared" si="6"/>
        <v>0</v>
      </c>
      <c r="V36" s="38">
        <f t="shared" si="7"/>
        <v>0</v>
      </c>
      <c r="W36" s="2"/>
      <c r="X36" s="2"/>
    </row>
    <row r="37" spans="1:24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51</v>
      </c>
      <c r="G37" s="31">
        <v>6</v>
      </c>
      <c r="H37" s="35"/>
      <c r="I37" s="36"/>
      <c r="J37" s="36"/>
      <c r="K37" s="5"/>
      <c r="L37" s="37"/>
      <c r="M37" s="5"/>
      <c r="N37" s="5"/>
      <c r="O37" s="6"/>
      <c r="P37" s="7">
        <f t="shared" si="4"/>
        <v>0</v>
      </c>
      <c r="Q37" s="5"/>
      <c r="R37" s="5"/>
      <c r="S37" s="5"/>
      <c r="T37" s="5">
        <f t="shared" si="5"/>
        <v>0</v>
      </c>
      <c r="U37" s="5">
        <f t="shared" si="6"/>
        <v>0</v>
      </c>
      <c r="V37" s="38">
        <f t="shared" si="7"/>
        <v>0</v>
      </c>
      <c r="W37" s="2"/>
      <c r="X37" s="2"/>
    </row>
    <row r="38" spans="1:24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51</v>
      </c>
      <c r="G38" s="31">
        <v>6</v>
      </c>
      <c r="H38" s="35"/>
      <c r="I38" s="36"/>
      <c r="J38" s="36"/>
      <c r="K38" s="5"/>
      <c r="L38" s="37"/>
      <c r="M38" s="5"/>
      <c r="N38" s="5"/>
      <c r="O38" s="6"/>
      <c r="P38" s="7">
        <f t="shared" si="4"/>
        <v>0</v>
      </c>
      <c r="Q38" s="5"/>
      <c r="R38" s="5"/>
      <c r="S38" s="5"/>
      <c r="T38" s="5">
        <f t="shared" si="5"/>
        <v>0</v>
      </c>
      <c r="U38" s="5">
        <f t="shared" si="6"/>
        <v>0</v>
      </c>
      <c r="V38" s="38">
        <f t="shared" si="7"/>
        <v>0</v>
      </c>
      <c r="W38" s="2"/>
      <c r="X38" s="2"/>
    </row>
    <row r="39" spans="1:24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51</v>
      </c>
      <c r="G39" s="31">
        <v>6</v>
      </c>
      <c r="H39" s="35"/>
      <c r="I39" s="36"/>
      <c r="J39" s="36"/>
      <c r="K39" s="5"/>
      <c r="L39" s="37"/>
      <c r="M39" s="5"/>
      <c r="N39" s="5"/>
      <c r="O39" s="6"/>
      <c r="P39" s="7">
        <f t="shared" si="4"/>
        <v>0</v>
      </c>
      <c r="Q39" s="5"/>
      <c r="R39" s="5"/>
      <c r="S39" s="5"/>
      <c r="T39" s="5">
        <f t="shared" si="5"/>
        <v>0</v>
      </c>
      <c r="U39" s="5">
        <f t="shared" si="6"/>
        <v>0</v>
      </c>
      <c r="V39" s="38">
        <f t="shared" si="7"/>
        <v>0</v>
      </c>
      <c r="W39" s="2"/>
      <c r="X39" s="2"/>
    </row>
    <row r="40" spans="1:24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51</v>
      </c>
      <c r="G40" s="31">
        <v>6</v>
      </c>
      <c r="H40" s="35"/>
      <c r="I40" s="36"/>
      <c r="J40" s="36"/>
      <c r="K40" s="5"/>
      <c r="L40" s="37"/>
      <c r="M40" s="5"/>
      <c r="N40" s="5"/>
      <c r="O40" s="6"/>
      <c r="P40" s="7">
        <f t="shared" si="4"/>
        <v>0</v>
      </c>
      <c r="Q40" s="5"/>
      <c r="R40" s="5"/>
      <c r="S40" s="5"/>
      <c r="T40" s="5">
        <f t="shared" si="5"/>
        <v>0</v>
      </c>
      <c r="U40" s="5">
        <f t="shared" si="6"/>
        <v>0</v>
      </c>
      <c r="V40" s="38">
        <f t="shared" si="7"/>
        <v>0</v>
      </c>
      <c r="W40" s="2"/>
      <c r="X40" s="2"/>
    </row>
    <row r="41" spans="1:24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51</v>
      </c>
      <c r="G41" s="31">
        <v>6</v>
      </c>
      <c r="H41" s="35"/>
      <c r="I41" s="36"/>
      <c r="J41" s="36"/>
      <c r="K41" s="5"/>
      <c r="L41" s="37"/>
      <c r="M41" s="5"/>
      <c r="N41" s="5"/>
      <c r="O41" s="6"/>
      <c r="P41" s="7">
        <f t="shared" si="4"/>
        <v>0</v>
      </c>
      <c r="Q41" s="5"/>
      <c r="R41" s="5"/>
      <c r="S41" s="5"/>
      <c r="T41" s="5">
        <f t="shared" si="5"/>
        <v>0</v>
      </c>
      <c r="U41" s="5">
        <f t="shared" si="6"/>
        <v>0</v>
      </c>
      <c r="V41" s="38">
        <f t="shared" si="7"/>
        <v>0</v>
      </c>
      <c r="W41" s="2"/>
      <c r="X41" s="2"/>
    </row>
    <row r="42" spans="1:24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51</v>
      </c>
      <c r="G42" s="31">
        <v>6</v>
      </c>
      <c r="H42" s="35"/>
      <c r="I42" s="36"/>
      <c r="J42" s="36"/>
      <c r="K42" s="5"/>
      <c r="L42" s="37"/>
      <c r="M42" s="5"/>
      <c r="N42" s="5"/>
      <c r="O42" s="6"/>
      <c r="P42" s="7">
        <f t="shared" si="4"/>
        <v>0</v>
      </c>
      <c r="Q42" s="5"/>
      <c r="R42" s="5"/>
      <c r="S42" s="5"/>
      <c r="T42" s="5">
        <f t="shared" si="5"/>
        <v>0</v>
      </c>
      <c r="U42" s="5">
        <f t="shared" si="6"/>
        <v>0</v>
      </c>
      <c r="V42" s="38">
        <f t="shared" si="7"/>
        <v>0</v>
      </c>
      <c r="W42" s="2"/>
      <c r="X42" s="2"/>
    </row>
    <row r="43" spans="1:24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51</v>
      </c>
      <c r="G43" s="31">
        <v>6</v>
      </c>
      <c r="H43" s="35"/>
      <c r="I43" s="36"/>
      <c r="J43" s="36"/>
      <c r="K43" s="5"/>
      <c r="L43" s="37"/>
      <c r="M43" s="5"/>
      <c r="N43" s="5"/>
      <c r="O43" s="6"/>
      <c r="P43" s="7">
        <f t="shared" si="4"/>
        <v>0</v>
      </c>
      <c r="Q43" s="5"/>
      <c r="R43" s="5"/>
      <c r="S43" s="5"/>
      <c r="T43" s="5">
        <f t="shared" si="5"/>
        <v>0</v>
      </c>
      <c r="U43" s="5">
        <f t="shared" si="6"/>
        <v>0</v>
      </c>
      <c r="V43" s="38">
        <f t="shared" si="7"/>
        <v>0</v>
      </c>
      <c r="W43" s="2"/>
      <c r="X43" s="2"/>
    </row>
    <row r="44" spans="1:24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51</v>
      </c>
      <c r="G44" s="31">
        <v>6</v>
      </c>
      <c r="H44" s="35"/>
      <c r="I44" s="36"/>
      <c r="J44" s="36"/>
      <c r="K44" s="5"/>
      <c r="L44" s="37"/>
      <c r="M44" s="5"/>
      <c r="N44" s="5"/>
      <c r="O44" s="6"/>
      <c r="P44" s="7">
        <f t="shared" si="4"/>
        <v>0</v>
      </c>
      <c r="Q44" s="5"/>
      <c r="R44" s="5"/>
      <c r="S44" s="5"/>
      <c r="T44" s="5">
        <f t="shared" si="5"/>
        <v>0</v>
      </c>
      <c r="U44" s="5">
        <f t="shared" si="6"/>
        <v>0</v>
      </c>
      <c r="V44" s="38">
        <f t="shared" si="7"/>
        <v>0</v>
      </c>
      <c r="W44" s="2"/>
      <c r="X44" s="2"/>
    </row>
    <row r="45" spans="1:24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51</v>
      </c>
      <c r="G45" s="31">
        <v>6</v>
      </c>
      <c r="H45" s="35"/>
      <c r="I45" s="36"/>
      <c r="J45" s="36"/>
      <c r="K45" s="5"/>
      <c r="L45" s="37"/>
      <c r="M45" s="5"/>
      <c r="N45" s="5"/>
      <c r="O45" s="6"/>
      <c r="P45" s="7">
        <f t="shared" si="4"/>
        <v>0</v>
      </c>
      <c r="Q45" s="5"/>
      <c r="R45" s="5"/>
      <c r="S45" s="5"/>
      <c r="T45" s="5">
        <f t="shared" si="5"/>
        <v>0</v>
      </c>
      <c r="U45" s="5">
        <f t="shared" si="6"/>
        <v>0</v>
      </c>
      <c r="V45" s="38">
        <f t="shared" si="7"/>
        <v>0</v>
      </c>
      <c r="W45" s="2"/>
      <c r="X45" s="2"/>
    </row>
    <row r="46" spans="1:24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51</v>
      </c>
      <c r="G46" s="31">
        <v>6</v>
      </c>
      <c r="H46" s="35"/>
      <c r="I46" s="36"/>
      <c r="J46" s="36"/>
      <c r="K46" s="5"/>
      <c r="L46" s="37"/>
      <c r="M46" s="5"/>
      <c r="N46" s="5"/>
      <c r="O46" s="6"/>
      <c r="P46" s="7">
        <f t="shared" si="4"/>
        <v>0</v>
      </c>
      <c r="Q46" s="5"/>
      <c r="R46" s="5"/>
      <c r="S46" s="5"/>
      <c r="T46" s="5">
        <f t="shared" si="5"/>
        <v>0</v>
      </c>
      <c r="U46" s="5">
        <f t="shared" si="6"/>
        <v>0</v>
      </c>
      <c r="V46" s="38">
        <f t="shared" si="7"/>
        <v>0</v>
      </c>
      <c r="W46" s="2"/>
      <c r="X46" s="2"/>
    </row>
    <row r="47" spans="1:24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51</v>
      </c>
      <c r="G47" s="31">
        <v>6</v>
      </c>
      <c r="H47" s="35"/>
      <c r="I47" s="36"/>
      <c r="J47" s="36"/>
      <c r="K47" s="5"/>
      <c r="L47" s="37"/>
      <c r="M47" s="5"/>
      <c r="N47" s="5"/>
      <c r="O47" s="6"/>
      <c r="P47" s="7">
        <f t="shared" si="4"/>
        <v>0</v>
      </c>
      <c r="Q47" s="5"/>
      <c r="R47" s="5"/>
      <c r="S47" s="5"/>
      <c r="T47" s="5">
        <f t="shared" si="5"/>
        <v>0</v>
      </c>
      <c r="U47" s="5">
        <f t="shared" si="6"/>
        <v>0</v>
      </c>
      <c r="V47" s="38">
        <f t="shared" si="7"/>
        <v>0</v>
      </c>
      <c r="W47" s="2"/>
      <c r="X47" s="2"/>
    </row>
    <row r="48" spans="1:24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51</v>
      </c>
      <c r="G48" s="31">
        <v>6</v>
      </c>
      <c r="H48" s="35"/>
      <c r="I48" s="36"/>
      <c r="J48" s="36"/>
      <c r="K48" s="5"/>
      <c r="L48" s="37"/>
      <c r="M48" s="5"/>
      <c r="N48" s="5"/>
      <c r="O48" s="6"/>
      <c r="P48" s="7">
        <f t="shared" si="4"/>
        <v>0</v>
      </c>
      <c r="Q48" s="5"/>
      <c r="R48" s="5"/>
      <c r="S48" s="5"/>
      <c r="T48" s="5">
        <f t="shared" si="5"/>
        <v>0</v>
      </c>
      <c r="U48" s="5">
        <f t="shared" si="6"/>
        <v>0</v>
      </c>
      <c r="V48" s="38">
        <f t="shared" si="7"/>
        <v>0</v>
      </c>
      <c r="W48" s="2"/>
      <c r="X48" s="2"/>
    </row>
    <row r="49" spans="1:24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51</v>
      </c>
      <c r="G49" s="31">
        <v>6</v>
      </c>
      <c r="H49" s="35"/>
      <c r="I49" s="36"/>
      <c r="J49" s="36"/>
      <c r="K49" s="5"/>
      <c r="L49" s="37"/>
      <c r="M49" s="5"/>
      <c r="N49" s="5"/>
      <c r="O49" s="6"/>
      <c r="P49" s="7">
        <f t="shared" si="4"/>
        <v>0</v>
      </c>
      <c r="Q49" s="5"/>
      <c r="R49" s="5"/>
      <c r="S49" s="5"/>
      <c r="T49" s="5">
        <f t="shared" si="5"/>
        <v>0</v>
      </c>
      <c r="U49" s="5">
        <f t="shared" si="6"/>
        <v>0</v>
      </c>
      <c r="V49" s="38">
        <f t="shared" si="7"/>
        <v>0</v>
      </c>
      <c r="W49" s="2"/>
      <c r="X49" s="2"/>
    </row>
    <row r="50" spans="1:24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51</v>
      </c>
      <c r="G50" s="31">
        <v>6</v>
      </c>
      <c r="H50" s="35"/>
      <c r="I50" s="36"/>
      <c r="J50" s="36"/>
      <c r="K50" s="5"/>
      <c r="L50" s="37"/>
      <c r="M50" s="5"/>
      <c r="N50" s="5"/>
      <c r="O50" s="6"/>
      <c r="P50" s="7">
        <f t="shared" si="4"/>
        <v>0</v>
      </c>
      <c r="Q50" s="5"/>
      <c r="R50" s="5"/>
      <c r="S50" s="5"/>
      <c r="T50" s="5">
        <f t="shared" si="5"/>
        <v>0</v>
      </c>
      <c r="U50" s="5">
        <f t="shared" si="6"/>
        <v>0</v>
      </c>
      <c r="V50" s="38">
        <f t="shared" si="7"/>
        <v>0</v>
      </c>
      <c r="W50" s="2"/>
      <c r="X50" s="2"/>
    </row>
    <row r="51" spans="1:24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51</v>
      </c>
      <c r="G51" s="31">
        <v>6</v>
      </c>
      <c r="H51" s="35"/>
      <c r="I51" s="36"/>
      <c r="J51" s="36"/>
      <c r="K51" s="5"/>
      <c r="L51" s="37"/>
      <c r="M51" s="5"/>
      <c r="N51" s="5"/>
      <c r="O51" s="6"/>
      <c r="P51" s="7">
        <f t="shared" si="4"/>
        <v>0</v>
      </c>
      <c r="Q51" s="5"/>
      <c r="R51" s="5"/>
      <c r="S51" s="5"/>
      <c r="T51" s="5">
        <f t="shared" si="5"/>
        <v>0</v>
      </c>
      <c r="U51" s="5">
        <f t="shared" si="6"/>
        <v>0</v>
      </c>
      <c r="V51" s="38">
        <f t="shared" si="7"/>
        <v>0</v>
      </c>
      <c r="W51" s="2"/>
      <c r="X51" s="2"/>
    </row>
    <row r="52" spans="1:24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51</v>
      </c>
      <c r="G52" s="31">
        <v>6</v>
      </c>
      <c r="H52" s="35"/>
      <c r="I52" s="36"/>
      <c r="J52" s="36"/>
      <c r="K52" s="5"/>
      <c r="L52" s="37"/>
      <c r="M52" s="5"/>
      <c r="N52" s="5"/>
      <c r="O52" s="6"/>
      <c r="P52" s="7">
        <f t="shared" si="4"/>
        <v>0</v>
      </c>
      <c r="Q52" s="5"/>
      <c r="R52" s="5"/>
      <c r="S52" s="5"/>
      <c r="T52" s="5">
        <f t="shared" si="5"/>
        <v>0</v>
      </c>
      <c r="U52" s="5">
        <f t="shared" si="6"/>
        <v>0</v>
      </c>
      <c r="V52" s="38">
        <f t="shared" si="7"/>
        <v>0</v>
      </c>
      <c r="W52" s="2"/>
      <c r="X52" s="2"/>
    </row>
    <row r="53" spans="1:24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51</v>
      </c>
      <c r="G53" s="31">
        <v>6</v>
      </c>
      <c r="H53" s="35"/>
      <c r="I53" s="36"/>
      <c r="J53" s="36"/>
      <c r="K53" s="5"/>
      <c r="L53" s="37"/>
      <c r="M53" s="5"/>
      <c r="N53" s="5"/>
      <c r="O53" s="6"/>
      <c r="P53" s="7">
        <f t="shared" si="4"/>
        <v>0</v>
      </c>
      <c r="Q53" s="5"/>
      <c r="R53" s="5"/>
      <c r="S53" s="5"/>
      <c r="T53" s="5">
        <f t="shared" si="5"/>
        <v>0</v>
      </c>
      <c r="U53" s="5">
        <f t="shared" si="6"/>
        <v>0</v>
      </c>
      <c r="V53" s="38">
        <f t="shared" si="7"/>
        <v>0</v>
      </c>
      <c r="W53" s="2"/>
      <c r="X53" s="2"/>
    </row>
    <row r="54" spans="1:24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51</v>
      </c>
      <c r="G54" s="31">
        <v>6</v>
      </c>
      <c r="H54" s="35"/>
      <c r="I54" s="36"/>
      <c r="J54" s="36"/>
      <c r="K54" s="5"/>
      <c r="L54" s="37"/>
      <c r="M54" s="5"/>
      <c r="N54" s="5"/>
      <c r="O54" s="6"/>
      <c r="P54" s="7">
        <f t="shared" si="4"/>
        <v>0</v>
      </c>
      <c r="Q54" s="5"/>
      <c r="R54" s="5"/>
      <c r="S54" s="5"/>
      <c r="T54" s="5">
        <f t="shared" si="5"/>
        <v>0</v>
      </c>
      <c r="U54" s="5">
        <f t="shared" si="6"/>
        <v>0</v>
      </c>
      <c r="V54" s="38">
        <f t="shared" si="7"/>
        <v>0</v>
      </c>
      <c r="W54" s="2"/>
      <c r="X54" s="2"/>
    </row>
    <row r="55" spans="1:24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51</v>
      </c>
      <c r="G55" s="31">
        <v>6</v>
      </c>
      <c r="H55" s="35"/>
      <c r="I55" s="36"/>
      <c r="J55" s="36"/>
      <c r="K55" s="5"/>
      <c r="L55" s="37"/>
      <c r="M55" s="5"/>
      <c r="N55" s="5"/>
      <c r="O55" s="6"/>
      <c r="P55" s="7">
        <f t="shared" si="4"/>
        <v>0</v>
      </c>
      <c r="Q55" s="5"/>
      <c r="R55" s="5"/>
      <c r="S55" s="5"/>
      <c r="T55" s="5">
        <f t="shared" si="5"/>
        <v>0</v>
      </c>
      <c r="U55" s="5">
        <f t="shared" si="6"/>
        <v>0</v>
      </c>
      <c r="V55" s="38">
        <f t="shared" si="7"/>
        <v>0</v>
      </c>
      <c r="W55" s="2"/>
      <c r="X55" s="2"/>
    </row>
    <row r="56" spans="1:24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51</v>
      </c>
      <c r="G56" s="31">
        <v>6</v>
      </c>
      <c r="H56" s="35"/>
      <c r="I56" s="36"/>
      <c r="J56" s="36"/>
      <c r="K56" s="5"/>
      <c r="L56" s="37"/>
      <c r="M56" s="5"/>
      <c r="N56" s="5"/>
      <c r="O56" s="6"/>
      <c r="P56" s="7">
        <f t="shared" si="4"/>
        <v>0</v>
      </c>
      <c r="Q56" s="5"/>
      <c r="R56" s="5"/>
      <c r="S56" s="5"/>
      <c r="T56" s="5">
        <f t="shared" si="5"/>
        <v>0</v>
      </c>
      <c r="U56" s="5">
        <f t="shared" si="6"/>
        <v>0</v>
      </c>
      <c r="V56" s="38">
        <f t="shared" si="7"/>
        <v>0</v>
      </c>
      <c r="W56" s="2"/>
      <c r="X56" s="2"/>
    </row>
    <row r="57" spans="1:24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51</v>
      </c>
      <c r="G57" s="31">
        <v>6</v>
      </c>
      <c r="H57" s="35"/>
      <c r="I57" s="36"/>
      <c r="J57" s="36"/>
      <c r="K57" s="5"/>
      <c r="L57" s="37"/>
      <c r="M57" s="5"/>
      <c r="N57" s="5"/>
      <c r="O57" s="6"/>
      <c r="P57" s="7">
        <f t="shared" si="4"/>
        <v>0</v>
      </c>
      <c r="Q57" s="5"/>
      <c r="R57" s="5"/>
      <c r="S57" s="5"/>
      <c r="T57" s="5">
        <f t="shared" si="5"/>
        <v>0</v>
      </c>
      <c r="U57" s="5">
        <f t="shared" si="6"/>
        <v>0</v>
      </c>
      <c r="V57" s="38">
        <f t="shared" si="7"/>
        <v>0</v>
      </c>
      <c r="W57" s="2"/>
      <c r="X57" s="2"/>
    </row>
    <row r="58" spans="1:24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51</v>
      </c>
      <c r="G58" s="31">
        <v>6</v>
      </c>
      <c r="H58" s="35"/>
      <c r="I58" s="36"/>
      <c r="J58" s="36"/>
      <c r="K58" s="5"/>
      <c r="L58" s="37"/>
      <c r="M58" s="5"/>
      <c r="N58" s="5"/>
      <c r="O58" s="6"/>
      <c r="P58" s="7">
        <f t="shared" si="4"/>
        <v>0</v>
      </c>
      <c r="Q58" s="5"/>
      <c r="R58" s="5"/>
      <c r="S58" s="5"/>
      <c r="T58" s="5">
        <f t="shared" si="5"/>
        <v>0</v>
      </c>
      <c r="U58" s="5">
        <f t="shared" si="6"/>
        <v>0</v>
      </c>
      <c r="V58" s="38">
        <f t="shared" si="7"/>
        <v>0</v>
      </c>
      <c r="W58" s="2"/>
      <c r="X58" s="2"/>
    </row>
    <row r="59" spans="1:24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51</v>
      </c>
      <c r="G59" s="31">
        <v>6</v>
      </c>
      <c r="H59" s="35"/>
      <c r="I59" s="36"/>
      <c r="J59" s="36"/>
      <c r="K59" s="5"/>
      <c r="L59" s="37"/>
      <c r="M59" s="5"/>
      <c r="N59" s="5"/>
      <c r="O59" s="6"/>
      <c r="P59" s="7">
        <f t="shared" si="4"/>
        <v>0</v>
      </c>
      <c r="Q59" s="5"/>
      <c r="R59" s="5"/>
      <c r="S59" s="5"/>
      <c r="T59" s="5">
        <f t="shared" si="5"/>
        <v>0</v>
      </c>
      <c r="U59" s="5">
        <f t="shared" si="6"/>
        <v>0</v>
      </c>
      <c r="V59" s="38">
        <f t="shared" si="7"/>
        <v>0</v>
      </c>
      <c r="W59" s="2"/>
      <c r="X59" s="2"/>
    </row>
    <row r="60" spans="1:24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51</v>
      </c>
      <c r="G60" s="31">
        <v>6</v>
      </c>
      <c r="H60" s="35"/>
      <c r="I60" s="36"/>
      <c r="J60" s="36"/>
      <c r="K60" s="5"/>
      <c r="L60" s="37"/>
      <c r="M60" s="5"/>
      <c r="N60" s="5"/>
      <c r="O60" s="6"/>
      <c r="P60" s="7">
        <f t="shared" si="4"/>
        <v>0</v>
      </c>
      <c r="Q60" s="5"/>
      <c r="R60" s="5"/>
      <c r="S60" s="5"/>
      <c r="T60" s="5">
        <f t="shared" si="5"/>
        <v>0</v>
      </c>
      <c r="U60" s="5">
        <f t="shared" si="6"/>
        <v>0</v>
      </c>
      <c r="V60" s="38">
        <f t="shared" si="7"/>
        <v>0</v>
      </c>
      <c r="W60" s="2"/>
      <c r="X60" s="2"/>
    </row>
    <row r="61" spans="1:24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51</v>
      </c>
      <c r="G61" s="31">
        <v>6</v>
      </c>
      <c r="H61" s="35"/>
      <c r="I61" s="36"/>
      <c r="J61" s="36"/>
      <c r="K61" s="5"/>
      <c r="L61" s="37"/>
      <c r="M61" s="5"/>
      <c r="N61" s="5"/>
      <c r="O61" s="6"/>
      <c r="P61" s="7">
        <f t="shared" si="4"/>
        <v>0</v>
      </c>
      <c r="Q61" s="5"/>
      <c r="R61" s="5"/>
      <c r="S61" s="5"/>
      <c r="T61" s="5">
        <f t="shared" si="5"/>
        <v>0</v>
      </c>
      <c r="U61" s="5">
        <f t="shared" si="6"/>
        <v>0</v>
      </c>
      <c r="V61" s="38">
        <f t="shared" si="7"/>
        <v>0</v>
      </c>
      <c r="W61" s="2"/>
      <c r="X61" s="2"/>
    </row>
    <row r="62" spans="1:24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51</v>
      </c>
      <c r="G62" s="31">
        <v>6</v>
      </c>
      <c r="H62" s="35"/>
      <c r="I62" s="36"/>
      <c r="J62" s="36"/>
      <c r="K62" s="5"/>
      <c r="L62" s="37"/>
      <c r="M62" s="5"/>
      <c r="N62" s="5"/>
      <c r="O62" s="6"/>
      <c r="P62" s="7">
        <f t="shared" si="4"/>
        <v>0</v>
      </c>
      <c r="Q62" s="5"/>
      <c r="R62" s="5"/>
      <c r="S62" s="5"/>
      <c r="T62" s="5">
        <f t="shared" si="5"/>
        <v>0</v>
      </c>
      <c r="U62" s="5">
        <f t="shared" si="6"/>
        <v>0</v>
      </c>
      <c r="V62" s="38">
        <f t="shared" si="7"/>
        <v>0</v>
      </c>
      <c r="W62" s="2"/>
      <c r="X62" s="2"/>
    </row>
    <row r="63" spans="1:24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51</v>
      </c>
      <c r="G63" s="31">
        <v>6</v>
      </c>
      <c r="H63" s="35"/>
      <c r="I63" s="36"/>
      <c r="J63" s="36"/>
      <c r="K63" s="5"/>
      <c r="L63" s="37"/>
      <c r="M63" s="5"/>
      <c r="N63" s="5"/>
      <c r="O63" s="6"/>
      <c r="P63" s="7">
        <f t="shared" si="4"/>
        <v>0</v>
      </c>
      <c r="Q63" s="5"/>
      <c r="R63" s="5"/>
      <c r="S63" s="5"/>
      <c r="T63" s="5">
        <f t="shared" si="5"/>
        <v>0</v>
      </c>
      <c r="U63" s="5">
        <f t="shared" si="6"/>
        <v>0</v>
      </c>
      <c r="V63" s="38">
        <f t="shared" si="7"/>
        <v>0</v>
      </c>
      <c r="W63" s="2"/>
      <c r="X63" s="2"/>
    </row>
    <row r="64" spans="1:24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51</v>
      </c>
      <c r="G64" s="31">
        <v>6</v>
      </c>
      <c r="H64" s="35"/>
      <c r="I64" s="36"/>
      <c r="J64" s="36"/>
      <c r="K64" s="5"/>
      <c r="L64" s="37"/>
      <c r="M64" s="5"/>
      <c r="N64" s="5"/>
      <c r="O64" s="6"/>
      <c r="P64" s="7">
        <f t="shared" si="4"/>
        <v>0</v>
      </c>
      <c r="Q64" s="5"/>
      <c r="R64" s="5"/>
      <c r="S64" s="5"/>
      <c r="T64" s="5">
        <f t="shared" si="5"/>
        <v>0</v>
      </c>
      <c r="U64" s="5">
        <f t="shared" si="6"/>
        <v>0</v>
      </c>
      <c r="V64" s="38">
        <f t="shared" si="7"/>
        <v>0</v>
      </c>
      <c r="W64" s="2"/>
      <c r="X64" s="2"/>
    </row>
    <row r="65" spans="1:24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51</v>
      </c>
      <c r="G65" s="31">
        <v>6</v>
      </c>
      <c r="H65" s="35"/>
      <c r="I65" s="36"/>
      <c r="J65" s="36"/>
      <c r="K65" s="5"/>
      <c r="L65" s="37"/>
      <c r="M65" s="5"/>
      <c r="N65" s="5"/>
      <c r="O65" s="6"/>
      <c r="P65" s="7">
        <f t="shared" si="4"/>
        <v>0</v>
      </c>
      <c r="Q65" s="5"/>
      <c r="R65" s="5"/>
      <c r="S65" s="5"/>
      <c r="T65" s="5">
        <f t="shared" si="5"/>
        <v>0</v>
      </c>
      <c r="U65" s="5">
        <f t="shared" si="6"/>
        <v>0</v>
      </c>
      <c r="V65" s="38">
        <f t="shared" si="7"/>
        <v>0</v>
      </c>
      <c r="W65" s="2"/>
      <c r="X65" s="2"/>
    </row>
    <row r="66" spans="1:24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51</v>
      </c>
      <c r="G66" s="31">
        <v>6</v>
      </c>
      <c r="H66" s="35"/>
      <c r="I66" s="36"/>
      <c r="J66" s="36"/>
      <c r="K66" s="5"/>
      <c r="L66" s="37"/>
      <c r="M66" s="5"/>
      <c r="N66" s="5"/>
      <c r="O66" s="6"/>
      <c r="P66" s="7">
        <f t="shared" si="4"/>
        <v>0</v>
      </c>
      <c r="Q66" s="5"/>
      <c r="R66" s="5"/>
      <c r="S66" s="5"/>
      <c r="T66" s="5">
        <f t="shared" si="5"/>
        <v>0</v>
      </c>
      <c r="U66" s="5">
        <f t="shared" si="6"/>
        <v>0</v>
      </c>
      <c r="V66" s="38">
        <f t="shared" si="7"/>
        <v>0</v>
      </c>
      <c r="W66" s="2"/>
      <c r="X66" s="2"/>
    </row>
    <row r="67" spans="1:24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51</v>
      </c>
      <c r="G67" s="31">
        <v>6</v>
      </c>
      <c r="H67" s="35"/>
      <c r="I67" s="36"/>
      <c r="J67" s="36"/>
      <c r="K67" s="5"/>
      <c r="L67" s="37"/>
      <c r="M67" s="5"/>
      <c r="N67" s="5"/>
      <c r="O67" s="6"/>
      <c r="P67" s="7">
        <f t="shared" si="4"/>
        <v>0</v>
      </c>
      <c r="Q67" s="5"/>
      <c r="R67" s="5"/>
      <c r="S67" s="5"/>
      <c r="T67" s="5">
        <f t="shared" si="5"/>
        <v>0</v>
      </c>
      <c r="U67" s="5">
        <f t="shared" si="6"/>
        <v>0</v>
      </c>
      <c r="V67" s="38">
        <f t="shared" si="7"/>
        <v>0</v>
      </c>
      <c r="W67" s="2"/>
      <c r="X67" s="2"/>
    </row>
    <row r="68" spans="1:24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51</v>
      </c>
      <c r="G68" s="31">
        <v>6</v>
      </c>
      <c r="H68" s="35"/>
      <c r="I68" s="36"/>
      <c r="J68" s="36"/>
      <c r="K68" s="5"/>
      <c r="L68" s="37"/>
      <c r="M68" s="5"/>
      <c r="N68" s="5"/>
      <c r="O68" s="6"/>
      <c r="P68" s="7">
        <f t="shared" si="4"/>
        <v>0</v>
      </c>
      <c r="Q68" s="5"/>
      <c r="R68" s="5"/>
      <c r="S68" s="5"/>
      <c r="T68" s="5">
        <f t="shared" si="5"/>
        <v>0</v>
      </c>
      <c r="U68" s="5">
        <f t="shared" si="6"/>
        <v>0</v>
      </c>
      <c r="V68" s="38">
        <f t="shared" si="7"/>
        <v>0</v>
      </c>
      <c r="W68" s="2"/>
      <c r="X68" s="2"/>
    </row>
    <row r="69" spans="1:24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51</v>
      </c>
      <c r="G69" s="31">
        <v>6</v>
      </c>
      <c r="H69" s="35"/>
      <c r="I69" s="36"/>
      <c r="J69" s="36"/>
      <c r="K69" s="5"/>
      <c r="L69" s="37"/>
      <c r="M69" s="5"/>
      <c r="N69" s="5"/>
      <c r="O69" s="6"/>
      <c r="P69" s="7">
        <f t="shared" ref="P69:P132" si="8">M69+(0.05*N69)+(O69/240)</f>
        <v>0</v>
      </c>
      <c r="Q69" s="5"/>
      <c r="R69" s="5"/>
      <c r="S69" s="5"/>
      <c r="T69" s="5">
        <f t="shared" ref="T69:T132" si="9">Q69+(R69*0.05)+(S69/240)</f>
        <v>0</v>
      </c>
      <c r="U69" s="5">
        <f t="shared" ref="U69:U132" si="10">K69*P69</f>
        <v>0</v>
      </c>
      <c r="V69" s="38">
        <f t="shared" si="7"/>
        <v>0</v>
      </c>
      <c r="W69" s="2"/>
      <c r="X69" s="2"/>
    </row>
    <row r="70" spans="1:24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51</v>
      </c>
      <c r="G70" s="31">
        <v>6</v>
      </c>
      <c r="H70" s="35"/>
      <c r="I70" s="36"/>
      <c r="J70" s="36"/>
      <c r="K70" s="5"/>
      <c r="L70" s="37"/>
      <c r="M70" s="5"/>
      <c r="N70" s="5"/>
      <c r="O70" s="6"/>
      <c r="P70" s="7">
        <f t="shared" si="8"/>
        <v>0</v>
      </c>
      <c r="Q70" s="5"/>
      <c r="R70" s="5"/>
      <c r="S70" s="5"/>
      <c r="T70" s="5">
        <f t="shared" si="9"/>
        <v>0</v>
      </c>
      <c r="U70" s="5">
        <f t="shared" si="10"/>
        <v>0</v>
      </c>
      <c r="V70" s="38">
        <f t="shared" ref="V70:V133" si="11">T70-U70</f>
        <v>0</v>
      </c>
      <c r="W70" s="2"/>
      <c r="X70" s="2"/>
    </row>
    <row r="71" spans="1:24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51</v>
      </c>
      <c r="G71" s="31">
        <v>6</v>
      </c>
      <c r="H71" s="35"/>
      <c r="I71" s="36"/>
      <c r="J71" s="36"/>
      <c r="K71" s="5"/>
      <c r="L71" s="37"/>
      <c r="M71" s="5"/>
      <c r="N71" s="5"/>
      <c r="O71" s="6"/>
      <c r="P71" s="7">
        <f t="shared" si="8"/>
        <v>0</v>
      </c>
      <c r="Q71" s="5"/>
      <c r="R71" s="5"/>
      <c r="S71" s="5"/>
      <c r="T71" s="5">
        <f t="shared" si="9"/>
        <v>0</v>
      </c>
      <c r="U71" s="5">
        <f t="shared" si="10"/>
        <v>0</v>
      </c>
      <c r="V71" s="38">
        <f t="shared" si="11"/>
        <v>0</v>
      </c>
      <c r="W71" s="2"/>
      <c r="X71" s="2"/>
    </row>
    <row r="72" spans="1:24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51</v>
      </c>
      <c r="G72" s="31">
        <v>6</v>
      </c>
      <c r="H72" s="35"/>
      <c r="I72" s="36"/>
      <c r="J72" s="36"/>
      <c r="K72" s="5"/>
      <c r="L72" s="37"/>
      <c r="M72" s="5"/>
      <c r="N72" s="5"/>
      <c r="O72" s="6"/>
      <c r="P72" s="7">
        <f t="shared" si="8"/>
        <v>0</v>
      </c>
      <c r="Q72" s="5"/>
      <c r="R72" s="5"/>
      <c r="S72" s="5"/>
      <c r="T72" s="5">
        <f t="shared" si="9"/>
        <v>0</v>
      </c>
      <c r="U72" s="5">
        <f t="shared" si="10"/>
        <v>0</v>
      </c>
      <c r="V72" s="38">
        <f t="shared" si="11"/>
        <v>0</v>
      </c>
      <c r="W72" s="2"/>
      <c r="X72" s="2"/>
    </row>
    <row r="73" spans="1:24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51</v>
      </c>
      <c r="G73" s="31">
        <v>6</v>
      </c>
      <c r="H73" s="35"/>
      <c r="I73" s="36"/>
      <c r="J73" s="36"/>
      <c r="K73" s="5"/>
      <c r="L73" s="37"/>
      <c r="M73" s="5"/>
      <c r="N73" s="5"/>
      <c r="O73" s="6"/>
      <c r="P73" s="7">
        <f t="shared" si="8"/>
        <v>0</v>
      </c>
      <c r="Q73" s="5"/>
      <c r="R73" s="5"/>
      <c r="S73" s="5"/>
      <c r="T73" s="5">
        <f t="shared" si="9"/>
        <v>0</v>
      </c>
      <c r="U73" s="5">
        <f t="shared" si="10"/>
        <v>0</v>
      </c>
      <c r="V73" s="38">
        <f t="shared" si="11"/>
        <v>0</v>
      </c>
      <c r="W73" s="2"/>
      <c r="X73" s="2"/>
    </row>
    <row r="74" spans="1:24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51</v>
      </c>
      <c r="G74" s="31">
        <v>6</v>
      </c>
      <c r="H74" s="35"/>
      <c r="I74" s="36"/>
      <c r="J74" s="36"/>
      <c r="K74" s="5"/>
      <c r="L74" s="37"/>
      <c r="M74" s="5"/>
      <c r="N74" s="5"/>
      <c r="O74" s="6"/>
      <c r="P74" s="7">
        <f t="shared" si="8"/>
        <v>0</v>
      </c>
      <c r="Q74" s="5"/>
      <c r="R74" s="5"/>
      <c r="S74" s="5"/>
      <c r="T74" s="5">
        <f t="shared" si="9"/>
        <v>0</v>
      </c>
      <c r="U74" s="5">
        <f t="shared" si="10"/>
        <v>0</v>
      </c>
      <c r="V74" s="38">
        <f t="shared" si="11"/>
        <v>0</v>
      </c>
      <c r="W74" s="2"/>
      <c r="X74" s="2"/>
    </row>
    <row r="75" spans="1:24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51</v>
      </c>
      <c r="G75" s="31">
        <v>6</v>
      </c>
      <c r="H75" s="35"/>
      <c r="I75" s="36"/>
      <c r="J75" s="36"/>
      <c r="K75" s="5"/>
      <c r="L75" s="37"/>
      <c r="M75" s="5"/>
      <c r="N75" s="5"/>
      <c r="O75" s="6"/>
      <c r="P75" s="7">
        <f t="shared" si="8"/>
        <v>0</v>
      </c>
      <c r="Q75" s="5"/>
      <c r="R75" s="5"/>
      <c r="S75" s="5"/>
      <c r="T75" s="5">
        <f t="shared" si="9"/>
        <v>0</v>
      </c>
      <c r="U75" s="5">
        <f t="shared" si="10"/>
        <v>0</v>
      </c>
      <c r="V75" s="38">
        <f t="shared" si="11"/>
        <v>0</v>
      </c>
      <c r="W75" s="2"/>
      <c r="X75" s="2"/>
    </row>
    <row r="76" spans="1:24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51</v>
      </c>
      <c r="G76" s="31">
        <v>6</v>
      </c>
      <c r="H76" s="35"/>
      <c r="I76" s="36"/>
      <c r="J76" s="36"/>
      <c r="K76" s="5"/>
      <c r="L76" s="37"/>
      <c r="M76" s="5"/>
      <c r="N76" s="5"/>
      <c r="O76" s="6"/>
      <c r="P76" s="7">
        <f t="shared" si="8"/>
        <v>0</v>
      </c>
      <c r="Q76" s="5"/>
      <c r="R76" s="5"/>
      <c r="S76" s="5"/>
      <c r="T76" s="5">
        <f t="shared" si="9"/>
        <v>0</v>
      </c>
      <c r="U76" s="5">
        <f t="shared" si="10"/>
        <v>0</v>
      </c>
      <c r="V76" s="38">
        <f t="shared" si="11"/>
        <v>0</v>
      </c>
      <c r="W76" s="2"/>
      <c r="X76" s="2"/>
    </row>
    <row r="77" spans="1:24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51</v>
      </c>
      <c r="G77" s="31">
        <v>6</v>
      </c>
      <c r="H77" s="35"/>
      <c r="I77" s="36"/>
      <c r="J77" s="36"/>
      <c r="K77" s="5"/>
      <c r="L77" s="37"/>
      <c r="M77" s="5"/>
      <c r="N77" s="5"/>
      <c r="O77" s="6"/>
      <c r="P77" s="7">
        <f t="shared" si="8"/>
        <v>0</v>
      </c>
      <c r="Q77" s="5"/>
      <c r="R77" s="5"/>
      <c r="S77" s="5"/>
      <c r="T77" s="5">
        <f t="shared" si="9"/>
        <v>0</v>
      </c>
      <c r="U77" s="5">
        <f t="shared" si="10"/>
        <v>0</v>
      </c>
      <c r="V77" s="38">
        <f t="shared" si="11"/>
        <v>0</v>
      </c>
      <c r="W77" s="2"/>
      <c r="X77" s="2"/>
    </row>
    <row r="78" spans="1:24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51</v>
      </c>
      <c r="G78" s="31">
        <v>6</v>
      </c>
      <c r="H78" s="35"/>
      <c r="I78" s="36"/>
      <c r="J78" s="36"/>
      <c r="K78" s="5"/>
      <c r="L78" s="37"/>
      <c r="M78" s="5"/>
      <c r="N78" s="5"/>
      <c r="O78" s="6"/>
      <c r="P78" s="7">
        <f t="shared" si="8"/>
        <v>0</v>
      </c>
      <c r="Q78" s="5"/>
      <c r="R78" s="5"/>
      <c r="S78" s="5"/>
      <c r="T78" s="5">
        <f t="shared" si="9"/>
        <v>0</v>
      </c>
      <c r="U78" s="5">
        <f t="shared" si="10"/>
        <v>0</v>
      </c>
      <c r="V78" s="38">
        <f t="shared" si="11"/>
        <v>0</v>
      </c>
      <c r="W78" s="2"/>
      <c r="X78" s="2"/>
    </row>
    <row r="79" spans="1:24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51</v>
      </c>
      <c r="G79" s="31">
        <v>6</v>
      </c>
      <c r="H79" s="35"/>
      <c r="I79" s="36"/>
      <c r="J79" s="36"/>
      <c r="K79" s="5"/>
      <c r="L79" s="37"/>
      <c r="M79" s="5"/>
      <c r="N79" s="5"/>
      <c r="O79" s="6"/>
      <c r="P79" s="7">
        <f t="shared" si="8"/>
        <v>0</v>
      </c>
      <c r="Q79" s="5"/>
      <c r="R79" s="5"/>
      <c r="S79" s="5"/>
      <c r="T79" s="5">
        <f t="shared" si="9"/>
        <v>0</v>
      </c>
      <c r="U79" s="5">
        <f t="shared" si="10"/>
        <v>0</v>
      </c>
      <c r="V79" s="38">
        <f t="shared" si="11"/>
        <v>0</v>
      </c>
      <c r="W79" s="2"/>
      <c r="X79" s="2"/>
    </row>
    <row r="80" spans="1:24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51</v>
      </c>
      <c r="G80" s="31">
        <v>6</v>
      </c>
      <c r="H80" s="35"/>
      <c r="I80" s="36"/>
      <c r="J80" s="36"/>
      <c r="K80" s="5"/>
      <c r="L80" s="37"/>
      <c r="M80" s="5"/>
      <c r="N80" s="5"/>
      <c r="O80" s="6"/>
      <c r="P80" s="7">
        <f t="shared" si="8"/>
        <v>0</v>
      </c>
      <c r="Q80" s="5"/>
      <c r="R80" s="5"/>
      <c r="S80" s="5"/>
      <c r="T80" s="5">
        <f t="shared" si="9"/>
        <v>0</v>
      </c>
      <c r="U80" s="5">
        <f t="shared" si="10"/>
        <v>0</v>
      </c>
      <c r="V80" s="38">
        <f t="shared" si="11"/>
        <v>0</v>
      </c>
      <c r="W80" s="2"/>
      <c r="X80" s="2"/>
    </row>
    <row r="81" spans="1:24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51</v>
      </c>
      <c r="G81" s="31">
        <v>6</v>
      </c>
      <c r="H81" s="35"/>
      <c r="I81" s="36"/>
      <c r="J81" s="36"/>
      <c r="K81" s="5"/>
      <c r="L81" s="37"/>
      <c r="M81" s="5"/>
      <c r="N81" s="5"/>
      <c r="O81" s="6"/>
      <c r="P81" s="7">
        <f t="shared" si="8"/>
        <v>0</v>
      </c>
      <c r="Q81" s="5"/>
      <c r="R81" s="5"/>
      <c r="S81" s="5"/>
      <c r="T81" s="5">
        <f t="shared" si="9"/>
        <v>0</v>
      </c>
      <c r="U81" s="5">
        <f t="shared" si="10"/>
        <v>0</v>
      </c>
      <c r="V81" s="38">
        <f t="shared" si="11"/>
        <v>0</v>
      </c>
      <c r="W81" s="2"/>
      <c r="X81" s="2"/>
    </row>
    <row r="82" spans="1:24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51</v>
      </c>
      <c r="G82" s="31">
        <v>6</v>
      </c>
      <c r="H82" s="35"/>
      <c r="I82" s="36"/>
      <c r="J82" s="36"/>
      <c r="K82" s="5"/>
      <c r="L82" s="37"/>
      <c r="M82" s="5"/>
      <c r="N82" s="5"/>
      <c r="O82" s="6"/>
      <c r="P82" s="7">
        <f t="shared" si="8"/>
        <v>0</v>
      </c>
      <c r="Q82" s="5"/>
      <c r="R82" s="5"/>
      <c r="S82" s="5"/>
      <c r="T82" s="5">
        <f t="shared" si="9"/>
        <v>0</v>
      </c>
      <c r="U82" s="5">
        <f t="shared" si="10"/>
        <v>0</v>
      </c>
      <c r="V82" s="38">
        <f t="shared" si="11"/>
        <v>0</v>
      </c>
      <c r="W82" s="2"/>
      <c r="X82" s="2"/>
    </row>
    <row r="83" spans="1:24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51</v>
      </c>
      <c r="G83" s="31">
        <v>6</v>
      </c>
      <c r="H83" s="35"/>
      <c r="I83" s="36"/>
      <c r="J83" s="36"/>
      <c r="K83" s="5"/>
      <c r="L83" s="37"/>
      <c r="M83" s="5"/>
      <c r="N83" s="5"/>
      <c r="O83" s="6"/>
      <c r="P83" s="7">
        <f t="shared" si="8"/>
        <v>0</v>
      </c>
      <c r="Q83" s="5"/>
      <c r="R83" s="5"/>
      <c r="S83" s="5"/>
      <c r="T83" s="5">
        <f t="shared" si="9"/>
        <v>0</v>
      </c>
      <c r="U83" s="5">
        <f t="shared" si="10"/>
        <v>0</v>
      </c>
      <c r="V83" s="38">
        <f t="shared" si="11"/>
        <v>0</v>
      </c>
      <c r="W83" s="2"/>
      <c r="X83" s="2"/>
    </row>
    <row r="84" spans="1:24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51</v>
      </c>
      <c r="G84" s="31">
        <v>6</v>
      </c>
      <c r="H84" s="35"/>
      <c r="I84" s="36"/>
      <c r="J84" s="36"/>
      <c r="K84" s="5"/>
      <c r="L84" s="37"/>
      <c r="M84" s="5"/>
      <c r="N84" s="5"/>
      <c r="O84" s="6"/>
      <c r="P84" s="7">
        <f t="shared" si="8"/>
        <v>0</v>
      </c>
      <c r="Q84" s="5"/>
      <c r="R84" s="5"/>
      <c r="S84" s="5"/>
      <c r="T84" s="5">
        <f t="shared" si="9"/>
        <v>0</v>
      </c>
      <c r="U84" s="5">
        <f t="shared" si="10"/>
        <v>0</v>
      </c>
      <c r="V84" s="38">
        <f t="shared" si="11"/>
        <v>0</v>
      </c>
      <c r="W84" s="2"/>
      <c r="X84" s="2"/>
    </row>
    <row r="85" spans="1:24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51</v>
      </c>
      <c r="G85" s="31">
        <v>6</v>
      </c>
      <c r="H85" s="35"/>
      <c r="I85" s="36"/>
      <c r="J85" s="36"/>
      <c r="K85" s="5"/>
      <c r="L85" s="37"/>
      <c r="M85" s="5"/>
      <c r="N85" s="5"/>
      <c r="O85" s="6"/>
      <c r="P85" s="7">
        <f t="shared" si="8"/>
        <v>0</v>
      </c>
      <c r="Q85" s="5"/>
      <c r="R85" s="5"/>
      <c r="S85" s="5"/>
      <c r="T85" s="5">
        <f t="shared" si="9"/>
        <v>0</v>
      </c>
      <c r="U85" s="5">
        <f t="shared" si="10"/>
        <v>0</v>
      </c>
      <c r="V85" s="38">
        <f t="shared" si="11"/>
        <v>0</v>
      </c>
      <c r="W85" s="2"/>
      <c r="X85" s="2"/>
    </row>
    <row r="86" spans="1:24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51</v>
      </c>
      <c r="G86" s="31">
        <v>6</v>
      </c>
      <c r="H86" s="35"/>
      <c r="I86" s="36"/>
      <c r="J86" s="36"/>
      <c r="K86" s="5"/>
      <c r="L86" s="37"/>
      <c r="M86" s="5"/>
      <c r="N86" s="5"/>
      <c r="O86" s="6"/>
      <c r="P86" s="7">
        <f t="shared" si="8"/>
        <v>0</v>
      </c>
      <c r="Q86" s="5"/>
      <c r="R86" s="5"/>
      <c r="S86" s="5"/>
      <c r="T86" s="5">
        <f t="shared" si="9"/>
        <v>0</v>
      </c>
      <c r="U86" s="5">
        <f t="shared" si="10"/>
        <v>0</v>
      </c>
      <c r="V86" s="38">
        <f t="shared" si="11"/>
        <v>0</v>
      </c>
      <c r="W86" s="2"/>
      <c r="X86" s="2"/>
    </row>
    <row r="87" spans="1:24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51</v>
      </c>
      <c r="G87" s="31">
        <v>6</v>
      </c>
      <c r="H87" s="35"/>
      <c r="I87" s="36"/>
      <c r="J87" s="36"/>
      <c r="K87" s="5"/>
      <c r="L87" s="37"/>
      <c r="M87" s="5"/>
      <c r="N87" s="5"/>
      <c r="O87" s="6"/>
      <c r="P87" s="7">
        <f t="shared" si="8"/>
        <v>0</v>
      </c>
      <c r="Q87" s="5"/>
      <c r="R87" s="5"/>
      <c r="S87" s="5"/>
      <c r="T87" s="5">
        <f t="shared" si="9"/>
        <v>0</v>
      </c>
      <c r="U87" s="5">
        <f t="shared" si="10"/>
        <v>0</v>
      </c>
      <c r="V87" s="38">
        <f t="shared" si="11"/>
        <v>0</v>
      </c>
      <c r="W87" s="2"/>
      <c r="X87" s="2"/>
    </row>
    <row r="88" spans="1:24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51</v>
      </c>
      <c r="G88" s="31">
        <v>6</v>
      </c>
      <c r="H88" s="35"/>
      <c r="I88" s="36"/>
      <c r="J88" s="36"/>
      <c r="K88" s="5"/>
      <c r="L88" s="37"/>
      <c r="M88" s="5"/>
      <c r="N88" s="5"/>
      <c r="O88" s="6"/>
      <c r="P88" s="7">
        <f t="shared" si="8"/>
        <v>0</v>
      </c>
      <c r="Q88" s="5"/>
      <c r="R88" s="5"/>
      <c r="S88" s="5"/>
      <c r="T88" s="5">
        <f t="shared" si="9"/>
        <v>0</v>
      </c>
      <c r="U88" s="5">
        <f t="shared" si="10"/>
        <v>0</v>
      </c>
      <c r="V88" s="38">
        <f t="shared" si="11"/>
        <v>0</v>
      </c>
      <c r="W88" s="2"/>
      <c r="X88" s="2"/>
    </row>
    <row r="89" spans="1:24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51</v>
      </c>
      <c r="G89" s="31">
        <v>6</v>
      </c>
      <c r="H89" s="35"/>
      <c r="I89" s="36"/>
      <c r="J89" s="36"/>
      <c r="K89" s="5"/>
      <c r="L89" s="37"/>
      <c r="M89" s="5"/>
      <c r="N89" s="5"/>
      <c r="O89" s="6"/>
      <c r="P89" s="7">
        <f t="shared" si="8"/>
        <v>0</v>
      </c>
      <c r="Q89" s="5"/>
      <c r="R89" s="5"/>
      <c r="S89" s="5"/>
      <c r="T89" s="5">
        <f t="shared" si="9"/>
        <v>0</v>
      </c>
      <c r="U89" s="5">
        <f t="shared" si="10"/>
        <v>0</v>
      </c>
      <c r="V89" s="38">
        <f t="shared" si="11"/>
        <v>0</v>
      </c>
      <c r="W89" s="2"/>
      <c r="X89" s="2"/>
    </row>
    <row r="90" spans="1:24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51</v>
      </c>
      <c r="G90" s="31">
        <v>6</v>
      </c>
      <c r="H90" s="35"/>
      <c r="I90" s="36"/>
      <c r="J90" s="36"/>
      <c r="K90" s="5"/>
      <c r="L90" s="37"/>
      <c r="M90" s="5"/>
      <c r="N90" s="5"/>
      <c r="O90" s="6"/>
      <c r="P90" s="7">
        <f t="shared" si="8"/>
        <v>0</v>
      </c>
      <c r="Q90" s="5"/>
      <c r="R90" s="5"/>
      <c r="S90" s="5"/>
      <c r="T90" s="5">
        <f t="shared" si="9"/>
        <v>0</v>
      </c>
      <c r="U90" s="5">
        <f t="shared" si="10"/>
        <v>0</v>
      </c>
      <c r="V90" s="38">
        <f t="shared" si="11"/>
        <v>0</v>
      </c>
      <c r="W90" s="2"/>
      <c r="X90" s="2"/>
    </row>
    <row r="91" spans="1:24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51</v>
      </c>
      <c r="G91" s="31">
        <v>6</v>
      </c>
      <c r="H91" s="35"/>
      <c r="I91" s="36"/>
      <c r="J91" s="36"/>
      <c r="K91" s="5"/>
      <c r="L91" s="37"/>
      <c r="M91" s="5"/>
      <c r="N91" s="5"/>
      <c r="O91" s="6"/>
      <c r="P91" s="7">
        <f t="shared" si="8"/>
        <v>0</v>
      </c>
      <c r="Q91" s="5"/>
      <c r="R91" s="5"/>
      <c r="S91" s="5"/>
      <c r="T91" s="5">
        <f t="shared" si="9"/>
        <v>0</v>
      </c>
      <c r="U91" s="5">
        <f t="shared" si="10"/>
        <v>0</v>
      </c>
      <c r="V91" s="38">
        <f t="shared" si="11"/>
        <v>0</v>
      </c>
      <c r="W91" s="2"/>
      <c r="X91" s="2"/>
    </row>
    <row r="92" spans="1:24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51</v>
      </c>
      <c r="G92" s="31">
        <v>6</v>
      </c>
      <c r="H92" s="35"/>
      <c r="I92" s="36"/>
      <c r="J92" s="36"/>
      <c r="K92" s="5"/>
      <c r="L92" s="37"/>
      <c r="M92" s="5"/>
      <c r="N92" s="5"/>
      <c r="O92" s="6"/>
      <c r="P92" s="7">
        <f t="shared" si="8"/>
        <v>0</v>
      </c>
      <c r="Q92" s="5"/>
      <c r="R92" s="5"/>
      <c r="S92" s="5"/>
      <c r="T92" s="5">
        <f t="shared" si="9"/>
        <v>0</v>
      </c>
      <c r="U92" s="5">
        <f t="shared" si="10"/>
        <v>0</v>
      </c>
      <c r="V92" s="38">
        <f t="shared" si="11"/>
        <v>0</v>
      </c>
      <c r="W92" s="2"/>
      <c r="X92" s="2"/>
    </row>
    <row r="93" spans="1:24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51</v>
      </c>
      <c r="G93" s="31">
        <v>6</v>
      </c>
      <c r="H93" s="35"/>
      <c r="I93" s="36"/>
      <c r="J93" s="36"/>
      <c r="K93" s="5"/>
      <c r="L93" s="37"/>
      <c r="M93" s="5"/>
      <c r="N93" s="5"/>
      <c r="O93" s="6"/>
      <c r="P93" s="7">
        <f t="shared" si="8"/>
        <v>0</v>
      </c>
      <c r="Q93" s="5"/>
      <c r="R93" s="5"/>
      <c r="S93" s="5"/>
      <c r="T93" s="5">
        <f t="shared" si="9"/>
        <v>0</v>
      </c>
      <c r="U93" s="5">
        <f t="shared" si="10"/>
        <v>0</v>
      </c>
      <c r="V93" s="38">
        <f t="shared" si="11"/>
        <v>0</v>
      </c>
      <c r="W93" s="2"/>
      <c r="X93" s="2"/>
    </row>
    <row r="94" spans="1:24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51</v>
      </c>
      <c r="G94" s="31">
        <v>6</v>
      </c>
      <c r="H94" s="35"/>
      <c r="I94" s="36"/>
      <c r="J94" s="36"/>
      <c r="K94" s="5"/>
      <c r="L94" s="37"/>
      <c r="M94" s="5"/>
      <c r="N94" s="5"/>
      <c r="O94" s="6"/>
      <c r="P94" s="7">
        <f t="shared" si="8"/>
        <v>0</v>
      </c>
      <c r="Q94" s="5"/>
      <c r="R94" s="5"/>
      <c r="S94" s="5"/>
      <c r="T94" s="5">
        <f t="shared" si="9"/>
        <v>0</v>
      </c>
      <c r="U94" s="5">
        <f t="shared" si="10"/>
        <v>0</v>
      </c>
      <c r="V94" s="38">
        <f t="shared" si="11"/>
        <v>0</v>
      </c>
      <c r="W94" s="2"/>
      <c r="X94" s="2"/>
    </row>
    <row r="95" spans="1:24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51</v>
      </c>
      <c r="G95" s="31">
        <v>6</v>
      </c>
      <c r="H95" s="35"/>
      <c r="I95" s="36"/>
      <c r="J95" s="36"/>
      <c r="K95" s="5"/>
      <c r="L95" s="37"/>
      <c r="M95" s="5"/>
      <c r="N95" s="5"/>
      <c r="O95" s="6"/>
      <c r="P95" s="7">
        <f t="shared" si="8"/>
        <v>0</v>
      </c>
      <c r="Q95" s="5"/>
      <c r="R95" s="5"/>
      <c r="S95" s="5"/>
      <c r="T95" s="5">
        <f t="shared" si="9"/>
        <v>0</v>
      </c>
      <c r="U95" s="5">
        <f t="shared" si="10"/>
        <v>0</v>
      </c>
      <c r="V95" s="38">
        <f t="shared" si="11"/>
        <v>0</v>
      </c>
      <c r="W95" s="2"/>
      <c r="X95" s="2"/>
    </row>
    <row r="96" spans="1:24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51</v>
      </c>
      <c r="G96" s="31">
        <v>6</v>
      </c>
      <c r="H96" s="35"/>
      <c r="I96" s="36"/>
      <c r="J96" s="36"/>
      <c r="K96" s="5"/>
      <c r="L96" s="37"/>
      <c r="M96" s="5"/>
      <c r="N96" s="5"/>
      <c r="O96" s="6"/>
      <c r="P96" s="7">
        <f t="shared" si="8"/>
        <v>0</v>
      </c>
      <c r="Q96" s="5"/>
      <c r="R96" s="5"/>
      <c r="S96" s="5"/>
      <c r="T96" s="5">
        <f t="shared" si="9"/>
        <v>0</v>
      </c>
      <c r="U96" s="5">
        <f t="shared" si="10"/>
        <v>0</v>
      </c>
      <c r="V96" s="38">
        <f t="shared" si="11"/>
        <v>0</v>
      </c>
      <c r="W96" s="2"/>
      <c r="X96" s="2"/>
    </row>
    <row r="97" spans="1:24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51</v>
      </c>
      <c r="G97" s="31">
        <v>6</v>
      </c>
      <c r="H97" s="35"/>
      <c r="I97" s="36"/>
      <c r="J97" s="36"/>
      <c r="K97" s="5"/>
      <c r="L97" s="37"/>
      <c r="M97" s="5"/>
      <c r="N97" s="5"/>
      <c r="O97" s="6"/>
      <c r="P97" s="7">
        <f t="shared" si="8"/>
        <v>0</v>
      </c>
      <c r="Q97" s="5"/>
      <c r="R97" s="5"/>
      <c r="S97" s="5"/>
      <c r="T97" s="5">
        <f t="shared" si="9"/>
        <v>0</v>
      </c>
      <c r="U97" s="5">
        <f t="shared" si="10"/>
        <v>0</v>
      </c>
      <c r="V97" s="38">
        <f t="shared" si="11"/>
        <v>0</v>
      </c>
      <c r="W97" s="2"/>
      <c r="X97" s="2"/>
    </row>
    <row r="98" spans="1:24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51</v>
      </c>
      <c r="G98" s="31">
        <v>6</v>
      </c>
      <c r="H98" s="35"/>
      <c r="I98" s="36"/>
      <c r="J98" s="36"/>
      <c r="K98" s="5"/>
      <c r="L98" s="37"/>
      <c r="M98" s="5"/>
      <c r="N98" s="5"/>
      <c r="O98" s="6"/>
      <c r="P98" s="7">
        <f t="shared" si="8"/>
        <v>0</v>
      </c>
      <c r="Q98" s="5"/>
      <c r="R98" s="5"/>
      <c r="S98" s="5"/>
      <c r="T98" s="5">
        <f t="shared" si="9"/>
        <v>0</v>
      </c>
      <c r="U98" s="5">
        <f t="shared" si="10"/>
        <v>0</v>
      </c>
      <c r="V98" s="38">
        <f t="shared" si="11"/>
        <v>0</v>
      </c>
      <c r="W98" s="2"/>
      <c r="X98" s="2"/>
    </row>
    <row r="99" spans="1:24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51</v>
      </c>
      <c r="G99" s="31">
        <v>6</v>
      </c>
      <c r="H99" s="35"/>
      <c r="I99" s="36"/>
      <c r="J99" s="36"/>
      <c r="K99" s="5"/>
      <c r="L99" s="37"/>
      <c r="M99" s="5"/>
      <c r="N99" s="5"/>
      <c r="O99" s="6"/>
      <c r="P99" s="7">
        <f t="shared" si="8"/>
        <v>0</v>
      </c>
      <c r="Q99" s="5"/>
      <c r="R99" s="5"/>
      <c r="S99" s="5"/>
      <c r="T99" s="5">
        <f t="shared" si="9"/>
        <v>0</v>
      </c>
      <c r="U99" s="5">
        <f t="shared" si="10"/>
        <v>0</v>
      </c>
      <c r="V99" s="38">
        <f t="shared" si="11"/>
        <v>0</v>
      </c>
      <c r="W99" s="2"/>
      <c r="X99" s="2"/>
    </row>
    <row r="100" spans="1:24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51</v>
      </c>
      <c r="G100" s="31">
        <v>6</v>
      </c>
      <c r="H100" s="35"/>
      <c r="I100" s="36"/>
      <c r="J100" s="36"/>
      <c r="K100" s="5"/>
      <c r="L100" s="37"/>
      <c r="M100" s="5"/>
      <c r="N100" s="5"/>
      <c r="O100" s="6"/>
      <c r="P100" s="7">
        <f t="shared" si="8"/>
        <v>0</v>
      </c>
      <c r="Q100" s="5"/>
      <c r="R100" s="5"/>
      <c r="S100" s="5"/>
      <c r="T100" s="5">
        <f t="shared" si="9"/>
        <v>0</v>
      </c>
      <c r="U100" s="5">
        <f t="shared" si="10"/>
        <v>0</v>
      </c>
      <c r="V100" s="38">
        <f t="shared" si="11"/>
        <v>0</v>
      </c>
      <c r="W100" s="2"/>
      <c r="X100" s="2"/>
    </row>
    <row r="101" spans="1:24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51</v>
      </c>
      <c r="G101" s="31">
        <v>6</v>
      </c>
      <c r="H101" s="35"/>
      <c r="I101" s="36"/>
      <c r="J101" s="36"/>
      <c r="K101" s="5"/>
      <c r="L101" s="37"/>
      <c r="M101" s="5"/>
      <c r="N101" s="5"/>
      <c r="O101" s="6"/>
      <c r="P101" s="7">
        <f t="shared" si="8"/>
        <v>0</v>
      </c>
      <c r="Q101" s="5"/>
      <c r="R101" s="5"/>
      <c r="S101" s="5"/>
      <c r="T101" s="5">
        <f t="shared" si="9"/>
        <v>0</v>
      </c>
      <c r="U101" s="5">
        <f t="shared" si="10"/>
        <v>0</v>
      </c>
      <c r="V101" s="38">
        <f t="shared" si="11"/>
        <v>0</v>
      </c>
      <c r="W101" s="2"/>
      <c r="X101" s="2"/>
    </row>
    <row r="102" spans="1:24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51</v>
      </c>
      <c r="G102" s="31">
        <v>6</v>
      </c>
      <c r="H102" s="35"/>
      <c r="I102" s="36"/>
      <c r="J102" s="36"/>
      <c r="K102" s="5"/>
      <c r="L102" s="37"/>
      <c r="M102" s="5"/>
      <c r="N102" s="5"/>
      <c r="O102" s="6"/>
      <c r="P102" s="7">
        <f t="shared" si="8"/>
        <v>0</v>
      </c>
      <c r="Q102" s="5"/>
      <c r="R102" s="5"/>
      <c r="S102" s="5"/>
      <c r="T102" s="5">
        <f t="shared" si="9"/>
        <v>0</v>
      </c>
      <c r="U102" s="5">
        <f t="shared" si="10"/>
        <v>0</v>
      </c>
      <c r="V102" s="38">
        <f t="shared" si="11"/>
        <v>0</v>
      </c>
      <c r="W102" s="2"/>
      <c r="X102" s="2"/>
    </row>
    <row r="103" spans="1:24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51</v>
      </c>
      <c r="G103" s="31">
        <v>6</v>
      </c>
      <c r="H103" s="35"/>
      <c r="I103" s="36"/>
      <c r="J103" s="36"/>
      <c r="K103" s="5"/>
      <c r="L103" s="37"/>
      <c r="M103" s="5"/>
      <c r="N103" s="5"/>
      <c r="O103" s="6"/>
      <c r="P103" s="7">
        <f t="shared" si="8"/>
        <v>0</v>
      </c>
      <c r="Q103" s="5"/>
      <c r="R103" s="5"/>
      <c r="S103" s="5"/>
      <c r="T103" s="5">
        <f t="shared" si="9"/>
        <v>0</v>
      </c>
      <c r="U103" s="5">
        <f t="shared" si="10"/>
        <v>0</v>
      </c>
      <c r="V103" s="38">
        <f t="shared" si="11"/>
        <v>0</v>
      </c>
      <c r="W103" s="2"/>
      <c r="X103" s="2"/>
    </row>
    <row r="104" spans="1:24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51</v>
      </c>
      <c r="G104" s="31">
        <v>6</v>
      </c>
      <c r="H104" s="35"/>
      <c r="I104" s="36"/>
      <c r="J104" s="36"/>
      <c r="K104" s="5"/>
      <c r="L104" s="37"/>
      <c r="M104" s="5"/>
      <c r="N104" s="5"/>
      <c r="O104" s="6"/>
      <c r="P104" s="7">
        <f t="shared" si="8"/>
        <v>0</v>
      </c>
      <c r="Q104" s="5"/>
      <c r="R104" s="5"/>
      <c r="S104" s="5"/>
      <c r="T104" s="5">
        <f t="shared" si="9"/>
        <v>0</v>
      </c>
      <c r="U104" s="5">
        <f t="shared" si="10"/>
        <v>0</v>
      </c>
      <c r="V104" s="38">
        <f t="shared" si="11"/>
        <v>0</v>
      </c>
      <c r="W104" s="2"/>
      <c r="X104" s="2"/>
    </row>
    <row r="105" spans="1:24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51</v>
      </c>
      <c r="G105" s="31">
        <v>6</v>
      </c>
      <c r="H105" s="35"/>
      <c r="I105" s="36"/>
      <c r="J105" s="36"/>
      <c r="K105" s="5"/>
      <c r="L105" s="37"/>
      <c r="M105" s="5"/>
      <c r="N105" s="5"/>
      <c r="O105" s="6"/>
      <c r="P105" s="7">
        <f t="shared" si="8"/>
        <v>0</v>
      </c>
      <c r="Q105" s="5"/>
      <c r="R105" s="5"/>
      <c r="S105" s="5"/>
      <c r="T105" s="5">
        <f t="shared" si="9"/>
        <v>0</v>
      </c>
      <c r="U105" s="5">
        <f t="shared" si="10"/>
        <v>0</v>
      </c>
      <c r="V105" s="38">
        <f t="shared" si="11"/>
        <v>0</v>
      </c>
      <c r="W105" s="2"/>
      <c r="X105" s="2"/>
    </row>
    <row r="106" spans="1:24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51</v>
      </c>
      <c r="G106" s="31">
        <v>6</v>
      </c>
      <c r="H106" s="35"/>
      <c r="I106" s="36"/>
      <c r="J106" s="36"/>
      <c r="K106" s="5"/>
      <c r="L106" s="37"/>
      <c r="M106" s="5"/>
      <c r="N106" s="5"/>
      <c r="O106" s="6"/>
      <c r="P106" s="7">
        <f t="shared" si="8"/>
        <v>0</v>
      </c>
      <c r="Q106" s="5"/>
      <c r="R106" s="5"/>
      <c r="S106" s="5"/>
      <c r="T106" s="5">
        <f t="shared" si="9"/>
        <v>0</v>
      </c>
      <c r="U106" s="5">
        <f t="shared" si="10"/>
        <v>0</v>
      </c>
      <c r="V106" s="38">
        <f t="shared" si="11"/>
        <v>0</v>
      </c>
      <c r="W106" s="2"/>
      <c r="X106" s="2"/>
    </row>
    <row r="107" spans="1:24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51</v>
      </c>
      <c r="G107" s="31">
        <v>6</v>
      </c>
      <c r="H107" s="35"/>
      <c r="I107" s="36"/>
      <c r="J107" s="36"/>
      <c r="K107" s="5"/>
      <c r="L107" s="37"/>
      <c r="M107" s="5"/>
      <c r="N107" s="5"/>
      <c r="O107" s="6"/>
      <c r="P107" s="7">
        <f t="shared" si="8"/>
        <v>0</v>
      </c>
      <c r="Q107" s="5"/>
      <c r="R107" s="5"/>
      <c r="S107" s="5"/>
      <c r="T107" s="5">
        <f t="shared" si="9"/>
        <v>0</v>
      </c>
      <c r="U107" s="5">
        <f t="shared" si="10"/>
        <v>0</v>
      </c>
      <c r="V107" s="38">
        <f t="shared" si="11"/>
        <v>0</v>
      </c>
      <c r="W107" s="2"/>
      <c r="X107" s="2"/>
    </row>
    <row r="108" spans="1:24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51</v>
      </c>
      <c r="G108" s="31">
        <v>6</v>
      </c>
      <c r="H108" s="35"/>
      <c r="I108" s="36"/>
      <c r="J108" s="36"/>
      <c r="K108" s="5"/>
      <c r="L108" s="37"/>
      <c r="M108" s="5"/>
      <c r="N108" s="5"/>
      <c r="O108" s="6"/>
      <c r="P108" s="7">
        <f t="shared" si="8"/>
        <v>0</v>
      </c>
      <c r="Q108" s="5"/>
      <c r="R108" s="5"/>
      <c r="S108" s="5"/>
      <c r="T108" s="5">
        <f t="shared" si="9"/>
        <v>0</v>
      </c>
      <c r="U108" s="5">
        <f t="shared" si="10"/>
        <v>0</v>
      </c>
      <c r="V108" s="38">
        <f t="shared" si="11"/>
        <v>0</v>
      </c>
      <c r="W108" s="2"/>
      <c r="X108" s="2"/>
    </row>
    <row r="109" spans="1:24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51</v>
      </c>
      <c r="G109" s="31">
        <v>6</v>
      </c>
      <c r="H109" s="35"/>
      <c r="I109" s="36"/>
      <c r="J109" s="36"/>
      <c r="K109" s="5"/>
      <c r="L109" s="37"/>
      <c r="M109" s="5"/>
      <c r="N109" s="5"/>
      <c r="O109" s="6"/>
      <c r="P109" s="7">
        <f t="shared" si="8"/>
        <v>0</v>
      </c>
      <c r="Q109" s="5"/>
      <c r="R109" s="5"/>
      <c r="S109" s="5"/>
      <c r="T109" s="5">
        <f t="shared" si="9"/>
        <v>0</v>
      </c>
      <c r="U109" s="5">
        <f t="shared" si="10"/>
        <v>0</v>
      </c>
      <c r="V109" s="38">
        <f t="shared" si="11"/>
        <v>0</v>
      </c>
      <c r="W109" s="2"/>
      <c r="X109" s="2"/>
    </row>
    <row r="110" spans="1:24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51</v>
      </c>
      <c r="G110" s="31">
        <v>6</v>
      </c>
      <c r="H110" s="35"/>
      <c r="I110" s="36"/>
      <c r="J110" s="36"/>
      <c r="K110" s="5"/>
      <c r="L110" s="37"/>
      <c r="M110" s="5"/>
      <c r="N110" s="5"/>
      <c r="O110" s="6"/>
      <c r="P110" s="7">
        <f t="shared" si="8"/>
        <v>0</v>
      </c>
      <c r="Q110" s="5"/>
      <c r="R110" s="5"/>
      <c r="S110" s="5"/>
      <c r="T110" s="5">
        <f t="shared" si="9"/>
        <v>0</v>
      </c>
      <c r="U110" s="5">
        <f t="shared" si="10"/>
        <v>0</v>
      </c>
      <c r="V110" s="38">
        <f t="shared" si="11"/>
        <v>0</v>
      </c>
      <c r="W110" s="2"/>
      <c r="X110" s="2"/>
    </row>
    <row r="111" spans="1:24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51</v>
      </c>
      <c r="G111" s="31">
        <v>6</v>
      </c>
      <c r="H111" s="35"/>
      <c r="I111" s="36"/>
      <c r="J111" s="36"/>
      <c r="K111" s="5"/>
      <c r="L111" s="37"/>
      <c r="M111" s="5"/>
      <c r="N111" s="5"/>
      <c r="O111" s="6"/>
      <c r="P111" s="7">
        <f t="shared" si="8"/>
        <v>0</v>
      </c>
      <c r="Q111" s="5"/>
      <c r="R111" s="5"/>
      <c r="S111" s="5"/>
      <c r="T111" s="5">
        <f t="shared" si="9"/>
        <v>0</v>
      </c>
      <c r="U111" s="5">
        <f t="shared" si="10"/>
        <v>0</v>
      </c>
      <c r="V111" s="38">
        <f t="shared" si="11"/>
        <v>0</v>
      </c>
      <c r="W111" s="2"/>
      <c r="X111" s="2"/>
    </row>
    <row r="112" spans="1:24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51</v>
      </c>
      <c r="G112" s="31">
        <v>6</v>
      </c>
      <c r="H112" s="35"/>
      <c r="I112" s="36"/>
      <c r="J112" s="36"/>
      <c r="K112" s="5"/>
      <c r="L112" s="37"/>
      <c r="M112" s="5"/>
      <c r="N112" s="5"/>
      <c r="O112" s="6"/>
      <c r="P112" s="7">
        <f t="shared" si="8"/>
        <v>0</v>
      </c>
      <c r="Q112" s="5"/>
      <c r="R112" s="5"/>
      <c r="S112" s="5"/>
      <c r="T112" s="5">
        <f t="shared" si="9"/>
        <v>0</v>
      </c>
      <c r="U112" s="5">
        <f t="shared" si="10"/>
        <v>0</v>
      </c>
      <c r="V112" s="38">
        <f t="shared" si="11"/>
        <v>0</v>
      </c>
      <c r="W112" s="2"/>
      <c r="X112" s="2"/>
    </row>
    <row r="113" spans="1:24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51</v>
      </c>
      <c r="G113" s="31">
        <v>6</v>
      </c>
      <c r="H113" s="35"/>
      <c r="I113" s="36"/>
      <c r="J113" s="36"/>
      <c r="K113" s="5"/>
      <c r="L113" s="37"/>
      <c r="M113" s="5"/>
      <c r="N113" s="5"/>
      <c r="O113" s="6"/>
      <c r="P113" s="7">
        <f t="shared" si="8"/>
        <v>0</v>
      </c>
      <c r="Q113" s="5"/>
      <c r="R113" s="5"/>
      <c r="S113" s="5"/>
      <c r="T113" s="5">
        <f t="shared" si="9"/>
        <v>0</v>
      </c>
      <c r="U113" s="5">
        <f t="shared" si="10"/>
        <v>0</v>
      </c>
      <c r="V113" s="38">
        <f t="shared" si="11"/>
        <v>0</v>
      </c>
      <c r="W113" s="2"/>
      <c r="X113" s="2"/>
    </row>
    <row r="114" spans="1:24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51</v>
      </c>
      <c r="G114" s="31">
        <v>6</v>
      </c>
      <c r="H114" s="35"/>
      <c r="I114" s="36"/>
      <c r="J114" s="36"/>
      <c r="K114" s="5"/>
      <c r="L114" s="37"/>
      <c r="M114" s="5"/>
      <c r="N114" s="5"/>
      <c r="O114" s="6"/>
      <c r="P114" s="7">
        <f t="shared" si="8"/>
        <v>0</v>
      </c>
      <c r="Q114" s="5"/>
      <c r="R114" s="5"/>
      <c r="S114" s="5"/>
      <c r="T114" s="5">
        <f t="shared" si="9"/>
        <v>0</v>
      </c>
      <c r="U114" s="5">
        <f t="shared" si="10"/>
        <v>0</v>
      </c>
      <c r="V114" s="38">
        <f t="shared" si="11"/>
        <v>0</v>
      </c>
      <c r="W114" s="2"/>
      <c r="X114" s="2"/>
    </row>
    <row r="115" spans="1:24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51</v>
      </c>
      <c r="G115" s="31">
        <v>6</v>
      </c>
      <c r="H115" s="35"/>
      <c r="I115" s="36"/>
      <c r="J115" s="36"/>
      <c r="K115" s="5"/>
      <c r="L115" s="37"/>
      <c r="M115" s="5"/>
      <c r="N115" s="5"/>
      <c r="O115" s="6"/>
      <c r="P115" s="7">
        <f t="shared" si="8"/>
        <v>0</v>
      </c>
      <c r="Q115" s="5"/>
      <c r="R115" s="5"/>
      <c r="S115" s="5"/>
      <c r="T115" s="5">
        <f t="shared" si="9"/>
        <v>0</v>
      </c>
      <c r="U115" s="5">
        <f t="shared" si="10"/>
        <v>0</v>
      </c>
      <c r="V115" s="38">
        <f t="shared" si="11"/>
        <v>0</v>
      </c>
      <c r="W115" s="2"/>
      <c r="X115" s="2"/>
    </row>
    <row r="116" spans="1:24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51</v>
      </c>
      <c r="G116" s="31">
        <v>6</v>
      </c>
      <c r="H116" s="35"/>
      <c r="I116" s="36"/>
      <c r="J116" s="36"/>
      <c r="K116" s="5"/>
      <c r="L116" s="37"/>
      <c r="M116" s="5"/>
      <c r="N116" s="5"/>
      <c r="O116" s="6"/>
      <c r="P116" s="7">
        <f t="shared" si="8"/>
        <v>0</v>
      </c>
      <c r="Q116" s="5"/>
      <c r="R116" s="5"/>
      <c r="S116" s="5"/>
      <c r="T116" s="5">
        <f t="shared" si="9"/>
        <v>0</v>
      </c>
      <c r="U116" s="5">
        <f t="shared" si="10"/>
        <v>0</v>
      </c>
      <c r="V116" s="38">
        <f t="shared" si="11"/>
        <v>0</v>
      </c>
      <c r="W116" s="2"/>
      <c r="X116" s="2"/>
    </row>
    <row r="117" spans="1:24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51</v>
      </c>
      <c r="G117" s="31">
        <v>6</v>
      </c>
      <c r="H117" s="35"/>
      <c r="I117" s="36"/>
      <c r="J117" s="36"/>
      <c r="K117" s="5"/>
      <c r="L117" s="37"/>
      <c r="M117" s="5"/>
      <c r="N117" s="5"/>
      <c r="O117" s="6"/>
      <c r="P117" s="7">
        <f t="shared" si="8"/>
        <v>0</v>
      </c>
      <c r="Q117" s="5"/>
      <c r="R117" s="5"/>
      <c r="S117" s="5"/>
      <c r="T117" s="5">
        <f t="shared" si="9"/>
        <v>0</v>
      </c>
      <c r="U117" s="5">
        <f t="shared" si="10"/>
        <v>0</v>
      </c>
      <c r="V117" s="38">
        <f t="shared" si="11"/>
        <v>0</v>
      </c>
      <c r="W117" s="2"/>
      <c r="X117" s="2"/>
    </row>
    <row r="118" spans="1:24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51</v>
      </c>
      <c r="G118" s="31">
        <v>6</v>
      </c>
      <c r="H118" s="35"/>
      <c r="I118" s="36"/>
      <c r="J118" s="36"/>
      <c r="K118" s="5"/>
      <c r="L118" s="37"/>
      <c r="M118" s="5"/>
      <c r="N118" s="5"/>
      <c r="O118" s="6"/>
      <c r="P118" s="7">
        <f t="shared" si="8"/>
        <v>0</v>
      </c>
      <c r="Q118" s="5"/>
      <c r="R118" s="5"/>
      <c r="S118" s="5"/>
      <c r="T118" s="5">
        <f t="shared" si="9"/>
        <v>0</v>
      </c>
      <c r="U118" s="5">
        <f t="shared" si="10"/>
        <v>0</v>
      </c>
      <c r="V118" s="38">
        <f t="shared" si="11"/>
        <v>0</v>
      </c>
      <c r="W118" s="2"/>
      <c r="X118" s="2"/>
    </row>
    <row r="119" spans="1:24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51</v>
      </c>
      <c r="G119" s="31">
        <v>6</v>
      </c>
      <c r="H119" s="35"/>
      <c r="I119" s="36"/>
      <c r="J119" s="36"/>
      <c r="K119" s="5"/>
      <c r="L119" s="37"/>
      <c r="M119" s="5"/>
      <c r="N119" s="5"/>
      <c r="O119" s="6"/>
      <c r="P119" s="7">
        <f t="shared" si="8"/>
        <v>0</v>
      </c>
      <c r="Q119" s="5"/>
      <c r="R119" s="5"/>
      <c r="S119" s="5"/>
      <c r="T119" s="5">
        <f t="shared" si="9"/>
        <v>0</v>
      </c>
      <c r="U119" s="5">
        <f t="shared" si="10"/>
        <v>0</v>
      </c>
      <c r="V119" s="38">
        <f t="shared" si="11"/>
        <v>0</v>
      </c>
      <c r="W119" s="2"/>
      <c r="X119" s="2"/>
    </row>
    <row r="120" spans="1:24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51</v>
      </c>
      <c r="G120" s="31">
        <v>6</v>
      </c>
      <c r="H120" s="35"/>
      <c r="I120" s="36"/>
      <c r="J120" s="36"/>
      <c r="K120" s="5"/>
      <c r="L120" s="37"/>
      <c r="M120" s="5"/>
      <c r="N120" s="5"/>
      <c r="O120" s="6"/>
      <c r="P120" s="7">
        <f t="shared" si="8"/>
        <v>0</v>
      </c>
      <c r="Q120" s="5"/>
      <c r="R120" s="5"/>
      <c r="S120" s="5"/>
      <c r="T120" s="5">
        <f t="shared" si="9"/>
        <v>0</v>
      </c>
      <c r="U120" s="5">
        <f t="shared" si="10"/>
        <v>0</v>
      </c>
      <c r="V120" s="38">
        <f t="shared" si="11"/>
        <v>0</v>
      </c>
      <c r="W120" s="2"/>
      <c r="X120" s="2"/>
    </row>
    <row r="121" spans="1:24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51</v>
      </c>
      <c r="G121" s="31">
        <v>6</v>
      </c>
      <c r="H121" s="35"/>
      <c r="I121" s="36"/>
      <c r="J121" s="36"/>
      <c r="K121" s="5"/>
      <c r="L121" s="37"/>
      <c r="M121" s="5"/>
      <c r="N121" s="5"/>
      <c r="O121" s="6"/>
      <c r="P121" s="7">
        <f t="shared" si="8"/>
        <v>0</v>
      </c>
      <c r="Q121" s="5"/>
      <c r="R121" s="5"/>
      <c r="S121" s="5"/>
      <c r="T121" s="5">
        <f t="shared" si="9"/>
        <v>0</v>
      </c>
      <c r="U121" s="5">
        <f t="shared" si="10"/>
        <v>0</v>
      </c>
      <c r="V121" s="38">
        <f t="shared" si="11"/>
        <v>0</v>
      </c>
      <c r="W121" s="2"/>
      <c r="X121" s="2"/>
    </row>
    <row r="122" spans="1:24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51</v>
      </c>
      <c r="G122" s="31">
        <v>6</v>
      </c>
      <c r="H122" s="35"/>
      <c r="I122" s="36"/>
      <c r="J122" s="36"/>
      <c r="K122" s="5"/>
      <c r="L122" s="37"/>
      <c r="M122" s="5"/>
      <c r="N122" s="5"/>
      <c r="O122" s="6"/>
      <c r="P122" s="7">
        <f t="shared" si="8"/>
        <v>0</v>
      </c>
      <c r="Q122" s="5"/>
      <c r="R122" s="5"/>
      <c r="S122" s="5"/>
      <c r="T122" s="5">
        <f t="shared" si="9"/>
        <v>0</v>
      </c>
      <c r="U122" s="5">
        <f t="shared" si="10"/>
        <v>0</v>
      </c>
      <c r="V122" s="38">
        <f t="shared" si="11"/>
        <v>0</v>
      </c>
      <c r="W122" s="2"/>
      <c r="X122" s="2"/>
    </row>
    <row r="123" spans="1:24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51</v>
      </c>
      <c r="G123" s="31">
        <v>6</v>
      </c>
      <c r="H123" s="35"/>
      <c r="I123" s="36"/>
      <c r="J123" s="36"/>
      <c r="K123" s="5"/>
      <c r="L123" s="37"/>
      <c r="M123" s="5"/>
      <c r="N123" s="5"/>
      <c r="O123" s="6"/>
      <c r="P123" s="7">
        <f t="shared" si="8"/>
        <v>0</v>
      </c>
      <c r="Q123" s="5"/>
      <c r="R123" s="5"/>
      <c r="S123" s="5"/>
      <c r="T123" s="5">
        <f t="shared" si="9"/>
        <v>0</v>
      </c>
      <c r="U123" s="5">
        <f t="shared" si="10"/>
        <v>0</v>
      </c>
      <c r="V123" s="38">
        <f t="shared" si="11"/>
        <v>0</v>
      </c>
      <c r="W123" s="2"/>
      <c r="X123" s="2"/>
    </row>
    <row r="124" spans="1:24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51</v>
      </c>
      <c r="G124" s="31">
        <v>6</v>
      </c>
      <c r="H124" s="35"/>
      <c r="I124" s="36"/>
      <c r="J124" s="36"/>
      <c r="K124" s="5"/>
      <c r="L124" s="37"/>
      <c r="M124" s="5"/>
      <c r="N124" s="5"/>
      <c r="O124" s="6"/>
      <c r="P124" s="7">
        <f t="shared" si="8"/>
        <v>0</v>
      </c>
      <c r="Q124" s="5"/>
      <c r="R124" s="5"/>
      <c r="S124" s="5"/>
      <c r="T124" s="5">
        <f t="shared" si="9"/>
        <v>0</v>
      </c>
      <c r="U124" s="5">
        <f t="shared" si="10"/>
        <v>0</v>
      </c>
      <c r="V124" s="38">
        <f t="shared" si="11"/>
        <v>0</v>
      </c>
      <c r="W124" s="2"/>
      <c r="X124" s="2"/>
    </row>
    <row r="125" spans="1:24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51</v>
      </c>
      <c r="G125" s="31">
        <v>6</v>
      </c>
      <c r="H125" s="35"/>
      <c r="I125" s="36"/>
      <c r="J125" s="36"/>
      <c r="K125" s="5"/>
      <c r="L125" s="37"/>
      <c r="M125" s="5"/>
      <c r="N125" s="5"/>
      <c r="O125" s="6"/>
      <c r="P125" s="7">
        <f t="shared" si="8"/>
        <v>0</v>
      </c>
      <c r="Q125" s="5"/>
      <c r="R125" s="5"/>
      <c r="S125" s="5"/>
      <c r="T125" s="5">
        <f t="shared" si="9"/>
        <v>0</v>
      </c>
      <c r="U125" s="5">
        <f t="shared" si="10"/>
        <v>0</v>
      </c>
      <c r="V125" s="38">
        <f t="shared" si="11"/>
        <v>0</v>
      </c>
      <c r="W125" s="2"/>
      <c r="X125" s="2"/>
    </row>
    <row r="126" spans="1:24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51</v>
      </c>
      <c r="G126" s="31">
        <v>6</v>
      </c>
      <c r="H126" s="35"/>
      <c r="I126" s="36"/>
      <c r="J126" s="36"/>
      <c r="K126" s="5"/>
      <c r="L126" s="37"/>
      <c r="M126" s="5"/>
      <c r="N126" s="5"/>
      <c r="O126" s="6"/>
      <c r="P126" s="7">
        <f t="shared" si="8"/>
        <v>0</v>
      </c>
      <c r="Q126" s="5"/>
      <c r="R126" s="5"/>
      <c r="S126" s="5"/>
      <c r="T126" s="5">
        <f t="shared" si="9"/>
        <v>0</v>
      </c>
      <c r="U126" s="5">
        <f t="shared" si="10"/>
        <v>0</v>
      </c>
      <c r="V126" s="38">
        <f t="shared" si="11"/>
        <v>0</v>
      </c>
      <c r="W126" s="2"/>
      <c r="X126" s="2"/>
    </row>
    <row r="127" spans="1:24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51</v>
      </c>
      <c r="G127" s="31">
        <v>6</v>
      </c>
      <c r="H127" s="35"/>
      <c r="I127" s="36"/>
      <c r="J127" s="36"/>
      <c r="K127" s="5"/>
      <c r="L127" s="37"/>
      <c r="M127" s="5"/>
      <c r="N127" s="5"/>
      <c r="O127" s="6"/>
      <c r="P127" s="7">
        <f t="shared" si="8"/>
        <v>0</v>
      </c>
      <c r="Q127" s="5"/>
      <c r="R127" s="5"/>
      <c r="S127" s="5"/>
      <c r="T127" s="5">
        <f t="shared" si="9"/>
        <v>0</v>
      </c>
      <c r="U127" s="5">
        <f t="shared" si="10"/>
        <v>0</v>
      </c>
      <c r="V127" s="38">
        <f t="shared" si="11"/>
        <v>0</v>
      </c>
      <c r="W127" s="2"/>
      <c r="X127" s="2"/>
    </row>
    <row r="128" spans="1:24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51</v>
      </c>
      <c r="G128" s="31">
        <v>6</v>
      </c>
      <c r="H128" s="35"/>
      <c r="I128" s="36"/>
      <c r="J128" s="36"/>
      <c r="K128" s="5"/>
      <c r="L128" s="37"/>
      <c r="M128" s="5"/>
      <c r="N128" s="5"/>
      <c r="O128" s="6"/>
      <c r="P128" s="7">
        <f t="shared" si="8"/>
        <v>0</v>
      </c>
      <c r="Q128" s="5"/>
      <c r="R128" s="5"/>
      <c r="S128" s="5"/>
      <c r="T128" s="5">
        <f t="shared" si="9"/>
        <v>0</v>
      </c>
      <c r="U128" s="5">
        <f t="shared" si="10"/>
        <v>0</v>
      </c>
      <c r="V128" s="38">
        <f t="shared" si="11"/>
        <v>0</v>
      </c>
      <c r="W128" s="2"/>
      <c r="X128" s="2"/>
    </row>
    <row r="129" spans="1:24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51</v>
      </c>
      <c r="G129" s="31">
        <v>6</v>
      </c>
      <c r="H129" s="35"/>
      <c r="I129" s="36"/>
      <c r="J129" s="36"/>
      <c r="K129" s="5"/>
      <c r="L129" s="37"/>
      <c r="M129" s="5"/>
      <c r="N129" s="5"/>
      <c r="O129" s="6"/>
      <c r="P129" s="7">
        <f t="shared" si="8"/>
        <v>0</v>
      </c>
      <c r="Q129" s="5"/>
      <c r="R129" s="5"/>
      <c r="S129" s="5"/>
      <c r="T129" s="5">
        <f t="shared" si="9"/>
        <v>0</v>
      </c>
      <c r="U129" s="5">
        <f t="shared" si="10"/>
        <v>0</v>
      </c>
      <c r="V129" s="38">
        <f t="shared" si="11"/>
        <v>0</v>
      </c>
      <c r="W129" s="2"/>
      <c r="X129" s="2"/>
    </row>
    <row r="130" spans="1:24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51</v>
      </c>
      <c r="G130" s="31">
        <v>6</v>
      </c>
      <c r="H130" s="35"/>
      <c r="I130" s="36"/>
      <c r="J130" s="36"/>
      <c r="K130" s="5"/>
      <c r="L130" s="37"/>
      <c r="M130" s="5"/>
      <c r="N130" s="5"/>
      <c r="O130" s="6"/>
      <c r="P130" s="7">
        <f t="shared" si="8"/>
        <v>0</v>
      </c>
      <c r="Q130" s="5"/>
      <c r="R130" s="5"/>
      <c r="S130" s="5"/>
      <c r="T130" s="5">
        <f t="shared" si="9"/>
        <v>0</v>
      </c>
      <c r="U130" s="5">
        <f t="shared" si="10"/>
        <v>0</v>
      </c>
      <c r="V130" s="38">
        <f t="shared" si="11"/>
        <v>0</v>
      </c>
      <c r="W130" s="2"/>
      <c r="X130" s="2"/>
    </row>
    <row r="131" spans="1:24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51</v>
      </c>
      <c r="G131" s="31">
        <v>6</v>
      </c>
      <c r="H131" s="35"/>
      <c r="I131" s="36"/>
      <c r="J131" s="36"/>
      <c r="K131" s="5"/>
      <c r="L131" s="37"/>
      <c r="M131" s="5"/>
      <c r="N131" s="5"/>
      <c r="O131" s="6"/>
      <c r="P131" s="7">
        <f t="shared" si="8"/>
        <v>0</v>
      </c>
      <c r="Q131" s="5"/>
      <c r="R131" s="5"/>
      <c r="S131" s="5"/>
      <c r="T131" s="5">
        <f t="shared" si="9"/>
        <v>0</v>
      </c>
      <c r="U131" s="5">
        <f t="shared" si="10"/>
        <v>0</v>
      </c>
      <c r="V131" s="38">
        <f t="shared" si="11"/>
        <v>0</v>
      </c>
      <c r="W131" s="2"/>
      <c r="X131" s="2"/>
    </row>
    <row r="132" spans="1:24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51</v>
      </c>
      <c r="G132" s="31">
        <v>6</v>
      </c>
      <c r="H132" s="35"/>
      <c r="I132" s="36"/>
      <c r="J132" s="36"/>
      <c r="K132" s="5"/>
      <c r="L132" s="37"/>
      <c r="M132" s="5"/>
      <c r="N132" s="5"/>
      <c r="O132" s="6"/>
      <c r="P132" s="7">
        <f t="shared" si="8"/>
        <v>0</v>
      </c>
      <c r="Q132" s="5"/>
      <c r="R132" s="5"/>
      <c r="S132" s="5"/>
      <c r="T132" s="5">
        <f t="shared" si="9"/>
        <v>0</v>
      </c>
      <c r="U132" s="5">
        <f t="shared" si="10"/>
        <v>0</v>
      </c>
      <c r="V132" s="38">
        <f t="shared" si="11"/>
        <v>0</v>
      </c>
      <c r="W132" s="2"/>
      <c r="X132" s="2"/>
    </row>
    <row r="133" spans="1:24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51</v>
      </c>
      <c r="G133" s="31">
        <v>6</v>
      </c>
      <c r="H133" s="35"/>
      <c r="I133" s="36"/>
      <c r="J133" s="36"/>
      <c r="K133" s="5"/>
      <c r="L133" s="37"/>
      <c r="M133" s="5"/>
      <c r="N133" s="5"/>
      <c r="O133" s="6"/>
      <c r="P133" s="7">
        <f t="shared" ref="P133:P150" si="12">M133+(0.05*N133)+(O133/240)</f>
        <v>0</v>
      </c>
      <c r="Q133" s="5"/>
      <c r="R133" s="5"/>
      <c r="S133" s="5"/>
      <c r="T133" s="5">
        <f t="shared" ref="T133:T150" si="13">Q133+(R133*0.05)+(S133/240)</f>
        <v>0</v>
      </c>
      <c r="U133" s="5">
        <f t="shared" ref="U133:U150" si="14">K133*P133</f>
        <v>0</v>
      </c>
      <c r="V133" s="38">
        <f t="shared" si="11"/>
        <v>0</v>
      </c>
      <c r="W133" s="2"/>
      <c r="X133" s="2"/>
    </row>
    <row r="134" spans="1:24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51</v>
      </c>
      <c r="G134" s="31">
        <v>6</v>
      </c>
      <c r="H134" s="35"/>
      <c r="I134" s="36"/>
      <c r="J134" s="36"/>
      <c r="K134" s="5"/>
      <c r="L134" s="37"/>
      <c r="M134" s="5"/>
      <c r="N134" s="5"/>
      <c r="O134" s="6"/>
      <c r="P134" s="7">
        <f t="shared" si="12"/>
        <v>0</v>
      </c>
      <c r="Q134" s="5"/>
      <c r="R134" s="5"/>
      <c r="S134" s="5"/>
      <c r="T134" s="5">
        <f t="shared" si="13"/>
        <v>0</v>
      </c>
      <c r="U134" s="5">
        <f t="shared" si="14"/>
        <v>0</v>
      </c>
      <c r="V134" s="38">
        <f t="shared" ref="V134:V150" si="15">T134-U134</f>
        <v>0</v>
      </c>
      <c r="W134" s="2"/>
      <c r="X134" s="2"/>
    </row>
    <row r="135" spans="1:24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51</v>
      </c>
      <c r="G135" s="31">
        <v>6</v>
      </c>
      <c r="H135" s="35"/>
      <c r="I135" s="36"/>
      <c r="J135" s="36"/>
      <c r="K135" s="5"/>
      <c r="L135" s="37"/>
      <c r="M135" s="5"/>
      <c r="N135" s="5"/>
      <c r="O135" s="6"/>
      <c r="P135" s="7">
        <f t="shared" si="12"/>
        <v>0</v>
      </c>
      <c r="Q135" s="5"/>
      <c r="R135" s="5"/>
      <c r="S135" s="5"/>
      <c r="T135" s="5">
        <f t="shared" si="13"/>
        <v>0</v>
      </c>
      <c r="U135" s="5">
        <f t="shared" si="14"/>
        <v>0</v>
      </c>
      <c r="V135" s="38">
        <f t="shared" si="15"/>
        <v>0</v>
      </c>
      <c r="W135" s="2"/>
      <c r="X135" s="2"/>
    </row>
    <row r="136" spans="1:24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51</v>
      </c>
      <c r="G136" s="31">
        <v>6</v>
      </c>
      <c r="H136" s="35"/>
      <c r="I136" s="36"/>
      <c r="J136" s="36"/>
      <c r="K136" s="5"/>
      <c r="L136" s="37"/>
      <c r="M136" s="5"/>
      <c r="N136" s="5"/>
      <c r="O136" s="6"/>
      <c r="P136" s="7">
        <f t="shared" si="12"/>
        <v>0</v>
      </c>
      <c r="Q136" s="5"/>
      <c r="R136" s="5"/>
      <c r="S136" s="5"/>
      <c r="T136" s="5">
        <f t="shared" si="13"/>
        <v>0</v>
      </c>
      <c r="U136" s="5">
        <f t="shared" si="14"/>
        <v>0</v>
      </c>
      <c r="V136" s="38">
        <f t="shared" si="15"/>
        <v>0</v>
      </c>
      <c r="W136" s="2"/>
      <c r="X136" s="2"/>
    </row>
    <row r="137" spans="1:24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51</v>
      </c>
      <c r="G137" s="31">
        <v>6</v>
      </c>
      <c r="H137" s="35"/>
      <c r="I137" s="36"/>
      <c r="J137" s="36"/>
      <c r="K137" s="5"/>
      <c r="L137" s="37"/>
      <c r="M137" s="5"/>
      <c r="N137" s="5"/>
      <c r="O137" s="6"/>
      <c r="P137" s="7">
        <f t="shared" si="12"/>
        <v>0</v>
      </c>
      <c r="Q137" s="5"/>
      <c r="R137" s="5"/>
      <c r="S137" s="5"/>
      <c r="T137" s="5">
        <f t="shared" si="13"/>
        <v>0</v>
      </c>
      <c r="U137" s="5">
        <f t="shared" si="14"/>
        <v>0</v>
      </c>
      <c r="V137" s="38">
        <f t="shared" si="15"/>
        <v>0</v>
      </c>
      <c r="W137" s="2"/>
      <c r="X137" s="2"/>
    </row>
    <row r="138" spans="1:24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51</v>
      </c>
      <c r="G138" s="31">
        <v>6</v>
      </c>
      <c r="H138" s="35"/>
      <c r="I138" s="36"/>
      <c r="J138" s="36"/>
      <c r="K138" s="5"/>
      <c r="L138" s="37"/>
      <c r="M138" s="5"/>
      <c r="N138" s="5"/>
      <c r="O138" s="6"/>
      <c r="P138" s="7">
        <f t="shared" si="12"/>
        <v>0</v>
      </c>
      <c r="Q138" s="5"/>
      <c r="R138" s="5"/>
      <c r="S138" s="5"/>
      <c r="T138" s="5">
        <f t="shared" si="13"/>
        <v>0</v>
      </c>
      <c r="U138" s="5">
        <f t="shared" si="14"/>
        <v>0</v>
      </c>
      <c r="V138" s="38">
        <f t="shared" si="15"/>
        <v>0</v>
      </c>
      <c r="W138" s="2"/>
      <c r="X138" s="2"/>
    </row>
    <row r="139" spans="1:24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51</v>
      </c>
      <c r="G139" s="31">
        <v>6</v>
      </c>
      <c r="H139" s="35"/>
      <c r="I139" s="36"/>
      <c r="J139" s="36"/>
      <c r="K139" s="5"/>
      <c r="L139" s="37"/>
      <c r="M139" s="5"/>
      <c r="N139" s="5"/>
      <c r="O139" s="6"/>
      <c r="P139" s="7">
        <f t="shared" si="12"/>
        <v>0</v>
      </c>
      <c r="Q139" s="5"/>
      <c r="R139" s="5"/>
      <c r="S139" s="5"/>
      <c r="T139" s="5">
        <f t="shared" si="13"/>
        <v>0</v>
      </c>
      <c r="U139" s="5">
        <f t="shared" si="14"/>
        <v>0</v>
      </c>
      <c r="V139" s="38">
        <f t="shared" si="15"/>
        <v>0</v>
      </c>
      <c r="W139" s="2"/>
      <c r="X139" s="2"/>
    </row>
    <row r="140" spans="1:24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51</v>
      </c>
      <c r="G140" s="31">
        <v>6</v>
      </c>
      <c r="H140" s="35"/>
      <c r="I140" s="36"/>
      <c r="J140" s="36"/>
      <c r="K140" s="5"/>
      <c r="L140" s="37"/>
      <c r="M140" s="5"/>
      <c r="N140" s="5"/>
      <c r="O140" s="6"/>
      <c r="P140" s="7">
        <f t="shared" si="12"/>
        <v>0</v>
      </c>
      <c r="Q140" s="5"/>
      <c r="R140" s="5"/>
      <c r="S140" s="5"/>
      <c r="T140" s="5">
        <f t="shared" si="13"/>
        <v>0</v>
      </c>
      <c r="U140" s="5">
        <f t="shared" si="14"/>
        <v>0</v>
      </c>
      <c r="V140" s="38">
        <f t="shared" si="15"/>
        <v>0</v>
      </c>
      <c r="W140" s="2"/>
      <c r="X140" s="2"/>
    </row>
    <row r="141" spans="1:24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51</v>
      </c>
      <c r="G141" s="31">
        <v>6</v>
      </c>
      <c r="H141" s="35"/>
      <c r="I141" s="36"/>
      <c r="J141" s="36"/>
      <c r="K141" s="5"/>
      <c r="L141" s="37"/>
      <c r="M141" s="5"/>
      <c r="N141" s="5"/>
      <c r="O141" s="6"/>
      <c r="P141" s="7">
        <f t="shared" si="12"/>
        <v>0</v>
      </c>
      <c r="Q141" s="5"/>
      <c r="R141" s="5"/>
      <c r="S141" s="5"/>
      <c r="T141" s="5">
        <f t="shared" si="13"/>
        <v>0</v>
      </c>
      <c r="U141" s="5">
        <f t="shared" si="14"/>
        <v>0</v>
      </c>
      <c r="V141" s="38">
        <f t="shared" si="15"/>
        <v>0</v>
      </c>
      <c r="W141" s="2"/>
      <c r="X141" s="2"/>
    </row>
    <row r="142" spans="1:24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51</v>
      </c>
      <c r="G142" s="31">
        <v>6</v>
      </c>
      <c r="H142" s="35"/>
      <c r="I142" s="36"/>
      <c r="J142" s="36"/>
      <c r="K142" s="5"/>
      <c r="L142" s="37"/>
      <c r="M142" s="5"/>
      <c r="N142" s="5"/>
      <c r="O142" s="6"/>
      <c r="P142" s="7">
        <f t="shared" si="12"/>
        <v>0</v>
      </c>
      <c r="Q142" s="5"/>
      <c r="R142" s="5"/>
      <c r="S142" s="5"/>
      <c r="T142" s="5">
        <f t="shared" si="13"/>
        <v>0</v>
      </c>
      <c r="U142" s="5">
        <f t="shared" si="14"/>
        <v>0</v>
      </c>
      <c r="V142" s="38">
        <f t="shared" si="15"/>
        <v>0</v>
      </c>
      <c r="W142" s="2"/>
      <c r="X142" s="2"/>
    </row>
    <row r="143" spans="1:24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51</v>
      </c>
      <c r="G143" s="31">
        <v>6</v>
      </c>
      <c r="H143" s="35"/>
      <c r="I143" s="36"/>
      <c r="J143" s="36"/>
      <c r="K143" s="5"/>
      <c r="L143" s="37"/>
      <c r="M143" s="5"/>
      <c r="N143" s="5"/>
      <c r="O143" s="6"/>
      <c r="P143" s="7">
        <f t="shared" si="12"/>
        <v>0</v>
      </c>
      <c r="Q143" s="5"/>
      <c r="R143" s="5"/>
      <c r="S143" s="5"/>
      <c r="T143" s="5">
        <f t="shared" si="13"/>
        <v>0</v>
      </c>
      <c r="U143" s="5">
        <f t="shared" si="14"/>
        <v>0</v>
      </c>
      <c r="V143" s="38">
        <f t="shared" si="15"/>
        <v>0</v>
      </c>
      <c r="W143" s="2"/>
      <c r="X143" s="2"/>
    </row>
    <row r="144" spans="1:24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51</v>
      </c>
      <c r="G144" s="31">
        <v>6</v>
      </c>
      <c r="H144" s="35"/>
      <c r="I144" s="36"/>
      <c r="J144" s="36"/>
      <c r="K144" s="5"/>
      <c r="L144" s="37"/>
      <c r="M144" s="5"/>
      <c r="N144" s="5"/>
      <c r="O144" s="6"/>
      <c r="P144" s="7">
        <f t="shared" si="12"/>
        <v>0</v>
      </c>
      <c r="Q144" s="5"/>
      <c r="R144" s="5"/>
      <c r="S144" s="5"/>
      <c r="T144" s="5">
        <f t="shared" si="13"/>
        <v>0</v>
      </c>
      <c r="U144" s="5">
        <f t="shared" si="14"/>
        <v>0</v>
      </c>
      <c r="V144" s="38">
        <f t="shared" si="15"/>
        <v>0</v>
      </c>
      <c r="W144" s="2"/>
      <c r="X144" s="2"/>
    </row>
    <row r="145" spans="1:24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51</v>
      </c>
      <c r="G145" s="31">
        <v>6</v>
      </c>
      <c r="H145" s="35"/>
      <c r="I145" s="36"/>
      <c r="J145" s="36"/>
      <c r="K145" s="5"/>
      <c r="L145" s="37"/>
      <c r="M145" s="5"/>
      <c r="N145" s="5"/>
      <c r="O145" s="6"/>
      <c r="P145" s="7">
        <f t="shared" si="12"/>
        <v>0</v>
      </c>
      <c r="Q145" s="5"/>
      <c r="R145" s="5"/>
      <c r="S145" s="5"/>
      <c r="T145" s="5">
        <f t="shared" si="13"/>
        <v>0</v>
      </c>
      <c r="U145" s="5">
        <f t="shared" si="14"/>
        <v>0</v>
      </c>
      <c r="V145" s="38">
        <f t="shared" si="15"/>
        <v>0</v>
      </c>
      <c r="W145" s="2"/>
      <c r="X145" s="2"/>
    </row>
    <row r="146" spans="1:24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51</v>
      </c>
      <c r="G146" s="31">
        <v>6</v>
      </c>
      <c r="H146" s="35"/>
      <c r="I146" s="36"/>
      <c r="J146" s="36"/>
      <c r="K146" s="5"/>
      <c r="L146" s="37"/>
      <c r="M146" s="5"/>
      <c r="N146" s="5"/>
      <c r="O146" s="6"/>
      <c r="P146" s="7">
        <f t="shared" si="12"/>
        <v>0</v>
      </c>
      <c r="Q146" s="5"/>
      <c r="R146" s="5"/>
      <c r="S146" s="5"/>
      <c r="T146" s="5">
        <f t="shared" si="13"/>
        <v>0</v>
      </c>
      <c r="U146" s="5">
        <f t="shared" si="14"/>
        <v>0</v>
      </c>
      <c r="V146" s="38">
        <f t="shared" si="15"/>
        <v>0</v>
      </c>
      <c r="W146" s="2"/>
      <c r="X146" s="2"/>
    </row>
    <row r="147" spans="1:24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51</v>
      </c>
      <c r="G147" s="31">
        <v>6</v>
      </c>
      <c r="H147" s="35"/>
      <c r="I147" s="36"/>
      <c r="J147" s="36"/>
      <c r="K147" s="5"/>
      <c r="L147" s="37"/>
      <c r="M147" s="5"/>
      <c r="N147" s="5"/>
      <c r="O147" s="6"/>
      <c r="P147" s="7">
        <f t="shared" si="12"/>
        <v>0</v>
      </c>
      <c r="Q147" s="5"/>
      <c r="R147" s="5"/>
      <c r="S147" s="5"/>
      <c r="T147" s="5">
        <f t="shared" si="13"/>
        <v>0</v>
      </c>
      <c r="U147" s="5">
        <f t="shared" si="14"/>
        <v>0</v>
      </c>
      <c r="V147" s="38">
        <f t="shared" si="15"/>
        <v>0</v>
      </c>
      <c r="W147" s="2"/>
      <c r="X147" s="2"/>
    </row>
    <row r="148" spans="1:24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51</v>
      </c>
      <c r="G148" s="31">
        <v>6</v>
      </c>
      <c r="H148" s="35"/>
      <c r="I148" s="36"/>
      <c r="J148" s="36"/>
      <c r="K148" s="5"/>
      <c r="L148" s="37"/>
      <c r="M148" s="5"/>
      <c r="N148" s="5"/>
      <c r="O148" s="6"/>
      <c r="P148" s="7">
        <f t="shared" si="12"/>
        <v>0</v>
      </c>
      <c r="Q148" s="5"/>
      <c r="R148" s="5"/>
      <c r="S148" s="5"/>
      <c r="T148" s="5">
        <f t="shared" si="13"/>
        <v>0</v>
      </c>
      <c r="U148" s="5">
        <f t="shared" si="14"/>
        <v>0</v>
      </c>
      <c r="V148" s="38">
        <f t="shared" si="15"/>
        <v>0</v>
      </c>
      <c r="W148" s="2"/>
      <c r="X148" s="2"/>
    </row>
    <row r="149" spans="1:24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51</v>
      </c>
      <c r="G149" s="31">
        <v>6</v>
      </c>
      <c r="H149" s="35"/>
      <c r="I149" s="36"/>
      <c r="J149" s="36"/>
      <c r="K149" s="5"/>
      <c r="L149" s="37"/>
      <c r="M149" s="5"/>
      <c r="N149" s="5"/>
      <c r="O149" s="6"/>
      <c r="P149" s="7">
        <f t="shared" si="12"/>
        <v>0</v>
      </c>
      <c r="Q149" s="5"/>
      <c r="R149" s="5"/>
      <c r="S149" s="5"/>
      <c r="T149" s="5">
        <f t="shared" si="13"/>
        <v>0</v>
      </c>
      <c r="U149" s="5">
        <f t="shared" si="14"/>
        <v>0</v>
      </c>
      <c r="V149" s="38">
        <f t="shared" si="15"/>
        <v>0</v>
      </c>
      <c r="W149" s="2"/>
      <c r="X149" s="2"/>
    </row>
    <row r="150" spans="1:24">
      <c r="A150" s="1" t="s">
        <v>12</v>
      </c>
      <c r="B150" s="3" t="s">
        <v>23</v>
      </c>
      <c r="C150" s="3" t="s">
        <v>45</v>
      </c>
      <c r="D150" s="4">
        <v>1789</v>
      </c>
      <c r="E150" s="3" t="s">
        <v>49</v>
      </c>
      <c r="F150" s="3" t="s">
        <v>51</v>
      </c>
      <c r="G150" s="31">
        <v>6</v>
      </c>
      <c r="H150" s="35"/>
      <c r="I150" s="36"/>
      <c r="J150" s="36"/>
      <c r="K150" s="5"/>
      <c r="L150" s="37"/>
      <c r="M150" s="5"/>
      <c r="N150" s="5"/>
      <c r="O150" s="6"/>
      <c r="P150" s="7">
        <f t="shared" si="12"/>
        <v>0</v>
      </c>
      <c r="Q150" s="5"/>
      <c r="R150" s="5"/>
      <c r="S150" s="5"/>
      <c r="T150" s="5">
        <f t="shared" si="13"/>
        <v>0</v>
      </c>
      <c r="U150" s="5">
        <f t="shared" si="14"/>
        <v>0</v>
      </c>
      <c r="V150" s="38">
        <f t="shared" si="15"/>
        <v>0</v>
      </c>
      <c r="W150" s="2"/>
      <c r="X150" s="2"/>
    </row>
  </sheetData>
  <conditionalFormatting sqref="V2:V150">
    <cfRule type="cellIs" dxfId="11" priority="2" stopIfTrue="1" operator="greaterThan">
      <formula>0</formula>
    </cfRule>
  </conditionalFormatting>
  <conditionalFormatting sqref="V1">
    <cfRule type="cellIs" dxfId="1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workbookViewId="0">
      <selection activeCell="H2" sqref="H2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7.83203125" bestFit="1" customWidth="1"/>
    <col min="9" max="9" width="7.6640625" bestFit="1" customWidth="1"/>
    <col min="10" max="10" width="8.6640625" bestFit="1" customWidth="1"/>
    <col min="11" max="11" width="9.1640625" bestFit="1" customWidth="1"/>
    <col min="12" max="12" width="8.5" bestFit="1" customWidth="1"/>
    <col min="13" max="13" width="18.33203125" style="14" bestFit="1" customWidth="1"/>
    <col min="14" max="15" width="8" bestFit="1" customWidth="1"/>
    <col min="16" max="16" width="10.6640625" bestFit="1" customWidth="1"/>
    <col min="17" max="17" width="9.33203125" bestFit="1" customWidth="1"/>
    <col min="18" max="18" width="7.6640625" bestFit="1" customWidth="1"/>
    <col min="19" max="19" width="6.83203125" bestFit="1" customWidth="1"/>
    <col min="20" max="20" width="11.33203125" bestFit="1" customWidth="1"/>
    <col min="21" max="21" width="9.6640625" bestFit="1" customWidth="1"/>
    <col min="22" max="22" width="10.33203125" bestFit="1" customWidth="1"/>
    <col min="23" max="23" width="10.5" bestFit="1" customWidth="1"/>
    <col min="24" max="24" width="15" customWidth="1"/>
    <col min="25" max="25" width="9.6640625" bestFit="1" customWidth="1"/>
    <col min="26" max="26" width="9.1640625" bestFit="1" customWidth="1"/>
    <col min="27" max="33" width="9.6640625" bestFit="1" customWidth="1"/>
    <col min="34" max="34" width="9.1640625" bestFit="1" customWidth="1"/>
    <col min="35" max="36" width="9.6640625" bestFit="1" customWidth="1"/>
    <col min="37" max="37" width="10.6640625" bestFit="1" customWidth="1"/>
    <col min="38" max="38" width="12.5" bestFit="1" customWidth="1"/>
    <col min="39" max="39" width="8.1640625" bestFit="1" customWidth="1"/>
    <col min="40" max="40" width="15.33203125" bestFit="1" customWidth="1"/>
    <col min="41" max="41" width="8.33203125" bestFit="1" customWidth="1"/>
    <col min="42" max="42" width="18.5" bestFit="1" customWidth="1"/>
    <col min="43" max="43" width="14" bestFit="1" customWidth="1"/>
    <col min="44" max="44" width="15.33203125" bestFit="1" customWidth="1"/>
    <col min="45" max="45" width="17.1640625" bestFit="1" customWidth="1"/>
    <col min="46" max="46" width="23.1640625" bestFit="1" customWidth="1"/>
  </cols>
  <sheetData>
    <row r="1" spans="1:24" ht="78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34" t="s">
        <v>66</v>
      </c>
      <c r="J1" s="34" t="s">
        <v>67</v>
      </c>
      <c r="K1" s="19" t="s">
        <v>68</v>
      </c>
      <c r="L1" s="21" t="s">
        <v>69</v>
      </c>
      <c r="M1" s="19" t="s">
        <v>2</v>
      </c>
      <c r="N1" s="19" t="s">
        <v>3</v>
      </c>
      <c r="O1" s="19" t="s">
        <v>4</v>
      </c>
      <c r="P1" s="20" t="s">
        <v>5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21" t="s">
        <v>76</v>
      </c>
      <c r="X1" s="21" t="s">
        <v>6</v>
      </c>
    </row>
    <row r="2" spans="1:24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52</v>
      </c>
      <c r="G2" s="3">
        <v>12</v>
      </c>
      <c r="H2" s="35"/>
      <c r="I2" s="36"/>
      <c r="J2" s="36"/>
      <c r="K2" s="5"/>
      <c r="L2" s="37"/>
      <c r="M2" s="5"/>
      <c r="N2" s="5"/>
      <c r="O2" s="6"/>
      <c r="P2" s="7">
        <f t="shared" ref="P2:P4" si="0">M2+(0.05*N2)+(O2/240)</f>
        <v>0</v>
      </c>
      <c r="Q2" s="5"/>
      <c r="R2" s="5"/>
      <c r="S2" s="5"/>
      <c r="T2" s="5">
        <f t="shared" ref="T2:T4" si="1">Q2+(R2*0.05)+(S2/240)</f>
        <v>0</v>
      </c>
      <c r="U2" s="5">
        <f t="shared" ref="U2:U4" si="2">K2*P2</f>
        <v>0</v>
      </c>
      <c r="V2" s="38">
        <f>T2-U2</f>
        <v>0</v>
      </c>
      <c r="W2" s="2"/>
      <c r="X2" s="2"/>
    </row>
    <row r="3" spans="1:24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52</v>
      </c>
      <c r="G3" s="3">
        <v>12</v>
      </c>
      <c r="H3" s="35"/>
      <c r="I3" s="36"/>
      <c r="J3" s="36"/>
      <c r="K3" s="5"/>
      <c r="L3" s="37"/>
      <c r="M3" s="5"/>
      <c r="N3" s="5"/>
      <c r="O3" s="6"/>
      <c r="P3" s="7">
        <f t="shared" si="0"/>
        <v>0</v>
      </c>
      <c r="Q3" s="5"/>
      <c r="R3" s="5"/>
      <c r="S3" s="5"/>
      <c r="T3" s="5">
        <f t="shared" si="1"/>
        <v>0</v>
      </c>
      <c r="U3" s="5">
        <f t="shared" si="2"/>
        <v>0</v>
      </c>
      <c r="V3" s="38">
        <f t="shared" ref="V3:V5" si="3">T3-U3</f>
        <v>0</v>
      </c>
      <c r="W3" s="2"/>
      <c r="X3" s="2"/>
    </row>
    <row r="4" spans="1:24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52</v>
      </c>
      <c r="G4" s="3">
        <v>12</v>
      </c>
      <c r="H4" s="35"/>
      <c r="I4" s="36"/>
      <c r="J4" s="36"/>
      <c r="K4" s="5"/>
      <c r="L4" s="37"/>
      <c r="M4" s="5"/>
      <c r="N4" s="5"/>
      <c r="O4" s="6"/>
      <c r="P4" s="7">
        <f t="shared" si="0"/>
        <v>0</v>
      </c>
      <c r="Q4" s="5"/>
      <c r="R4" s="5"/>
      <c r="S4" s="5"/>
      <c r="T4" s="5">
        <f t="shared" si="1"/>
        <v>0</v>
      </c>
      <c r="U4" s="5">
        <f t="shared" si="2"/>
        <v>0</v>
      </c>
      <c r="V4" s="38">
        <f t="shared" si="3"/>
        <v>0</v>
      </c>
      <c r="W4" s="2"/>
      <c r="X4" s="2"/>
    </row>
    <row r="5" spans="1:24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52</v>
      </c>
      <c r="G5" s="3">
        <v>12</v>
      </c>
      <c r="H5" s="35"/>
      <c r="I5" s="36"/>
      <c r="J5" s="36"/>
      <c r="K5" s="5"/>
      <c r="L5" s="37"/>
      <c r="M5" s="5"/>
      <c r="N5" s="5"/>
      <c r="O5" s="6"/>
      <c r="P5" s="7">
        <f t="shared" ref="P5:P68" si="4">M5+(0.05*N5)+(O5/240)</f>
        <v>0</v>
      </c>
      <c r="Q5" s="5"/>
      <c r="R5" s="5"/>
      <c r="S5" s="5"/>
      <c r="T5" s="5">
        <f t="shared" ref="T5:T68" si="5">Q5+(R5*0.05)+(S5/240)</f>
        <v>0</v>
      </c>
      <c r="U5" s="5">
        <f t="shared" ref="U5:U68" si="6">K5*P5</f>
        <v>0</v>
      </c>
      <c r="V5" s="38">
        <f t="shared" si="3"/>
        <v>0</v>
      </c>
      <c r="W5" s="2"/>
      <c r="X5" s="2"/>
    </row>
    <row r="6" spans="1:24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52</v>
      </c>
      <c r="G6" s="3">
        <v>12</v>
      </c>
      <c r="H6" s="35"/>
      <c r="I6" s="36"/>
      <c r="J6" s="36"/>
      <c r="K6" s="5"/>
      <c r="L6" s="37"/>
      <c r="M6" s="5"/>
      <c r="N6" s="5"/>
      <c r="O6" s="6"/>
      <c r="P6" s="7">
        <f t="shared" si="4"/>
        <v>0</v>
      </c>
      <c r="Q6" s="5"/>
      <c r="R6" s="5"/>
      <c r="S6" s="5"/>
      <c r="T6" s="5">
        <f t="shared" si="5"/>
        <v>0</v>
      </c>
      <c r="U6" s="5">
        <f t="shared" si="6"/>
        <v>0</v>
      </c>
      <c r="V6" s="38">
        <f t="shared" ref="V6:V69" si="7">T6-U6</f>
        <v>0</v>
      </c>
      <c r="W6" s="2"/>
      <c r="X6" s="2"/>
    </row>
    <row r="7" spans="1:24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52</v>
      </c>
      <c r="G7" s="3">
        <v>12</v>
      </c>
      <c r="H7" s="35"/>
      <c r="I7" s="36"/>
      <c r="J7" s="36"/>
      <c r="K7" s="5"/>
      <c r="L7" s="37"/>
      <c r="M7" s="5"/>
      <c r="N7" s="5"/>
      <c r="O7" s="6"/>
      <c r="P7" s="7">
        <f t="shared" si="4"/>
        <v>0</v>
      </c>
      <c r="Q7" s="5"/>
      <c r="R7" s="5"/>
      <c r="S7" s="5"/>
      <c r="T7" s="5">
        <f t="shared" si="5"/>
        <v>0</v>
      </c>
      <c r="U7" s="5">
        <f t="shared" si="6"/>
        <v>0</v>
      </c>
      <c r="V7" s="38">
        <f t="shared" si="7"/>
        <v>0</v>
      </c>
      <c r="W7" s="2"/>
      <c r="X7" s="2"/>
    </row>
    <row r="8" spans="1:24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52</v>
      </c>
      <c r="G8" s="3">
        <v>12</v>
      </c>
      <c r="H8" s="35"/>
      <c r="I8" s="36"/>
      <c r="J8" s="36"/>
      <c r="K8" s="5"/>
      <c r="L8" s="37"/>
      <c r="M8" s="5"/>
      <c r="N8" s="5"/>
      <c r="O8" s="6"/>
      <c r="P8" s="7">
        <f t="shared" si="4"/>
        <v>0</v>
      </c>
      <c r="Q8" s="5"/>
      <c r="R8" s="5"/>
      <c r="S8" s="5"/>
      <c r="T8" s="5">
        <f t="shared" si="5"/>
        <v>0</v>
      </c>
      <c r="U8" s="5">
        <f t="shared" si="6"/>
        <v>0</v>
      </c>
      <c r="V8" s="38">
        <f t="shared" si="7"/>
        <v>0</v>
      </c>
      <c r="W8" s="2"/>
      <c r="X8" s="2"/>
    </row>
    <row r="9" spans="1:24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52</v>
      </c>
      <c r="G9" s="3">
        <v>12</v>
      </c>
      <c r="H9" s="35"/>
      <c r="I9" s="36"/>
      <c r="J9" s="36"/>
      <c r="K9" s="5"/>
      <c r="L9" s="37"/>
      <c r="M9" s="5"/>
      <c r="N9" s="5"/>
      <c r="O9" s="6"/>
      <c r="P9" s="7">
        <f t="shared" si="4"/>
        <v>0</v>
      </c>
      <c r="Q9" s="5"/>
      <c r="R9" s="5"/>
      <c r="S9" s="5"/>
      <c r="T9" s="5">
        <f t="shared" si="5"/>
        <v>0</v>
      </c>
      <c r="U9" s="5">
        <f t="shared" si="6"/>
        <v>0</v>
      </c>
      <c r="V9" s="38">
        <f t="shared" si="7"/>
        <v>0</v>
      </c>
      <c r="W9" s="2"/>
      <c r="X9" s="2"/>
    </row>
    <row r="10" spans="1:24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52</v>
      </c>
      <c r="G10" s="3">
        <v>12</v>
      </c>
      <c r="H10" s="35"/>
      <c r="I10" s="36"/>
      <c r="J10" s="36"/>
      <c r="K10" s="5"/>
      <c r="L10" s="37"/>
      <c r="M10" s="5"/>
      <c r="N10" s="5"/>
      <c r="O10" s="6"/>
      <c r="P10" s="7">
        <f t="shared" si="4"/>
        <v>0</v>
      </c>
      <c r="Q10" s="5"/>
      <c r="R10" s="5"/>
      <c r="S10" s="5"/>
      <c r="T10" s="5">
        <f t="shared" si="5"/>
        <v>0</v>
      </c>
      <c r="U10" s="5">
        <f t="shared" si="6"/>
        <v>0</v>
      </c>
      <c r="V10" s="38">
        <f t="shared" si="7"/>
        <v>0</v>
      </c>
      <c r="W10" s="2"/>
      <c r="X10" s="2"/>
    </row>
    <row r="11" spans="1:24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52</v>
      </c>
      <c r="G11" s="3">
        <v>12</v>
      </c>
      <c r="H11" s="35"/>
      <c r="I11" s="36"/>
      <c r="J11" s="36"/>
      <c r="K11" s="5"/>
      <c r="L11" s="37"/>
      <c r="M11" s="5"/>
      <c r="N11" s="5"/>
      <c r="O11" s="6"/>
      <c r="P11" s="7">
        <f t="shared" si="4"/>
        <v>0</v>
      </c>
      <c r="Q11" s="5"/>
      <c r="R11" s="5"/>
      <c r="S11" s="5"/>
      <c r="T11" s="5">
        <f t="shared" si="5"/>
        <v>0</v>
      </c>
      <c r="U11" s="5">
        <f t="shared" si="6"/>
        <v>0</v>
      </c>
      <c r="V11" s="38">
        <f t="shared" si="7"/>
        <v>0</v>
      </c>
      <c r="W11" s="2"/>
      <c r="X11" s="2"/>
    </row>
    <row r="12" spans="1:24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52</v>
      </c>
      <c r="G12" s="3">
        <v>12</v>
      </c>
      <c r="H12" s="35"/>
      <c r="I12" s="36"/>
      <c r="J12" s="36"/>
      <c r="K12" s="5"/>
      <c r="L12" s="37"/>
      <c r="M12" s="5"/>
      <c r="N12" s="5"/>
      <c r="O12" s="6"/>
      <c r="P12" s="7">
        <f t="shared" si="4"/>
        <v>0</v>
      </c>
      <c r="Q12" s="5"/>
      <c r="R12" s="5"/>
      <c r="S12" s="5"/>
      <c r="T12" s="5">
        <f t="shared" si="5"/>
        <v>0</v>
      </c>
      <c r="U12" s="5">
        <f t="shared" si="6"/>
        <v>0</v>
      </c>
      <c r="V12" s="38">
        <f t="shared" si="7"/>
        <v>0</v>
      </c>
      <c r="W12" s="2"/>
      <c r="X12" s="2"/>
    </row>
    <row r="13" spans="1:24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52</v>
      </c>
      <c r="G13" s="3">
        <v>12</v>
      </c>
      <c r="H13" s="35"/>
      <c r="I13" s="36"/>
      <c r="J13" s="36"/>
      <c r="K13" s="5"/>
      <c r="L13" s="37"/>
      <c r="M13" s="5"/>
      <c r="N13" s="5"/>
      <c r="O13" s="6"/>
      <c r="P13" s="7">
        <f t="shared" si="4"/>
        <v>0</v>
      </c>
      <c r="Q13" s="5"/>
      <c r="R13" s="5"/>
      <c r="S13" s="5"/>
      <c r="T13" s="5">
        <f t="shared" si="5"/>
        <v>0</v>
      </c>
      <c r="U13" s="5">
        <f t="shared" si="6"/>
        <v>0</v>
      </c>
      <c r="V13" s="38">
        <f t="shared" si="7"/>
        <v>0</v>
      </c>
      <c r="W13" s="2"/>
      <c r="X13" s="2"/>
    </row>
    <row r="14" spans="1:24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52</v>
      </c>
      <c r="G14" s="3">
        <v>12</v>
      </c>
      <c r="H14" s="35"/>
      <c r="I14" s="36"/>
      <c r="J14" s="36"/>
      <c r="K14" s="5"/>
      <c r="L14" s="37"/>
      <c r="M14" s="5"/>
      <c r="N14" s="5"/>
      <c r="O14" s="6"/>
      <c r="P14" s="7">
        <f t="shared" si="4"/>
        <v>0</v>
      </c>
      <c r="Q14" s="5"/>
      <c r="R14" s="5"/>
      <c r="S14" s="5"/>
      <c r="T14" s="5">
        <f t="shared" si="5"/>
        <v>0</v>
      </c>
      <c r="U14" s="5">
        <f t="shared" si="6"/>
        <v>0</v>
      </c>
      <c r="V14" s="38">
        <f t="shared" si="7"/>
        <v>0</v>
      </c>
      <c r="W14" s="2"/>
      <c r="X14" s="2"/>
    </row>
    <row r="15" spans="1:24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52</v>
      </c>
      <c r="G15" s="3">
        <v>12</v>
      </c>
      <c r="H15" s="35"/>
      <c r="I15" s="36"/>
      <c r="J15" s="36"/>
      <c r="K15" s="5"/>
      <c r="L15" s="37"/>
      <c r="M15" s="5"/>
      <c r="N15" s="5"/>
      <c r="O15" s="6"/>
      <c r="P15" s="7">
        <f t="shared" si="4"/>
        <v>0</v>
      </c>
      <c r="Q15" s="5"/>
      <c r="R15" s="5"/>
      <c r="S15" s="5"/>
      <c r="T15" s="5">
        <f t="shared" si="5"/>
        <v>0</v>
      </c>
      <c r="U15" s="5">
        <f t="shared" si="6"/>
        <v>0</v>
      </c>
      <c r="V15" s="38">
        <f t="shared" si="7"/>
        <v>0</v>
      </c>
      <c r="W15" s="2"/>
      <c r="X15" s="2"/>
    </row>
    <row r="16" spans="1:24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52</v>
      </c>
      <c r="G16" s="3">
        <v>12</v>
      </c>
      <c r="H16" s="35"/>
      <c r="I16" s="36"/>
      <c r="J16" s="36"/>
      <c r="K16" s="5"/>
      <c r="L16" s="37"/>
      <c r="M16" s="5"/>
      <c r="N16" s="5"/>
      <c r="O16" s="6"/>
      <c r="P16" s="7">
        <f t="shared" si="4"/>
        <v>0</v>
      </c>
      <c r="Q16" s="5"/>
      <c r="R16" s="5"/>
      <c r="S16" s="5"/>
      <c r="T16" s="5">
        <f t="shared" si="5"/>
        <v>0</v>
      </c>
      <c r="U16" s="5">
        <f t="shared" si="6"/>
        <v>0</v>
      </c>
      <c r="V16" s="38">
        <f t="shared" si="7"/>
        <v>0</v>
      </c>
      <c r="W16" s="2"/>
      <c r="X16" s="2"/>
    </row>
    <row r="17" spans="1:24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52</v>
      </c>
      <c r="G17" s="3">
        <v>12</v>
      </c>
      <c r="H17" s="35"/>
      <c r="I17" s="36"/>
      <c r="J17" s="36"/>
      <c r="K17" s="5"/>
      <c r="L17" s="37"/>
      <c r="M17" s="5"/>
      <c r="N17" s="5"/>
      <c r="O17" s="6"/>
      <c r="P17" s="7">
        <f t="shared" si="4"/>
        <v>0</v>
      </c>
      <c r="Q17" s="5"/>
      <c r="R17" s="5"/>
      <c r="S17" s="5"/>
      <c r="T17" s="5">
        <f t="shared" si="5"/>
        <v>0</v>
      </c>
      <c r="U17" s="5">
        <f t="shared" si="6"/>
        <v>0</v>
      </c>
      <c r="V17" s="38">
        <f t="shared" si="7"/>
        <v>0</v>
      </c>
      <c r="W17" s="2"/>
      <c r="X17" s="2"/>
    </row>
    <row r="18" spans="1:24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52</v>
      </c>
      <c r="G18" s="3">
        <v>12</v>
      </c>
      <c r="H18" s="35"/>
      <c r="I18" s="36"/>
      <c r="J18" s="36"/>
      <c r="K18" s="5"/>
      <c r="L18" s="37"/>
      <c r="M18" s="5"/>
      <c r="N18" s="5"/>
      <c r="O18" s="6"/>
      <c r="P18" s="7">
        <f t="shared" si="4"/>
        <v>0</v>
      </c>
      <c r="Q18" s="5"/>
      <c r="R18" s="5"/>
      <c r="S18" s="5"/>
      <c r="T18" s="5">
        <f t="shared" si="5"/>
        <v>0</v>
      </c>
      <c r="U18" s="5">
        <f t="shared" si="6"/>
        <v>0</v>
      </c>
      <c r="V18" s="38">
        <f t="shared" si="7"/>
        <v>0</v>
      </c>
      <c r="W18" s="2"/>
      <c r="X18" s="2"/>
    </row>
    <row r="19" spans="1:24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52</v>
      </c>
      <c r="G19" s="3">
        <v>12</v>
      </c>
      <c r="H19" s="35"/>
      <c r="I19" s="36"/>
      <c r="J19" s="36"/>
      <c r="K19" s="5"/>
      <c r="L19" s="37"/>
      <c r="M19" s="5"/>
      <c r="N19" s="5"/>
      <c r="O19" s="6"/>
      <c r="P19" s="7">
        <f t="shared" si="4"/>
        <v>0</v>
      </c>
      <c r="Q19" s="5"/>
      <c r="R19" s="5"/>
      <c r="S19" s="5"/>
      <c r="T19" s="5">
        <f t="shared" si="5"/>
        <v>0</v>
      </c>
      <c r="U19" s="5">
        <f t="shared" si="6"/>
        <v>0</v>
      </c>
      <c r="V19" s="38">
        <f t="shared" si="7"/>
        <v>0</v>
      </c>
      <c r="W19" s="2"/>
      <c r="X19" s="2"/>
    </row>
    <row r="20" spans="1:24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52</v>
      </c>
      <c r="G20" s="3">
        <v>12</v>
      </c>
      <c r="H20" s="35"/>
      <c r="I20" s="36"/>
      <c r="J20" s="36"/>
      <c r="K20" s="5"/>
      <c r="L20" s="37"/>
      <c r="M20" s="5"/>
      <c r="N20" s="5"/>
      <c r="O20" s="6"/>
      <c r="P20" s="7">
        <f t="shared" si="4"/>
        <v>0</v>
      </c>
      <c r="Q20" s="5"/>
      <c r="R20" s="5"/>
      <c r="S20" s="5"/>
      <c r="T20" s="5">
        <f t="shared" si="5"/>
        <v>0</v>
      </c>
      <c r="U20" s="5">
        <f t="shared" si="6"/>
        <v>0</v>
      </c>
      <c r="V20" s="38">
        <f t="shared" si="7"/>
        <v>0</v>
      </c>
      <c r="W20" s="2"/>
      <c r="X20" s="2"/>
    </row>
    <row r="21" spans="1:24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52</v>
      </c>
      <c r="G21" s="3">
        <v>12</v>
      </c>
      <c r="H21" s="35"/>
      <c r="I21" s="36"/>
      <c r="J21" s="36"/>
      <c r="K21" s="5"/>
      <c r="L21" s="37"/>
      <c r="M21" s="5"/>
      <c r="N21" s="5"/>
      <c r="O21" s="6"/>
      <c r="P21" s="7">
        <f t="shared" si="4"/>
        <v>0</v>
      </c>
      <c r="Q21" s="5"/>
      <c r="R21" s="5"/>
      <c r="S21" s="5"/>
      <c r="T21" s="5">
        <f t="shared" si="5"/>
        <v>0</v>
      </c>
      <c r="U21" s="5">
        <f t="shared" si="6"/>
        <v>0</v>
      </c>
      <c r="V21" s="38">
        <f t="shared" si="7"/>
        <v>0</v>
      </c>
      <c r="W21" s="2"/>
      <c r="X21" s="2"/>
    </row>
    <row r="22" spans="1:24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52</v>
      </c>
      <c r="G22" s="3">
        <v>12</v>
      </c>
      <c r="H22" s="35"/>
      <c r="I22" s="36"/>
      <c r="J22" s="36"/>
      <c r="K22" s="5"/>
      <c r="L22" s="37"/>
      <c r="M22" s="5"/>
      <c r="N22" s="5"/>
      <c r="O22" s="6"/>
      <c r="P22" s="7">
        <f t="shared" si="4"/>
        <v>0</v>
      </c>
      <c r="Q22" s="5"/>
      <c r="R22" s="5"/>
      <c r="S22" s="5"/>
      <c r="T22" s="5">
        <f t="shared" si="5"/>
        <v>0</v>
      </c>
      <c r="U22" s="5">
        <f t="shared" si="6"/>
        <v>0</v>
      </c>
      <c r="V22" s="38">
        <f t="shared" si="7"/>
        <v>0</v>
      </c>
      <c r="W22" s="2"/>
      <c r="X22" s="2"/>
    </row>
    <row r="23" spans="1:24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52</v>
      </c>
      <c r="G23" s="3">
        <v>12</v>
      </c>
      <c r="H23" s="35"/>
      <c r="I23" s="36"/>
      <c r="J23" s="36"/>
      <c r="K23" s="5"/>
      <c r="L23" s="37"/>
      <c r="M23" s="5"/>
      <c r="N23" s="5"/>
      <c r="O23" s="6"/>
      <c r="P23" s="7">
        <f t="shared" si="4"/>
        <v>0</v>
      </c>
      <c r="Q23" s="5"/>
      <c r="R23" s="5"/>
      <c r="S23" s="5"/>
      <c r="T23" s="5">
        <f t="shared" si="5"/>
        <v>0</v>
      </c>
      <c r="U23" s="5">
        <f t="shared" si="6"/>
        <v>0</v>
      </c>
      <c r="V23" s="38">
        <f t="shared" si="7"/>
        <v>0</v>
      </c>
      <c r="W23" s="2"/>
      <c r="X23" s="2"/>
    </row>
    <row r="24" spans="1:24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52</v>
      </c>
      <c r="G24" s="3">
        <v>12</v>
      </c>
      <c r="H24" s="35"/>
      <c r="I24" s="36"/>
      <c r="J24" s="36"/>
      <c r="K24" s="5"/>
      <c r="L24" s="37"/>
      <c r="M24" s="5"/>
      <c r="N24" s="5"/>
      <c r="O24" s="6"/>
      <c r="P24" s="7">
        <f t="shared" si="4"/>
        <v>0</v>
      </c>
      <c r="Q24" s="5"/>
      <c r="R24" s="5"/>
      <c r="S24" s="5"/>
      <c r="T24" s="5">
        <f t="shared" si="5"/>
        <v>0</v>
      </c>
      <c r="U24" s="5">
        <f t="shared" si="6"/>
        <v>0</v>
      </c>
      <c r="V24" s="38">
        <f t="shared" si="7"/>
        <v>0</v>
      </c>
      <c r="W24" s="2"/>
      <c r="X24" s="2"/>
    </row>
    <row r="25" spans="1:24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52</v>
      </c>
      <c r="G25" s="3">
        <v>12</v>
      </c>
      <c r="H25" s="35"/>
      <c r="I25" s="36"/>
      <c r="J25" s="36"/>
      <c r="K25" s="5"/>
      <c r="L25" s="37"/>
      <c r="M25" s="5"/>
      <c r="N25" s="5"/>
      <c r="O25" s="6"/>
      <c r="P25" s="7">
        <f t="shared" si="4"/>
        <v>0</v>
      </c>
      <c r="Q25" s="5"/>
      <c r="R25" s="5"/>
      <c r="S25" s="5"/>
      <c r="T25" s="5">
        <f t="shared" si="5"/>
        <v>0</v>
      </c>
      <c r="U25" s="5">
        <f t="shared" si="6"/>
        <v>0</v>
      </c>
      <c r="V25" s="38">
        <f t="shared" si="7"/>
        <v>0</v>
      </c>
      <c r="W25" s="2"/>
      <c r="X25" s="2"/>
    </row>
    <row r="26" spans="1:24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52</v>
      </c>
      <c r="G26" s="3">
        <v>12</v>
      </c>
      <c r="H26" s="35"/>
      <c r="I26" s="36"/>
      <c r="J26" s="36"/>
      <c r="K26" s="5"/>
      <c r="L26" s="37"/>
      <c r="M26" s="5"/>
      <c r="N26" s="5"/>
      <c r="O26" s="6"/>
      <c r="P26" s="7">
        <f t="shared" si="4"/>
        <v>0</v>
      </c>
      <c r="Q26" s="5"/>
      <c r="R26" s="5"/>
      <c r="S26" s="5"/>
      <c r="T26" s="5">
        <f t="shared" si="5"/>
        <v>0</v>
      </c>
      <c r="U26" s="5">
        <f t="shared" si="6"/>
        <v>0</v>
      </c>
      <c r="V26" s="38">
        <f t="shared" si="7"/>
        <v>0</v>
      </c>
      <c r="W26" s="2"/>
      <c r="X26" s="2"/>
    </row>
    <row r="27" spans="1:24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52</v>
      </c>
      <c r="G27" s="3">
        <v>12</v>
      </c>
      <c r="H27" s="35"/>
      <c r="I27" s="36"/>
      <c r="J27" s="36"/>
      <c r="K27" s="5"/>
      <c r="L27" s="37"/>
      <c r="M27" s="5"/>
      <c r="N27" s="5"/>
      <c r="O27" s="6"/>
      <c r="P27" s="7">
        <f t="shared" si="4"/>
        <v>0</v>
      </c>
      <c r="Q27" s="5"/>
      <c r="R27" s="5"/>
      <c r="S27" s="5"/>
      <c r="T27" s="5">
        <f t="shared" si="5"/>
        <v>0</v>
      </c>
      <c r="U27" s="5">
        <f t="shared" si="6"/>
        <v>0</v>
      </c>
      <c r="V27" s="38">
        <f t="shared" si="7"/>
        <v>0</v>
      </c>
      <c r="W27" s="2"/>
      <c r="X27" s="2"/>
    </row>
    <row r="28" spans="1:24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52</v>
      </c>
      <c r="G28" s="3">
        <v>12</v>
      </c>
      <c r="H28" s="35"/>
      <c r="I28" s="36"/>
      <c r="J28" s="36"/>
      <c r="K28" s="5"/>
      <c r="L28" s="37"/>
      <c r="M28" s="5"/>
      <c r="N28" s="5"/>
      <c r="O28" s="6"/>
      <c r="P28" s="7">
        <f t="shared" si="4"/>
        <v>0</v>
      </c>
      <c r="Q28" s="5"/>
      <c r="R28" s="5"/>
      <c r="S28" s="5"/>
      <c r="T28" s="5">
        <f t="shared" si="5"/>
        <v>0</v>
      </c>
      <c r="U28" s="5">
        <f t="shared" si="6"/>
        <v>0</v>
      </c>
      <c r="V28" s="38">
        <f t="shared" si="7"/>
        <v>0</v>
      </c>
      <c r="W28" s="2"/>
      <c r="X28" s="2"/>
    </row>
    <row r="29" spans="1:24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52</v>
      </c>
      <c r="G29" s="3">
        <v>12</v>
      </c>
      <c r="H29" s="35"/>
      <c r="I29" s="36"/>
      <c r="J29" s="36"/>
      <c r="K29" s="5"/>
      <c r="L29" s="37"/>
      <c r="M29" s="5"/>
      <c r="N29" s="5"/>
      <c r="O29" s="6"/>
      <c r="P29" s="7">
        <f t="shared" si="4"/>
        <v>0</v>
      </c>
      <c r="Q29" s="5"/>
      <c r="R29" s="5"/>
      <c r="S29" s="5"/>
      <c r="T29" s="5">
        <f t="shared" si="5"/>
        <v>0</v>
      </c>
      <c r="U29" s="5">
        <f t="shared" si="6"/>
        <v>0</v>
      </c>
      <c r="V29" s="38">
        <f t="shared" si="7"/>
        <v>0</v>
      </c>
      <c r="W29" s="2"/>
      <c r="X29" s="2"/>
    </row>
    <row r="30" spans="1:24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52</v>
      </c>
      <c r="G30" s="3">
        <v>12</v>
      </c>
      <c r="H30" s="35"/>
      <c r="I30" s="36"/>
      <c r="J30" s="36"/>
      <c r="K30" s="5"/>
      <c r="L30" s="37"/>
      <c r="M30" s="5"/>
      <c r="N30" s="5"/>
      <c r="O30" s="6"/>
      <c r="P30" s="7">
        <f t="shared" si="4"/>
        <v>0</v>
      </c>
      <c r="Q30" s="5"/>
      <c r="R30" s="5"/>
      <c r="S30" s="5"/>
      <c r="T30" s="5">
        <f t="shared" si="5"/>
        <v>0</v>
      </c>
      <c r="U30" s="5">
        <f t="shared" si="6"/>
        <v>0</v>
      </c>
      <c r="V30" s="38">
        <f t="shared" si="7"/>
        <v>0</v>
      </c>
      <c r="W30" s="2"/>
      <c r="X30" s="2"/>
    </row>
    <row r="31" spans="1:24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52</v>
      </c>
      <c r="G31" s="3">
        <v>12</v>
      </c>
      <c r="H31" s="35"/>
      <c r="I31" s="36"/>
      <c r="J31" s="36"/>
      <c r="K31" s="5"/>
      <c r="L31" s="37"/>
      <c r="M31" s="5"/>
      <c r="N31" s="5"/>
      <c r="O31" s="6"/>
      <c r="P31" s="7">
        <f t="shared" si="4"/>
        <v>0</v>
      </c>
      <c r="Q31" s="5"/>
      <c r="R31" s="5"/>
      <c r="S31" s="5"/>
      <c r="T31" s="5">
        <f t="shared" si="5"/>
        <v>0</v>
      </c>
      <c r="U31" s="5">
        <f t="shared" si="6"/>
        <v>0</v>
      </c>
      <c r="V31" s="38">
        <f t="shared" si="7"/>
        <v>0</v>
      </c>
      <c r="W31" s="2"/>
      <c r="X31" s="2"/>
    </row>
    <row r="32" spans="1:24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52</v>
      </c>
      <c r="G32" s="3">
        <v>12</v>
      </c>
      <c r="H32" s="35"/>
      <c r="I32" s="36"/>
      <c r="J32" s="36"/>
      <c r="K32" s="5"/>
      <c r="L32" s="37"/>
      <c r="M32" s="5"/>
      <c r="N32" s="5"/>
      <c r="O32" s="6"/>
      <c r="P32" s="7">
        <f t="shared" si="4"/>
        <v>0</v>
      </c>
      <c r="Q32" s="5"/>
      <c r="R32" s="5"/>
      <c r="S32" s="5"/>
      <c r="T32" s="5">
        <f t="shared" si="5"/>
        <v>0</v>
      </c>
      <c r="U32" s="5">
        <f t="shared" si="6"/>
        <v>0</v>
      </c>
      <c r="V32" s="38">
        <f t="shared" si="7"/>
        <v>0</v>
      </c>
      <c r="W32" s="2"/>
      <c r="X32" s="2"/>
    </row>
    <row r="33" spans="1:24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52</v>
      </c>
      <c r="G33" s="3">
        <v>12</v>
      </c>
      <c r="H33" s="35"/>
      <c r="I33" s="36"/>
      <c r="J33" s="36"/>
      <c r="K33" s="5"/>
      <c r="L33" s="37"/>
      <c r="M33" s="5"/>
      <c r="N33" s="5"/>
      <c r="O33" s="6"/>
      <c r="P33" s="7">
        <f t="shared" si="4"/>
        <v>0</v>
      </c>
      <c r="Q33" s="5"/>
      <c r="R33" s="5"/>
      <c r="S33" s="5"/>
      <c r="T33" s="5">
        <f t="shared" si="5"/>
        <v>0</v>
      </c>
      <c r="U33" s="5">
        <f t="shared" si="6"/>
        <v>0</v>
      </c>
      <c r="V33" s="38">
        <f t="shared" si="7"/>
        <v>0</v>
      </c>
      <c r="W33" s="2"/>
      <c r="X33" s="2"/>
    </row>
    <row r="34" spans="1:24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52</v>
      </c>
      <c r="G34" s="3">
        <v>12</v>
      </c>
      <c r="H34" s="35"/>
      <c r="I34" s="36"/>
      <c r="J34" s="36"/>
      <c r="K34" s="5"/>
      <c r="L34" s="37"/>
      <c r="M34" s="5"/>
      <c r="N34" s="5"/>
      <c r="O34" s="6"/>
      <c r="P34" s="7">
        <f t="shared" si="4"/>
        <v>0</v>
      </c>
      <c r="Q34" s="5"/>
      <c r="R34" s="5"/>
      <c r="S34" s="5"/>
      <c r="T34" s="5">
        <f t="shared" si="5"/>
        <v>0</v>
      </c>
      <c r="U34" s="5">
        <f t="shared" si="6"/>
        <v>0</v>
      </c>
      <c r="V34" s="38">
        <f t="shared" si="7"/>
        <v>0</v>
      </c>
      <c r="W34" s="2"/>
      <c r="X34" s="2"/>
    </row>
    <row r="35" spans="1:24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52</v>
      </c>
      <c r="G35" s="3">
        <v>12</v>
      </c>
      <c r="H35" s="35"/>
      <c r="I35" s="36"/>
      <c r="J35" s="36"/>
      <c r="K35" s="5"/>
      <c r="L35" s="37"/>
      <c r="M35" s="5"/>
      <c r="N35" s="5"/>
      <c r="O35" s="6"/>
      <c r="P35" s="7">
        <f t="shared" si="4"/>
        <v>0</v>
      </c>
      <c r="Q35" s="5"/>
      <c r="R35" s="5"/>
      <c r="S35" s="5"/>
      <c r="T35" s="5">
        <f t="shared" si="5"/>
        <v>0</v>
      </c>
      <c r="U35" s="5">
        <f t="shared" si="6"/>
        <v>0</v>
      </c>
      <c r="V35" s="38">
        <f t="shared" si="7"/>
        <v>0</v>
      </c>
      <c r="W35" s="2"/>
      <c r="X35" s="2"/>
    </row>
    <row r="36" spans="1:24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52</v>
      </c>
      <c r="G36" s="3">
        <v>12</v>
      </c>
      <c r="H36" s="35"/>
      <c r="I36" s="36"/>
      <c r="J36" s="36"/>
      <c r="K36" s="5"/>
      <c r="L36" s="37"/>
      <c r="M36" s="5"/>
      <c r="N36" s="5"/>
      <c r="O36" s="6"/>
      <c r="P36" s="7">
        <f t="shared" si="4"/>
        <v>0</v>
      </c>
      <c r="Q36" s="5"/>
      <c r="R36" s="5"/>
      <c r="S36" s="5"/>
      <c r="T36" s="5">
        <f t="shared" si="5"/>
        <v>0</v>
      </c>
      <c r="U36" s="5">
        <f t="shared" si="6"/>
        <v>0</v>
      </c>
      <c r="V36" s="38">
        <f t="shared" si="7"/>
        <v>0</v>
      </c>
      <c r="W36" s="2"/>
      <c r="X36" s="2"/>
    </row>
    <row r="37" spans="1:24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52</v>
      </c>
      <c r="G37" s="3">
        <v>12</v>
      </c>
      <c r="H37" s="35"/>
      <c r="I37" s="36"/>
      <c r="J37" s="36"/>
      <c r="K37" s="5"/>
      <c r="L37" s="37"/>
      <c r="M37" s="5"/>
      <c r="N37" s="5"/>
      <c r="O37" s="6"/>
      <c r="P37" s="7">
        <f t="shared" si="4"/>
        <v>0</v>
      </c>
      <c r="Q37" s="5"/>
      <c r="R37" s="5"/>
      <c r="S37" s="5"/>
      <c r="T37" s="5">
        <f t="shared" si="5"/>
        <v>0</v>
      </c>
      <c r="U37" s="5">
        <f t="shared" si="6"/>
        <v>0</v>
      </c>
      <c r="V37" s="38">
        <f t="shared" si="7"/>
        <v>0</v>
      </c>
      <c r="W37" s="2"/>
      <c r="X37" s="2"/>
    </row>
    <row r="38" spans="1:24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52</v>
      </c>
      <c r="G38" s="3">
        <v>12</v>
      </c>
      <c r="H38" s="35"/>
      <c r="I38" s="36"/>
      <c r="J38" s="36"/>
      <c r="K38" s="5"/>
      <c r="L38" s="37"/>
      <c r="M38" s="5"/>
      <c r="N38" s="5"/>
      <c r="O38" s="6"/>
      <c r="P38" s="7">
        <f t="shared" si="4"/>
        <v>0</v>
      </c>
      <c r="Q38" s="5"/>
      <c r="R38" s="5"/>
      <c r="S38" s="5"/>
      <c r="T38" s="5">
        <f t="shared" si="5"/>
        <v>0</v>
      </c>
      <c r="U38" s="5">
        <f t="shared" si="6"/>
        <v>0</v>
      </c>
      <c r="V38" s="38">
        <f t="shared" si="7"/>
        <v>0</v>
      </c>
      <c r="W38" s="2"/>
      <c r="X38" s="2"/>
    </row>
    <row r="39" spans="1:24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52</v>
      </c>
      <c r="G39" s="3">
        <v>12</v>
      </c>
      <c r="H39" s="35"/>
      <c r="I39" s="36"/>
      <c r="J39" s="36"/>
      <c r="K39" s="5"/>
      <c r="L39" s="37"/>
      <c r="M39" s="5"/>
      <c r="N39" s="5"/>
      <c r="O39" s="6"/>
      <c r="P39" s="7">
        <f t="shared" si="4"/>
        <v>0</v>
      </c>
      <c r="Q39" s="5"/>
      <c r="R39" s="5"/>
      <c r="S39" s="5"/>
      <c r="T39" s="5">
        <f t="shared" si="5"/>
        <v>0</v>
      </c>
      <c r="U39" s="5">
        <f t="shared" si="6"/>
        <v>0</v>
      </c>
      <c r="V39" s="38">
        <f t="shared" si="7"/>
        <v>0</v>
      </c>
      <c r="W39" s="2"/>
      <c r="X39" s="2"/>
    </row>
    <row r="40" spans="1:24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52</v>
      </c>
      <c r="G40" s="3">
        <v>12</v>
      </c>
      <c r="H40" s="35"/>
      <c r="I40" s="36"/>
      <c r="J40" s="36"/>
      <c r="K40" s="5"/>
      <c r="L40" s="37"/>
      <c r="M40" s="5"/>
      <c r="N40" s="5"/>
      <c r="O40" s="6"/>
      <c r="P40" s="7">
        <f t="shared" si="4"/>
        <v>0</v>
      </c>
      <c r="Q40" s="5"/>
      <c r="R40" s="5"/>
      <c r="S40" s="5"/>
      <c r="T40" s="5">
        <f t="shared" si="5"/>
        <v>0</v>
      </c>
      <c r="U40" s="5">
        <f t="shared" si="6"/>
        <v>0</v>
      </c>
      <c r="V40" s="38">
        <f t="shared" si="7"/>
        <v>0</v>
      </c>
      <c r="W40" s="2"/>
      <c r="X40" s="2"/>
    </row>
    <row r="41" spans="1:24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52</v>
      </c>
      <c r="G41" s="3">
        <v>12</v>
      </c>
      <c r="H41" s="35"/>
      <c r="I41" s="36"/>
      <c r="J41" s="36"/>
      <c r="K41" s="5"/>
      <c r="L41" s="37"/>
      <c r="M41" s="5"/>
      <c r="N41" s="5"/>
      <c r="O41" s="6"/>
      <c r="P41" s="7">
        <f t="shared" si="4"/>
        <v>0</v>
      </c>
      <c r="Q41" s="5"/>
      <c r="R41" s="5"/>
      <c r="S41" s="5"/>
      <c r="T41" s="5">
        <f t="shared" si="5"/>
        <v>0</v>
      </c>
      <c r="U41" s="5">
        <f t="shared" si="6"/>
        <v>0</v>
      </c>
      <c r="V41" s="38">
        <f t="shared" si="7"/>
        <v>0</v>
      </c>
      <c r="W41" s="2"/>
      <c r="X41" s="2"/>
    </row>
    <row r="42" spans="1:24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52</v>
      </c>
      <c r="G42" s="3">
        <v>12</v>
      </c>
      <c r="H42" s="35"/>
      <c r="I42" s="36"/>
      <c r="J42" s="36"/>
      <c r="K42" s="5"/>
      <c r="L42" s="37"/>
      <c r="M42" s="5"/>
      <c r="N42" s="5"/>
      <c r="O42" s="6"/>
      <c r="P42" s="7">
        <f t="shared" si="4"/>
        <v>0</v>
      </c>
      <c r="Q42" s="5"/>
      <c r="R42" s="5"/>
      <c r="S42" s="5"/>
      <c r="T42" s="5">
        <f t="shared" si="5"/>
        <v>0</v>
      </c>
      <c r="U42" s="5">
        <f t="shared" si="6"/>
        <v>0</v>
      </c>
      <c r="V42" s="38">
        <f t="shared" si="7"/>
        <v>0</v>
      </c>
      <c r="W42" s="2"/>
      <c r="X42" s="2"/>
    </row>
    <row r="43" spans="1:24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52</v>
      </c>
      <c r="G43" s="3">
        <v>12</v>
      </c>
      <c r="H43" s="35"/>
      <c r="I43" s="36"/>
      <c r="J43" s="36"/>
      <c r="K43" s="5"/>
      <c r="L43" s="37"/>
      <c r="M43" s="5"/>
      <c r="N43" s="5"/>
      <c r="O43" s="6"/>
      <c r="P43" s="7">
        <f t="shared" si="4"/>
        <v>0</v>
      </c>
      <c r="Q43" s="5"/>
      <c r="R43" s="5"/>
      <c r="S43" s="5"/>
      <c r="T43" s="5">
        <f t="shared" si="5"/>
        <v>0</v>
      </c>
      <c r="U43" s="5">
        <f t="shared" si="6"/>
        <v>0</v>
      </c>
      <c r="V43" s="38">
        <f t="shared" si="7"/>
        <v>0</v>
      </c>
      <c r="W43" s="2"/>
      <c r="X43" s="2"/>
    </row>
    <row r="44" spans="1:24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52</v>
      </c>
      <c r="G44" s="3">
        <v>12</v>
      </c>
      <c r="H44" s="35"/>
      <c r="I44" s="36"/>
      <c r="J44" s="36"/>
      <c r="K44" s="5"/>
      <c r="L44" s="37"/>
      <c r="M44" s="5"/>
      <c r="N44" s="5"/>
      <c r="O44" s="6"/>
      <c r="P44" s="7">
        <f t="shared" si="4"/>
        <v>0</v>
      </c>
      <c r="Q44" s="5"/>
      <c r="R44" s="5"/>
      <c r="S44" s="5"/>
      <c r="T44" s="5">
        <f t="shared" si="5"/>
        <v>0</v>
      </c>
      <c r="U44" s="5">
        <f t="shared" si="6"/>
        <v>0</v>
      </c>
      <c r="V44" s="38">
        <f t="shared" si="7"/>
        <v>0</v>
      </c>
      <c r="W44" s="2"/>
      <c r="X44" s="2"/>
    </row>
    <row r="45" spans="1:24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52</v>
      </c>
      <c r="G45" s="3">
        <v>12</v>
      </c>
      <c r="H45" s="35"/>
      <c r="I45" s="36"/>
      <c r="J45" s="36"/>
      <c r="K45" s="5"/>
      <c r="L45" s="37"/>
      <c r="M45" s="5"/>
      <c r="N45" s="5"/>
      <c r="O45" s="6"/>
      <c r="P45" s="7">
        <f t="shared" si="4"/>
        <v>0</v>
      </c>
      <c r="Q45" s="5"/>
      <c r="R45" s="5"/>
      <c r="S45" s="5"/>
      <c r="T45" s="5">
        <f t="shared" si="5"/>
        <v>0</v>
      </c>
      <c r="U45" s="5">
        <f t="shared" si="6"/>
        <v>0</v>
      </c>
      <c r="V45" s="38">
        <f t="shared" si="7"/>
        <v>0</v>
      </c>
      <c r="W45" s="2"/>
      <c r="X45" s="2"/>
    </row>
    <row r="46" spans="1:24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52</v>
      </c>
      <c r="G46" s="3">
        <v>12</v>
      </c>
      <c r="H46" s="35"/>
      <c r="I46" s="36"/>
      <c r="J46" s="36"/>
      <c r="K46" s="5"/>
      <c r="L46" s="37"/>
      <c r="M46" s="5"/>
      <c r="N46" s="5"/>
      <c r="O46" s="6"/>
      <c r="P46" s="7">
        <f t="shared" si="4"/>
        <v>0</v>
      </c>
      <c r="Q46" s="5"/>
      <c r="R46" s="5"/>
      <c r="S46" s="5"/>
      <c r="T46" s="5">
        <f t="shared" si="5"/>
        <v>0</v>
      </c>
      <c r="U46" s="5">
        <f t="shared" si="6"/>
        <v>0</v>
      </c>
      <c r="V46" s="38">
        <f t="shared" si="7"/>
        <v>0</v>
      </c>
      <c r="W46" s="2"/>
      <c r="X46" s="2"/>
    </row>
    <row r="47" spans="1:24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52</v>
      </c>
      <c r="G47" s="3">
        <v>12</v>
      </c>
      <c r="H47" s="35"/>
      <c r="I47" s="36"/>
      <c r="J47" s="36"/>
      <c r="K47" s="5"/>
      <c r="L47" s="37"/>
      <c r="M47" s="5"/>
      <c r="N47" s="5"/>
      <c r="O47" s="6"/>
      <c r="P47" s="7">
        <f t="shared" si="4"/>
        <v>0</v>
      </c>
      <c r="Q47" s="5"/>
      <c r="R47" s="5"/>
      <c r="S47" s="5"/>
      <c r="T47" s="5">
        <f t="shared" si="5"/>
        <v>0</v>
      </c>
      <c r="U47" s="5">
        <f t="shared" si="6"/>
        <v>0</v>
      </c>
      <c r="V47" s="38">
        <f t="shared" si="7"/>
        <v>0</v>
      </c>
      <c r="W47" s="2"/>
      <c r="X47" s="2"/>
    </row>
    <row r="48" spans="1:24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52</v>
      </c>
      <c r="G48" s="3">
        <v>12</v>
      </c>
      <c r="H48" s="35"/>
      <c r="I48" s="36"/>
      <c r="J48" s="36"/>
      <c r="K48" s="5"/>
      <c r="L48" s="37"/>
      <c r="M48" s="5"/>
      <c r="N48" s="5"/>
      <c r="O48" s="6"/>
      <c r="P48" s="7">
        <f t="shared" si="4"/>
        <v>0</v>
      </c>
      <c r="Q48" s="5"/>
      <c r="R48" s="5"/>
      <c r="S48" s="5"/>
      <c r="T48" s="5">
        <f t="shared" si="5"/>
        <v>0</v>
      </c>
      <c r="U48" s="5">
        <f t="shared" si="6"/>
        <v>0</v>
      </c>
      <c r="V48" s="38">
        <f t="shared" si="7"/>
        <v>0</v>
      </c>
      <c r="W48" s="2"/>
      <c r="X48" s="2"/>
    </row>
    <row r="49" spans="1:24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52</v>
      </c>
      <c r="G49" s="3">
        <v>12</v>
      </c>
      <c r="H49" s="35"/>
      <c r="I49" s="36"/>
      <c r="J49" s="36"/>
      <c r="K49" s="5"/>
      <c r="L49" s="37"/>
      <c r="M49" s="5"/>
      <c r="N49" s="5"/>
      <c r="O49" s="6"/>
      <c r="P49" s="7">
        <f t="shared" si="4"/>
        <v>0</v>
      </c>
      <c r="Q49" s="5"/>
      <c r="R49" s="5"/>
      <c r="S49" s="5"/>
      <c r="T49" s="5">
        <f t="shared" si="5"/>
        <v>0</v>
      </c>
      <c r="U49" s="5">
        <f t="shared" si="6"/>
        <v>0</v>
      </c>
      <c r="V49" s="38">
        <f t="shared" si="7"/>
        <v>0</v>
      </c>
      <c r="W49" s="2"/>
      <c r="X49" s="2"/>
    </row>
    <row r="50" spans="1:24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52</v>
      </c>
      <c r="G50" s="3">
        <v>12</v>
      </c>
      <c r="H50" s="35"/>
      <c r="I50" s="36"/>
      <c r="J50" s="36"/>
      <c r="K50" s="5"/>
      <c r="L50" s="37"/>
      <c r="M50" s="5"/>
      <c r="N50" s="5"/>
      <c r="O50" s="6"/>
      <c r="P50" s="7">
        <f t="shared" si="4"/>
        <v>0</v>
      </c>
      <c r="Q50" s="5"/>
      <c r="R50" s="5"/>
      <c r="S50" s="5"/>
      <c r="T50" s="5">
        <f t="shared" si="5"/>
        <v>0</v>
      </c>
      <c r="U50" s="5">
        <f t="shared" si="6"/>
        <v>0</v>
      </c>
      <c r="V50" s="38">
        <f t="shared" si="7"/>
        <v>0</v>
      </c>
      <c r="W50" s="2"/>
      <c r="X50" s="2"/>
    </row>
    <row r="51" spans="1:24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52</v>
      </c>
      <c r="G51" s="3">
        <v>12</v>
      </c>
      <c r="H51" s="35"/>
      <c r="I51" s="36"/>
      <c r="J51" s="36"/>
      <c r="K51" s="5"/>
      <c r="L51" s="37"/>
      <c r="M51" s="5"/>
      <c r="N51" s="5"/>
      <c r="O51" s="6"/>
      <c r="P51" s="7">
        <f t="shared" si="4"/>
        <v>0</v>
      </c>
      <c r="Q51" s="5"/>
      <c r="R51" s="5"/>
      <c r="S51" s="5"/>
      <c r="T51" s="5">
        <f t="shared" si="5"/>
        <v>0</v>
      </c>
      <c r="U51" s="5">
        <f t="shared" si="6"/>
        <v>0</v>
      </c>
      <c r="V51" s="38">
        <f t="shared" si="7"/>
        <v>0</v>
      </c>
      <c r="W51" s="2"/>
      <c r="X51" s="2"/>
    </row>
    <row r="52" spans="1:24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52</v>
      </c>
      <c r="G52" s="3">
        <v>12</v>
      </c>
      <c r="H52" s="35"/>
      <c r="I52" s="36"/>
      <c r="J52" s="36"/>
      <c r="K52" s="5"/>
      <c r="L52" s="37"/>
      <c r="M52" s="5"/>
      <c r="N52" s="5"/>
      <c r="O52" s="6"/>
      <c r="P52" s="7">
        <f t="shared" si="4"/>
        <v>0</v>
      </c>
      <c r="Q52" s="5"/>
      <c r="R52" s="5"/>
      <c r="S52" s="5"/>
      <c r="T52" s="5">
        <f t="shared" si="5"/>
        <v>0</v>
      </c>
      <c r="U52" s="5">
        <f t="shared" si="6"/>
        <v>0</v>
      </c>
      <c r="V52" s="38">
        <f t="shared" si="7"/>
        <v>0</v>
      </c>
      <c r="W52" s="2"/>
      <c r="X52" s="2"/>
    </row>
    <row r="53" spans="1:24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52</v>
      </c>
      <c r="G53" s="3">
        <v>12</v>
      </c>
      <c r="H53" s="35"/>
      <c r="I53" s="36"/>
      <c r="J53" s="36"/>
      <c r="K53" s="5"/>
      <c r="L53" s="37"/>
      <c r="M53" s="5"/>
      <c r="N53" s="5"/>
      <c r="O53" s="6"/>
      <c r="P53" s="7">
        <f t="shared" si="4"/>
        <v>0</v>
      </c>
      <c r="Q53" s="5"/>
      <c r="R53" s="5"/>
      <c r="S53" s="5"/>
      <c r="T53" s="5">
        <f t="shared" si="5"/>
        <v>0</v>
      </c>
      <c r="U53" s="5">
        <f t="shared" si="6"/>
        <v>0</v>
      </c>
      <c r="V53" s="38">
        <f t="shared" si="7"/>
        <v>0</v>
      </c>
      <c r="W53" s="2"/>
      <c r="X53" s="2"/>
    </row>
    <row r="54" spans="1:24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52</v>
      </c>
      <c r="G54" s="3">
        <v>12</v>
      </c>
      <c r="H54" s="35"/>
      <c r="I54" s="36"/>
      <c r="J54" s="36"/>
      <c r="K54" s="5"/>
      <c r="L54" s="37"/>
      <c r="M54" s="5"/>
      <c r="N54" s="5"/>
      <c r="O54" s="6"/>
      <c r="P54" s="7">
        <f t="shared" si="4"/>
        <v>0</v>
      </c>
      <c r="Q54" s="5"/>
      <c r="R54" s="5"/>
      <c r="S54" s="5"/>
      <c r="T54" s="5">
        <f t="shared" si="5"/>
        <v>0</v>
      </c>
      <c r="U54" s="5">
        <f t="shared" si="6"/>
        <v>0</v>
      </c>
      <c r="V54" s="38">
        <f t="shared" si="7"/>
        <v>0</v>
      </c>
      <c r="W54" s="2"/>
      <c r="X54" s="2"/>
    </row>
    <row r="55" spans="1:24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52</v>
      </c>
      <c r="G55" s="3">
        <v>12</v>
      </c>
      <c r="H55" s="35"/>
      <c r="I55" s="36"/>
      <c r="J55" s="36"/>
      <c r="K55" s="5"/>
      <c r="L55" s="37"/>
      <c r="M55" s="5"/>
      <c r="N55" s="5"/>
      <c r="O55" s="6"/>
      <c r="P55" s="7">
        <f t="shared" si="4"/>
        <v>0</v>
      </c>
      <c r="Q55" s="5"/>
      <c r="R55" s="5"/>
      <c r="S55" s="5"/>
      <c r="T55" s="5">
        <f t="shared" si="5"/>
        <v>0</v>
      </c>
      <c r="U55" s="5">
        <f t="shared" si="6"/>
        <v>0</v>
      </c>
      <c r="V55" s="38">
        <f t="shared" si="7"/>
        <v>0</v>
      </c>
      <c r="W55" s="2"/>
      <c r="X55" s="2"/>
    </row>
    <row r="56" spans="1:24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52</v>
      </c>
      <c r="G56" s="3">
        <v>12</v>
      </c>
      <c r="H56" s="35"/>
      <c r="I56" s="36"/>
      <c r="J56" s="36"/>
      <c r="K56" s="5"/>
      <c r="L56" s="37"/>
      <c r="M56" s="5"/>
      <c r="N56" s="5"/>
      <c r="O56" s="6"/>
      <c r="P56" s="7">
        <f t="shared" si="4"/>
        <v>0</v>
      </c>
      <c r="Q56" s="5"/>
      <c r="R56" s="5"/>
      <c r="S56" s="5"/>
      <c r="T56" s="5">
        <f t="shared" si="5"/>
        <v>0</v>
      </c>
      <c r="U56" s="5">
        <f t="shared" si="6"/>
        <v>0</v>
      </c>
      <c r="V56" s="38">
        <f t="shared" si="7"/>
        <v>0</v>
      </c>
      <c r="W56" s="2"/>
      <c r="X56" s="2"/>
    </row>
    <row r="57" spans="1:24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52</v>
      </c>
      <c r="G57" s="3">
        <v>12</v>
      </c>
      <c r="H57" s="35"/>
      <c r="I57" s="36"/>
      <c r="J57" s="36"/>
      <c r="K57" s="5"/>
      <c r="L57" s="37"/>
      <c r="M57" s="5"/>
      <c r="N57" s="5"/>
      <c r="O57" s="6"/>
      <c r="P57" s="7">
        <f t="shared" si="4"/>
        <v>0</v>
      </c>
      <c r="Q57" s="5"/>
      <c r="R57" s="5"/>
      <c r="S57" s="5"/>
      <c r="T57" s="5">
        <f t="shared" si="5"/>
        <v>0</v>
      </c>
      <c r="U57" s="5">
        <f t="shared" si="6"/>
        <v>0</v>
      </c>
      <c r="V57" s="38">
        <f t="shared" si="7"/>
        <v>0</v>
      </c>
      <c r="W57" s="2"/>
      <c r="X57" s="2"/>
    </row>
    <row r="58" spans="1:24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52</v>
      </c>
      <c r="G58" s="3">
        <v>12</v>
      </c>
      <c r="H58" s="35"/>
      <c r="I58" s="36"/>
      <c r="J58" s="36"/>
      <c r="K58" s="5"/>
      <c r="L58" s="37"/>
      <c r="M58" s="5"/>
      <c r="N58" s="5"/>
      <c r="O58" s="6"/>
      <c r="P58" s="7">
        <f t="shared" si="4"/>
        <v>0</v>
      </c>
      <c r="Q58" s="5"/>
      <c r="R58" s="5"/>
      <c r="S58" s="5"/>
      <c r="T58" s="5">
        <f t="shared" si="5"/>
        <v>0</v>
      </c>
      <c r="U58" s="5">
        <f t="shared" si="6"/>
        <v>0</v>
      </c>
      <c r="V58" s="38">
        <f t="shared" si="7"/>
        <v>0</v>
      </c>
      <c r="W58" s="2"/>
      <c r="X58" s="2"/>
    </row>
    <row r="59" spans="1:24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52</v>
      </c>
      <c r="G59" s="3">
        <v>12</v>
      </c>
      <c r="H59" s="35"/>
      <c r="I59" s="36"/>
      <c r="J59" s="36"/>
      <c r="K59" s="5"/>
      <c r="L59" s="37"/>
      <c r="M59" s="5"/>
      <c r="N59" s="5"/>
      <c r="O59" s="6"/>
      <c r="P59" s="7">
        <f t="shared" si="4"/>
        <v>0</v>
      </c>
      <c r="Q59" s="5"/>
      <c r="R59" s="5"/>
      <c r="S59" s="5"/>
      <c r="T59" s="5">
        <f t="shared" si="5"/>
        <v>0</v>
      </c>
      <c r="U59" s="5">
        <f t="shared" si="6"/>
        <v>0</v>
      </c>
      <c r="V59" s="38">
        <f t="shared" si="7"/>
        <v>0</v>
      </c>
      <c r="W59" s="2"/>
      <c r="X59" s="2"/>
    </row>
    <row r="60" spans="1:24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52</v>
      </c>
      <c r="G60" s="3">
        <v>12</v>
      </c>
      <c r="H60" s="35"/>
      <c r="I60" s="36"/>
      <c r="J60" s="36"/>
      <c r="K60" s="5"/>
      <c r="L60" s="37"/>
      <c r="M60" s="5"/>
      <c r="N60" s="5"/>
      <c r="O60" s="6"/>
      <c r="P60" s="7">
        <f t="shared" si="4"/>
        <v>0</v>
      </c>
      <c r="Q60" s="5"/>
      <c r="R60" s="5"/>
      <c r="S60" s="5"/>
      <c r="T60" s="5">
        <f t="shared" si="5"/>
        <v>0</v>
      </c>
      <c r="U60" s="5">
        <f t="shared" si="6"/>
        <v>0</v>
      </c>
      <c r="V60" s="38">
        <f t="shared" si="7"/>
        <v>0</v>
      </c>
      <c r="W60" s="2"/>
      <c r="X60" s="2"/>
    </row>
    <row r="61" spans="1:24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52</v>
      </c>
      <c r="G61" s="3">
        <v>12</v>
      </c>
      <c r="H61" s="35"/>
      <c r="I61" s="36"/>
      <c r="J61" s="36"/>
      <c r="K61" s="5"/>
      <c r="L61" s="37"/>
      <c r="M61" s="5"/>
      <c r="N61" s="5"/>
      <c r="O61" s="6"/>
      <c r="P61" s="7">
        <f t="shared" si="4"/>
        <v>0</v>
      </c>
      <c r="Q61" s="5"/>
      <c r="R61" s="5"/>
      <c r="S61" s="5"/>
      <c r="T61" s="5">
        <f t="shared" si="5"/>
        <v>0</v>
      </c>
      <c r="U61" s="5">
        <f t="shared" si="6"/>
        <v>0</v>
      </c>
      <c r="V61" s="38">
        <f t="shared" si="7"/>
        <v>0</v>
      </c>
      <c r="W61" s="2"/>
      <c r="X61" s="2"/>
    </row>
    <row r="62" spans="1:24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52</v>
      </c>
      <c r="G62" s="3">
        <v>12</v>
      </c>
      <c r="H62" s="35"/>
      <c r="I62" s="36"/>
      <c r="J62" s="36"/>
      <c r="K62" s="5"/>
      <c r="L62" s="37"/>
      <c r="M62" s="5"/>
      <c r="N62" s="5"/>
      <c r="O62" s="6"/>
      <c r="P62" s="7">
        <f t="shared" si="4"/>
        <v>0</v>
      </c>
      <c r="Q62" s="5"/>
      <c r="R62" s="5"/>
      <c r="S62" s="5"/>
      <c r="T62" s="5">
        <f t="shared" si="5"/>
        <v>0</v>
      </c>
      <c r="U62" s="5">
        <f t="shared" si="6"/>
        <v>0</v>
      </c>
      <c r="V62" s="38">
        <f t="shared" si="7"/>
        <v>0</v>
      </c>
      <c r="W62" s="2"/>
      <c r="X62" s="2"/>
    </row>
    <row r="63" spans="1:24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52</v>
      </c>
      <c r="G63" s="3">
        <v>12</v>
      </c>
      <c r="H63" s="35"/>
      <c r="I63" s="36"/>
      <c r="J63" s="36"/>
      <c r="K63" s="5"/>
      <c r="L63" s="37"/>
      <c r="M63" s="5"/>
      <c r="N63" s="5"/>
      <c r="O63" s="6"/>
      <c r="P63" s="7">
        <f t="shared" si="4"/>
        <v>0</v>
      </c>
      <c r="Q63" s="5"/>
      <c r="R63" s="5"/>
      <c r="S63" s="5"/>
      <c r="T63" s="5">
        <f t="shared" si="5"/>
        <v>0</v>
      </c>
      <c r="U63" s="5">
        <f t="shared" si="6"/>
        <v>0</v>
      </c>
      <c r="V63" s="38">
        <f t="shared" si="7"/>
        <v>0</v>
      </c>
      <c r="W63" s="2"/>
      <c r="X63" s="2"/>
    </row>
    <row r="64" spans="1:24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52</v>
      </c>
      <c r="G64" s="3">
        <v>12</v>
      </c>
      <c r="H64" s="35"/>
      <c r="I64" s="36"/>
      <c r="J64" s="36"/>
      <c r="K64" s="5"/>
      <c r="L64" s="37"/>
      <c r="M64" s="5"/>
      <c r="N64" s="5"/>
      <c r="O64" s="6"/>
      <c r="P64" s="7">
        <f t="shared" si="4"/>
        <v>0</v>
      </c>
      <c r="Q64" s="5"/>
      <c r="R64" s="5"/>
      <c r="S64" s="5"/>
      <c r="T64" s="5">
        <f t="shared" si="5"/>
        <v>0</v>
      </c>
      <c r="U64" s="5">
        <f t="shared" si="6"/>
        <v>0</v>
      </c>
      <c r="V64" s="38">
        <f t="shared" si="7"/>
        <v>0</v>
      </c>
      <c r="W64" s="2"/>
      <c r="X64" s="2"/>
    </row>
    <row r="65" spans="1:24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52</v>
      </c>
      <c r="G65" s="3">
        <v>12</v>
      </c>
      <c r="H65" s="35"/>
      <c r="I65" s="36"/>
      <c r="J65" s="36"/>
      <c r="K65" s="5"/>
      <c r="L65" s="37"/>
      <c r="M65" s="5"/>
      <c r="N65" s="5"/>
      <c r="O65" s="6"/>
      <c r="P65" s="7">
        <f t="shared" si="4"/>
        <v>0</v>
      </c>
      <c r="Q65" s="5"/>
      <c r="R65" s="5"/>
      <c r="S65" s="5"/>
      <c r="T65" s="5">
        <f t="shared" si="5"/>
        <v>0</v>
      </c>
      <c r="U65" s="5">
        <f t="shared" si="6"/>
        <v>0</v>
      </c>
      <c r="V65" s="38">
        <f t="shared" si="7"/>
        <v>0</v>
      </c>
      <c r="W65" s="2"/>
      <c r="X65" s="2"/>
    </row>
    <row r="66" spans="1:24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52</v>
      </c>
      <c r="G66" s="3">
        <v>12</v>
      </c>
      <c r="H66" s="35"/>
      <c r="I66" s="36"/>
      <c r="J66" s="36"/>
      <c r="K66" s="5"/>
      <c r="L66" s="37"/>
      <c r="M66" s="5"/>
      <c r="N66" s="5"/>
      <c r="O66" s="6"/>
      <c r="P66" s="7">
        <f t="shared" si="4"/>
        <v>0</v>
      </c>
      <c r="Q66" s="5"/>
      <c r="R66" s="5"/>
      <c r="S66" s="5"/>
      <c r="T66" s="5">
        <f t="shared" si="5"/>
        <v>0</v>
      </c>
      <c r="U66" s="5">
        <f t="shared" si="6"/>
        <v>0</v>
      </c>
      <c r="V66" s="38">
        <f t="shared" si="7"/>
        <v>0</v>
      </c>
      <c r="W66" s="2"/>
      <c r="X66" s="2"/>
    </row>
    <row r="67" spans="1:24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52</v>
      </c>
      <c r="G67" s="3">
        <v>12</v>
      </c>
      <c r="H67" s="35"/>
      <c r="I67" s="36"/>
      <c r="J67" s="36"/>
      <c r="K67" s="5"/>
      <c r="L67" s="37"/>
      <c r="M67" s="5"/>
      <c r="N67" s="5"/>
      <c r="O67" s="6"/>
      <c r="P67" s="7">
        <f t="shared" si="4"/>
        <v>0</v>
      </c>
      <c r="Q67" s="5"/>
      <c r="R67" s="5"/>
      <c r="S67" s="5"/>
      <c r="T67" s="5">
        <f t="shared" si="5"/>
        <v>0</v>
      </c>
      <c r="U67" s="5">
        <f t="shared" si="6"/>
        <v>0</v>
      </c>
      <c r="V67" s="38">
        <f t="shared" si="7"/>
        <v>0</v>
      </c>
      <c r="W67" s="2"/>
      <c r="X67" s="2"/>
    </row>
    <row r="68" spans="1:24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52</v>
      </c>
      <c r="G68" s="3">
        <v>12</v>
      </c>
      <c r="H68" s="35"/>
      <c r="I68" s="36"/>
      <c r="J68" s="36"/>
      <c r="K68" s="5"/>
      <c r="L68" s="37"/>
      <c r="M68" s="5"/>
      <c r="N68" s="5"/>
      <c r="O68" s="6"/>
      <c r="P68" s="7">
        <f t="shared" si="4"/>
        <v>0</v>
      </c>
      <c r="Q68" s="5"/>
      <c r="R68" s="5"/>
      <c r="S68" s="5"/>
      <c r="T68" s="5">
        <f t="shared" si="5"/>
        <v>0</v>
      </c>
      <c r="U68" s="5">
        <f t="shared" si="6"/>
        <v>0</v>
      </c>
      <c r="V68" s="38">
        <f t="shared" si="7"/>
        <v>0</v>
      </c>
      <c r="W68" s="2"/>
      <c r="X68" s="2"/>
    </row>
    <row r="69" spans="1:24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52</v>
      </c>
      <c r="G69" s="3">
        <v>12</v>
      </c>
      <c r="H69" s="35"/>
      <c r="I69" s="36"/>
      <c r="J69" s="36"/>
      <c r="K69" s="5"/>
      <c r="L69" s="37"/>
      <c r="M69" s="5"/>
      <c r="N69" s="5"/>
      <c r="O69" s="6"/>
      <c r="P69" s="7">
        <f t="shared" ref="P69:P132" si="8">M69+(0.05*N69)+(O69/240)</f>
        <v>0</v>
      </c>
      <c r="Q69" s="5"/>
      <c r="R69" s="5"/>
      <c r="S69" s="5"/>
      <c r="T69" s="5">
        <f t="shared" ref="T69:T132" si="9">Q69+(R69*0.05)+(S69/240)</f>
        <v>0</v>
      </c>
      <c r="U69" s="5">
        <f t="shared" ref="U69:U132" si="10">K69*P69</f>
        <v>0</v>
      </c>
      <c r="V69" s="38">
        <f t="shared" si="7"/>
        <v>0</v>
      </c>
      <c r="W69" s="2"/>
      <c r="X69" s="2"/>
    </row>
    <row r="70" spans="1:24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52</v>
      </c>
      <c r="G70" s="3">
        <v>12</v>
      </c>
      <c r="H70" s="35"/>
      <c r="I70" s="36"/>
      <c r="J70" s="36"/>
      <c r="K70" s="5"/>
      <c r="L70" s="37"/>
      <c r="M70" s="5"/>
      <c r="N70" s="5"/>
      <c r="O70" s="6"/>
      <c r="P70" s="7">
        <f t="shared" si="8"/>
        <v>0</v>
      </c>
      <c r="Q70" s="5"/>
      <c r="R70" s="5"/>
      <c r="S70" s="5"/>
      <c r="T70" s="5">
        <f t="shared" si="9"/>
        <v>0</v>
      </c>
      <c r="U70" s="5">
        <f t="shared" si="10"/>
        <v>0</v>
      </c>
      <c r="V70" s="38">
        <f t="shared" ref="V70:V133" si="11">T70-U70</f>
        <v>0</v>
      </c>
      <c r="W70" s="2"/>
      <c r="X70" s="2"/>
    </row>
    <row r="71" spans="1:24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52</v>
      </c>
      <c r="G71" s="3">
        <v>12</v>
      </c>
      <c r="H71" s="35"/>
      <c r="I71" s="36"/>
      <c r="J71" s="36"/>
      <c r="K71" s="5"/>
      <c r="L71" s="37"/>
      <c r="M71" s="5"/>
      <c r="N71" s="5"/>
      <c r="O71" s="6"/>
      <c r="P71" s="7">
        <f t="shared" si="8"/>
        <v>0</v>
      </c>
      <c r="Q71" s="5"/>
      <c r="R71" s="5"/>
      <c r="S71" s="5"/>
      <c r="T71" s="5">
        <f t="shared" si="9"/>
        <v>0</v>
      </c>
      <c r="U71" s="5">
        <f t="shared" si="10"/>
        <v>0</v>
      </c>
      <c r="V71" s="38">
        <f t="shared" si="11"/>
        <v>0</v>
      </c>
      <c r="W71" s="2"/>
      <c r="X71" s="2"/>
    </row>
    <row r="72" spans="1:24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52</v>
      </c>
      <c r="G72" s="3">
        <v>12</v>
      </c>
      <c r="H72" s="35"/>
      <c r="I72" s="36"/>
      <c r="J72" s="36"/>
      <c r="K72" s="5"/>
      <c r="L72" s="37"/>
      <c r="M72" s="5"/>
      <c r="N72" s="5"/>
      <c r="O72" s="6"/>
      <c r="P72" s="7">
        <f t="shared" si="8"/>
        <v>0</v>
      </c>
      <c r="Q72" s="5"/>
      <c r="R72" s="5"/>
      <c r="S72" s="5"/>
      <c r="T72" s="5">
        <f t="shared" si="9"/>
        <v>0</v>
      </c>
      <c r="U72" s="5">
        <f t="shared" si="10"/>
        <v>0</v>
      </c>
      <c r="V72" s="38">
        <f t="shared" si="11"/>
        <v>0</v>
      </c>
      <c r="W72" s="2"/>
      <c r="X72" s="2"/>
    </row>
    <row r="73" spans="1:24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52</v>
      </c>
      <c r="G73" s="3">
        <v>12</v>
      </c>
      <c r="H73" s="35"/>
      <c r="I73" s="36"/>
      <c r="J73" s="36"/>
      <c r="K73" s="5"/>
      <c r="L73" s="37"/>
      <c r="M73" s="5"/>
      <c r="N73" s="5"/>
      <c r="O73" s="6"/>
      <c r="P73" s="7">
        <f t="shared" si="8"/>
        <v>0</v>
      </c>
      <c r="Q73" s="5"/>
      <c r="R73" s="5"/>
      <c r="S73" s="5"/>
      <c r="T73" s="5">
        <f t="shared" si="9"/>
        <v>0</v>
      </c>
      <c r="U73" s="5">
        <f t="shared" si="10"/>
        <v>0</v>
      </c>
      <c r="V73" s="38">
        <f t="shared" si="11"/>
        <v>0</v>
      </c>
      <c r="W73" s="2"/>
      <c r="X73" s="2"/>
    </row>
    <row r="74" spans="1:24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52</v>
      </c>
      <c r="G74" s="3">
        <v>12</v>
      </c>
      <c r="H74" s="35"/>
      <c r="I74" s="36"/>
      <c r="J74" s="36"/>
      <c r="K74" s="5"/>
      <c r="L74" s="37"/>
      <c r="M74" s="5"/>
      <c r="N74" s="5"/>
      <c r="O74" s="6"/>
      <c r="P74" s="7">
        <f t="shared" si="8"/>
        <v>0</v>
      </c>
      <c r="Q74" s="5"/>
      <c r="R74" s="5"/>
      <c r="S74" s="5"/>
      <c r="T74" s="5">
        <f t="shared" si="9"/>
        <v>0</v>
      </c>
      <c r="U74" s="5">
        <f t="shared" si="10"/>
        <v>0</v>
      </c>
      <c r="V74" s="38">
        <f t="shared" si="11"/>
        <v>0</v>
      </c>
      <c r="W74" s="2"/>
      <c r="X74" s="2"/>
    </row>
    <row r="75" spans="1:24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52</v>
      </c>
      <c r="G75" s="3">
        <v>12</v>
      </c>
      <c r="H75" s="35"/>
      <c r="I75" s="36"/>
      <c r="J75" s="36"/>
      <c r="K75" s="5"/>
      <c r="L75" s="37"/>
      <c r="M75" s="5"/>
      <c r="N75" s="5"/>
      <c r="O75" s="6"/>
      <c r="P75" s="7">
        <f t="shared" si="8"/>
        <v>0</v>
      </c>
      <c r="Q75" s="5"/>
      <c r="R75" s="5"/>
      <c r="S75" s="5"/>
      <c r="T75" s="5">
        <f t="shared" si="9"/>
        <v>0</v>
      </c>
      <c r="U75" s="5">
        <f t="shared" si="10"/>
        <v>0</v>
      </c>
      <c r="V75" s="38">
        <f t="shared" si="11"/>
        <v>0</v>
      </c>
      <c r="W75" s="2"/>
      <c r="X75" s="2"/>
    </row>
    <row r="76" spans="1:24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52</v>
      </c>
      <c r="G76" s="3">
        <v>12</v>
      </c>
      <c r="H76" s="35"/>
      <c r="I76" s="36"/>
      <c r="J76" s="36"/>
      <c r="K76" s="5"/>
      <c r="L76" s="37"/>
      <c r="M76" s="5"/>
      <c r="N76" s="5"/>
      <c r="O76" s="6"/>
      <c r="P76" s="7">
        <f t="shared" si="8"/>
        <v>0</v>
      </c>
      <c r="Q76" s="5"/>
      <c r="R76" s="5"/>
      <c r="S76" s="5"/>
      <c r="T76" s="5">
        <f t="shared" si="9"/>
        <v>0</v>
      </c>
      <c r="U76" s="5">
        <f t="shared" si="10"/>
        <v>0</v>
      </c>
      <c r="V76" s="38">
        <f t="shared" si="11"/>
        <v>0</v>
      </c>
      <c r="W76" s="2"/>
      <c r="X76" s="2"/>
    </row>
    <row r="77" spans="1:24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52</v>
      </c>
      <c r="G77" s="3">
        <v>12</v>
      </c>
      <c r="H77" s="35"/>
      <c r="I77" s="36"/>
      <c r="J77" s="36"/>
      <c r="K77" s="5"/>
      <c r="L77" s="37"/>
      <c r="M77" s="5"/>
      <c r="N77" s="5"/>
      <c r="O77" s="6"/>
      <c r="P77" s="7">
        <f t="shared" si="8"/>
        <v>0</v>
      </c>
      <c r="Q77" s="5"/>
      <c r="R77" s="5"/>
      <c r="S77" s="5"/>
      <c r="T77" s="5">
        <f t="shared" si="9"/>
        <v>0</v>
      </c>
      <c r="U77" s="5">
        <f t="shared" si="10"/>
        <v>0</v>
      </c>
      <c r="V77" s="38">
        <f t="shared" si="11"/>
        <v>0</v>
      </c>
      <c r="W77" s="2"/>
      <c r="X77" s="2"/>
    </row>
    <row r="78" spans="1:24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52</v>
      </c>
      <c r="G78" s="3">
        <v>12</v>
      </c>
      <c r="H78" s="35"/>
      <c r="I78" s="36"/>
      <c r="J78" s="36"/>
      <c r="K78" s="5"/>
      <c r="L78" s="37"/>
      <c r="M78" s="5"/>
      <c r="N78" s="5"/>
      <c r="O78" s="6"/>
      <c r="P78" s="7">
        <f t="shared" si="8"/>
        <v>0</v>
      </c>
      <c r="Q78" s="5"/>
      <c r="R78" s="5"/>
      <c r="S78" s="5"/>
      <c r="T78" s="5">
        <f t="shared" si="9"/>
        <v>0</v>
      </c>
      <c r="U78" s="5">
        <f t="shared" si="10"/>
        <v>0</v>
      </c>
      <c r="V78" s="38">
        <f t="shared" si="11"/>
        <v>0</v>
      </c>
      <c r="W78" s="2"/>
      <c r="X78" s="2"/>
    </row>
    <row r="79" spans="1:24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52</v>
      </c>
      <c r="G79" s="3">
        <v>12</v>
      </c>
      <c r="H79" s="35"/>
      <c r="I79" s="36"/>
      <c r="J79" s="36"/>
      <c r="K79" s="5"/>
      <c r="L79" s="37"/>
      <c r="M79" s="5"/>
      <c r="N79" s="5"/>
      <c r="O79" s="6"/>
      <c r="P79" s="7">
        <f t="shared" si="8"/>
        <v>0</v>
      </c>
      <c r="Q79" s="5"/>
      <c r="R79" s="5"/>
      <c r="S79" s="5"/>
      <c r="T79" s="5">
        <f t="shared" si="9"/>
        <v>0</v>
      </c>
      <c r="U79" s="5">
        <f t="shared" si="10"/>
        <v>0</v>
      </c>
      <c r="V79" s="38">
        <f t="shared" si="11"/>
        <v>0</v>
      </c>
      <c r="W79" s="2"/>
      <c r="X79" s="2"/>
    </row>
    <row r="80" spans="1:24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52</v>
      </c>
      <c r="G80" s="3">
        <v>12</v>
      </c>
      <c r="H80" s="35"/>
      <c r="I80" s="36"/>
      <c r="J80" s="36"/>
      <c r="K80" s="5"/>
      <c r="L80" s="37"/>
      <c r="M80" s="5"/>
      <c r="N80" s="5"/>
      <c r="O80" s="6"/>
      <c r="P80" s="7">
        <f t="shared" si="8"/>
        <v>0</v>
      </c>
      <c r="Q80" s="5"/>
      <c r="R80" s="5"/>
      <c r="S80" s="5"/>
      <c r="T80" s="5">
        <f t="shared" si="9"/>
        <v>0</v>
      </c>
      <c r="U80" s="5">
        <f t="shared" si="10"/>
        <v>0</v>
      </c>
      <c r="V80" s="38">
        <f t="shared" si="11"/>
        <v>0</v>
      </c>
      <c r="W80" s="2"/>
      <c r="X80" s="2"/>
    </row>
    <row r="81" spans="1:24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52</v>
      </c>
      <c r="G81" s="3">
        <v>12</v>
      </c>
      <c r="H81" s="35"/>
      <c r="I81" s="36"/>
      <c r="J81" s="36"/>
      <c r="K81" s="5"/>
      <c r="L81" s="37"/>
      <c r="M81" s="5"/>
      <c r="N81" s="5"/>
      <c r="O81" s="6"/>
      <c r="P81" s="7">
        <f t="shared" si="8"/>
        <v>0</v>
      </c>
      <c r="Q81" s="5"/>
      <c r="R81" s="5"/>
      <c r="S81" s="5"/>
      <c r="T81" s="5">
        <f t="shared" si="9"/>
        <v>0</v>
      </c>
      <c r="U81" s="5">
        <f t="shared" si="10"/>
        <v>0</v>
      </c>
      <c r="V81" s="38">
        <f t="shared" si="11"/>
        <v>0</v>
      </c>
      <c r="W81" s="2"/>
      <c r="X81" s="2"/>
    </row>
    <row r="82" spans="1:24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52</v>
      </c>
      <c r="G82" s="3">
        <v>12</v>
      </c>
      <c r="H82" s="35"/>
      <c r="I82" s="36"/>
      <c r="J82" s="36"/>
      <c r="K82" s="5"/>
      <c r="L82" s="37"/>
      <c r="M82" s="5"/>
      <c r="N82" s="5"/>
      <c r="O82" s="6"/>
      <c r="P82" s="7">
        <f t="shared" si="8"/>
        <v>0</v>
      </c>
      <c r="Q82" s="5"/>
      <c r="R82" s="5"/>
      <c r="S82" s="5"/>
      <c r="T82" s="5">
        <f t="shared" si="9"/>
        <v>0</v>
      </c>
      <c r="U82" s="5">
        <f t="shared" si="10"/>
        <v>0</v>
      </c>
      <c r="V82" s="38">
        <f t="shared" si="11"/>
        <v>0</v>
      </c>
      <c r="W82" s="2"/>
      <c r="X82" s="2"/>
    </row>
    <row r="83" spans="1:24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52</v>
      </c>
      <c r="G83" s="3">
        <v>12</v>
      </c>
      <c r="H83" s="35"/>
      <c r="I83" s="36"/>
      <c r="J83" s="36"/>
      <c r="K83" s="5"/>
      <c r="L83" s="37"/>
      <c r="M83" s="5"/>
      <c r="N83" s="5"/>
      <c r="O83" s="6"/>
      <c r="P83" s="7">
        <f t="shared" si="8"/>
        <v>0</v>
      </c>
      <c r="Q83" s="5"/>
      <c r="R83" s="5"/>
      <c r="S83" s="5"/>
      <c r="T83" s="5">
        <f t="shared" si="9"/>
        <v>0</v>
      </c>
      <c r="U83" s="5">
        <f t="shared" si="10"/>
        <v>0</v>
      </c>
      <c r="V83" s="38">
        <f t="shared" si="11"/>
        <v>0</v>
      </c>
      <c r="W83" s="2"/>
      <c r="X83" s="2"/>
    </row>
    <row r="84" spans="1:24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52</v>
      </c>
      <c r="G84" s="3">
        <v>12</v>
      </c>
      <c r="H84" s="35"/>
      <c r="I84" s="36"/>
      <c r="J84" s="36"/>
      <c r="K84" s="5"/>
      <c r="L84" s="37"/>
      <c r="M84" s="5"/>
      <c r="N84" s="5"/>
      <c r="O84" s="6"/>
      <c r="P84" s="7">
        <f t="shared" si="8"/>
        <v>0</v>
      </c>
      <c r="Q84" s="5"/>
      <c r="R84" s="5"/>
      <c r="S84" s="5"/>
      <c r="T84" s="5">
        <f t="shared" si="9"/>
        <v>0</v>
      </c>
      <c r="U84" s="5">
        <f t="shared" si="10"/>
        <v>0</v>
      </c>
      <c r="V84" s="38">
        <f t="shared" si="11"/>
        <v>0</v>
      </c>
      <c r="W84" s="2"/>
      <c r="X84" s="2"/>
    </row>
    <row r="85" spans="1:24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52</v>
      </c>
      <c r="G85" s="3">
        <v>12</v>
      </c>
      <c r="H85" s="35"/>
      <c r="I85" s="36"/>
      <c r="J85" s="36"/>
      <c r="K85" s="5"/>
      <c r="L85" s="37"/>
      <c r="M85" s="5"/>
      <c r="N85" s="5"/>
      <c r="O85" s="6"/>
      <c r="P85" s="7">
        <f t="shared" si="8"/>
        <v>0</v>
      </c>
      <c r="Q85" s="5"/>
      <c r="R85" s="5"/>
      <c r="S85" s="5"/>
      <c r="T85" s="5">
        <f t="shared" si="9"/>
        <v>0</v>
      </c>
      <c r="U85" s="5">
        <f t="shared" si="10"/>
        <v>0</v>
      </c>
      <c r="V85" s="38">
        <f t="shared" si="11"/>
        <v>0</v>
      </c>
      <c r="W85" s="2"/>
      <c r="X85" s="2"/>
    </row>
    <row r="86" spans="1:24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52</v>
      </c>
      <c r="G86" s="3">
        <v>12</v>
      </c>
      <c r="H86" s="35"/>
      <c r="I86" s="36"/>
      <c r="J86" s="36"/>
      <c r="K86" s="5"/>
      <c r="L86" s="37"/>
      <c r="M86" s="5"/>
      <c r="N86" s="5"/>
      <c r="O86" s="6"/>
      <c r="P86" s="7">
        <f t="shared" si="8"/>
        <v>0</v>
      </c>
      <c r="Q86" s="5"/>
      <c r="R86" s="5"/>
      <c r="S86" s="5"/>
      <c r="T86" s="5">
        <f t="shared" si="9"/>
        <v>0</v>
      </c>
      <c r="U86" s="5">
        <f t="shared" si="10"/>
        <v>0</v>
      </c>
      <c r="V86" s="38">
        <f t="shared" si="11"/>
        <v>0</v>
      </c>
      <c r="W86" s="2"/>
      <c r="X86" s="2"/>
    </row>
    <row r="87" spans="1:24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52</v>
      </c>
      <c r="G87" s="3">
        <v>12</v>
      </c>
      <c r="H87" s="35"/>
      <c r="I87" s="36"/>
      <c r="J87" s="36"/>
      <c r="K87" s="5"/>
      <c r="L87" s="37"/>
      <c r="M87" s="5"/>
      <c r="N87" s="5"/>
      <c r="O87" s="6"/>
      <c r="P87" s="7">
        <f t="shared" si="8"/>
        <v>0</v>
      </c>
      <c r="Q87" s="5"/>
      <c r="R87" s="5"/>
      <c r="S87" s="5"/>
      <c r="T87" s="5">
        <f t="shared" si="9"/>
        <v>0</v>
      </c>
      <c r="U87" s="5">
        <f t="shared" si="10"/>
        <v>0</v>
      </c>
      <c r="V87" s="38">
        <f t="shared" si="11"/>
        <v>0</v>
      </c>
      <c r="W87" s="2"/>
      <c r="X87" s="2"/>
    </row>
    <row r="88" spans="1:24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52</v>
      </c>
      <c r="G88" s="3">
        <v>12</v>
      </c>
      <c r="H88" s="35"/>
      <c r="I88" s="36"/>
      <c r="J88" s="36"/>
      <c r="K88" s="5"/>
      <c r="L88" s="37"/>
      <c r="M88" s="5"/>
      <c r="N88" s="5"/>
      <c r="O88" s="6"/>
      <c r="P88" s="7">
        <f t="shared" si="8"/>
        <v>0</v>
      </c>
      <c r="Q88" s="5"/>
      <c r="R88" s="5"/>
      <c r="S88" s="5"/>
      <c r="T88" s="5">
        <f t="shared" si="9"/>
        <v>0</v>
      </c>
      <c r="U88" s="5">
        <f t="shared" si="10"/>
        <v>0</v>
      </c>
      <c r="V88" s="38">
        <f t="shared" si="11"/>
        <v>0</v>
      </c>
      <c r="W88" s="2"/>
      <c r="X88" s="2"/>
    </row>
    <row r="89" spans="1:24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52</v>
      </c>
      <c r="G89" s="3">
        <v>12</v>
      </c>
      <c r="H89" s="35"/>
      <c r="I89" s="36"/>
      <c r="J89" s="36"/>
      <c r="K89" s="5"/>
      <c r="L89" s="37"/>
      <c r="M89" s="5"/>
      <c r="N89" s="5"/>
      <c r="O89" s="6"/>
      <c r="P89" s="7">
        <f t="shared" si="8"/>
        <v>0</v>
      </c>
      <c r="Q89" s="5"/>
      <c r="R89" s="5"/>
      <c r="S89" s="5"/>
      <c r="T89" s="5">
        <f t="shared" si="9"/>
        <v>0</v>
      </c>
      <c r="U89" s="5">
        <f t="shared" si="10"/>
        <v>0</v>
      </c>
      <c r="V89" s="38">
        <f t="shared" si="11"/>
        <v>0</v>
      </c>
      <c r="W89" s="2"/>
      <c r="X89" s="2"/>
    </row>
    <row r="90" spans="1:24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52</v>
      </c>
      <c r="G90" s="3">
        <v>12</v>
      </c>
      <c r="H90" s="35"/>
      <c r="I90" s="36"/>
      <c r="J90" s="36"/>
      <c r="K90" s="5"/>
      <c r="L90" s="37"/>
      <c r="M90" s="5"/>
      <c r="N90" s="5"/>
      <c r="O90" s="6"/>
      <c r="P90" s="7">
        <f t="shared" si="8"/>
        <v>0</v>
      </c>
      <c r="Q90" s="5"/>
      <c r="R90" s="5"/>
      <c r="S90" s="5"/>
      <c r="T90" s="5">
        <f t="shared" si="9"/>
        <v>0</v>
      </c>
      <c r="U90" s="5">
        <f t="shared" si="10"/>
        <v>0</v>
      </c>
      <c r="V90" s="38">
        <f t="shared" si="11"/>
        <v>0</v>
      </c>
      <c r="W90" s="2"/>
      <c r="X90" s="2"/>
    </row>
    <row r="91" spans="1:24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52</v>
      </c>
      <c r="G91" s="3">
        <v>12</v>
      </c>
      <c r="H91" s="35"/>
      <c r="I91" s="36"/>
      <c r="J91" s="36"/>
      <c r="K91" s="5"/>
      <c r="L91" s="37"/>
      <c r="M91" s="5"/>
      <c r="N91" s="5"/>
      <c r="O91" s="6"/>
      <c r="P91" s="7">
        <f t="shared" si="8"/>
        <v>0</v>
      </c>
      <c r="Q91" s="5"/>
      <c r="R91" s="5"/>
      <c r="S91" s="5"/>
      <c r="T91" s="5">
        <f t="shared" si="9"/>
        <v>0</v>
      </c>
      <c r="U91" s="5">
        <f t="shared" si="10"/>
        <v>0</v>
      </c>
      <c r="V91" s="38">
        <f t="shared" si="11"/>
        <v>0</v>
      </c>
      <c r="W91" s="2"/>
      <c r="X91" s="2"/>
    </row>
    <row r="92" spans="1:24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52</v>
      </c>
      <c r="G92" s="3">
        <v>12</v>
      </c>
      <c r="H92" s="35"/>
      <c r="I92" s="36"/>
      <c r="J92" s="36"/>
      <c r="K92" s="5"/>
      <c r="L92" s="37"/>
      <c r="M92" s="5"/>
      <c r="N92" s="5"/>
      <c r="O92" s="6"/>
      <c r="P92" s="7">
        <f t="shared" si="8"/>
        <v>0</v>
      </c>
      <c r="Q92" s="5"/>
      <c r="R92" s="5"/>
      <c r="S92" s="5"/>
      <c r="T92" s="5">
        <f t="shared" si="9"/>
        <v>0</v>
      </c>
      <c r="U92" s="5">
        <f t="shared" si="10"/>
        <v>0</v>
      </c>
      <c r="V92" s="38">
        <f t="shared" si="11"/>
        <v>0</v>
      </c>
      <c r="W92" s="2"/>
      <c r="X92" s="2"/>
    </row>
    <row r="93" spans="1:24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52</v>
      </c>
      <c r="G93" s="3">
        <v>12</v>
      </c>
      <c r="H93" s="35"/>
      <c r="I93" s="36"/>
      <c r="J93" s="36"/>
      <c r="K93" s="5"/>
      <c r="L93" s="37"/>
      <c r="M93" s="5"/>
      <c r="N93" s="5"/>
      <c r="O93" s="6"/>
      <c r="P93" s="7">
        <f t="shared" si="8"/>
        <v>0</v>
      </c>
      <c r="Q93" s="5"/>
      <c r="R93" s="5"/>
      <c r="S93" s="5"/>
      <c r="T93" s="5">
        <f t="shared" si="9"/>
        <v>0</v>
      </c>
      <c r="U93" s="5">
        <f t="shared" si="10"/>
        <v>0</v>
      </c>
      <c r="V93" s="38">
        <f t="shared" si="11"/>
        <v>0</v>
      </c>
      <c r="W93" s="2"/>
      <c r="X93" s="2"/>
    </row>
    <row r="94" spans="1:24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52</v>
      </c>
      <c r="G94" s="3">
        <v>12</v>
      </c>
      <c r="H94" s="35"/>
      <c r="I94" s="36"/>
      <c r="J94" s="36"/>
      <c r="K94" s="5"/>
      <c r="L94" s="37"/>
      <c r="M94" s="5"/>
      <c r="N94" s="5"/>
      <c r="O94" s="6"/>
      <c r="P94" s="7">
        <f t="shared" si="8"/>
        <v>0</v>
      </c>
      <c r="Q94" s="5"/>
      <c r="R94" s="5"/>
      <c r="S94" s="5"/>
      <c r="T94" s="5">
        <f t="shared" si="9"/>
        <v>0</v>
      </c>
      <c r="U94" s="5">
        <f t="shared" si="10"/>
        <v>0</v>
      </c>
      <c r="V94" s="38">
        <f t="shared" si="11"/>
        <v>0</v>
      </c>
      <c r="W94" s="2"/>
      <c r="X94" s="2"/>
    </row>
    <row r="95" spans="1:24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52</v>
      </c>
      <c r="G95" s="3">
        <v>12</v>
      </c>
      <c r="H95" s="35"/>
      <c r="I95" s="36"/>
      <c r="J95" s="36"/>
      <c r="K95" s="5"/>
      <c r="L95" s="37"/>
      <c r="M95" s="5"/>
      <c r="N95" s="5"/>
      <c r="O95" s="6"/>
      <c r="P95" s="7">
        <f t="shared" si="8"/>
        <v>0</v>
      </c>
      <c r="Q95" s="5"/>
      <c r="R95" s="5"/>
      <c r="S95" s="5"/>
      <c r="T95" s="5">
        <f t="shared" si="9"/>
        <v>0</v>
      </c>
      <c r="U95" s="5">
        <f t="shared" si="10"/>
        <v>0</v>
      </c>
      <c r="V95" s="38">
        <f t="shared" si="11"/>
        <v>0</v>
      </c>
      <c r="W95" s="2"/>
      <c r="X95" s="2"/>
    </row>
    <row r="96" spans="1:24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52</v>
      </c>
      <c r="G96" s="3">
        <v>12</v>
      </c>
      <c r="H96" s="35"/>
      <c r="I96" s="36"/>
      <c r="J96" s="36"/>
      <c r="K96" s="5"/>
      <c r="L96" s="37"/>
      <c r="M96" s="5"/>
      <c r="N96" s="5"/>
      <c r="O96" s="6"/>
      <c r="P96" s="7">
        <f t="shared" si="8"/>
        <v>0</v>
      </c>
      <c r="Q96" s="5"/>
      <c r="R96" s="5"/>
      <c r="S96" s="5"/>
      <c r="T96" s="5">
        <f t="shared" si="9"/>
        <v>0</v>
      </c>
      <c r="U96" s="5">
        <f t="shared" si="10"/>
        <v>0</v>
      </c>
      <c r="V96" s="38">
        <f t="shared" si="11"/>
        <v>0</v>
      </c>
      <c r="W96" s="2"/>
      <c r="X96" s="2"/>
    </row>
    <row r="97" spans="1:24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52</v>
      </c>
      <c r="G97" s="3">
        <v>12</v>
      </c>
      <c r="H97" s="35"/>
      <c r="I97" s="36"/>
      <c r="J97" s="36"/>
      <c r="K97" s="5"/>
      <c r="L97" s="37"/>
      <c r="M97" s="5"/>
      <c r="N97" s="5"/>
      <c r="O97" s="6"/>
      <c r="P97" s="7">
        <f t="shared" si="8"/>
        <v>0</v>
      </c>
      <c r="Q97" s="5"/>
      <c r="R97" s="5"/>
      <c r="S97" s="5"/>
      <c r="T97" s="5">
        <f t="shared" si="9"/>
        <v>0</v>
      </c>
      <c r="U97" s="5">
        <f t="shared" si="10"/>
        <v>0</v>
      </c>
      <c r="V97" s="38">
        <f t="shared" si="11"/>
        <v>0</v>
      </c>
      <c r="W97" s="2"/>
      <c r="X97" s="2"/>
    </row>
    <row r="98" spans="1:24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52</v>
      </c>
      <c r="G98" s="3">
        <v>12</v>
      </c>
      <c r="H98" s="35"/>
      <c r="I98" s="36"/>
      <c r="J98" s="36"/>
      <c r="K98" s="5"/>
      <c r="L98" s="37"/>
      <c r="M98" s="5"/>
      <c r="N98" s="5"/>
      <c r="O98" s="6"/>
      <c r="P98" s="7">
        <f t="shared" si="8"/>
        <v>0</v>
      </c>
      <c r="Q98" s="5"/>
      <c r="R98" s="5"/>
      <c r="S98" s="5"/>
      <c r="T98" s="5">
        <f t="shared" si="9"/>
        <v>0</v>
      </c>
      <c r="U98" s="5">
        <f t="shared" si="10"/>
        <v>0</v>
      </c>
      <c r="V98" s="38">
        <f t="shared" si="11"/>
        <v>0</v>
      </c>
      <c r="W98" s="2"/>
      <c r="X98" s="2"/>
    </row>
    <row r="99" spans="1:24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52</v>
      </c>
      <c r="G99" s="3">
        <v>12</v>
      </c>
      <c r="H99" s="35"/>
      <c r="I99" s="36"/>
      <c r="J99" s="36"/>
      <c r="K99" s="5"/>
      <c r="L99" s="37"/>
      <c r="M99" s="5"/>
      <c r="N99" s="5"/>
      <c r="O99" s="6"/>
      <c r="P99" s="7">
        <f t="shared" si="8"/>
        <v>0</v>
      </c>
      <c r="Q99" s="5"/>
      <c r="R99" s="5"/>
      <c r="S99" s="5"/>
      <c r="T99" s="5">
        <f t="shared" si="9"/>
        <v>0</v>
      </c>
      <c r="U99" s="5">
        <f t="shared" si="10"/>
        <v>0</v>
      </c>
      <c r="V99" s="38">
        <f t="shared" si="11"/>
        <v>0</v>
      </c>
      <c r="W99" s="2"/>
      <c r="X99" s="2"/>
    </row>
    <row r="100" spans="1:24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52</v>
      </c>
      <c r="G100" s="3">
        <v>12</v>
      </c>
      <c r="H100" s="35"/>
      <c r="I100" s="36"/>
      <c r="J100" s="36"/>
      <c r="K100" s="5"/>
      <c r="L100" s="37"/>
      <c r="M100" s="5"/>
      <c r="N100" s="5"/>
      <c r="O100" s="6"/>
      <c r="P100" s="7">
        <f t="shared" si="8"/>
        <v>0</v>
      </c>
      <c r="Q100" s="5"/>
      <c r="R100" s="5"/>
      <c r="S100" s="5"/>
      <c r="T100" s="5">
        <f t="shared" si="9"/>
        <v>0</v>
      </c>
      <c r="U100" s="5">
        <f t="shared" si="10"/>
        <v>0</v>
      </c>
      <c r="V100" s="38">
        <f t="shared" si="11"/>
        <v>0</v>
      </c>
      <c r="W100" s="2"/>
      <c r="X100" s="2"/>
    </row>
    <row r="101" spans="1:24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52</v>
      </c>
      <c r="G101" s="3">
        <v>12</v>
      </c>
      <c r="H101" s="35"/>
      <c r="I101" s="36"/>
      <c r="J101" s="36"/>
      <c r="K101" s="5"/>
      <c r="L101" s="37"/>
      <c r="M101" s="5"/>
      <c r="N101" s="5"/>
      <c r="O101" s="6"/>
      <c r="P101" s="7">
        <f t="shared" si="8"/>
        <v>0</v>
      </c>
      <c r="Q101" s="5"/>
      <c r="R101" s="5"/>
      <c r="S101" s="5"/>
      <c r="T101" s="5">
        <f t="shared" si="9"/>
        <v>0</v>
      </c>
      <c r="U101" s="5">
        <f t="shared" si="10"/>
        <v>0</v>
      </c>
      <c r="V101" s="38">
        <f t="shared" si="11"/>
        <v>0</v>
      </c>
      <c r="W101" s="2"/>
      <c r="X101" s="2"/>
    </row>
    <row r="102" spans="1:24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52</v>
      </c>
      <c r="G102" s="3">
        <v>12</v>
      </c>
      <c r="H102" s="35"/>
      <c r="I102" s="36"/>
      <c r="J102" s="36"/>
      <c r="K102" s="5"/>
      <c r="L102" s="37"/>
      <c r="M102" s="5"/>
      <c r="N102" s="5"/>
      <c r="O102" s="6"/>
      <c r="P102" s="7">
        <f t="shared" si="8"/>
        <v>0</v>
      </c>
      <c r="Q102" s="5"/>
      <c r="R102" s="5"/>
      <c r="S102" s="5"/>
      <c r="T102" s="5">
        <f t="shared" si="9"/>
        <v>0</v>
      </c>
      <c r="U102" s="5">
        <f t="shared" si="10"/>
        <v>0</v>
      </c>
      <c r="V102" s="38">
        <f t="shared" si="11"/>
        <v>0</v>
      </c>
      <c r="W102" s="2"/>
      <c r="X102" s="2"/>
    </row>
    <row r="103" spans="1:24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52</v>
      </c>
      <c r="G103" s="3">
        <v>12</v>
      </c>
      <c r="H103" s="35"/>
      <c r="I103" s="36"/>
      <c r="J103" s="36"/>
      <c r="K103" s="5"/>
      <c r="L103" s="37"/>
      <c r="M103" s="5"/>
      <c r="N103" s="5"/>
      <c r="O103" s="6"/>
      <c r="P103" s="7">
        <f t="shared" si="8"/>
        <v>0</v>
      </c>
      <c r="Q103" s="5"/>
      <c r="R103" s="5"/>
      <c r="S103" s="5"/>
      <c r="T103" s="5">
        <f t="shared" si="9"/>
        <v>0</v>
      </c>
      <c r="U103" s="5">
        <f t="shared" si="10"/>
        <v>0</v>
      </c>
      <c r="V103" s="38">
        <f t="shared" si="11"/>
        <v>0</v>
      </c>
      <c r="W103" s="2"/>
      <c r="X103" s="2"/>
    </row>
    <row r="104" spans="1:24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52</v>
      </c>
      <c r="G104" s="3">
        <v>12</v>
      </c>
      <c r="H104" s="35"/>
      <c r="I104" s="36"/>
      <c r="J104" s="36"/>
      <c r="K104" s="5"/>
      <c r="L104" s="37"/>
      <c r="M104" s="5"/>
      <c r="N104" s="5"/>
      <c r="O104" s="6"/>
      <c r="P104" s="7">
        <f t="shared" si="8"/>
        <v>0</v>
      </c>
      <c r="Q104" s="5"/>
      <c r="R104" s="5"/>
      <c r="S104" s="5"/>
      <c r="T104" s="5">
        <f t="shared" si="9"/>
        <v>0</v>
      </c>
      <c r="U104" s="5">
        <f t="shared" si="10"/>
        <v>0</v>
      </c>
      <c r="V104" s="38">
        <f t="shared" si="11"/>
        <v>0</v>
      </c>
      <c r="W104" s="2"/>
      <c r="X104" s="2"/>
    </row>
    <row r="105" spans="1:24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52</v>
      </c>
      <c r="G105" s="3">
        <v>12</v>
      </c>
      <c r="H105" s="35"/>
      <c r="I105" s="36"/>
      <c r="J105" s="36"/>
      <c r="K105" s="5"/>
      <c r="L105" s="37"/>
      <c r="M105" s="5"/>
      <c r="N105" s="5"/>
      <c r="O105" s="6"/>
      <c r="P105" s="7">
        <f t="shared" si="8"/>
        <v>0</v>
      </c>
      <c r="Q105" s="5"/>
      <c r="R105" s="5"/>
      <c r="S105" s="5"/>
      <c r="T105" s="5">
        <f t="shared" si="9"/>
        <v>0</v>
      </c>
      <c r="U105" s="5">
        <f t="shared" si="10"/>
        <v>0</v>
      </c>
      <c r="V105" s="38">
        <f t="shared" si="11"/>
        <v>0</v>
      </c>
      <c r="W105" s="2"/>
      <c r="X105" s="2"/>
    </row>
    <row r="106" spans="1:24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52</v>
      </c>
      <c r="G106" s="3">
        <v>12</v>
      </c>
      <c r="H106" s="35"/>
      <c r="I106" s="36"/>
      <c r="J106" s="36"/>
      <c r="K106" s="5"/>
      <c r="L106" s="37"/>
      <c r="M106" s="5"/>
      <c r="N106" s="5"/>
      <c r="O106" s="6"/>
      <c r="P106" s="7">
        <f t="shared" si="8"/>
        <v>0</v>
      </c>
      <c r="Q106" s="5"/>
      <c r="R106" s="5"/>
      <c r="S106" s="5"/>
      <c r="T106" s="5">
        <f t="shared" si="9"/>
        <v>0</v>
      </c>
      <c r="U106" s="5">
        <f t="shared" si="10"/>
        <v>0</v>
      </c>
      <c r="V106" s="38">
        <f t="shared" si="11"/>
        <v>0</v>
      </c>
      <c r="W106" s="2"/>
      <c r="X106" s="2"/>
    </row>
    <row r="107" spans="1:24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52</v>
      </c>
      <c r="G107" s="3">
        <v>12</v>
      </c>
      <c r="H107" s="35"/>
      <c r="I107" s="36"/>
      <c r="J107" s="36"/>
      <c r="K107" s="5"/>
      <c r="L107" s="37"/>
      <c r="M107" s="5"/>
      <c r="N107" s="5"/>
      <c r="O107" s="6"/>
      <c r="P107" s="7">
        <f t="shared" si="8"/>
        <v>0</v>
      </c>
      <c r="Q107" s="5"/>
      <c r="R107" s="5"/>
      <c r="S107" s="5"/>
      <c r="T107" s="5">
        <f t="shared" si="9"/>
        <v>0</v>
      </c>
      <c r="U107" s="5">
        <f t="shared" si="10"/>
        <v>0</v>
      </c>
      <c r="V107" s="38">
        <f t="shared" si="11"/>
        <v>0</v>
      </c>
      <c r="W107" s="2"/>
      <c r="X107" s="2"/>
    </row>
    <row r="108" spans="1:24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52</v>
      </c>
      <c r="G108" s="3">
        <v>12</v>
      </c>
      <c r="H108" s="35"/>
      <c r="I108" s="36"/>
      <c r="J108" s="36"/>
      <c r="K108" s="5"/>
      <c r="L108" s="37"/>
      <c r="M108" s="5"/>
      <c r="N108" s="5"/>
      <c r="O108" s="6"/>
      <c r="P108" s="7">
        <f t="shared" si="8"/>
        <v>0</v>
      </c>
      <c r="Q108" s="5"/>
      <c r="R108" s="5"/>
      <c r="S108" s="5"/>
      <c r="T108" s="5">
        <f t="shared" si="9"/>
        <v>0</v>
      </c>
      <c r="U108" s="5">
        <f t="shared" si="10"/>
        <v>0</v>
      </c>
      <c r="V108" s="38">
        <f t="shared" si="11"/>
        <v>0</v>
      </c>
      <c r="W108" s="2"/>
      <c r="X108" s="2"/>
    </row>
    <row r="109" spans="1:24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52</v>
      </c>
      <c r="G109" s="3">
        <v>12</v>
      </c>
      <c r="H109" s="35"/>
      <c r="I109" s="36"/>
      <c r="J109" s="36"/>
      <c r="K109" s="5"/>
      <c r="L109" s="37"/>
      <c r="M109" s="5"/>
      <c r="N109" s="5"/>
      <c r="O109" s="6"/>
      <c r="P109" s="7">
        <f t="shared" si="8"/>
        <v>0</v>
      </c>
      <c r="Q109" s="5"/>
      <c r="R109" s="5"/>
      <c r="S109" s="5"/>
      <c r="T109" s="5">
        <f t="shared" si="9"/>
        <v>0</v>
      </c>
      <c r="U109" s="5">
        <f t="shared" si="10"/>
        <v>0</v>
      </c>
      <c r="V109" s="38">
        <f t="shared" si="11"/>
        <v>0</v>
      </c>
      <c r="W109" s="2"/>
      <c r="X109" s="2"/>
    </row>
    <row r="110" spans="1:24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52</v>
      </c>
      <c r="G110" s="3">
        <v>12</v>
      </c>
      <c r="H110" s="35"/>
      <c r="I110" s="36"/>
      <c r="J110" s="36"/>
      <c r="K110" s="5"/>
      <c r="L110" s="37"/>
      <c r="M110" s="5"/>
      <c r="N110" s="5"/>
      <c r="O110" s="6"/>
      <c r="P110" s="7">
        <f t="shared" si="8"/>
        <v>0</v>
      </c>
      <c r="Q110" s="5"/>
      <c r="R110" s="5"/>
      <c r="S110" s="5"/>
      <c r="T110" s="5">
        <f t="shared" si="9"/>
        <v>0</v>
      </c>
      <c r="U110" s="5">
        <f t="shared" si="10"/>
        <v>0</v>
      </c>
      <c r="V110" s="38">
        <f t="shared" si="11"/>
        <v>0</v>
      </c>
      <c r="W110" s="2"/>
      <c r="X110" s="2"/>
    </row>
    <row r="111" spans="1:24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52</v>
      </c>
      <c r="G111" s="3">
        <v>12</v>
      </c>
      <c r="H111" s="35"/>
      <c r="I111" s="36"/>
      <c r="J111" s="36"/>
      <c r="K111" s="5"/>
      <c r="L111" s="37"/>
      <c r="M111" s="5"/>
      <c r="N111" s="5"/>
      <c r="O111" s="6"/>
      <c r="P111" s="7">
        <f t="shared" si="8"/>
        <v>0</v>
      </c>
      <c r="Q111" s="5"/>
      <c r="R111" s="5"/>
      <c r="S111" s="5"/>
      <c r="T111" s="5">
        <f t="shared" si="9"/>
        <v>0</v>
      </c>
      <c r="U111" s="5">
        <f t="shared" si="10"/>
        <v>0</v>
      </c>
      <c r="V111" s="38">
        <f t="shared" si="11"/>
        <v>0</v>
      </c>
      <c r="W111" s="2"/>
      <c r="X111" s="2"/>
    </row>
    <row r="112" spans="1:24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52</v>
      </c>
      <c r="G112" s="3">
        <v>12</v>
      </c>
      <c r="H112" s="35"/>
      <c r="I112" s="36"/>
      <c r="J112" s="36"/>
      <c r="K112" s="5"/>
      <c r="L112" s="37"/>
      <c r="M112" s="5"/>
      <c r="N112" s="5"/>
      <c r="O112" s="6"/>
      <c r="P112" s="7">
        <f t="shared" si="8"/>
        <v>0</v>
      </c>
      <c r="Q112" s="5"/>
      <c r="R112" s="5"/>
      <c r="S112" s="5"/>
      <c r="T112" s="5">
        <f t="shared" si="9"/>
        <v>0</v>
      </c>
      <c r="U112" s="5">
        <f t="shared" si="10"/>
        <v>0</v>
      </c>
      <c r="V112" s="38">
        <f t="shared" si="11"/>
        <v>0</v>
      </c>
      <c r="W112" s="2"/>
      <c r="X112" s="2"/>
    </row>
    <row r="113" spans="1:24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52</v>
      </c>
      <c r="G113" s="3">
        <v>12</v>
      </c>
      <c r="H113" s="35"/>
      <c r="I113" s="36"/>
      <c r="J113" s="36"/>
      <c r="K113" s="5"/>
      <c r="L113" s="37"/>
      <c r="M113" s="5"/>
      <c r="N113" s="5"/>
      <c r="O113" s="6"/>
      <c r="P113" s="7">
        <f t="shared" si="8"/>
        <v>0</v>
      </c>
      <c r="Q113" s="5"/>
      <c r="R113" s="5"/>
      <c r="S113" s="5"/>
      <c r="T113" s="5">
        <f t="shared" si="9"/>
        <v>0</v>
      </c>
      <c r="U113" s="5">
        <f t="shared" si="10"/>
        <v>0</v>
      </c>
      <c r="V113" s="38">
        <f t="shared" si="11"/>
        <v>0</v>
      </c>
      <c r="W113" s="2"/>
      <c r="X113" s="2"/>
    </row>
    <row r="114" spans="1:24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52</v>
      </c>
      <c r="G114" s="3">
        <v>12</v>
      </c>
      <c r="H114" s="35"/>
      <c r="I114" s="36"/>
      <c r="J114" s="36"/>
      <c r="K114" s="5"/>
      <c r="L114" s="37"/>
      <c r="M114" s="5"/>
      <c r="N114" s="5"/>
      <c r="O114" s="6"/>
      <c r="P114" s="7">
        <f t="shared" si="8"/>
        <v>0</v>
      </c>
      <c r="Q114" s="5"/>
      <c r="R114" s="5"/>
      <c r="S114" s="5"/>
      <c r="T114" s="5">
        <f t="shared" si="9"/>
        <v>0</v>
      </c>
      <c r="U114" s="5">
        <f t="shared" si="10"/>
        <v>0</v>
      </c>
      <c r="V114" s="38">
        <f t="shared" si="11"/>
        <v>0</v>
      </c>
      <c r="W114" s="2"/>
      <c r="X114" s="2"/>
    </row>
    <row r="115" spans="1:24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52</v>
      </c>
      <c r="G115" s="3">
        <v>12</v>
      </c>
      <c r="H115" s="35"/>
      <c r="I115" s="36"/>
      <c r="J115" s="36"/>
      <c r="K115" s="5"/>
      <c r="L115" s="37"/>
      <c r="M115" s="5"/>
      <c r="N115" s="5"/>
      <c r="O115" s="6"/>
      <c r="P115" s="7">
        <f t="shared" si="8"/>
        <v>0</v>
      </c>
      <c r="Q115" s="5"/>
      <c r="R115" s="5"/>
      <c r="S115" s="5"/>
      <c r="T115" s="5">
        <f t="shared" si="9"/>
        <v>0</v>
      </c>
      <c r="U115" s="5">
        <f t="shared" si="10"/>
        <v>0</v>
      </c>
      <c r="V115" s="38">
        <f t="shared" si="11"/>
        <v>0</v>
      </c>
      <c r="W115" s="2"/>
      <c r="X115" s="2"/>
    </row>
    <row r="116" spans="1:24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52</v>
      </c>
      <c r="G116" s="3">
        <v>12</v>
      </c>
      <c r="H116" s="35"/>
      <c r="I116" s="36"/>
      <c r="J116" s="36"/>
      <c r="K116" s="5"/>
      <c r="L116" s="37"/>
      <c r="M116" s="5"/>
      <c r="N116" s="5"/>
      <c r="O116" s="6"/>
      <c r="P116" s="7">
        <f t="shared" si="8"/>
        <v>0</v>
      </c>
      <c r="Q116" s="5"/>
      <c r="R116" s="5"/>
      <c r="S116" s="5"/>
      <c r="T116" s="5">
        <f t="shared" si="9"/>
        <v>0</v>
      </c>
      <c r="U116" s="5">
        <f t="shared" si="10"/>
        <v>0</v>
      </c>
      <c r="V116" s="38">
        <f t="shared" si="11"/>
        <v>0</v>
      </c>
      <c r="W116" s="2"/>
      <c r="X116" s="2"/>
    </row>
    <row r="117" spans="1:24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52</v>
      </c>
      <c r="G117" s="3">
        <v>12</v>
      </c>
      <c r="H117" s="35"/>
      <c r="I117" s="36"/>
      <c r="J117" s="36"/>
      <c r="K117" s="5"/>
      <c r="L117" s="37"/>
      <c r="M117" s="5"/>
      <c r="N117" s="5"/>
      <c r="O117" s="6"/>
      <c r="P117" s="7">
        <f t="shared" si="8"/>
        <v>0</v>
      </c>
      <c r="Q117" s="5"/>
      <c r="R117" s="5"/>
      <c r="S117" s="5"/>
      <c r="T117" s="5">
        <f t="shared" si="9"/>
        <v>0</v>
      </c>
      <c r="U117" s="5">
        <f t="shared" si="10"/>
        <v>0</v>
      </c>
      <c r="V117" s="38">
        <f t="shared" si="11"/>
        <v>0</v>
      </c>
      <c r="W117" s="2"/>
      <c r="X117" s="2"/>
    </row>
    <row r="118" spans="1:24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52</v>
      </c>
      <c r="G118" s="3">
        <v>12</v>
      </c>
      <c r="H118" s="35"/>
      <c r="I118" s="36"/>
      <c r="J118" s="36"/>
      <c r="K118" s="5"/>
      <c r="L118" s="37"/>
      <c r="M118" s="5"/>
      <c r="N118" s="5"/>
      <c r="O118" s="6"/>
      <c r="P118" s="7">
        <f t="shared" si="8"/>
        <v>0</v>
      </c>
      <c r="Q118" s="5"/>
      <c r="R118" s="5"/>
      <c r="S118" s="5"/>
      <c r="T118" s="5">
        <f t="shared" si="9"/>
        <v>0</v>
      </c>
      <c r="U118" s="5">
        <f t="shared" si="10"/>
        <v>0</v>
      </c>
      <c r="V118" s="38">
        <f t="shared" si="11"/>
        <v>0</v>
      </c>
      <c r="W118" s="2"/>
      <c r="X118" s="2"/>
    </row>
    <row r="119" spans="1:24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52</v>
      </c>
      <c r="G119" s="3">
        <v>12</v>
      </c>
      <c r="H119" s="35"/>
      <c r="I119" s="36"/>
      <c r="J119" s="36"/>
      <c r="K119" s="5"/>
      <c r="L119" s="37"/>
      <c r="M119" s="5"/>
      <c r="N119" s="5"/>
      <c r="O119" s="6"/>
      <c r="P119" s="7">
        <f t="shared" si="8"/>
        <v>0</v>
      </c>
      <c r="Q119" s="5"/>
      <c r="R119" s="5"/>
      <c r="S119" s="5"/>
      <c r="T119" s="5">
        <f t="shared" si="9"/>
        <v>0</v>
      </c>
      <c r="U119" s="5">
        <f t="shared" si="10"/>
        <v>0</v>
      </c>
      <c r="V119" s="38">
        <f t="shared" si="11"/>
        <v>0</v>
      </c>
      <c r="W119" s="2"/>
      <c r="X119" s="2"/>
    </row>
    <row r="120" spans="1:24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52</v>
      </c>
      <c r="G120" s="3">
        <v>12</v>
      </c>
      <c r="H120" s="35"/>
      <c r="I120" s="36"/>
      <c r="J120" s="36"/>
      <c r="K120" s="5"/>
      <c r="L120" s="37"/>
      <c r="M120" s="5"/>
      <c r="N120" s="5"/>
      <c r="O120" s="6"/>
      <c r="P120" s="7">
        <f t="shared" si="8"/>
        <v>0</v>
      </c>
      <c r="Q120" s="5"/>
      <c r="R120" s="5"/>
      <c r="S120" s="5"/>
      <c r="T120" s="5">
        <f t="shared" si="9"/>
        <v>0</v>
      </c>
      <c r="U120" s="5">
        <f t="shared" si="10"/>
        <v>0</v>
      </c>
      <c r="V120" s="38">
        <f t="shared" si="11"/>
        <v>0</v>
      </c>
      <c r="W120" s="2"/>
      <c r="X120" s="2"/>
    </row>
    <row r="121" spans="1:24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52</v>
      </c>
      <c r="G121" s="3">
        <v>12</v>
      </c>
      <c r="H121" s="35"/>
      <c r="I121" s="36"/>
      <c r="J121" s="36"/>
      <c r="K121" s="5"/>
      <c r="L121" s="37"/>
      <c r="M121" s="5"/>
      <c r="N121" s="5"/>
      <c r="O121" s="6"/>
      <c r="P121" s="7">
        <f t="shared" si="8"/>
        <v>0</v>
      </c>
      <c r="Q121" s="5"/>
      <c r="R121" s="5"/>
      <c r="S121" s="5"/>
      <c r="T121" s="5">
        <f t="shared" si="9"/>
        <v>0</v>
      </c>
      <c r="U121" s="5">
        <f t="shared" si="10"/>
        <v>0</v>
      </c>
      <c r="V121" s="38">
        <f t="shared" si="11"/>
        <v>0</v>
      </c>
      <c r="W121" s="2"/>
      <c r="X121" s="2"/>
    </row>
    <row r="122" spans="1:24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52</v>
      </c>
      <c r="G122" s="3">
        <v>12</v>
      </c>
      <c r="H122" s="35"/>
      <c r="I122" s="36"/>
      <c r="J122" s="36"/>
      <c r="K122" s="5"/>
      <c r="L122" s="37"/>
      <c r="M122" s="5"/>
      <c r="N122" s="5"/>
      <c r="O122" s="6"/>
      <c r="P122" s="7">
        <f t="shared" si="8"/>
        <v>0</v>
      </c>
      <c r="Q122" s="5"/>
      <c r="R122" s="5"/>
      <c r="S122" s="5"/>
      <c r="T122" s="5">
        <f t="shared" si="9"/>
        <v>0</v>
      </c>
      <c r="U122" s="5">
        <f t="shared" si="10"/>
        <v>0</v>
      </c>
      <c r="V122" s="38">
        <f t="shared" si="11"/>
        <v>0</v>
      </c>
      <c r="W122" s="2"/>
      <c r="X122" s="2"/>
    </row>
    <row r="123" spans="1:24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52</v>
      </c>
      <c r="G123" s="3">
        <v>12</v>
      </c>
      <c r="H123" s="35"/>
      <c r="I123" s="36"/>
      <c r="J123" s="36"/>
      <c r="K123" s="5"/>
      <c r="L123" s="37"/>
      <c r="M123" s="5"/>
      <c r="N123" s="5"/>
      <c r="O123" s="6"/>
      <c r="P123" s="7">
        <f t="shared" si="8"/>
        <v>0</v>
      </c>
      <c r="Q123" s="5"/>
      <c r="R123" s="5"/>
      <c r="S123" s="5"/>
      <c r="T123" s="5">
        <f t="shared" si="9"/>
        <v>0</v>
      </c>
      <c r="U123" s="5">
        <f t="shared" si="10"/>
        <v>0</v>
      </c>
      <c r="V123" s="38">
        <f t="shared" si="11"/>
        <v>0</v>
      </c>
      <c r="W123" s="2"/>
      <c r="X123" s="2"/>
    </row>
    <row r="124" spans="1:24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52</v>
      </c>
      <c r="G124" s="3">
        <v>12</v>
      </c>
      <c r="H124" s="35"/>
      <c r="I124" s="36"/>
      <c r="J124" s="36"/>
      <c r="K124" s="5"/>
      <c r="L124" s="37"/>
      <c r="M124" s="5"/>
      <c r="N124" s="5"/>
      <c r="O124" s="6"/>
      <c r="P124" s="7">
        <f t="shared" si="8"/>
        <v>0</v>
      </c>
      <c r="Q124" s="5"/>
      <c r="R124" s="5"/>
      <c r="S124" s="5"/>
      <c r="T124" s="5">
        <f t="shared" si="9"/>
        <v>0</v>
      </c>
      <c r="U124" s="5">
        <f t="shared" si="10"/>
        <v>0</v>
      </c>
      <c r="V124" s="38">
        <f t="shared" si="11"/>
        <v>0</v>
      </c>
      <c r="W124" s="2"/>
      <c r="X124" s="2"/>
    </row>
    <row r="125" spans="1:24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52</v>
      </c>
      <c r="G125" s="3">
        <v>12</v>
      </c>
      <c r="H125" s="35"/>
      <c r="I125" s="36"/>
      <c r="J125" s="36"/>
      <c r="K125" s="5"/>
      <c r="L125" s="37"/>
      <c r="M125" s="5"/>
      <c r="N125" s="5"/>
      <c r="O125" s="6"/>
      <c r="P125" s="7">
        <f t="shared" si="8"/>
        <v>0</v>
      </c>
      <c r="Q125" s="5"/>
      <c r="R125" s="5"/>
      <c r="S125" s="5"/>
      <c r="T125" s="5">
        <f t="shared" si="9"/>
        <v>0</v>
      </c>
      <c r="U125" s="5">
        <f t="shared" si="10"/>
        <v>0</v>
      </c>
      <c r="V125" s="38">
        <f t="shared" si="11"/>
        <v>0</v>
      </c>
      <c r="W125" s="2"/>
      <c r="X125" s="2"/>
    </row>
    <row r="126" spans="1:24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52</v>
      </c>
      <c r="G126" s="3">
        <v>12</v>
      </c>
      <c r="H126" s="35"/>
      <c r="I126" s="36"/>
      <c r="J126" s="36"/>
      <c r="K126" s="5"/>
      <c r="L126" s="37"/>
      <c r="M126" s="5"/>
      <c r="N126" s="5"/>
      <c r="O126" s="6"/>
      <c r="P126" s="7">
        <f t="shared" si="8"/>
        <v>0</v>
      </c>
      <c r="Q126" s="5"/>
      <c r="R126" s="5"/>
      <c r="S126" s="5"/>
      <c r="T126" s="5">
        <f t="shared" si="9"/>
        <v>0</v>
      </c>
      <c r="U126" s="5">
        <f t="shared" si="10"/>
        <v>0</v>
      </c>
      <c r="V126" s="38">
        <f t="shared" si="11"/>
        <v>0</v>
      </c>
      <c r="W126" s="2"/>
      <c r="X126" s="2"/>
    </row>
    <row r="127" spans="1:24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52</v>
      </c>
      <c r="G127" s="3">
        <v>12</v>
      </c>
      <c r="H127" s="35"/>
      <c r="I127" s="36"/>
      <c r="J127" s="36"/>
      <c r="K127" s="5"/>
      <c r="L127" s="37"/>
      <c r="M127" s="5"/>
      <c r="N127" s="5"/>
      <c r="O127" s="6"/>
      <c r="P127" s="7">
        <f t="shared" si="8"/>
        <v>0</v>
      </c>
      <c r="Q127" s="5"/>
      <c r="R127" s="5"/>
      <c r="S127" s="5"/>
      <c r="T127" s="5">
        <f t="shared" si="9"/>
        <v>0</v>
      </c>
      <c r="U127" s="5">
        <f t="shared" si="10"/>
        <v>0</v>
      </c>
      <c r="V127" s="38">
        <f t="shared" si="11"/>
        <v>0</v>
      </c>
      <c r="W127" s="2"/>
      <c r="X127" s="2"/>
    </row>
    <row r="128" spans="1:24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52</v>
      </c>
      <c r="G128" s="3">
        <v>12</v>
      </c>
      <c r="H128" s="35"/>
      <c r="I128" s="36"/>
      <c r="J128" s="36"/>
      <c r="K128" s="5"/>
      <c r="L128" s="37"/>
      <c r="M128" s="5"/>
      <c r="N128" s="5"/>
      <c r="O128" s="6"/>
      <c r="P128" s="7">
        <f t="shared" si="8"/>
        <v>0</v>
      </c>
      <c r="Q128" s="5"/>
      <c r="R128" s="5"/>
      <c r="S128" s="5"/>
      <c r="T128" s="5">
        <f t="shared" si="9"/>
        <v>0</v>
      </c>
      <c r="U128" s="5">
        <f t="shared" si="10"/>
        <v>0</v>
      </c>
      <c r="V128" s="38">
        <f t="shared" si="11"/>
        <v>0</v>
      </c>
      <c r="W128" s="2"/>
      <c r="X128" s="2"/>
    </row>
    <row r="129" spans="1:24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52</v>
      </c>
      <c r="G129" s="3">
        <v>12</v>
      </c>
      <c r="H129" s="35"/>
      <c r="I129" s="36"/>
      <c r="J129" s="36"/>
      <c r="K129" s="5"/>
      <c r="L129" s="37"/>
      <c r="M129" s="5"/>
      <c r="N129" s="5"/>
      <c r="O129" s="6"/>
      <c r="P129" s="7">
        <f t="shared" si="8"/>
        <v>0</v>
      </c>
      <c r="Q129" s="5"/>
      <c r="R129" s="5"/>
      <c r="S129" s="5"/>
      <c r="T129" s="5">
        <f t="shared" si="9"/>
        <v>0</v>
      </c>
      <c r="U129" s="5">
        <f t="shared" si="10"/>
        <v>0</v>
      </c>
      <c r="V129" s="38">
        <f t="shared" si="11"/>
        <v>0</v>
      </c>
      <c r="W129" s="2"/>
      <c r="X129" s="2"/>
    </row>
    <row r="130" spans="1:24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52</v>
      </c>
      <c r="G130" s="3">
        <v>12</v>
      </c>
      <c r="H130" s="35"/>
      <c r="I130" s="36"/>
      <c r="J130" s="36"/>
      <c r="K130" s="5"/>
      <c r="L130" s="37"/>
      <c r="M130" s="5"/>
      <c r="N130" s="5"/>
      <c r="O130" s="6"/>
      <c r="P130" s="7">
        <f t="shared" si="8"/>
        <v>0</v>
      </c>
      <c r="Q130" s="5"/>
      <c r="R130" s="5"/>
      <c r="S130" s="5"/>
      <c r="T130" s="5">
        <f t="shared" si="9"/>
        <v>0</v>
      </c>
      <c r="U130" s="5">
        <f t="shared" si="10"/>
        <v>0</v>
      </c>
      <c r="V130" s="38">
        <f t="shared" si="11"/>
        <v>0</v>
      </c>
      <c r="W130" s="2"/>
      <c r="X130" s="2"/>
    </row>
    <row r="131" spans="1:24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52</v>
      </c>
      <c r="G131" s="3">
        <v>12</v>
      </c>
      <c r="H131" s="35"/>
      <c r="I131" s="36"/>
      <c r="J131" s="36"/>
      <c r="K131" s="5"/>
      <c r="L131" s="37"/>
      <c r="M131" s="5"/>
      <c r="N131" s="5"/>
      <c r="O131" s="6"/>
      <c r="P131" s="7">
        <f t="shared" si="8"/>
        <v>0</v>
      </c>
      <c r="Q131" s="5"/>
      <c r="R131" s="5"/>
      <c r="S131" s="5"/>
      <c r="T131" s="5">
        <f t="shared" si="9"/>
        <v>0</v>
      </c>
      <c r="U131" s="5">
        <f t="shared" si="10"/>
        <v>0</v>
      </c>
      <c r="V131" s="38">
        <f t="shared" si="11"/>
        <v>0</v>
      </c>
      <c r="W131" s="2"/>
      <c r="X131" s="2"/>
    </row>
    <row r="132" spans="1:24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52</v>
      </c>
      <c r="G132" s="3">
        <v>12</v>
      </c>
      <c r="H132" s="35"/>
      <c r="I132" s="36"/>
      <c r="J132" s="36"/>
      <c r="K132" s="5"/>
      <c r="L132" s="37"/>
      <c r="M132" s="5"/>
      <c r="N132" s="5"/>
      <c r="O132" s="6"/>
      <c r="P132" s="7">
        <f t="shared" si="8"/>
        <v>0</v>
      </c>
      <c r="Q132" s="5"/>
      <c r="R132" s="5"/>
      <c r="S132" s="5"/>
      <c r="T132" s="5">
        <f t="shared" si="9"/>
        <v>0</v>
      </c>
      <c r="U132" s="5">
        <f t="shared" si="10"/>
        <v>0</v>
      </c>
      <c r="V132" s="38">
        <f t="shared" si="11"/>
        <v>0</v>
      </c>
      <c r="W132" s="2"/>
      <c r="X132" s="2"/>
    </row>
    <row r="133" spans="1:24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52</v>
      </c>
      <c r="G133" s="3">
        <v>12</v>
      </c>
      <c r="H133" s="35"/>
      <c r="I133" s="36"/>
      <c r="J133" s="36"/>
      <c r="K133" s="5"/>
      <c r="L133" s="37"/>
      <c r="M133" s="5"/>
      <c r="N133" s="5"/>
      <c r="O133" s="6"/>
      <c r="P133" s="7">
        <f t="shared" ref="P133:P150" si="12">M133+(0.05*N133)+(O133/240)</f>
        <v>0</v>
      </c>
      <c r="Q133" s="5"/>
      <c r="R133" s="5"/>
      <c r="S133" s="5"/>
      <c r="T133" s="5">
        <f t="shared" ref="T133:T150" si="13">Q133+(R133*0.05)+(S133/240)</f>
        <v>0</v>
      </c>
      <c r="U133" s="5">
        <f t="shared" ref="U133:U150" si="14">K133*P133</f>
        <v>0</v>
      </c>
      <c r="V133" s="38">
        <f t="shared" si="11"/>
        <v>0</v>
      </c>
      <c r="W133" s="2"/>
      <c r="X133" s="2"/>
    </row>
    <row r="134" spans="1:24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52</v>
      </c>
      <c r="G134" s="3">
        <v>12</v>
      </c>
      <c r="H134" s="35"/>
      <c r="I134" s="36"/>
      <c r="J134" s="36"/>
      <c r="K134" s="5"/>
      <c r="L134" s="37"/>
      <c r="M134" s="5"/>
      <c r="N134" s="5"/>
      <c r="O134" s="6"/>
      <c r="P134" s="7">
        <f t="shared" si="12"/>
        <v>0</v>
      </c>
      <c r="Q134" s="5"/>
      <c r="R134" s="5"/>
      <c r="S134" s="5"/>
      <c r="T134" s="5">
        <f t="shared" si="13"/>
        <v>0</v>
      </c>
      <c r="U134" s="5">
        <f t="shared" si="14"/>
        <v>0</v>
      </c>
      <c r="V134" s="38">
        <f t="shared" ref="V134:V150" si="15">T134-U134</f>
        <v>0</v>
      </c>
      <c r="W134" s="2"/>
      <c r="X134" s="2"/>
    </row>
    <row r="135" spans="1:24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52</v>
      </c>
      <c r="G135" s="3">
        <v>12</v>
      </c>
      <c r="H135" s="35"/>
      <c r="I135" s="36"/>
      <c r="J135" s="36"/>
      <c r="K135" s="5"/>
      <c r="L135" s="37"/>
      <c r="M135" s="5"/>
      <c r="N135" s="5"/>
      <c r="O135" s="6"/>
      <c r="P135" s="7">
        <f t="shared" si="12"/>
        <v>0</v>
      </c>
      <c r="Q135" s="5"/>
      <c r="R135" s="5"/>
      <c r="S135" s="5"/>
      <c r="T135" s="5">
        <f t="shared" si="13"/>
        <v>0</v>
      </c>
      <c r="U135" s="5">
        <f t="shared" si="14"/>
        <v>0</v>
      </c>
      <c r="V135" s="38">
        <f t="shared" si="15"/>
        <v>0</v>
      </c>
      <c r="W135" s="2"/>
      <c r="X135" s="2"/>
    </row>
    <row r="136" spans="1:24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52</v>
      </c>
      <c r="G136" s="3">
        <v>12</v>
      </c>
      <c r="H136" s="35"/>
      <c r="I136" s="36"/>
      <c r="J136" s="36"/>
      <c r="K136" s="5"/>
      <c r="L136" s="37"/>
      <c r="M136" s="5"/>
      <c r="N136" s="5"/>
      <c r="O136" s="6"/>
      <c r="P136" s="7">
        <f t="shared" si="12"/>
        <v>0</v>
      </c>
      <c r="Q136" s="5"/>
      <c r="R136" s="5"/>
      <c r="S136" s="5"/>
      <c r="T136" s="5">
        <f t="shared" si="13"/>
        <v>0</v>
      </c>
      <c r="U136" s="5">
        <f t="shared" si="14"/>
        <v>0</v>
      </c>
      <c r="V136" s="38">
        <f t="shared" si="15"/>
        <v>0</v>
      </c>
      <c r="W136" s="2"/>
      <c r="X136" s="2"/>
    </row>
    <row r="137" spans="1:24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52</v>
      </c>
      <c r="G137" s="3">
        <v>12</v>
      </c>
      <c r="H137" s="35"/>
      <c r="I137" s="36"/>
      <c r="J137" s="36"/>
      <c r="K137" s="5"/>
      <c r="L137" s="37"/>
      <c r="M137" s="5"/>
      <c r="N137" s="5"/>
      <c r="O137" s="6"/>
      <c r="P137" s="7">
        <f t="shared" si="12"/>
        <v>0</v>
      </c>
      <c r="Q137" s="5"/>
      <c r="R137" s="5"/>
      <c r="S137" s="5"/>
      <c r="T137" s="5">
        <f t="shared" si="13"/>
        <v>0</v>
      </c>
      <c r="U137" s="5">
        <f t="shared" si="14"/>
        <v>0</v>
      </c>
      <c r="V137" s="38">
        <f t="shared" si="15"/>
        <v>0</v>
      </c>
      <c r="W137" s="2"/>
      <c r="X137" s="2"/>
    </row>
    <row r="138" spans="1:24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52</v>
      </c>
      <c r="G138" s="3">
        <v>12</v>
      </c>
      <c r="H138" s="35"/>
      <c r="I138" s="36"/>
      <c r="J138" s="36"/>
      <c r="K138" s="5"/>
      <c r="L138" s="37"/>
      <c r="M138" s="5"/>
      <c r="N138" s="5"/>
      <c r="O138" s="6"/>
      <c r="P138" s="7">
        <f t="shared" si="12"/>
        <v>0</v>
      </c>
      <c r="Q138" s="5"/>
      <c r="R138" s="5"/>
      <c r="S138" s="5"/>
      <c r="T138" s="5">
        <f t="shared" si="13"/>
        <v>0</v>
      </c>
      <c r="U138" s="5">
        <f t="shared" si="14"/>
        <v>0</v>
      </c>
      <c r="V138" s="38">
        <f t="shared" si="15"/>
        <v>0</v>
      </c>
      <c r="W138" s="2"/>
      <c r="X138" s="2"/>
    </row>
    <row r="139" spans="1:24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52</v>
      </c>
      <c r="G139" s="3">
        <v>12</v>
      </c>
      <c r="H139" s="35"/>
      <c r="I139" s="36"/>
      <c r="J139" s="36"/>
      <c r="K139" s="5"/>
      <c r="L139" s="37"/>
      <c r="M139" s="5"/>
      <c r="N139" s="5"/>
      <c r="O139" s="6"/>
      <c r="P139" s="7">
        <f t="shared" si="12"/>
        <v>0</v>
      </c>
      <c r="Q139" s="5"/>
      <c r="R139" s="5"/>
      <c r="S139" s="5"/>
      <c r="T139" s="5">
        <f t="shared" si="13"/>
        <v>0</v>
      </c>
      <c r="U139" s="5">
        <f t="shared" si="14"/>
        <v>0</v>
      </c>
      <c r="V139" s="38">
        <f t="shared" si="15"/>
        <v>0</v>
      </c>
      <c r="W139" s="2"/>
      <c r="X139" s="2"/>
    </row>
    <row r="140" spans="1:24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52</v>
      </c>
      <c r="G140" s="3">
        <v>12</v>
      </c>
      <c r="H140" s="35"/>
      <c r="I140" s="36"/>
      <c r="J140" s="36"/>
      <c r="K140" s="5"/>
      <c r="L140" s="37"/>
      <c r="M140" s="5"/>
      <c r="N140" s="5"/>
      <c r="O140" s="6"/>
      <c r="P140" s="7">
        <f t="shared" si="12"/>
        <v>0</v>
      </c>
      <c r="Q140" s="5"/>
      <c r="R140" s="5"/>
      <c r="S140" s="5"/>
      <c r="T140" s="5">
        <f t="shared" si="13"/>
        <v>0</v>
      </c>
      <c r="U140" s="5">
        <f t="shared" si="14"/>
        <v>0</v>
      </c>
      <c r="V140" s="38">
        <f t="shared" si="15"/>
        <v>0</v>
      </c>
      <c r="W140" s="2"/>
      <c r="X140" s="2"/>
    </row>
    <row r="141" spans="1:24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52</v>
      </c>
      <c r="G141" s="3">
        <v>12</v>
      </c>
      <c r="H141" s="35"/>
      <c r="I141" s="36"/>
      <c r="J141" s="36"/>
      <c r="K141" s="5"/>
      <c r="L141" s="37"/>
      <c r="M141" s="5"/>
      <c r="N141" s="5"/>
      <c r="O141" s="6"/>
      <c r="P141" s="7">
        <f t="shared" si="12"/>
        <v>0</v>
      </c>
      <c r="Q141" s="5"/>
      <c r="R141" s="5"/>
      <c r="S141" s="5"/>
      <c r="T141" s="5">
        <f t="shared" si="13"/>
        <v>0</v>
      </c>
      <c r="U141" s="5">
        <f t="shared" si="14"/>
        <v>0</v>
      </c>
      <c r="V141" s="38">
        <f t="shared" si="15"/>
        <v>0</v>
      </c>
      <c r="W141" s="2"/>
      <c r="X141" s="2"/>
    </row>
    <row r="142" spans="1:24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52</v>
      </c>
      <c r="G142" s="3">
        <v>12</v>
      </c>
      <c r="H142" s="35"/>
      <c r="I142" s="36"/>
      <c r="J142" s="36"/>
      <c r="K142" s="5"/>
      <c r="L142" s="37"/>
      <c r="M142" s="5"/>
      <c r="N142" s="5"/>
      <c r="O142" s="6"/>
      <c r="P142" s="7">
        <f t="shared" si="12"/>
        <v>0</v>
      </c>
      <c r="Q142" s="5"/>
      <c r="R142" s="5"/>
      <c r="S142" s="5"/>
      <c r="T142" s="5">
        <f t="shared" si="13"/>
        <v>0</v>
      </c>
      <c r="U142" s="5">
        <f t="shared" si="14"/>
        <v>0</v>
      </c>
      <c r="V142" s="38">
        <f t="shared" si="15"/>
        <v>0</v>
      </c>
      <c r="W142" s="2"/>
      <c r="X142" s="2"/>
    </row>
    <row r="143" spans="1:24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52</v>
      </c>
      <c r="G143" s="3">
        <v>12</v>
      </c>
      <c r="H143" s="35"/>
      <c r="I143" s="36"/>
      <c r="J143" s="36"/>
      <c r="K143" s="5"/>
      <c r="L143" s="37"/>
      <c r="M143" s="5"/>
      <c r="N143" s="5"/>
      <c r="O143" s="6"/>
      <c r="P143" s="7">
        <f t="shared" si="12"/>
        <v>0</v>
      </c>
      <c r="Q143" s="5"/>
      <c r="R143" s="5"/>
      <c r="S143" s="5"/>
      <c r="T143" s="5">
        <f t="shared" si="13"/>
        <v>0</v>
      </c>
      <c r="U143" s="5">
        <f t="shared" si="14"/>
        <v>0</v>
      </c>
      <c r="V143" s="38">
        <f t="shared" si="15"/>
        <v>0</v>
      </c>
      <c r="W143" s="2"/>
      <c r="X143" s="2"/>
    </row>
    <row r="144" spans="1:24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52</v>
      </c>
      <c r="G144" s="3">
        <v>12</v>
      </c>
      <c r="H144" s="35"/>
      <c r="I144" s="36"/>
      <c r="J144" s="36"/>
      <c r="K144" s="5"/>
      <c r="L144" s="37"/>
      <c r="M144" s="5"/>
      <c r="N144" s="5"/>
      <c r="O144" s="6"/>
      <c r="P144" s="7">
        <f t="shared" si="12"/>
        <v>0</v>
      </c>
      <c r="Q144" s="5"/>
      <c r="R144" s="5"/>
      <c r="S144" s="5"/>
      <c r="T144" s="5">
        <f t="shared" si="13"/>
        <v>0</v>
      </c>
      <c r="U144" s="5">
        <f t="shared" si="14"/>
        <v>0</v>
      </c>
      <c r="V144" s="38">
        <f t="shared" si="15"/>
        <v>0</v>
      </c>
      <c r="W144" s="2"/>
      <c r="X144" s="2"/>
    </row>
    <row r="145" spans="1:24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52</v>
      </c>
      <c r="G145" s="3">
        <v>12</v>
      </c>
      <c r="H145" s="35"/>
      <c r="I145" s="36"/>
      <c r="J145" s="36"/>
      <c r="K145" s="5"/>
      <c r="L145" s="37"/>
      <c r="M145" s="5"/>
      <c r="N145" s="5"/>
      <c r="O145" s="6"/>
      <c r="P145" s="7">
        <f t="shared" si="12"/>
        <v>0</v>
      </c>
      <c r="Q145" s="5"/>
      <c r="R145" s="5"/>
      <c r="S145" s="5"/>
      <c r="T145" s="5">
        <f t="shared" si="13"/>
        <v>0</v>
      </c>
      <c r="U145" s="5">
        <f t="shared" si="14"/>
        <v>0</v>
      </c>
      <c r="V145" s="38">
        <f t="shared" si="15"/>
        <v>0</v>
      </c>
      <c r="W145" s="2"/>
      <c r="X145" s="2"/>
    </row>
    <row r="146" spans="1:24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52</v>
      </c>
      <c r="G146" s="3">
        <v>12</v>
      </c>
      <c r="H146" s="35"/>
      <c r="I146" s="36"/>
      <c r="J146" s="36"/>
      <c r="K146" s="5"/>
      <c r="L146" s="37"/>
      <c r="M146" s="5"/>
      <c r="N146" s="5"/>
      <c r="O146" s="6"/>
      <c r="P146" s="7">
        <f t="shared" si="12"/>
        <v>0</v>
      </c>
      <c r="Q146" s="5"/>
      <c r="R146" s="5"/>
      <c r="S146" s="5"/>
      <c r="T146" s="5">
        <f t="shared" si="13"/>
        <v>0</v>
      </c>
      <c r="U146" s="5">
        <f t="shared" si="14"/>
        <v>0</v>
      </c>
      <c r="V146" s="38">
        <f t="shared" si="15"/>
        <v>0</v>
      </c>
      <c r="W146" s="2"/>
      <c r="X146" s="2"/>
    </row>
    <row r="147" spans="1:24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52</v>
      </c>
      <c r="G147" s="3">
        <v>12</v>
      </c>
      <c r="H147" s="35"/>
      <c r="I147" s="36"/>
      <c r="J147" s="36"/>
      <c r="K147" s="5"/>
      <c r="L147" s="37"/>
      <c r="M147" s="5"/>
      <c r="N147" s="5"/>
      <c r="O147" s="6"/>
      <c r="P147" s="7">
        <f t="shared" si="12"/>
        <v>0</v>
      </c>
      <c r="Q147" s="5"/>
      <c r="R147" s="5"/>
      <c r="S147" s="5"/>
      <c r="T147" s="5">
        <f t="shared" si="13"/>
        <v>0</v>
      </c>
      <c r="U147" s="5">
        <f t="shared" si="14"/>
        <v>0</v>
      </c>
      <c r="V147" s="38">
        <f t="shared" si="15"/>
        <v>0</v>
      </c>
      <c r="W147" s="2"/>
      <c r="X147" s="2"/>
    </row>
    <row r="148" spans="1:24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52</v>
      </c>
      <c r="G148" s="3">
        <v>12</v>
      </c>
      <c r="H148" s="35"/>
      <c r="I148" s="36"/>
      <c r="J148" s="36"/>
      <c r="K148" s="5"/>
      <c r="L148" s="37"/>
      <c r="M148" s="5"/>
      <c r="N148" s="5"/>
      <c r="O148" s="6"/>
      <c r="P148" s="7">
        <f t="shared" si="12"/>
        <v>0</v>
      </c>
      <c r="Q148" s="5"/>
      <c r="R148" s="5"/>
      <c r="S148" s="5"/>
      <c r="T148" s="5">
        <f t="shared" si="13"/>
        <v>0</v>
      </c>
      <c r="U148" s="5">
        <f t="shared" si="14"/>
        <v>0</v>
      </c>
      <c r="V148" s="38">
        <f t="shared" si="15"/>
        <v>0</v>
      </c>
      <c r="W148" s="2"/>
      <c r="X148" s="2"/>
    </row>
    <row r="149" spans="1:24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52</v>
      </c>
      <c r="G149" s="3">
        <v>12</v>
      </c>
      <c r="H149" s="35"/>
      <c r="I149" s="36"/>
      <c r="J149" s="36"/>
      <c r="K149" s="5"/>
      <c r="L149" s="37"/>
      <c r="M149" s="5"/>
      <c r="N149" s="5"/>
      <c r="O149" s="6"/>
      <c r="P149" s="7">
        <f t="shared" si="12"/>
        <v>0</v>
      </c>
      <c r="Q149" s="5"/>
      <c r="R149" s="5"/>
      <c r="S149" s="5"/>
      <c r="T149" s="5">
        <f t="shared" si="13"/>
        <v>0</v>
      </c>
      <c r="U149" s="5">
        <f t="shared" si="14"/>
        <v>0</v>
      </c>
      <c r="V149" s="38">
        <f t="shared" si="15"/>
        <v>0</v>
      </c>
      <c r="W149" s="2"/>
      <c r="X149" s="2"/>
    </row>
    <row r="150" spans="1:24">
      <c r="A150" s="1" t="s">
        <v>12</v>
      </c>
      <c r="B150" s="3" t="s">
        <v>23</v>
      </c>
      <c r="C150" s="3" t="s">
        <v>45</v>
      </c>
      <c r="D150" s="4">
        <v>1789</v>
      </c>
      <c r="E150" s="3" t="s">
        <v>49</v>
      </c>
      <c r="F150" s="3" t="s">
        <v>52</v>
      </c>
      <c r="G150" s="3">
        <v>12</v>
      </c>
      <c r="H150" s="35"/>
      <c r="I150" s="36"/>
      <c r="J150" s="36"/>
      <c r="K150" s="5"/>
      <c r="L150" s="37"/>
      <c r="M150" s="5"/>
      <c r="N150" s="5"/>
      <c r="O150" s="6"/>
      <c r="P150" s="7">
        <f t="shared" si="12"/>
        <v>0</v>
      </c>
      <c r="Q150" s="5"/>
      <c r="R150" s="5"/>
      <c r="S150" s="5"/>
      <c r="T150" s="5">
        <f t="shared" si="13"/>
        <v>0</v>
      </c>
      <c r="U150" s="5">
        <f t="shared" si="14"/>
        <v>0</v>
      </c>
      <c r="V150" s="38">
        <f t="shared" si="15"/>
        <v>0</v>
      </c>
      <c r="W150" s="2"/>
      <c r="X150" s="2"/>
    </row>
  </sheetData>
  <conditionalFormatting sqref="V2:V150">
    <cfRule type="cellIs" dxfId="9" priority="2" stopIfTrue="1" operator="greaterThan">
      <formula>0</formula>
    </cfRule>
  </conditionalFormatting>
  <conditionalFormatting sqref="V1">
    <cfRule type="cellIs" dxfId="8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1"/>
  <sheetViews>
    <sheetView workbookViewId="0">
      <selection activeCell="H37" sqref="H37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customWidth="1"/>
    <col min="8" max="8" width="49.1640625" bestFit="1" customWidth="1"/>
    <col min="9" max="9" width="10" customWidth="1"/>
    <col min="10" max="11" width="8" customWidth="1"/>
    <col min="12" max="12" width="12" customWidth="1"/>
    <col min="13" max="13" width="17.83203125" bestFit="1" customWidth="1"/>
    <col min="14" max="14" width="10.33203125" style="14" bestFit="1" customWidth="1"/>
    <col min="15" max="17" width="9.6640625" bestFit="1" customWidth="1"/>
    <col min="18" max="18" width="10.6640625" bestFit="1" customWidth="1"/>
    <col min="19" max="19" width="9.1640625" bestFit="1" customWidth="1"/>
    <col min="20" max="20" width="8.6640625" bestFit="1" customWidth="1"/>
    <col min="21" max="21" width="9.6640625" bestFit="1" customWidth="1"/>
    <col min="22" max="22" width="10.6640625" bestFit="1" customWidth="1"/>
    <col min="23" max="23" width="9.1640625" bestFit="1" customWidth="1"/>
    <col min="24" max="24" width="10.6640625" bestFit="1" customWidth="1"/>
    <col min="25" max="26" width="9.6640625" bestFit="1" customWidth="1"/>
    <col min="27" max="27" width="9.1640625" bestFit="1" customWidth="1"/>
    <col min="28" max="28" width="10.6640625" bestFit="1" customWidth="1"/>
    <col min="29" max="29" width="9.6640625" bestFit="1" customWidth="1"/>
    <col min="30" max="30" width="11.5" bestFit="1" customWidth="1"/>
    <col min="31" max="31" width="9.1640625" bestFit="1" customWidth="1"/>
    <col min="32" max="32" width="9.6640625" bestFit="1" customWidth="1"/>
    <col min="33" max="33" width="9.1640625" bestFit="1" customWidth="1"/>
    <col min="34" max="36" width="10.6640625" bestFit="1" customWidth="1"/>
    <col min="37" max="37" width="9.1640625" bestFit="1" customWidth="1"/>
    <col min="38" max="38" width="9.6640625" bestFit="1" customWidth="1"/>
    <col min="39" max="39" width="9.1640625" bestFit="1" customWidth="1"/>
    <col min="40" max="40" width="9.6640625" bestFit="1" customWidth="1"/>
    <col min="41" max="41" width="9.1640625" bestFit="1" customWidth="1"/>
    <col min="42" max="42" width="9.6640625" bestFit="1" customWidth="1"/>
    <col min="43" max="43" width="9.1640625" bestFit="1" customWidth="1"/>
    <col min="44" max="44" width="9.6640625" bestFit="1" customWidth="1"/>
    <col min="45" max="45" width="9.1640625" bestFit="1" customWidth="1"/>
    <col min="46" max="46" width="10.6640625" bestFit="1" customWidth="1"/>
    <col min="47" max="47" width="9.1640625" bestFit="1" customWidth="1"/>
    <col min="48" max="48" width="8.6640625" bestFit="1" customWidth="1"/>
    <col min="49" max="49" width="9.1640625" bestFit="1" customWidth="1"/>
    <col min="50" max="50" width="9.6640625" bestFit="1" customWidth="1"/>
    <col min="51" max="51" width="9.1640625" bestFit="1" customWidth="1"/>
    <col min="52" max="52" width="9.6640625" bestFit="1" customWidth="1"/>
    <col min="53" max="53" width="10.6640625" bestFit="1" customWidth="1"/>
    <col min="54" max="54" width="9.1640625" bestFit="1" customWidth="1"/>
    <col min="55" max="55" width="15.33203125" bestFit="1" customWidth="1"/>
    <col min="56" max="56" width="9.33203125" bestFit="1" customWidth="1"/>
    <col min="57" max="58" width="16.5" bestFit="1" customWidth="1"/>
    <col min="59" max="59" width="16.33203125" bestFit="1" customWidth="1"/>
    <col min="60" max="60" width="17.1640625" bestFit="1" customWidth="1"/>
    <col min="61" max="61" width="23.1640625" bestFit="1" customWidth="1"/>
    <col min="62" max="62" width="39.5" bestFit="1" customWidth="1"/>
  </cols>
  <sheetData>
    <row r="1" spans="1:62" ht="78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19" t="s">
        <v>2</v>
      </c>
      <c r="J1" s="19" t="s">
        <v>3</v>
      </c>
      <c r="K1" s="19" t="s">
        <v>4</v>
      </c>
      <c r="L1" s="20" t="s">
        <v>5</v>
      </c>
      <c r="M1" s="21" t="s">
        <v>24</v>
      </c>
      <c r="N1" s="45" t="s">
        <v>25</v>
      </c>
      <c r="O1" s="46"/>
      <c r="P1" s="47"/>
      <c r="Q1" s="45" t="s">
        <v>20</v>
      </c>
      <c r="R1" s="47"/>
      <c r="S1" s="45" t="s">
        <v>28</v>
      </c>
      <c r="T1" s="47"/>
      <c r="U1" s="45" t="s">
        <v>53</v>
      </c>
      <c r="V1" s="47"/>
      <c r="W1" s="45" t="s">
        <v>54</v>
      </c>
      <c r="X1" s="47"/>
      <c r="Y1" s="45" t="s">
        <v>55</v>
      </c>
      <c r="Z1" s="47"/>
      <c r="AA1" s="45" t="s">
        <v>56</v>
      </c>
      <c r="AB1" s="47"/>
      <c r="AC1" s="45" t="s">
        <v>57</v>
      </c>
      <c r="AD1" s="47"/>
      <c r="AE1" s="45" t="s">
        <v>58</v>
      </c>
      <c r="AF1" s="47"/>
      <c r="AG1" s="45" t="s">
        <v>59</v>
      </c>
      <c r="AH1" s="47"/>
      <c r="AI1" s="45" t="s">
        <v>60</v>
      </c>
      <c r="AJ1" s="47"/>
      <c r="AK1" s="48" t="s">
        <v>17</v>
      </c>
      <c r="AL1" s="48"/>
      <c r="AM1" s="48" t="s">
        <v>21</v>
      </c>
      <c r="AN1" s="48"/>
      <c r="AO1" s="48" t="s">
        <v>61</v>
      </c>
      <c r="AP1" s="48"/>
      <c r="AQ1" s="48" t="s">
        <v>62</v>
      </c>
      <c r="AR1" s="48"/>
      <c r="AS1" s="48" t="s">
        <v>63</v>
      </c>
      <c r="AT1" s="48"/>
      <c r="AU1" s="48" t="s">
        <v>64</v>
      </c>
      <c r="AV1" s="48"/>
      <c r="AW1" s="48" t="s">
        <v>22</v>
      </c>
      <c r="AX1" s="48"/>
      <c r="AY1" s="48" t="s">
        <v>65</v>
      </c>
      <c r="AZ1" s="48"/>
      <c r="BA1" s="45" t="s">
        <v>29</v>
      </c>
      <c r="BB1" s="46"/>
      <c r="BC1" s="46"/>
      <c r="BD1" s="47"/>
      <c r="BE1" s="21" t="s">
        <v>44</v>
      </c>
      <c r="BF1" s="21" t="s">
        <v>38</v>
      </c>
      <c r="BG1" s="21" t="s">
        <v>43</v>
      </c>
      <c r="BH1" s="21" t="s">
        <v>39</v>
      </c>
      <c r="BI1" s="21" t="s">
        <v>41</v>
      </c>
      <c r="BJ1" s="21" t="s">
        <v>6</v>
      </c>
    </row>
    <row r="2" spans="1:62">
      <c r="A2" s="22"/>
      <c r="B2" s="22"/>
      <c r="C2" s="22"/>
      <c r="D2" s="23"/>
      <c r="E2" s="22"/>
      <c r="F2" s="22"/>
      <c r="G2" s="22"/>
      <c r="H2" s="24"/>
      <c r="I2" s="25"/>
      <c r="J2" s="25"/>
      <c r="K2" s="26"/>
      <c r="L2" s="16"/>
      <c r="M2" s="16"/>
      <c r="N2" s="27" t="s">
        <v>26</v>
      </c>
      <c r="O2" s="16" t="s">
        <v>27</v>
      </c>
      <c r="P2" s="16" t="s">
        <v>30</v>
      </c>
      <c r="Q2" s="16" t="s">
        <v>27</v>
      </c>
      <c r="R2" s="16" t="s">
        <v>30</v>
      </c>
      <c r="S2" s="16" t="s">
        <v>27</v>
      </c>
      <c r="T2" s="16" t="s">
        <v>30</v>
      </c>
      <c r="U2" s="16" t="s">
        <v>27</v>
      </c>
      <c r="V2" s="16" t="s">
        <v>30</v>
      </c>
      <c r="W2" s="16" t="s">
        <v>27</v>
      </c>
      <c r="X2" s="16" t="s">
        <v>30</v>
      </c>
      <c r="Y2" s="16" t="s">
        <v>27</v>
      </c>
      <c r="Z2" s="16" t="s">
        <v>30</v>
      </c>
      <c r="AA2" s="16" t="s">
        <v>27</v>
      </c>
      <c r="AB2" s="16" t="s">
        <v>30</v>
      </c>
      <c r="AC2" s="16" t="s">
        <v>27</v>
      </c>
      <c r="AD2" s="16" t="s">
        <v>30</v>
      </c>
      <c r="AE2" s="16" t="s">
        <v>27</v>
      </c>
      <c r="AF2" s="16" t="s">
        <v>30</v>
      </c>
      <c r="AG2" s="16" t="s">
        <v>27</v>
      </c>
      <c r="AH2" s="16" t="s">
        <v>30</v>
      </c>
      <c r="AI2" s="16" t="s">
        <v>27</v>
      </c>
      <c r="AJ2" s="16" t="s">
        <v>30</v>
      </c>
      <c r="AK2" s="16" t="s">
        <v>27</v>
      </c>
      <c r="AL2" s="16" t="s">
        <v>30</v>
      </c>
      <c r="AM2" s="16" t="s">
        <v>27</v>
      </c>
      <c r="AN2" s="16" t="s">
        <v>30</v>
      </c>
      <c r="AO2" s="16" t="s">
        <v>27</v>
      </c>
      <c r="AP2" s="16" t="s">
        <v>30</v>
      </c>
      <c r="AQ2" s="16" t="s">
        <v>27</v>
      </c>
      <c r="AR2" s="16" t="s">
        <v>30</v>
      </c>
      <c r="AS2" s="16" t="s">
        <v>27</v>
      </c>
      <c r="AT2" s="16" t="s">
        <v>30</v>
      </c>
      <c r="AU2" s="16" t="s">
        <v>27</v>
      </c>
      <c r="AV2" s="16" t="s">
        <v>30</v>
      </c>
      <c r="AW2" s="16" t="s">
        <v>27</v>
      </c>
      <c r="AX2" s="16" t="s">
        <v>30</v>
      </c>
      <c r="AY2" s="16" t="s">
        <v>27</v>
      </c>
      <c r="AZ2" s="16" t="s">
        <v>30</v>
      </c>
      <c r="BA2" s="16" t="s">
        <v>27</v>
      </c>
      <c r="BB2" s="16" t="s">
        <v>30</v>
      </c>
      <c r="BC2" s="16" t="s">
        <v>37</v>
      </c>
      <c r="BD2" s="16" t="s">
        <v>40</v>
      </c>
      <c r="BE2" s="22"/>
      <c r="BF2" s="22"/>
      <c r="BG2" s="22"/>
      <c r="BH2" s="22"/>
      <c r="BI2" s="22"/>
      <c r="BJ2" s="22"/>
    </row>
    <row r="3" spans="1:62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49</v>
      </c>
      <c r="G3" s="31">
        <v>18</v>
      </c>
      <c r="H3" s="31" t="s">
        <v>31</v>
      </c>
      <c r="I3" s="5">
        <v>27</v>
      </c>
      <c r="J3" s="5"/>
      <c r="K3" s="6"/>
      <c r="L3" s="11">
        <f>I3+(J3/20)+(K3/240)</f>
        <v>27</v>
      </c>
      <c r="M3" s="7" t="s">
        <v>14</v>
      </c>
      <c r="N3" s="31"/>
      <c r="O3" s="9"/>
      <c r="P3" s="9" t="str">
        <f>IF(N3&lt;&gt;"",O3*L3,"")</f>
        <v/>
      </c>
      <c r="Q3" s="9"/>
      <c r="R3" s="30">
        <f t="shared" ref="R3:T5" si="0">Q3*$L3</f>
        <v>0</v>
      </c>
      <c r="S3" s="9"/>
      <c r="T3" s="30">
        <f t="shared" si="0"/>
        <v>0</v>
      </c>
      <c r="U3" s="9"/>
      <c r="V3" s="30">
        <f t="shared" ref="V3" si="1">U3*$L3</f>
        <v>0</v>
      </c>
      <c r="W3" s="9">
        <f>700/100</f>
        <v>7</v>
      </c>
      <c r="X3" s="30">
        <v>189</v>
      </c>
      <c r="Y3" s="42"/>
      <c r="Z3" s="30">
        <v>9506</v>
      </c>
      <c r="AA3" s="9"/>
      <c r="AB3" s="30">
        <f t="shared" ref="AB3" si="2">AA3*$L3</f>
        <v>0</v>
      </c>
      <c r="AC3" s="9"/>
      <c r="AD3" s="30">
        <f t="shared" ref="AD3" si="3">AC3*$L3</f>
        <v>0</v>
      </c>
      <c r="AE3" s="9"/>
      <c r="AF3" s="30">
        <f t="shared" ref="AF3" si="4">AE3*$L3</f>
        <v>0</v>
      </c>
      <c r="AG3" s="9"/>
      <c r="AH3" s="30">
        <f t="shared" ref="AH3" si="5">AG3*$L3</f>
        <v>0</v>
      </c>
      <c r="AI3" s="9"/>
      <c r="AJ3" s="30">
        <f t="shared" ref="AJ3" si="6">AI3*$L3</f>
        <v>0</v>
      </c>
      <c r="AK3" s="9">
        <f>72509/100</f>
        <v>725.09</v>
      </c>
      <c r="AL3" s="30">
        <v>19577</v>
      </c>
      <c r="AM3" s="9"/>
      <c r="AN3" s="30">
        <f t="shared" ref="AN3" si="7">AM3*$L3</f>
        <v>0</v>
      </c>
      <c r="AO3" s="9"/>
      <c r="AP3" s="30">
        <f t="shared" ref="AP3" si="8">AO3*$L3</f>
        <v>0</v>
      </c>
      <c r="AQ3" s="9"/>
      <c r="AR3" s="30">
        <f t="shared" ref="AR3" si="9">AQ3*$L3</f>
        <v>0</v>
      </c>
      <c r="AS3" s="9">
        <f>36750/100</f>
        <v>367.5</v>
      </c>
      <c r="AT3" s="30">
        <v>9922</v>
      </c>
      <c r="AU3" s="9"/>
      <c r="AV3" s="30">
        <f t="shared" ref="AV3" si="10">AU3*$L3</f>
        <v>0</v>
      </c>
      <c r="AW3" s="9"/>
      <c r="AX3" s="30">
        <f t="shared" ref="AX3" si="11">AW3*$L3</f>
        <v>0</v>
      </c>
      <c r="AY3" s="9"/>
      <c r="AZ3" s="30">
        <f t="shared" ref="AZ3" si="12">AY3*$L3</f>
        <v>0</v>
      </c>
      <c r="BA3" s="10">
        <f>145166/100</f>
        <v>1451.66</v>
      </c>
      <c r="BB3" s="31">
        <v>39194</v>
      </c>
      <c r="BC3" s="15">
        <f>SUM(R3,T3,V3,X3,Z3,AB3,AD3,AF3,AH3,AJ3,AL3,AN3,AP3,AR3,AT3,AV3,AX3,AZ3)</f>
        <v>39194</v>
      </c>
      <c r="BD3" s="9">
        <f>BB3-BC3</f>
        <v>0</v>
      </c>
      <c r="BE3" s="28">
        <f>SUM(Q3,S3,U3,W3,Y3,AA3,AC3,AE3,AG3,AI3,AK3,AM3,AO3,AQ3,AS3,AU3,AW3,AY3)</f>
        <v>1099.5900000000001</v>
      </c>
      <c r="BF3" s="8">
        <f>BA3-BE3</f>
        <v>352.06999999999994</v>
      </c>
      <c r="BG3" s="29">
        <f>BE3*L3</f>
        <v>29688.930000000004</v>
      </c>
      <c r="BH3" s="13">
        <f>BB3-BG3</f>
        <v>9505.0699999999961</v>
      </c>
      <c r="BI3" s="2" t="str">
        <f>IF(BH3=0,"",IF(BH3&lt;&gt;BB3,"erreur de calcul",IF(BE3&lt;&gt;0,"pas de prix",IF(L3&lt;&gt; 0,"pas de quantité","pas de prix, ni de quantité"))))</f>
        <v>erreur de calcul</v>
      </c>
      <c r="BJ3" s="2"/>
    </row>
    <row r="4" spans="1:62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49</v>
      </c>
      <c r="G4" s="31">
        <v>18</v>
      </c>
      <c r="H4" s="31" t="s">
        <v>77</v>
      </c>
      <c r="I4" s="5"/>
      <c r="J4" s="5">
        <v>20</v>
      </c>
      <c r="K4" s="6"/>
      <c r="L4" s="11">
        <f t="shared" ref="L4:L6" si="13">I4+(J4/20)+(K4/240)</f>
        <v>1</v>
      </c>
      <c r="M4" s="7" t="s">
        <v>15</v>
      </c>
      <c r="N4" s="31"/>
      <c r="O4" s="9"/>
      <c r="P4" s="9" t="str">
        <f t="shared" ref="P4:P6" si="14">IF(N4&lt;&gt;"",O4*L4,"")</f>
        <v/>
      </c>
      <c r="Q4" s="9"/>
      <c r="R4" s="30">
        <f t="shared" si="0"/>
        <v>0</v>
      </c>
      <c r="S4" s="9"/>
      <c r="T4" s="30">
        <f t="shared" si="0"/>
        <v>0</v>
      </c>
      <c r="U4" s="9"/>
      <c r="V4" s="30">
        <f t="shared" ref="V4" si="15">U4*$L4</f>
        <v>0</v>
      </c>
      <c r="W4" s="9">
        <v>2365</v>
      </c>
      <c r="X4" s="30">
        <v>2365</v>
      </c>
      <c r="Y4" s="42">
        <v>234</v>
      </c>
      <c r="Z4" s="30">
        <v>234</v>
      </c>
      <c r="AA4" s="9"/>
      <c r="AB4" s="30">
        <f t="shared" ref="AB4" si="16">AA4*$L4</f>
        <v>0</v>
      </c>
      <c r="AC4" s="9">
        <v>17776</v>
      </c>
      <c r="AD4" s="30">
        <v>17776</v>
      </c>
      <c r="AE4" s="9"/>
      <c r="AF4" s="30">
        <f t="shared" ref="AF4" si="17">AE4*$L4</f>
        <v>0</v>
      </c>
      <c r="AG4" s="9"/>
      <c r="AH4" s="30">
        <f t="shared" ref="AH4" si="18">AG4*$L4</f>
        <v>0</v>
      </c>
      <c r="AI4" s="9"/>
      <c r="AJ4" s="30">
        <f t="shared" ref="AJ4:AL4" si="19">AI4*$L4</f>
        <v>0</v>
      </c>
      <c r="AK4" s="9"/>
      <c r="AL4" s="30">
        <f t="shared" si="19"/>
        <v>0</v>
      </c>
      <c r="AM4" s="9"/>
      <c r="AN4" s="30">
        <f t="shared" ref="AN4" si="20">AM4*$L4</f>
        <v>0</v>
      </c>
      <c r="AO4" s="9"/>
      <c r="AP4" s="30">
        <f t="shared" ref="AP4" si="21">AO4*$L4</f>
        <v>0</v>
      </c>
      <c r="AQ4" s="9"/>
      <c r="AR4" s="30">
        <f t="shared" ref="AR4" si="22">AQ4*$L4</f>
        <v>0</v>
      </c>
      <c r="AS4" s="9"/>
      <c r="AT4" s="30">
        <f t="shared" ref="AT4" si="23">AS4*$L4</f>
        <v>0</v>
      </c>
      <c r="AU4" s="9"/>
      <c r="AV4" s="30">
        <f t="shared" ref="AV4" si="24">AU4*$L4</f>
        <v>0</v>
      </c>
      <c r="AW4" s="9"/>
      <c r="AX4" s="30">
        <f t="shared" ref="AX4" si="25">AW4*$L4</f>
        <v>0</v>
      </c>
      <c r="AY4" s="9"/>
      <c r="AZ4" s="30">
        <f t="shared" ref="AZ4" si="26">AY4*$L4</f>
        <v>0</v>
      </c>
      <c r="BA4" s="10">
        <v>20375</v>
      </c>
      <c r="BB4" s="31">
        <v>20375</v>
      </c>
      <c r="BC4" s="15">
        <f t="shared" ref="BC4:BC6" si="27">SUM(R4,T4,V4,X4,Z4,AB4,AD4,AF4,AH4,AJ4,AL4,AN4,AP4,AR4,AT4,AV4,AX4,AZ4)</f>
        <v>20375</v>
      </c>
      <c r="BD4" s="9">
        <f t="shared" ref="BD4:BD6" si="28">BB4-BC4</f>
        <v>0</v>
      </c>
      <c r="BE4" s="28">
        <f t="shared" ref="BE4:BE6" si="29">SUM(Q4,S4,U4,W4,Y4,AA4,AC4,AE4,AG4,AI4,AK4,AM4,AO4,AQ4,AS4,AU4,AW4,AY4)</f>
        <v>20375</v>
      </c>
      <c r="BF4" s="8">
        <f t="shared" ref="BF4:BF6" si="30">BA4-BE4</f>
        <v>0</v>
      </c>
      <c r="BG4" s="29">
        <f>BE4*L4</f>
        <v>20375</v>
      </c>
      <c r="BH4" s="13">
        <f t="shared" ref="BH4:BH6" si="31">BB4-BG4</f>
        <v>0</v>
      </c>
      <c r="BI4" s="2" t="str">
        <f>IF(BH4=0,"",IF(BH4&lt;&gt;BB4,"erreur de calcul",IF(BE4&lt;&gt;0,"pas de prix",IF(L4&lt;&gt; 0,"pas de quantité","pas de prix, ni de quantité"))))</f>
        <v/>
      </c>
      <c r="BJ4" s="2"/>
    </row>
    <row r="5" spans="1:62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49</v>
      </c>
      <c r="G5" s="31">
        <v>18</v>
      </c>
      <c r="H5" s="31" t="s">
        <v>78</v>
      </c>
      <c r="I5" s="5">
        <v>56</v>
      </c>
      <c r="J5" s="5"/>
      <c r="K5" s="6"/>
      <c r="L5" s="11">
        <f t="shared" si="13"/>
        <v>56</v>
      </c>
      <c r="M5" s="7" t="s">
        <v>14</v>
      </c>
      <c r="N5" s="31"/>
      <c r="O5" s="9"/>
      <c r="P5" s="9" t="str">
        <f t="shared" si="14"/>
        <v/>
      </c>
      <c r="Q5" s="9">
        <f>27159/100</f>
        <v>271.58999999999997</v>
      </c>
      <c r="R5" s="30">
        <v>15209</v>
      </c>
      <c r="S5" s="9"/>
      <c r="T5" s="30">
        <f t="shared" si="0"/>
        <v>0</v>
      </c>
      <c r="U5" s="9">
        <f>1044/100</f>
        <v>10.44</v>
      </c>
      <c r="V5" s="30">
        <v>585</v>
      </c>
      <c r="W5" s="9">
        <f>1838/100</f>
        <v>18.38</v>
      </c>
      <c r="X5" s="32">
        <v>4557</v>
      </c>
      <c r="Y5" s="42"/>
      <c r="Z5" s="30">
        <v>2566</v>
      </c>
      <c r="AA5" s="9"/>
      <c r="AB5" s="30">
        <f t="shared" ref="AB5:AB68" si="32">AA5*$L5</f>
        <v>0</v>
      </c>
      <c r="AC5" s="9">
        <f>17833/100</f>
        <v>178.33</v>
      </c>
      <c r="AD5" s="30">
        <v>9986</v>
      </c>
      <c r="AE5" s="9"/>
      <c r="AF5" s="30">
        <f t="shared" ref="AF5:AF67" si="33">AE5*$L5</f>
        <v>0</v>
      </c>
      <c r="AG5" s="9">
        <f>30595/100</f>
        <v>305.95</v>
      </c>
      <c r="AH5" s="30">
        <v>17133</v>
      </c>
      <c r="AI5" s="9"/>
      <c r="AJ5" s="30">
        <f t="shared" ref="AJ5:AL5" si="34">AI5*$L5</f>
        <v>0</v>
      </c>
      <c r="AK5" s="9"/>
      <c r="AL5" s="30">
        <f t="shared" si="34"/>
        <v>0</v>
      </c>
      <c r="AM5" s="9"/>
      <c r="AN5" s="30">
        <f t="shared" ref="AN5:AN68" si="35">AM5*$L5</f>
        <v>0</v>
      </c>
      <c r="AO5" s="9"/>
      <c r="AP5" s="30">
        <f t="shared" ref="AP5:AP68" si="36">AO5*$L5</f>
        <v>0</v>
      </c>
      <c r="AQ5" s="9"/>
      <c r="AR5" s="30">
        <f t="shared" ref="AR5:AR68" si="37">AQ5*$L5</f>
        <v>0</v>
      </c>
      <c r="AS5" s="9"/>
      <c r="AT5" s="30">
        <f t="shared" ref="AT5:AT68" si="38">AS5*$L5</f>
        <v>0</v>
      </c>
      <c r="AU5" s="9"/>
      <c r="AV5" s="30">
        <f t="shared" ref="AV5:AV68" si="39">AU5*$L5</f>
        <v>0</v>
      </c>
      <c r="AW5" s="9"/>
      <c r="AX5" s="30">
        <f t="shared" ref="AX5:AX68" si="40">AW5*$L5</f>
        <v>0</v>
      </c>
      <c r="AY5" s="9"/>
      <c r="AZ5" s="30">
        <f t="shared" ref="AZ5:AZ68" si="41">AY5*$L5</f>
        <v>0</v>
      </c>
      <c r="BA5" s="10">
        <f>83051/100</f>
        <v>830.51</v>
      </c>
      <c r="BB5" s="31">
        <v>50036</v>
      </c>
      <c r="BC5" s="15">
        <f t="shared" si="27"/>
        <v>50036</v>
      </c>
      <c r="BD5" s="9">
        <f t="shared" si="28"/>
        <v>0</v>
      </c>
      <c r="BE5" s="28">
        <f t="shared" si="29"/>
        <v>784.69</v>
      </c>
      <c r="BF5" s="8">
        <f t="shared" si="30"/>
        <v>45.819999999999936</v>
      </c>
      <c r="BG5" s="29">
        <f>BE5*L5</f>
        <v>43942.64</v>
      </c>
      <c r="BH5" s="13">
        <f t="shared" si="31"/>
        <v>6093.3600000000006</v>
      </c>
      <c r="BI5" s="2" t="str">
        <f>IF(BH5=0,"",IF(BH5&lt;&gt;BB5,"erreur de calcul",IF(BE5&lt;&gt;0,"pas de prix",IF(L5&lt;&gt; 0,"pas de quantité","pas de prix, ni de quantité"))))</f>
        <v>erreur de calcul</v>
      </c>
      <c r="BJ5" s="2"/>
    </row>
    <row r="6" spans="1:62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49</v>
      </c>
      <c r="G6" s="31">
        <v>18</v>
      </c>
      <c r="H6" s="31" t="s">
        <v>79</v>
      </c>
      <c r="I6" s="5"/>
      <c r="J6" s="5">
        <v>30</v>
      </c>
      <c r="K6" s="6"/>
      <c r="L6" s="11">
        <f t="shared" si="13"/>
        <v>1.5</v>
      </c>
      <c r="M6" s="7" t="s">
        <v>36</v>
      </c>
      <c r="N6" s="31"/>
      <c r="O6" s="9"/>
      <c r="P6" s="9" t="str">
        <f t="shared" si="14"/>
        <v/>
      </c>
      <c r="Q6" s="9">
        <v>5460</v>
      </c>
      <c r="R6" s="30">
        <v>8190</v>
      </c>
      <c r="S6" s="9"/>
      <c r="T6" s="30">
        <f t="shared" ref="T6" si="42">S6*$L6</f>
        <v>0</v>
      </c>
      <c r="U6" s="9"/>
      <c r="V6" s="30">
        <f t="shared" ref="V6:V67" si="43">U6*$L6</f>
        <v>0</v>
      </c>
      <c r="W6" s="9">
        <v>1061</v>
      </c>
      <c r="X6" s="30">
        <v>1591</v>
      </c>
      <c r="Y6" s="42"/>
      <c r="Z6" s="30">
        <v>5766</v>
      </c>
      <c r="AA6" s="9"/>
      <c r="AB6" s="30">
        <f t="shared" si="32"/>
        <v>0</v>
      </c>
      <c r="AC6" s="9"/>
      <c r="AD6" s="30">
        <f t="shared" ref="AD6:AD65" si="44">AC6*$L6</f>
        <v>0</v>
      </c>
      <c r="AE6" s="9"/>
      <c r="AF6" s="30">
        <f t="shared" si="33"/>
        <v>0</v>
      </c>
      <c r="AG6" s="9"/>
      <c r="AH6" s="30">
        <f t="shared" ref="AH6:AH67" si="45">AG6*$L6</f>
        <v>0</v>
      </c>
      <c r="AI6" s="9"/>
      <c r="AJ6" s="30">
        <f t="shared" ref="AJ6" si="46">AI6*$L6</f>
        <v>0</v>
      </c>
      <c r="AK6" s="9"/>
      <c r="AL6" s="30">
        <f t="shared" ref="AL6" si="47">AK6*$L6</f>
        <v>0</v>
      </c>
      <c r="AM6" s="9"/>
      <c r="AN6" s="30">
        <f t="shared" si="35"/>
        <v>0</v>
      </c>
      <c r="AO6" s="9"/>
      <c r="AP6" s="30">
        <f t="shared" si="36"/>
        <v>0</v>
      </c>
      <c r="AQ6" s="9"/>
      <c r="AR6" s="30">
        <f t="shared" si="37"/>
        <v>0</v>
      </c>
      <c r="AS6" s="9"/>
      <c r="AT6" s="30">
        <f t="shared" si="38"/>
        <v>0</v>
      </c>
      <c r="AU6" s="9"/>
      <c r="AV6" s="30">
        <f t="shared" si="39"/>
        <v>0</v>
      </c>
      <c r="AW6" s="9"/>
      <c r="AX6" s="30">
        <f t="shared" si="40"/>
        <v>0</v>
      </c>
      <c r="AY6" s="9"/>
      <c r="AZ6" s="30">
        <f t="shared" si="41"/>
        <v>0</v>
      </c>
      <c r="BA6" s="10">
        <v>10365</v>
      </c>
      <c r="BB6" s="31">
        <v>15547</v>
      </c>
      <c r="BC6" s="15">
        <f t="shared" si="27"/>
        <v>15547</v>
      </c>
      <c r="BD6" s="9">
        <f t="shared" si="28"/>
        <v>0</v>
      </c>
      <c r="BE6" s="28">
        <f t="shared" si="29"/>
        <v>6521</v>
      </c>
      <c r="BF6" s="8">
        <f t="shared" si="30"/>
        <v>3844</v>
      </c>
      <c r="BG6" s="29">
        <f t="shared" ref="BG6:BG69" si="48">BE6*L6</f>
        <v>9781.5</v>
      </c>
      <c r="BH6" s="13">
        <f t="shared" si="31"/>
        <v>5765.5</v>
      </c>
      <c r="BI6" s="2" t="str">
        <f t="shared" ref="BI6:BI69" si="49">IF(BH6=0,"",IF(BH6&lt;&gt;BB6,"erreur de calcul",IF(BE6&lt;&gt;0,"pas de prix",IF(L6&lt;&gt; 0,"pas de quantité","pas de prix, ni de quantité"))))</f>
        <v>erreur de calcul</v>
      </c>
      <c r="BJ6" s="2"/>
    </row>
    <row r="7" spans="1:62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49</v>
      </c>
      <c r="G7" s="31">
        <v>18</v>
      </c>
      <c r="H7" s="31" t="s">
        <v>80</v>
      </c>
      <c r="I7" s="5">
        <v>190</v>
      </c>
      <c r="J7" s="5"/>
      <c r="K7" s="6"/>
      <c r="L7" s="11">
        <f t="shared" ref="L7:L70" si="50">I7+(J7/20)+(K7/240)</f>
        <v>190</v>
      </c>
      <c r="M7" s="7" t="s">
        <v>14</v>
      </c>
      <c r="N7" s="31"/>
      <c r="O7" s="9"/>
      <c r="P7" s="9" t="str">
        <f t="shared" ref="P7:P70" si="51">IF(N7&lt;&gt;"",O7*L7,"")</f>
        <v/>
      </c>
      <c r="Q7" s="9"/>
      <c r="R7" s="30">
        <f t="shared" ref="R7" si="52">Q7*$L7</f>
        <v>0</v>
      </c>
      <c r="S7" s="9">
        <f>22283/100</f>
        <v>222.83</v>
      </c>
      <c r="T7" s="30">
        <v>42338</v>
      </c>
      <c r="U7" s="9">
        <f>1289/100</f>
        <v>12.89</v>
      </c>
      <c r="V7" s="30">
        <v>2449</v>
      </c>
      <c r="W7" s="9"/>
      <c r="X7" s="30">
        <f t="shared" ref="X5:X67" si="53">W7*$L7</f>
        <v>0</v>
      </c>
      <c r="Y7" s="42"/>
      <c r="Z7" s="30">
        <f t="shared" ref="Z7:Z67" si="54">Y7*$L7</f>
        <v>0</v>
      </c>
      <c r="AA7" s="9"/>
      <c r="AB7" s="30">
        <f t="shared" si="32"/>
        <v>0</v>
      </c>
      <c r="AC7" s="9"/>
      <c r="AD7" s="30">
        <f t="shared" si="44"/>
        <v>0</v>
      </c>
      <c r="AE7" s="9"/>
      <c r="AF7" s="30">
        <f t="shared" si="33"/>
        <v>0</v>
      </c>
      <c r="AG7" s="9"/>
      <c r="AH7" s="30">
        <f t="shared" si="45"/>
        <v>0</v>
      </c>
      <c r="AI7" s="9"/>
      <c r="AJ7" s="30">
        <f t="shared" ref="AJ7" si="55">AI7*$L7</f>
        <v>0</v>
      </c>
      <c r="AK7" s="9"/>
      <c r="AL7" s="30">
        <f t="shared" ref="AL7" si="56">AK7*$L7</f>
        <v>0</v>
      </c>
      <c r="AM7" s="9"/>
      <c r="AN7" s="30">
        <f t="shared" si="35"/>
        <v>0</v>
      </c>
      <c r="AO7" s="9"/>
      <c r="AP7" s="30">
        <f t="shared" si="36"/>
        <v>0</v>
      </c>
      <c r="AQ7" s="9"/>
      <c r="AR7" s="30">
        <f t="shared" si="37"/>
        <v>0</v>
      </c>
      <c r="AS7" s="9"/>
      <c r="AT7" s="30">
        <f t="shared" si="38"/>
        <v>0</v>
      </c>
      <c r="AU7" s="9"/>
      <c r="AV7" s="30">
        <f t="shared" si="39"/>
        <v>0</v>
      </c>
      <c r="AW7" s="9"/>
      <c r="AX7" s="30">
        <f t="shared" si="40"/>
        <v>0</v>
      </c>
      <c r="AY7" s="9"/>
      <c r="AZ7" s="30">
        <f t="shared" si="41"/>
        <v>0</v>
      </c>
      <c r="BA7" s="10">
        <f>23572/100</f>
        <v>235.72</v>
      </c>
      <c r="BB7" s="31">
        <v>44787</v>
      </c>
      <c r="BC7" s="15">
        <f t="shared" ref="BC7:BC70" si="57">SUM(R7,T7,V7,X7,Z7,AB7,AD7,AF7,AH7,AJ7,AL7,AN7,AP7,AR7,AT7,AV7,AX7,AZ7)</f>
        <v>44787</v>
      </c>
      <c r="BD7" s="9">
        <f t="shared" ref="BD7:BD70" si="58">BB7-BC7</f>
        <v>0</v>
      </c>
      <c r="BE7" s="28">
        <f t="shared" ref="BE7:BE70" si="59">SUM(Q7,S7,U7,W7,Y7,AA7,AC7,AE7,AG7,AI7,AK7,AM7,AO7,AQ7,AS7,AU7,AW7,AY7)</f>
        <v>235.72000000000003</v>
      </c>
      <c r="BF7" s="8">
        <f t="shared" ref="BF7:BF70" si="60">BA7-BE7</f>
        <v>0</v>
      </c>
      <c r="BG7" s="29">
        <f t="shared" si="48"/>
        <v>44786.8</v>
      </c>
      <c r="BH7" s="13">
        <f t="shared" ref="BH7:BH70" si="61">BB7-BG7</f>
        <v>0.19999999999708962</v>
      </c>
      <c r="BI7" s="2" t="str">
        <f t="shared" si="49"/>
        <v>erreur de calcul</v>
      </c>
      <c r="BJ7" s="2"/>
    </row>
    <row r="8" spans="1:62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49</v>
      </c>
      <c r="G8" s="31">
        <v>18</v>
      </c>
      <c r="H8" s="31" t="s">
        <v>32</v>
      </c>
      <c r="I8" s="5">
        <v>60</v>
      </c>
      <c r="J8" s="5"/>
      <c r="K8" s="6"/>
      <c r="L8" s="11">
        <f t="shared" si="50"/>
        <v>60</v>
      </c>
      <c r="M8" s="7" t="s">
        <v>14</v>
      </c>
      <c r="N8" s="31"/>
      <c r="O8" s="9"/>
      <c r="P8" s="9" t="str">
        <f t="shared" si="51"/>
        <v/>
      </c>
      <c r="Q8" s="9">
        <f>674/100</f>
        <v>6.74</v>
      </c>
      <c r="R8" s="30">
        <v>404</v>
      </c>
      <c r="S8" s="9"/>
      <c r="T8" s="30">
        <f t="shared" ref="T8" si="62">S8*$L8</f>
        <v>0</v>
      </c>
      <c r="U8" s="9"/>
      <c r="V8" s="30">
        <f t="shared" si="43"/>
        <v>0</v>
      </c>
      <c r="W8" s="9"/>
      <c r="X8" s="30">
        <f t="shared" si="53"/>
        <v>0</v>
      </c>
      <c r="Y8" s="42"/>
      <c r="Z8" s="30">
        <f t="shared" si="54"/>
        <v>0</v>
      </c>
      <c r="AA8" s="9"/>
      <c r="AB8" s="30">
        <f t="shared" si="32"/>
        <v>0</v>
      </c>
      <c r="AC8" s="9"/>
      <c r="AD8" s="30">
        <f t="shared" si="44"/>
        <v>0</v>
      </c>
      <c r="AE8" s="9"/>
      <c r="AF8" s="30">
        <f t="shared" si="33"/>
        <v>0</v>
      </c>
      <c r="AG8" s="9"/>
      <c r="AH8" s="30">
        <f t="shared" si="45"/>
        <v>0</v>
      </c>
      <c r="AI8" s="9"/>
      <c r="AJ8" s="30">
        <f t="shared" ref="AJ8" si="63">AI8*$L8</f>
        <v>0</v>
      </c>
      <c r="AK8" s="9">
        <f>1133/100</f>
        <v>11.33</v>
      </c>
      <c r="AL8" s="30">
        <v>680</v>
      </c>
      <c r="AM8" s="9">
        <f>3140/100</f>
        <v>31.4</v>
      </c>
      <c r="AN8" s="30">
        <v>1884</v>
      </c>
      <c r="AO8" s="9"/>
      <c r="AP8" s="30">
        <f t="shared" si="36"/>
        <v>0</v>
      </c>
      <c r="AQ8" s="9"/>
      <c r="AR8" s="30">
        <f t="shared" si="37"/>
        <v>0</v>
      </c>
      <c r="AS8" s="9"/>
      <c r="AT8" s="30">
        <f t="shared" si="38"/>
        <v>0</v>
      </c>
      <c r="AU8" s="9"/>
      <c r="AV8" s="30">
        <f t="shared" si="39"/>
        <v>0</v>
      </c>
      <c r="AW8" s="9"/>
      <c r="AX8" s="30">
        <f t="shared" si="40"/>
        <v>0</v>
      </c>
      <c r="AY8" s="9"/>
      <c r="AZ8" s="30">
        <f t="shared" si="41"/>
        <v>0</v>
      </c>
      <c r="BA8" s="10">
        <f>4947/100</f>
        <v>49.47</v>
      </c>
      <c r="BB8" s="31">
        <v>2968</v>
      </c>
      <c r="BC8" s="15">
        <f t="shared" si="57"/>
        <v>2968</v>
      </c>
      <c r="BD8" s="9">
        <f t="shared" si="58"/>
        <v>0</v>
      </c>
      <c r="BE8" s="28">
        <f t="shared" si="59"/>
        <v>49.47</v>
      </c>
      <c r="BF8" s="8">
        <f t="shared" si="60"/>
        <v>0</v>
      </c>
      <c r="BG8" s="29">
        <f t="shared" si="48"/>
        <v>2968.2</v>
      </c>
      <c r="BH8" s="13">
        <f t="shared" si="61"/>
        <v>-0.1999999999998181</v>
      </c>
      <c r="BI8" s="2" t="str">
        <f t="shared" si="49"/>
        <v>erreur de calcul</v>
      </c>
      <c r="BJ8" s="2"/>
    </row>
    <row r="9" spans="1:62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49</v>
      </c>
      <c r="G9" s="31">
        <v>18</v>
      </c>
      <c r="H9" s="31" t="s">
        <v>33</v>
      </c>
      <c r="I9" s="5">
        <v>15</v>
      </c>
      <c r="J9" s="5"/>
      <c r="K9" s="6"/>
      <c r="L9" s="11">
        <f t="shared" si="50"/>
        <v>15</v>
      </c>
      <c r="M9" s="7" t="s">
        <v>14</v>
      </c>
      <c r="N9" s="31"/>
      <c r="O9" s="9"/>
      <c r="P9" s="9" t="str">
        <f t="shared" si="51"/>
        <v/>
      </c>
      <c r="Q9" s="9"/>
      <c r="R9" s="30">
        <f t="shared" ref="R9" si="64">Q9*$L9</f>
        <v>0</v>
      </c>
      <c r="S9" s="9"/>
      <c r="T9" s="30">
        <f t="shared" ref="T9" si="65">S9*$L9</f>
        <v>0</v>
      </c>
      <c r="U9" s="9"/>
      <c r="V9" s="30">
        <f t="shared" si="43"/>
        <v>0</v>
      </c>
      <c r="W9" s="9"/>
      <c r="X9" s="30">
        <f t="shared" si="53"/>
        <v>0</v>
      </c>
      <c r="Y9" s="42"/>
      <c r="Z9" s="30">
        <f t="shared" si="54"/>
        <v>0</v>
      </c>
      <c r="AA9" s="9"/>
      <c r="AB9" s="30">
        <f t="shared" si="32"/>
        <v>0</v>
      </c>
      <c r="AC9" s="9"/>
      <c r="AD9" s="30">
        <f t="shared" si="44"/>
        <v>0</v>
      </c>
      <c r="AE9" s="9"/>
      <c r="AF9" s="30">
        <f t="shared" si="33"/>
        <v>0</v>
      </c>
      <c r="AG9" s="9"/>
      <c r="AH9" s="30">
        <f t="shared" si="45"/>
        <v>0</v>
      </c>
      <c r="AI9" s="9"/>
      <c r="AJ9" s="30">
        <f t="shared" ref="AJ9" si="66">AI9*$L9</f>
        <v>0</v>
      </c>
      <c r="AK9" s="9">
        <f>119*288*0.02+88*0.02</f>
        <v>687.2</v>
      </c>
      <c r="AL9" s="30">
        <v>10308</v>
      </c>
      <c r="AM9" s="9"/>
      <c r="AN9" s="30">
        <f t="shared" si="35"/>
        <v>0</v>
      </c>
      <c r="AO9" s="9"/>
      <c r="AP9" s="30">
        <f t="shared" si="36"/>
        <v>0</v>
      </c>
      <c r="AQ9" s="9"/>
      <c r="AR9" s="30">
        <f t="shared" si="37"/>
        <v>0</v>
      </c>
      <c r="AS9" s="9"/>
      <c r="AT9" s="30">
        <f t="shared" si="38"/>
        <v>0</v>
      </c>
      <c r="AU9" s="9"/>
      <c r="AV9" s="30">
        <f t="shared" si="39"/>
        <v>0</v>
      </c>
      <c r="AW9" s="9"/>
      <c r="AX9" s="30">
        <f t="shared" si="40"/>
        <v>0</v>
      </c>
      <c r="AY9" s="9"/>
      <c r="AZ9" s="30">
        <f t="shared" si="41"/>
        <v>0</v>
      </c>
      <c r="BA9" s="10">
        <f>119*288*0.02+88*0.02</f>
        <v>687.2</v>
      </c>
      <c r="BB9" s="31">
        <v>10308</v>
      </c>
      <c r="BC9" s="15">
        <f t="shared" si="57"/>
        <v>10308</v>
      </c>
      <c r="BD9" s="9">
        <f t="shared" si="58"/>
        <v>0</v>
      </c>
      <c r="BE9" s="28">
        <f t="shared" si="59"/>
        <v>687.2</v>
      </c>
      <c r="BF9" s="8">
        <f t="shared" si="60"/>
        <v>0</v>
      </c>
      <c r="BG9" s="29">
        <f t="shared" si="48"/>
        <v>10308</v>
      </c>
      <c r="BH9" s="13">
        <f t="shared" si="61"/>
        <v>0</v>
      </c>
      <c r="BI9" s="2" t="str">
        <f t="shared" si="49"/>
        <v/>
      </c>
      <c r="BJ9" s="2"/>
    </row>
    <row r="10" spans="1:62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49</v>
      </c>
      <c r="G10" s="31">
        <v>18</v>
      </c>
      <c r="H10" s="31" t="s">
        <v>81</v>
      </c>
      <c r="I10" s="5"/>
      <c r="J10" s="5"/>
      <c r="K10" s="6"/>
      <c r="L10" s="11">
        <f t="shared" si="50"/>
        <v>0</v>
      </c>
      <c r="M10" s="7"/>
      <c r="N10" s="31"/>
      <c r="O10" s="9"/>
      <c r="P10" s="9" t="str">
        <f t="shared" si="51"/>
        <v/>
      </c>
      <c r="Q10" s="9"/>
      <c r="R10" s="30">
        <f t="shared" ref="R10" si="67">Q10*$L10</f>
        <v>0</v>
      </c>
      <c r="S10" s="9"/>
      <c r="T10" s="30">
        <f t="shared" ref="T10" si="68">S10*$L10</f>
        <v>0</v>
      </c>
      <c r="U10" s="9"/>
      <c r="V10" s="30">
        <v>3356</v>
      </c>
      <c r="W10" s="9"/>
      <c r="X10" s="30">
        <v>1444</v>
      </c>
      <c r="Y10" s="42"/>
      <c r="Z10" s="30">
        <f t="shared" si="54"/>
        <v>0</v>
      </c>
      <c r="AA10" s="9"/>
      <c r="AB10" s="30">
        <f t="shared" si="32"/>
        <v>0</v>
      </c>
      <c r="AC10" s="9"/>
      <c r="AD10" s="30">
        <f t="shared" si="44"/>
        <v>0</v>
      </c>
      <c r="AE10" s="9"/>
      <c r="AF10" s="30">
        <f t="shared" si="33"/>
        <v>0</v>
      </c>
      <c r="AG10" s="9"/>
      <c r="AH10" s="30">
        <f t="shared" si="45"/>
        <v>0</v>
      </c>
      <c r="AI10" s="9"/>
      <c r="AJ10" s="30">
        <f t="shared" ref="AJ10" si="69">AI10*$L10</f>
        <v>0</v>
      </c>
      <c r="AK10" s="9"/>
      <c r="AL10" s="30">
        <f t="shared" ref="AL10" si="70">AK10*$L10</f>
        <v>0</v>
      </c>
      <c r="AM10" s="9"/>
      <c r="AN10" s="30">
        <f t="shared" si="35"/>
        <v>0</v>
      </c>
      <c r="AO10" s="9"/>
      <c r="AP10" s="30">
        <f t="shared" si="36"/>
        <v>0</v>
      </c>
      <c r="AQ10" s="9"/>
      <c r="AR10" s="30">
        <f t="shared" si="37"/>
        <v>0</v>
      </c>
      <c r="AS10" s="9"/>
      <c r="AT10" s="30">
        <f t="shared" si="38"/>
        <v>0</v>
      </c>
      <c r="AU10" s="9"/>
      <c r="AV10" s="30">
        <f t="shared" si="39"/>
        <v>0</v>
      </c>
      <c r="AW10" s="9"/>
      <c r="AX10" s="30">
        <f t="shared" si="40"/>
        <v>0</v>
      </c>
      <c r="AY10" s="9"/>
      <c r="AZ10" s="30">
        <f t="shared" si="41"/>
        <v>0</v>
      </c>
      <c r="BA10" s="10"/>
      <c r="BB10" s="31">
        <v>4800</v>
      </c>
      <c r="BC10" s="15">
        <f t="shared" si="57"/>
        <v>4800</v>
      </c>
      <c r="BD10" s="9">
        <f t="shared" si="58"/>
        <v>0</v>
      </c>
      <c r="BE10" s="28">
        <f t="shared" si="59"/>
        <v>0</v>
      </c>
      <c r="BF10" s="8">
        <f t="shared" si="60"/>
        <v>0</v>
      </c>
      <c r="BG10" s="29">
        <f t="shared" si="48"/>
        <v>0</v>
      </c>
      <c r="BH10" s="13">
        <f t="shared" si="61"/>
        <v>4800</v>
      </c>
      <c r="BI10" s="2" t="str">
        <f t="shared" si="49"/>
        <v>pas de prix, ni de quantité</v>
      </c>
      <c r="BJ10" s="2"/>
    </row>
    <row r="11" spans="1:62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49</v>
      </c>
      <c r="G11" s="31">
        <v>18</v>
      </c>
      <c r="H11" s="31" t="s">
        <v>82</v>
      </c>
      <c r="I11" s="5"/>
      <c r="J11" s="5"/>
      <c r="K11" s="6"/>
      <c r="L11" s="11">
        <f t="shared" si="50"/>
        <v>0</v>
      </c>
      <c r="M11" s="7" t="s">
        <v>15</v>
      </c>
      <c r="N11" s="31"/>
      <c r="O11" s="9"/>
      <c r="P11" s="9" t="str">
        <f t="shared" si="51"/>
        <v/>
      </c>
      <c r="Q11" s="9"/>
      <c r="R11" s="30">
        <f t="shared" ref="R11" si="71">Q11*$L11</f>
        <v>0</v>
      </c>
      <c r="S11" s="9"/>
      <c r="T11" s="30">
        <f t="shared" ref="T11" si="72">S11*$L11</f>
        <v>0</v>
      </c>
      <c r="U11" s="9"/>
      <c r="V11" s="30">
        <f t="shared" si="43"/>
        <v>0</v>
      </c>
      <c r="W11" s="9"/>
      <c r="X11" s="30">
        <f t="shared" si="53"/>
        <v>0</v>
      </c>
      <c r="Y11" s="42"/>
      <c r="Z11" s="30"/>
      <c r="AA11" s="9"/>
      <c r="AB11" s="30">
        <f t="shared" si="32"/>
        <v>0</v>
      </c>
      <c r="AC11" s="9"/>
      <c r="AD11" s="30">
        <f t="shared" si="44"/>
        <v>0</v>
      </c>
      <c r="AE11" s="9"/>
      <c r="AF11" s="30">
        <f t="shared" si="33"/>
        <v>0</v>
      </c>
      <c r="AG11" s="9"/>
      <c r="AH11" s="30">
        <f t="shared" si="45"/>
        <v>0</v>
      </c>
      <c r="AI11" s="9">
        <v>45346</v>
      </c>
      <c r="AJ11" s="30">
        <v>3174</v>
      </c>
      <c r="AK11" s="9"/>
      <c r="AL11" s="30">
        <f t="shared" ref="AL11" si="73">AK11*$L11</f>
        <v>0</v>
      </c>
      <c r="AM11" s="9"/>
      <c r="AN11" s="30">
        <f t="shared" si="35"/>
        <v>0</v>
      </c>
      <c r="AO11" s="9"/>
      <c r="AP11" s="30">
        <f t="shared" si="36"/>
        <v>0</v>
      </c>
      <c r="AQ11" s="9"/>
      <c r="AR11" s="30">
        <f t="shared" si="37"/>
        <v>0</v>
      </c>
      <c r="AS11" s="9"/>
      <c r="AT11" s="30">
        <f t="shared" si="38"/>
        <v>0</v>
      </c>
      <c r="AU11" s="9"/>
      <c r="AV11" s="30">
        <f t="shared" si="39"/>
        <v>0</v>
      </c>
      <c r="AW11" s="9"/>
      <c r="AX11" s="30">
        <f t="shared" si="40"/>
        <v>0</v>
      </c>
      <c r="AY11" s="9"/>
      <c r="AZ11" s="30">
        <f t="shared" si="41"/>
        <v>0</v>
      </c>
      <c r="BA11" s="10">
        <v>45346</v>
      </c>
      <c r="BB11" s="31">
        <v>3174</v>
      </c>
      <c r="BC11" s="15">
        <f t="shared" si="57"/>
        <v>3174</v>
      </c>
      <c r="BD11" s="9">
        <f t="shared" si="58"/>
        <v>0</v>
      </c>
      <c r="BE11" s="28">
        <f t="shared" si="59"/>
        <v>45346</v>
      </c>
      <c r="BF11" s="8">
        <f t="shared" si="60"/>
        <v>0</v>
      </c>
      <c r="BG11" s="29">
        <f t="shared" si="48"/>
        <v>0</v>
      </c>
      <c r="BH11" s="13">
        <f t="shared" si="61"/>
        <v>3174</v>
      </c>
      <c r="BI11" s="2" t="str">
        <f t="shared" si="49"/>
        <v>pas de prix</v>
      </c>
      <c r="BJ11" s="2" t="s">
        <v>480</v>
      </c>
    </row>
    <row r="12" spans="1:62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49</v>
      </c>
      <c r="G12" s="31">
        <v>18</v>
      </c>
      <c r="H12" s="31" t="s">
        <v>83</v>
      </c>
      <c r="I12" s="5"/>
      <c r="J12" s="5">
        <v>20</v>
      </c>
      <c r="K12" s="6"/>
      <c r="L12" s="11">
        <f t="shared" si="50"/>
        <v>1</v>
      </c>
      <c r="M12" s="7" t="s">
        <v>14</v>
      </c>
      <c r="N12" s="31" t="s">
        <v>84</v>
      </c>
      <c r="O12" s="9">
        <f>14282238/100</f>
        <v>142822.38</v>
      </c>
      <c r="P12" s="9">
        <v>142822</v>
      </c>
      <c r="Q12" s="9">
        <f>66667/100</f>
        <v>666.67</v>
      </c>
      <c r="R12" s="30">
        <v>667</v>
      </c>
      <c r="S12" s="9"/>
      <c r="T12" s="30">
        <f t="shared" ref="T12" si="74">S12*$L12</f>
        <v>0</v>
      </c>
      <c r="U12" s="9"/>
      <c r="V12" s="30">
        <f t="shared" si="43"/>
        <v>0</v>
      </c>
      <c r="W12" s="9">
        <f>281532/100</f>
        <v>2815.32</v>
      </c>
      <c r="X12" s="30">
        <v>2815</v>
      </c>
      <c r="Y12" s="42">
        <f>366667/100</f>
        <v>3666.67</v>
      </c>
      <c r="Z12" s="30">
        <v>3666</v>
      </c>
      <c r="AA12" s="9">
        <f>33334/100</f>
        <v>333.34</v>
      </c>
      <c r="AB12" s="30">
        <v>333</v>
      </c>
      <c r="AC12" s="9"/>
      <c r="AD12" s="30">
        <f t="shared" si="44"/>
        <v>0</v>
      </c>
      <c r="AE12" s="9"/>
      <c r="AF12" s="30">
        <f t="shared" si="33"/>
        <v>0</v>
      </c>
      <c r="AG12" s="9"/>
      <c r="AH12" s="30">
        <f t="shared" si="45"/>
        <v>0</v>
      </c>
      <c r="AI12" s="9"/>
      <c r="AJ12" s="30">
        <f t="shared" ref="AJ12" si="75">AI12*$L12</f>
        <v>0</v>
      </c>
      <c r="AK12" s="9"/>
      <c r="AL12" s="30">
        <f t="shared" ref="AL12" si="76">AK12*$L12</f>
        <v>0</v>
      </c>
      <c r="AM12" s="9"/>
      <c r="AN12" s="30">
        <f t="shared" si="35"/>
        <v>0</v>
      </c>
      <c r="AO12" s="9"/>
      <c r="AP12" s="30">
        <f t="shared" si="36"/>
        <v>0</v>
      </c>
      <c r="AQ12" s="9"/>
      <c r="AR12" s="30">
        <f t="shared" si="37"/>
        <v>0</v>
      </c>
      <c r="AS12" s="9"/>
      <c r="AT12" s="30">
        <f t="shared" si="38"/>
        <v>0</v>
      </c>
      <c r="AU12" s="9"/>
      <c r="AV12" s="30">
        <f t="shared" si="39"/>
        <v>0</v>
      </c>
      <c r="AW12" s="9"/>
      <c r="AX12" s="30">
        <f t="shared" si="40"/>
        <v>0</v>
      </c>
      <c r="AY12" s="9"/>
      <c r="AZ12" s="30">
        <f t="shared" si="41"/>
        <v>0</v>
      </c>
      <c r="BA12" s="10">
        <f>748200/100</f>
        <v>7482</v>
      </c>
      <c r="BB12" s="31">
        <v>7481</v>
      </c>
      <c r="BC12" s="15">
        <f t="shared" si="57"/>
        <v>7481</v>
      </c>
      <c r="BD12" s="9">
        <f t="shared" si="58"/>
        <v>0</v>
      </c>
      <c r="BE12" s="28">
        <f t="shared" si="59"/>
        <v>7482</v>
      </c>
      <c r="BF12" s="8">
        <f t="shared" si="60"/>
        <v>0</v>
      </c>
      <c r="BG12" s="29">
        <f t="shared" si="48"/>
        <v>7482</v>
      </c>
      <c r="BH12" s="13">
        <f t="shared" si="61"/>
        <v>-1</v>
      </c>
      <c r="BI12" s="2" t="str">
        <f t="shared" si="49"/>
        <v>erreur de calcul</v>
      </c>
      <c r="BJ12" s="2"/>
    </row>
    <row r="13" spans="1:62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49</v>
      </c>
      <c r="G13" s="31">
        <v>18</v>
      </c>
      <c r="H13" s="31" t="s">
        <v>85</v>
      </c>
      <c r="I13" s="5"/>
      <c r="J13" s="5">
        <v>50</v>
      </c>
      <c r="K13" s="6"/>
      <c r="L13" s="11">
        <f t="shared" si="50"/>
        <v>2.5</v>
      </c>
      <c r="M13" s="7" t="s">
        <v>86</v>
      </c>
      <c r="N13" s="31"/>
      <c r="O13" s="9"/>
      <c r="P13" s="9" t="str">
        <f t="shared" si="51"/>
        <v/>
      </c>
      <c r="Q13" s="9"/>
      <c r="R13" s="30">
        <f t="shared" ref="R13" si="77">Q13*$L13</f>
        <v>0</v>
      </c>
      <c r="S13" s="9"/>
      <c r="T13" s="30">
        <f t="shared" ref="T13" si="78">S13*$L13</f>
        <v>0</v>
      </c>
      <c r="U13" s="9"/>
      <c r="V13" s="30">
        <f t="shared" si="43"/>
        <v>0</v>
      </c>
      <c r="W13" s="9">
        <v>61807</v>
      </c>
      <c r="X13" s="30">
        <v>154517</v>
      </c>
      <c r="Y13" s="42"/>
      <c r="Z13" s="30">
        <f t="shared" si="54"/>
        <v>0</v>
      </c>
      <c r="AA13" s="9"/>
      <c r="AB13" s="30">
        <f t="shared" si="32"/>
        <v>0</v>
      </c>
      <c r="AC13" s="9">
        <v>43640</v>
      </c>
      <c r="AD13" s="30">
        <v>109100</v>
      </c>
      <c r="AE13" s="9"/>
      <c r="AF13" s="30">
        <f t="shared" si="33"/>
        <v>0</v>
      </c>
      <c r="AG13" s="9"/>
      <c r="AH13" s="30">
        <f t="shared" si="45"/>
        <v>0</v>
      </c>
      <c r="AI13" s="9"/>
      <c r="AJ13" s="30">
        <f t="shared" ref="AJ13" si="79">AI13*$L13</f>
        <v>0</v>
      </c>
      <c r="AK13" s="9"/>
      <c r="AL13" s="30">
        <f t="shared" ref="AL13" si="80">AK13*$L13</f>
        <v>0</v>
      </c>
      <c r="AM13" s="9"/>
      <c r="AN13" s="30">
        <f t="shared" si="35"/>
        <v>0</v>
      </c>
      <c r="AO13" s="9"/>
      <c r="AP13" s="30">
        <f t="shared" si="36"/>
        <v>0</v>
      </c>
      <c r="AQ13" s="9"/>
      <c r="AR13" s="30">
        <f t="shared" si="37"/>
        <v>0</v>
      </c>
      <c r="AS13" s="9"/>
      <c r="AT13" s="30">
        <f t="shared" si="38"/>
        <v>0</v>
      </c>
      <c r="AU13" s="9"/>
      <c r="AV13" s="30">
        <f t="shared" si="39"/>
        <v>0</v>
      </c>
      <c r="AW13" s="9"/>
      <c r="AX13" s="30">
        <f t="shared" si="40"/>
        <v>0</v>
      </c>
      <c r="AY13" s="9"/>
      <c r="AZ13" s="30">
        <f t="shared" si="41"/>
        <v>0</v>
      </c>
      <c r="BA13" s="10">
        <v>105447</v>
      </c>
      <c r="BB13" s="31">
        <v>263617</v>
      </c>
      <c r="BC13" s="15">
        <f t="shared" si="57"/>
        <v>263617</v>
      </c>
      <c r="BD13" s="9">
        <f t="shared" si="58"/>
        <v>0</v>
      </c>
      <c r="BE13" s="28">
        <f t="shared" si="59"/>
        <v>105447</v>
      </c>
      <c r="BF13" s="8">
        <f t="shared" si="60"/>
        <v>0</v>
      </c>
      <c r="BG13" s="29">
        <f t="shared" si="48"/>
        <v>263617.5</v>
      </c>
      <c r="BH13" s="13">
        <f t="shared" si="61"/>
        <v>-0.5</v>
      </c>
      <c r="BI13" s="2" t="str">
        <f t="shared" si="49"/>
        <v>erreur de calcul</v>
      </c>
      <c r="BJ13" s="2"/>
    </row>
    <row r="14" spans="1:62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49</v>
      </c>
      <c r="G14" s="31">
        <v>18</v>
      </c>
      <c r="H14" s="31" t="s">
        <v>87</v>
      </c>
      <c r="I14" s="5"/>
      <c r="J14" s="5">
        <v>4</v>
      </c>
      <c r="K14" s="6"/>
      <c r="L14" s="11">
        <f t="shared" si="50"/>
        <v>0.2</v>
      </c>
      <c r="M14" s="7" t="s">
        <v>34</v>
      </c>
      <c r="N14" s="31"/>
      <c r="O14" s="9"/>
      <c r="P14" s="9" t="str">
        <f t="shared" si="51"/>
        <v/>
      </c>
      <c r="Q14" s="9"/>
      <c r="R14" s="30">
        <f t="shared" ref="R14" si="81">Q14*$L14</f>
        <v>0</v>
      </c>
      <c r="S14" s="9"/>
      <c r="T14" s="30">
        <f t="shared" ref="T14" si="82">S14*$L14</f>
        <v>0</v>
      </c>
      <c r="U14" s="9"/>
      <c r="V14" s="30">
        <f t="shared" si="43"/>
        <v>0</v>
      </c>
      <c r="W14" s="9">
        <v>5800</v>
      </c>
      <c r="X14" s="30">
        <v>1160</v>
      </c>
      <c r="Y14" s="42"/>
      <c r="Z14" s="30">
        <v>1069</v>
      </c>
      <c r="AA14" s="9"/>
      <c r="AB14" s="30">
        <f t="shared" si="32"/>
        <v>0</v>
      </c>
      <c r="AC14" s="9"/>
      <c r="AD14" s="30">
        <f t="shared" si="44"/>
        <v>0</v>
      </c>
      <c r="AE14" s="9"/>
      <c r="AF14" s="30">
        <f t="shared" si="33"/>
        <v>0</v>
      </c>
      <c r="AG14" s="9"/>
      <c r="AH14" s="30">
        <f t="shared" si="45"/>
        <v>0</v>
      </c>
      <c r="AI14" s="9"/>
      <c r="AJ14" s="30">
        <f t="shared" ref="AJ14" si="83">AI14*$L14</f>
        <v>0</v>
      </c>
      <c r="AK14" s="9"/>
      <c r="AL14" s="30">
        <f t="shared" ref="AL14" si="84">AK14*$L14</f>
        <v>0</v>
      </c>
      <c r="AM14" s="9"/>
      <c r="AN14" s="30">
        <f t="shared" si="35"/>
        <v>0</v>
      </c>
      <c r="AO14" s="9"/>
      <c r="AP14" s="30">
        <f t="shared" si="36"/>
        <v>0</v>
      </c>
      <c r="AQ14" s="9"/>
      <c r="AR14" s="30">
        <f t="shared" si="37"/>
        <v>0</v>
      </c>
      <c r="AS14" s="9"/>
      <c r="AT14" s="30">
        <f t="shared" si="38"/>
        <v>0</v>
      </c>
      <c r="AU14" s="9"/>
      <c r="AV14" s="30">
        <f t="shared" si="39"/>
        <v>0</v>
      </c>
      <c r="AW14" s="9"/>
      <c r="AX14" s="30">
        <f t="shared" si="40"/>
        <v>0</v>
      </c>
      <c r="AY14" s="9"/>
      <c r="AZ14" s="30">
        <f t="shared" si="41"/>
        <v>0</v>
      </c>
      <c r="BA14" s="10">
        <v>11144</v>
      </c>
      <c r="BB14" s="31">
        <v>2229</v>
      </c>
      <c r="BC14" s="15">
        <f t="shared" si="57"/>
        <v>2229</v>
      </c>
      <c r="BD14" s="9">
        <f t="shared" si="58"/>
        <v>0</v>
      </c>
      <c r="BE14" s="28">
        <f t="shared" si="59"/>
        <v>5800</v>
      </c>
      <c r="BF14" s="8">
        <f t="shared" si="60"/>
        <v>5344</v>
      </c>
      <c r="BG14" s="29">
        <f t="shared" si="48"/>
        <v>1160</v>
      </c>
      <c r="BH14" s="13">
        <f t="shared" si="61"/>
        <v>1069</v>
      </c>
      <c r="BI14" s="2" t="str">
        <f t="shared" si="49"/>
        <v>erreur de calcul</v>
      </c>
      <c r="BJ14" s="2"/>
    </row>
    <row r="15" spans="1:62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49</v>
      </c>
      <c r="G15" s="31">
        <v>18</v>
      </c>
      <c r="H15" s="31" t="s">
        <v>88</v>
      </c>
      <c r="I15" s="5">
        <v>17</v>
      </c>
      <c r="J15" s="5"/>
      <c r="K15" s="6"/>
      <c r="L15" s="11">
        <f t="shared" si="50"/>
        <v>17</v>
      </c>
      <c r="M15" s="7" t="s">
        <v>36</v>
      </c>
      <c r="N15" s="31"/>
      <c r="O15" s="9"/>
      <c r="P15" s="9" t="str">
        <f t="shared" si="51"/>
        <v/>
      </c>
      <c r="Q15" s="9"/>
      <c r="R15" s="30">
        <f t="shared" ref="R15" si="85">Q15*$L15</f>
        <v>0</v>
      </c>
      <c r="S15" s="9"/>
      <c r="T15" s="30">
        <f t="shared" ref="T15" si="86">S15*$L15</f>
        <v>0</v>
      </c>
      <c r="U15" s="9"/>
      <c r="V15" s="30">
        <f t="shared" si="43"/>
        <v>0</v>
      </c>
      <c r="W15" s="9">
        <v>600</v>
      </c>
      <c r="X15" s="30">
        <v>10200</v>
      </c>
      <c r="Y15" s="42"/>
      <c r="Z15" s="30">
        <f t="shared" si="54"/>
        <v>0</v>
      </c>
      <c r="AA15" s="9"/>
      <c r="AB15" s="30">
        <f t="shared" si="32"/>
        <v>0</v>
      </c>
      <c r="AC15" s="9"/>
      <c r="AD15" s="30">
        <f t="shared" si="44"/>
        <v>0</v>
      </c>
      <c r="AE15" s="9"/>
      <c r="AF15" s="30">
        <f t="shared" si="33"/>
        <v>0</v>
      </c>
      <c r="AG15" s="9"/>
      <c r="AH15" s="30">
        <f t="shared" si="45"/>
        <v>0</v>
      </c>
      <c r="AI15" s="9"/>
      <c r="AJ15" s="30">
        <f t="shared" ref="AJ15" si="87">AI15*$L15</f>
        <v>0</v>
      </c>
      <c r="AK15" s="9"/>
      <c r="AL15" s="30">
        <f t="shared" ref="AL15" si="88">AK15*$L15</f>
        <v>0</v>
      </c>
      <c r="AM15" s="9"/>
      <c r="AN15" s="30">
        <f t="shared" si="35"/>
        <v>0</v>
      </c>
      <c r="AO15" s="9"/>
      <c r="AP15" s="30">
        <f t="shared" si="36"/>
        <v>0</v>
      </c>
      <c r="AQ15" s="9"/>
      <c r="AR15" s="30">
        <f t="shared" si="37"/>
        <v>0</v>
      </c>
      <c r="AS15" s="9"/>
      <c r="AT15" s="30">
        <f t="shared" si="38"/>
        <v>0</v>
      </c>
      <c r="AU15" s="9"/>
      <c r="AV15" s="30">
        <f t="shared" si="39"/>
        <v>0</v>
      </c>
      <c r="AW15" s="9"/>
      <c r="AX15" s="30">
        <f t="shared" si="40"/>
        <v>0</v>
      </c>
      <c r="AY15" s="9"/>
      <c r="AZ15" s="30">
        <f t="shared" si="41"/>
        <v>0</v>
      </c>
      <c r="BA15" s="10">
        <v>600</v>
      </c>
      <c r="BB15" s="31">
        <v>10200</v>
      </c>
      <c r="BC15" s="15">
        <f t="shared" si="57"/>
        <v>10200</v>
      </c>
      <c r="BD15" s="9">
        <f t="shared" si="58"/>
        <v>0</v>
      </c>
      <c r="BE15" s="28">
        <f t="shared" si="59"/>
        <v>600</v>
      </c>
      <c r="BF15" s="8">
        <f t="shared" si="60"/>
        <v>0</v>
      </c>
      <c r="BG15" s="29">
        <f t="shared" si="48"/>
        <v>10200</v>
      </c>
      <c r="BH15" s="13">
        <f t="shared" si="61"/>
        <v>0</v>
      </c>
      <c r="BI15" s="2" t="str">
        <f t="shared" si="49"/>
        <v/>
      </c>
      <c r="BJ15" s="2"/>
    </row>
    <row r="16" spans="1:62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49</v>
      </c>
      <c r="G16" s="31">
        <v>18</v>
      </c>
      <c r="H16" s="31" t="s">
        <v>89</v>
      </c>
      <c r="I16" s="5">
        <v>20</v>
      </c>
      <c r="J16" s="5"/>
      <c r="K16" s="6"/>
      <c r="L16" s="11">
        <f t="shared" si="50"/>
        <v>20</v>
      </c>
      <c r="M16" s="7" t="s">
        <v>34</v>
      </c>
      <c r="N16" s="31"/>
      <c r="O16" s="9"/>
      <c r="P16" s="9" t="str">
        <f t="shared" si="51"/>
        <v/>
      </c>
      <c r="Q16" s="9"/>
      <c r="R16" s="30">
        <f t="shared" ref="R16" si="89">Q16*$L16</f>
        <v>0</v>
      </c>
      <c r="S16" s="9"/>
      <c r="T16" s="30">
        <f t="shared" ref="T16" si="90">S16*$L16</f>
        <v>0</v>
      </c>
      <c r="U16" s="9"/>
      <c r="V16" s="30">
        <f t="shared" si="43"/>
        <v>0</v>
      </c>
      <c r="W16" s="9"/>
      <c r="X16" s="30">
        <f t="shared" si="53"/>
        <v>0</v>
      </c>
      <c r="Y16" s="42"/>
      <c r="Z16" s="30">
        <f t="shared" si="54"/>
        <v>0</v>
      </c>
      <c r="AA16" s="9">
        <v>460</v>
      </c>
      <c r="AB16" s="30">
        <v>9200</v>
      </c>
      <c r="AC16" s="9"/>
      <c r="AD16" s="30">
        <f t="shared" si="44"/>
        <v>0</v>
      </c>
      <c r="AE16" s="9"/>
      <c r="AF16" s="30">
        <f t="shared" si="33"/>
        <v>0</v>
      </c>
      <c r="AG16" s="9"/>
      <c r="AH16" s="30">
        <f t="shared" si="45"/>
        <v>0</v>
      </c>
      <c r="AI16" s="9"/>
      <c r="AJ16" s="30">
        <f t="shared" ref="AJ16" si="91">AI16*$L16</f>
        <v>0</v>
      </c>
      <c r="AK16" s="9"/>
      <c r="AL16" s="30">
        <f t="shared" ref="AL16" si="92">AK16*$L16</f>
        <v>0</v>
      </c>
      <c r="AM16" s="9"/>
      <c r="AN16" s="30">
        <f t="shared" si="35"/>
        <v>0</v>
      </c>
      <c r="AO16" s="9"/>
      <c r="AP16" s="30">
        <f t="shared" si="36"/>
        <v>0</v>
      </c>
      <c r="AQ16" s="9"/>
      <c r="AR16" s="30">
        <f t="shared" si="37"/>
        <v>0</v>
      </c>
      <c r="AS16" s="9"/>
      <c r="AT16" s="30">
        <f t="shared" si="38"/>
        <v>0</v>
      </c>
      <c r="AU16" s="9"/>
      <c r="AV16" s="30">
        <f t="shared" si="39"/>
        <v>0</v>
      </c>
      <c r="AW16" s="9"/>
      <c r="AX16" s="30">
        <f t="shared" si="40"/>
        <v>0</v>
      </c>
      <c r="AY16" s="9"/>
      <c r="AZ16" s="30">
        <f t="shared" si="41"/>
        <v>0</v>
      </c>
      <c r="BA16" s="10">
        <v>460</v>
      </c>
      <c r="BB16" s="31">
        <v>9200</v>
      </c>
      <c r="BC16" s="15">
        <f t="shared" si="57"/>
        <v>9200</v>
      </c>
      <c r="BD16" s="9">
        <f t="shared" si="58"/>
        <v>0</v>
      </c>
      <c r="BE16" s="28">
        <f t="shared" si="59"/>
        <v>460</v>
      </c>
      <c r="BF16" s="8">
        <f t="shared" si="60"/>
        <v>0</v>
      </c>
      <c r="BG16" s="29">
        <f t="shared" si="48"/>
        <v>9200</v>
      </c>
      <c r="BH16" s="13">
        <f t="shared" si="61"/>
        <v>0</v>
      </c>
      <c r="BI16" s="2" t="str">
        <f t="shared" si="49"/>
        <v/>
      </c>
      <c r="BJ16" s="2"/>
    </row>
    <row r="17" spans="1:62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49</v>
      </c>
      <c r="G17" s="31">
        <v>18</v>
      </c>
      <c r="H17" s="31" t="s">
        <v>90</v>
      </c>
      <c r="I17" s="5">
        <v>16</v>
      </c>
      <c r="J17" s="5"/>
      <c r="K17" s="6"/>
      <c r="L17" s="11">
        <f t="shared" si="50"/>
        <v>16</v>
      </c>
      <c r="M17" s="7" t="s">
        <v>46</v>
      </c>
      <c r="N17" s="31"/>
      <c r="O17" s="9"/>
      <c r="P17" s="9" t="str">
        <f t="shared" si="51"/>
        <v/>
      </c>
      <c r="Q17" s="9"/>
      <c r="R17" s="30">
        <f t="shared" ref="R17" si="93">Q17*$L17</f>
        <v>0</v>
      </c>
      <c r="S17" s="9"/>
      <c r="T17" s="30">
        <f t="shared" ref="T17" si="94">S17*$L17</f>
        <v>0</v>
      </c>
      <c r="U17" s="9">
        <f>1600/100</f>
        <v>16</v>
      </c>
      <c r="V17" s="30">
        <v>256</v>
      </c>
      <c r="W17" s="9">
        <f>227136/100</f>
        <v>2271.36</v>
      </c>
      <c r="X17" s="30">
        <v>36342</v>
      </c>
      <c r="Y17" s="42"/>
      <c r="Z17" s="30">
        <v>304</v>
      </c>
      <c r="AA17" s="9">
        <f>6850/100</f>
        <v>68.5</v>
      </c>
      <c r="AB17" s="30">
        <v>1096</v>
      </c>
      <c r="AC17" s="9">
        <f>204300/100</f>
        <v>2043</v>
      </c>
      <c r="AD17" s="30">
        <v>32688</v>
      </c>
      <c r="AE17" s="9">
        <f>9750/100</f>
        <v>97.5</v>
      </c>
      <c r="AF17" s="30">
        <v>1560</v>
      </c>
      <c r="AG17" s="9"/>
      <c r="AH17" s="30">
        <f t="shared" si="45"/>
        <v>0</v>
      </c>
      <c r="AI17" s="9"/>
      <c r="AJ17" s="30">
        <f t="shared" ref="AJ17" si="95">AI17*$L17</f>
        <v>0</v>
      </c>
      <c r="AK17" s="9">
        <f>1414/100</f>
        <v>14.14</v>
      </c>
      <c r="AL17" s="30">
        <v>226</v>
      </c>
      <c r="AM17" s="9">
        <f>29500/100</f>
        <v>295</v>
      </c>
      <c r="AN17" s="30">
        <v>4720</v>
      </c>
      <c r="AO17" s="9"/>
      <c r="AP17" s="30">
        <f t="shared" si="36"/>
        <v>0</v>
      </c>
      <c r="AQ17" s="9">
        <f>1520/100</f>
        <v>15.2</v>
      </c>
      <c r="AR17" s="30">
        <v>243</v>
      </c>
      <c r="AS17" s="9"/>
      <c r="AT17" s="30">
        <f t="shared" si="38"/>
        <v>0</v>
      </c>
      <c r="AU17" s="9">
        <f>2100/100</f>
        <v>21</v>
      </c>
      <c r="AV17" s="30">
        <v>336</v>
      </c>
      <c r="AW17" s="9">
        <f>1320/100</f>
        <v>13.2</v>
      </c>
      <c r="AX17" s="30">
        <v>211</v>
      </c>
      <c r="AY17" s="9">
        <f>177746/100</f>
        <v>1777.46</v>
      </c>
      <c r="AZ17" s="30">
        <v>28439</v>
      </c>
      <c r="BA17" s="10">
        <f>665136/100</f>
        <v>6651.36</v>
      </c>
      <c r="BB17" s="31">
        <v>106421</v>
      </c>
      <c r="BC17" s="15">
        <f t="shared" si="57"/>
        <v>106421</v>
      </c>
      <c r="BD17" s="9">
        <f t="shared" si="58"/>
        <v>0</v>
      </c>
      <c r="BE17" s="28">
        <f t="shared" si="59"/>
        <v>6632.3600000000006</v>
      </c>
      <c r="BF17" s="8">
        <f t="shared" si="60"/>
        <v>18.999999999999091</v>
      </c>
      <c r="BG17" s="29">
        <f t="shared" si="48"/>
        <v>106117.76000000001</v>
      </c>
      <c r="BH17" s="13">
        <f t="shared" si="61"/>
        <v>303.23999999999069</v>
      </c>
      <c r="BI17" s="2" t="str">
        <f t="shared" si="49"/>
        <v>erreur de calcul</v>
      </c>
      <c r="BJ17" s="2"/>
    </row>
    <row r="18" spans="1:62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49</v>
      </c>
      <c r="G18" s="31">
        <v>18</v>
      </c>
      <c r="H18" s="31" t="s">
        <v>91</v>
      </c>
      <c r="I18" s="5">
        <v>55</v>
      </c>
      <c r="J18" s="5"/>
      <c r="K18" s="6"/>
      <c r="L18" s="11">
        <f t="shared" si="50"/>
        <v>55</v>
      </c>
      <c r="M18" s="7" t="s">
        <v>34</v>
      </c>
      <c r="N18" s="31"/>
      <c r="O18" s="9"/>
      <c r="P18" s="9" t="str">
        <f t="shared" si="51"/>
        <v/>
      </c>
      <c r="Q18" s="9"/>
      <c r="R18" s="30">
        <f t="shared" ref="R18" si="96">Q18*$L18</f>
        <v>0</v>
      </c>
      <c r="S18" s="9"/>
      <c r="T18" s="30">
        <f t="shared" ref="T18" si="97">S18*$L18</f>
        <v>0</v>
      </c>
      <c r="U18" s="9"/>
      <c r="V18" s="30">
        <f t="shared" si="43"/>
        <v>0</v>
      </c>
      <c r="W18" s="9"/>
      <c r="X18" s="30">
        <f t="shared" si="53"/>
        <v>0</v>
      </c>
      <c r="Y18" s="42"/>
      <c r="Z18" s="30">
        <f t="shared" si="54"/>
        <v>0</v>
      </c>
      <c r="AA18" s="9"/>
      <c r="AB18" s="30">
        <f t="shared" si="32"/>
        <v>0</v>
      </c>
      <c r="AC18" s="9"/>
      <c r="AD18" s="30">
        <f t="shared" si="44"/>
        <v>0</v>
      </c>
      <c r="AE18" s="9"/>
      <c r="AF18" s="30">
        <f t="shared" si="33"/>
        <v>0</v>
      </c>
      <c r="AG18" s="9"/>
      <c r="AH18" s="30">
        <f t="shared" si="45"/>
        <v>0</v>
      </c>
      <c r="AI18" s="9"/>
      <c r="AJ18" s="30">
        <f t="shared" ref="AJ18" si="98">AI18*$L18</f>
        <v>0</v>
      </c>
      <c r="AK18" s="9"/>
      <c r="AL18" s="30">
        <f t="shared" ref="AL18" si="99">AK18*$L18</f>
        <v>0</v>
      </c>
      <c r="AM18" s="9"/>
      <c r="AN18" s="30">
        <f t="shared" si="35"/>
        <v>0</v>
      </c>
      <c r="AO18" s="9"/>
      <c r="AP18" s="30">
        <f t="shared" si="36"/>
        <v>0</v>
      </c>
      <c r="AQ18" s="9"/>
      <c r="AR18" s="30">
        <f t="shared" si="37"/>
        <v>0</v>
      </c>
      <c r="AS18" s="9"/>
      <c r="AT18" s="30">
        <f t="shared" si="38"/>
        <v>0</v>
      </c>
      <c r="AU18" s="9">
        <v>319</v>
      </c>
      <c r="AV18" s="30">
        <v>17545</v>
      </c>
      <c r="AW18" s="9"/>
      <c r="AX18" s="30">
        <f t="shared" si="40"/>
        <v>0</v>
      </c>
      <c r="AY18" s="9"/>
      <c r="AZ18" s="30">
        <f t="shared" si="41"/>
        <v>0</v>
      </c>
      <c r="BA18" s="10">
        <v>319</v>
      </c>
      <c r="BB18" s="31">
        <v>17545</v>
      </c>
      <c r="BC18" s="15">
        <f t="shared" si="57"/>
        <v>17545</v>
      </c>
      <c r="BD18" s="9">
        <f t="shared" si="58"/>
        <v>0</v>
      </c>
      <c r="BE18" s="28">
        <f t="shared" si="59"/>
        <v>319</v>
      </c>
      <c r="BF18" s="8">
        <f t="shared" si="60"/>
        <v>0</v>
      </c>
      <c r="BG18" s="29">
        <f t="shared" si="48"/>
        <v>17545</v>
      </c>
      <c r="BH18" s="13">
        <f t="shared" si="61"/>
        <v>0</v>
      </c>
      <c r="BI18" s="2" t="str">
        <f t="shared" si="49"/>
        <v/>
      </c>
      <c r="BJ18" s="2"/>
    </row>
    <row r="19" spans="1:62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49</v>
      </c>
      <c r="G19" s="31">
        <v>18</v>
      </c>
      <c r="H19" s="31" t="s">
        <v>92</v>
      </c>
      <c r="I19" s="5">
        <v>6</v>
      </c>
      <c r="J19" s="5"/>
      <c r="K19" s="6"/>
      <c r="L19" s="11">
        <f t="shared" si="50"/>
        <v>6</v>
      </c>
      <c r="M19" s="7" t="s">
        <v>36</v>
      </c>
      <c r="N19" s="31" t="s">
        <v>84</v>
      </c>
      <c r="O19" s="9">
        <v>630</v>
      </c>
      <c r="P19" s="9">
        <v>3780</v>
      </c>
      <c r="Q19" s="9"/>
      <c r="R19" s="30">
        <f t="shared" ref="R19" si="100">Q19*$L19</f>
        <v>0</v>
      </c>
      <c r="S19" s="9">
        <v>63</v>
      </c>
      <c r="T19" s="30">
        <v>378</v>
      </c>
      <c r="U19" s="9">
        <v>2406</v>
      </c>
      <c r="V19" s="30">
        <v>14436</v>
      </c>
      <c r="W19" s="9">
        <v>222</v>
      </c>
      <c r="X19" s="30">
        <v>1332</v>
      </c>
      <c r="Y19" s="42"/>
      <c r="Z19" s="30">
        <f t="shared" si="54"/>
        <v>0</v>
      </c>
      <c r="AA19" s="9"/>
      <c r="AB19" s="30">
        <f t="shared" si="32"/>
        <v>0</v>
      </c>
      <c r="AC19" s="9"/>
      <c r="AD19" s="30">
        <f t="shared" si="44"/>
        <v>0</v>
      </c>
      <c r="AE19" s="9">
        <v>330</v>
      </c>
      <c r="AF19" s="30">
        <v>1980</v>
      </c>
      <c r="AG19" s="9"/>
      <c r="AH19" s="30">
        <f t="shared" si="45"/>
        <v>0</v>
      </c>
      <c r="AI19" s="9"/>
      <c r="AJ19" s="30">
        <f t="shared" ref="AJ19" si="101">AI19*$L19</f>
        <v>0</v>
      </c>
      <c r="AK19" s="9"/>
      <c r="AL19" s="30">
        <f t="shared" ref="AL19" si="102">AK19*$L19</f>
        <v>0</v>
      </c>
      <c r="AM19" s="9"/>
      <c r="AN19" s="30">
        <f t="shared" si="35"/>
        <v>0</v>
      </c>
      <c r="AO19" s="9"/>
      <c r="AP19" s="30">
        <f t="shared" si="36"/>
        <v>0</v>
      </c>
      <c r="AQ19" s="9"/>
      <c r="AR19" s="30">
        <f t="shared" si="37"/>
        <v>0</v>
      </c>
      <c r="AS19" s="9"/>
      <c r="AT19" s="30">
        <f t="shared" si="38"/>
        <v>0</v>
      </c>
      <c r="AU19" s="9"/>
      <c r="AV19" s="30">
        <f t="shared" si="39"/>
        <v>0</v>
      </c>
      <c r="AW19" s="9"/>
      <c r="AX19" s="30">
        <f t="shared" si="40"/>
        <v>0</v>
      </c>
      <c r="AY19" s="9"/>
      <c r="AZ19" s="30">
        <f t="shared" si="41"/>
        <v>0</v>
      </c>
      <c r="BA19" s="10">
        <v>3021</v>
      </c>
      <c r="BB19" s="31">
        <v>18126</v>
      </c>
      <c r="BC19" s="15">
        <f t="shared" si="57"/>
        <v>18126</v>
      </c>
      <c r="BD19" s="9">
        <f t="shared" si="58"/>
        <v>0</v>
      </c>
      <c r="BE19" s="28">
        <f t="shared" si="59"/>
        <v>3021</v>
      </c>
      <c r="BF19" s="8">
        <f t="shared" si="60"/>
        <v>0</v>
      </c>
      <c r="BG19" s="29">
        <f t="shared" si="48"/>
        <v>18126</v>
      </c>
      <c r="BH19" s="13">
        <f t="shared" si="61"/>
        <v>0</v>
      </c>
      <c r="BI19" s="2" t="str">
        <f t="shared" si="49"/>
        <v/>
      </c>
      <c r="BJ19" s="2"/>
    </row>
    <row r="20" spans="1:62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49</v>
      </c>
      <c r="G20" s="31">
        <v>18</v>
      </c>
      <c r="H20" s="31" t="s">
        <v>93</v>
      </c>
      <c r="I20" s="5">
        <v>26</v>
      </c>
      <c r="J20" s="5"/>
      <c r="K20" s="6"/>
      <c r="L20" s="11">
        <f t="shared" si="50"/>
        <v>26</v>
      </c>
      <c r="M20" s="7" t="s">
        <v>36</v>
      </c>
      <c r="N20" s="31"/>
      <c r="O20" s="9"/>
      <c r="P20" s="9" t="str">
        <f t="shared" si="51"/>
        <v/>
      </c>
      <c r="Q20" s="9"/>
      <c r="R20" s="30">
        <f t="shared" ref="R20" si="103">Q20*$L20</f>
        <v>0</v>
      </c>
      <c r="S20" s="9"/>
      <c r="T20" s="30">
        <f t="shared" ref="T20" si="104">S20*$L20</f>
        <v>0</v>
      </c>
      <c r="U20" s="9"/>
      <c r="V20" s="30">
        <f t="shared" si="43"/>
        <v>0</v>
      </c>
      <c r="W20" s="9"/>
      <c r="X20" s="30">
        <f t="shared" si="53"/>
        <v>0</v>
      </c>
      <c r="Y20" s="42"/>
      <c r="Z20" s="30">
        <f t="shared" si="54"/>
        <v>0</v>
      </c>
      <c r="AA20" s="9"/>
      <c r="AB20" s="30">
        <f t="shared" si="32"/>
        <v>0</v>
      </c>
      <c r="AC20" s="9"/>
      <c r="AD20" s="30">
        <f t="shared" si="44"/>
        <v>0</v>
      </c>
      <c r="AE20" s="9"/>
      <c r="AF20" s="30">
        <f t="shared" si="33"/>
        <v>0</v>
      </c>
      <c r="AG20" s="9"/>
      <c r="AH20" s="30">
        <f t="shared" si="45"/>
        <v>0</v>
      </c>
      <c r="AI20" s="9"/>
      <c r="AJ20" s="30">
        <f t="shared" ref="AJ20" si="105">AI20*$L20</f>
        <v>0</v>
      </c>
      <c r="AK20" s="9"/>
      <c r="AL20" s="30">
        <f t="shared" ref="AL20" si="106">AK20*$L20</f>
        <v>0</v>
      </c>
      <c r="AM20" s="9">
        <v>150</v>
      </c>
      <c r="AN20" s="30">
        <v>3900</v>
      </c>
      <c r="AO20" s="9"/>
      <c r="AP20" s="30">
        <f t="shared" si="36"/>
        <v>0</v>
      </c>
      <c r="AQ20" s="9">
        <v>4140</v>
      </c>
      <c r="AR20" s="30">
        <v>107640</v>
      </c>
      <c r="AS20" s="9">
        <v>6957</v>
      </c>
      <c r="AT20" s="30">
        <v>180882</v>
      </c>
      <c r="AU20" s="9">
        <v>171</v>
      </c>
      <c r="AV20" s="30">
        <v>4446</v>
      </c>
      <c r="AW20" s="9">
        <v>838</v>
      </c>
      <c r="AX20" s="30">
        <v>21788</v>
      </c>
      <c r="AY20" s="9">
        <v>35</v>
      </c>
      <c r="AZ20" s="30">
        <v>910</v>
      </c>
      <c r="BA20" s="10">
        <v>12291</v>
      </c>
      <c r="BB20" s="31">
        <v>319566</v>
      </c>
      <c r="BC20" s="15">
        <f t="shared" si="57"/>
        <v>319566</v>
      </c>
      <c r="BD20" s="9">
        <f t="shared" si="58"/>
        <v>0</v>
      </c>
      <c r="BE20" s="28">
        <f t="shared" si="59"/>
        <v>12291</v>
      </c>
      <c r="BF20" s="8">
        <f t="shared" si="60"/>
        <v>0</v>
      </c>
      <c r="BG20" s="29">
        <f t="shared" si="48"/>
        <v>319566</v>
      </c>
      <c r="BH20" s="13">
        <f t="shared" si="61"/>
        <v>0</v>
      </c>
      <c r="BI20" s="2" t="str">
        <f t="shared" si="49"/>
        <v/>
      </c>
      <c r="BJ20" s="2"/>
    </row>
    <row r="21" spans="1:62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49</v>
      </c>
      <c r="G21" s="31">
        <v>18</v>
      </c>
      <c r="H21" s="31" t="s">
        <v>94</v>
      </c>
      <c r="I21" s="5">
        <v>7</v>
      </c>
      <c r="J21" s="5"/>
      <c r="K21" s="6"/>
      <c r="L21" s="11">
        <f t="shared" si="50"/>
        <v>7</v>
      </c>
      <c r="M21" s="7" t="s">
        <v>34</v>
      </c>
      <c r="N21" s="31" t="s">
        <v>84</v>
      </c>
      <c r="O21" s="41">
        <f>196*4.34</f>
        <v>850.64</v>
      </c>
      <c r="P21" s="9">
        <v>5960</v>
      </c>
      <c r="Q21" s="9"/>
      <c r="R21" s="30">
        <f t="shared" ref="R21" si="107">Q21*$L21</f>
        <v>0</v>
      </c>
      <c r="S21" s="9"/>
      <c r="T21" s="30">
        <f t="shared" ref="T21" si="108">S21*$L21</f>
        <v>0</v>
      </c>
      <c r="U21" s="9"/>
      <c r="V21" s="30">
        <f t="shared" si="43"/>
        <v>0</v>
      </c>
      <c r="W21" s="9"/>
      <c r="X21" s="30">
        <f t="shared" si="53"/>
        <v>0</v>
      </c>
      <c r="Y21" s="42"/>
      <c r="Z21" s="30">
        <f t="shared" si="54"/>
        <v>0</v>
      </c>
      <c r="AA21" s="9"/>
      <c r="AB21" s="30">
        <f t="shared" si="32"/>
        <v>0</v>
      </c>
      <c r="AC21" s="9"/>
      <c r="AD21" s="30">
        <f t="shared" si="44"/>
        <v>0</v>
      </c>
      <c r="AE21" s="9"/>
      <c r="AF21" s="30">
        <f t="shared" si="33"/>
        <v>0</v>
      </c>
      <c r="AG21" s="9"/>
      <c r="AH21" s="30">
        <f t="shared" si="45"/>
        <v>0</v>
      </c>
      <c r="AI21" s="9"/>
      <c r="AJ21" s="30">
        <f t="shared" ref="AJ21" si="109">AI21*$L21</f>
        <v>0</v>
      </c>
      <c r="AK21" s="9"/>
      <c r="AL21" s="30">
        <f t="shared" ref="AL21" si="110">AK21*$L21</f>
        <v>0</v>
      </c>
      <c r="AM21" s="9"/>
      <c r="AN21" s="30">
        <f t="shared" si="35"/>
        <v>0</v>
      </c>
      <c r="AO21" s="9"/>
      <c r="AP21" s="30">
        <f t="shared" si="36"/>
        <v>0</v>
      </c>
      <c r="AQ21" s="33">
        <v>1763</v>
      </c>
      <c r="AR21" s="30">
        <v>42312</v>
      </c>
      <c r="AS21" s="9"/>
      <c r="AT21" s="30">
        <f t="shared" si="38"/>
        <v>0</v>
      </c>
      <c r="AU21" s="9"/>
      <c r="AV21" s="30">
        <f t="shared" si="39"/>
        <v>0</v>
      </c>
      <c r="AW21" s="33">
        <v>377</v>
      </c>
      <c r="AX21" s="30">
        <v>9425</v>
      </c>
      <c r="AY21" s="9"/>
      <c r="AZ21" s="30">
        <f t="shared" si="41"/>
        <v>0</v>
      </c>
      <c r="BA21" s="10">
        <v>2140</v>
      </c>
      <c r="BB21" s="31">
        <v>51737</v>
      </c>
      <c r="BC21" s="15">
        <f t="shared" si="57"/>
        <v>51737</v>
      </c>
      <c r="BD21" s="9">
        <f t="shared" si="58"/>
        <v>0</v>
      </c>
      <c r="BE21" s="28">
        <f t="shared" si="59"/>
        <v>2140</v>
      </c>
      <c r="BF21" s="8">
        <f t="shared" si="60"/>
        <v>0</v>
      </c>
      <c r="BG21" s="29">
        <f t="shared" si="48"/>
        <v>14980</v>
      </c>
      <c r="BH21" s="13">
        <f t="shared" si="61"/>
        <v>36757</v>
      </c>
      <c r="BI21" s="2" t="str">
        <f t="shared" si="49"/>
        <v>erreur de calcul</v>
      </c>
      <c r="BJ21" s="2" t="s">
        <v>425</v>
      </c>
    </row>
    <row r="22" spans="1:62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49</v>
      </c>
      <c r="G22" s="31">
        <v>18</v>
      </c>
      <c r="H22" s="31" t="s">
        <v>95</v>
      </c>
      <c r="I22" s="5">
        <v>30</v>
      </c>
      <c r="J22" s="5"/>
      <c r="K22" s="6"/>
      <c r="L22" s="11">
        <f t="shared" si="50"/>
        <v>30</v>
      </c>
      <c r="M22" s="7" t="s">
        <v>14</v>
      </c>
      <c r="N22" s="31"/>
      <c r="O22" s="9"/>
      <c r="P22" s="9" t="str">
        <f t="shared" si="51"/>
        <v/>
      </c>
      <c r="Q22" s="9"/>
      <c r="R22" s="30">
        <f t="shared" ref="R22" si="111">Q22*$L22</f>
        <v>0</v>
      </c>
      <c r="S22" s="9"/>
      <c r="T22" s="30">
        <f t="shared" ref="T22" si="112">S22*$L22</f>
        <v>0</v>
      </c>
      <c r="U22" s="9"/>
      <c r="V22" s="30">
        <f t="shared" si="43"/>
        <v>0</v>
      </c>
      <c r="W22" s="9">
        <f>12300/100</f>
        <v>123</v>
      </c>
      <c r="X22" s="30">
        <v>3690</v>
      </c>
      <c r="Y22" s="42"/>
      <c r="Z22" s="30">
        <f t="shared" si="54"/>
        <v>0</v>
      </c>
      <c r="AA22" s="9"/>
      <c r="AB22" s="30">
        <f t="shared" si="32"/>
        <v>0</v>
      </c>
      <c r="AC22" s="9">
        <f>16277/100</f>
        <v>162.77000000000001</v>
      </c>
      <c r="AD22" s="30">
        <v>4883</v>
      </c>
      <c r="AE22" s="9"/>
      <c r="AF22" s="30">
        <f t="shared" si="33"/>
        <v>0</v>
      </c>
      <c r="AG22" s="9"/>
      <c r="AH22" s="30">
        <f t="shared" si="45"/>
        <v>0</v>
      </c>
      <c r="AI22" s="9"/>
      <c r="AJ22" s="30">
        <f t="shared" ref="AJ22" si="113">AI22*$L22</f>
        <v>0</v>
      </c>
      <c r="AK22" s="9"/>
      <c r="AL22" s="30">
        <f t="shared" ref="AL22" si="114">AK22*$L22</f>
        <v>0</v>
      </c>
      <c r="AM22" s="9"/>
      <c r="AN22" s="30">
        <f t="shared" si="35"/>
        <v>0</v>
      </c>
      <c r="AO22" s="9"/>
      <c r="AP22" s="30">
        <f t="shared" si="36"/>
        <v>0</v>
      </c>
      <c r="AQ22" s="9"/>
      <c r="AR22" s="30">
        <f t="shared" si="37"/>
        <v>0</v>
      </c>
      <c r="AS22" s="9"/>
      <c r="AT22" s="30">
        <f t="shared" si="38"/>
        <v>0</v>
      </c>
      <c r="AU22" s="9"/>
      <c r="AV22" s="30">
        <f t="shared" si="39"/>
        <v>0</v>
      </c>
      <c r="AW22" s="9"/>
      <c r="AX22" s="30">
        <f t="shared" si="40"/>
        <v>0</v>
      </c>
      <c r="AY22" s="9"/>
      <c r="AZ22" s="30">
        <f t="shared" si="41"/>
        <v>0</v>
      </c>
      <c r="BA22" s="10">
        <f>28577/100</f>
        <v>285.77</v>
      </c>
      <c r="BB22" s="31">
        <v>8573</v>
      </c>
      <c r="BC22" s="15">
        <f t="shared" si="57"/>
        <v>8573</v>
      </c>
      <c r="BD22" s="9">
        <f t="shared" si="58"/>
        <v>0</v>
      </c>
      <c r="BE22" s="28">
        <f t="shared" si="59"/>
        <v>285.77</v>
      </c>
      <c r="BF22" s="8">
        <f t="shared" si="60"/>
        <v>0</v>
      </c>
      <c r="BG22" s="29">
        <f t="shared" si="48"/>
        <v>8573.0999999999985</v>
      </c>
      <c r="BH22" s="13">
        <f t="shared" si="61"/>
        <v>-9.9999999998544808E-2</v>
      </c>
      <c r="BI22" s="2" t="str">
        <f t="shared" si="49"/>
        <v>erreur de calcul</v>
      </c>
      <c r="BJ22" s="2"/>
    </row>
    <row r="23" spans="1:62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49</v>
      </c>
      <c r="G23" s="31">
        <v>18</v>
      </c>
      <c r="H23" s="31" t="s">
        <v>96</v>
      </c>
      <c r="I23" s="5"/>
      <c r="J23" s="5">
        <v>25</v>
      </c>
      <c r="K23" s="6"/>
      <c r="L23" s="11">
        <f t="shared" si="50"/>
        <v>1.25</v>
      </c>
      <c r="M23" s="7" t="s">
        <v>34</v>
      </c>
      <c r="N23" s="31"/>
      <c r="O23" s="9"/>
      <c r="P23" s="9" t="str">
        <f t="shared" si="51"/>
        <v/>
      </c>
      <c r="Q23" s="9"/>
      <c r="R23" s="30">
        <f t="shared" ref="R23" si="115">Q23*$L23</f>
        <v>0</v>
      </c>
      <c r="S23" s="9"/>
      <c r="T23" s="30">
        <f t="shared" ref="T23" si="116">S23*$L23</f>
        <v>0</v>
      </c>
      <c r="U23" s="9"/>
      <c r="V23" s="30">
        <f t="shared" si="43"/>
        <v>0</v>
      </c>
      <c r="W23" s="9">
        <v>17192</v>
      </c>
      <c r="X23" s="30">
        <v>21490</v>
      </c>
      <c r="Y23" s="42"/>
      <c r="Z23" s="30">
        <f t="shared" si="54"/>
        <v>0</v>
      </c>
      <c r="AA23" s="9"/>
      <c r="AB23" s="30">
        <f t="shared" si="32"/>
        <v>0</v>
      </c>
      <c r="AC23" s="9"/>
      <c r="AD23" s="30">
        <f t="shared" si="44"/>
        <v>0</v>
      </c>
      <c r="AE23" s="9"/>
      <c r="AF23" s="30">
        <f t="shared" si="33"/>
        <v>0</v>
      </c>
      <c r="AG23" s="9"/>
      <c r="AH23" s="30">
        <f t="shared" si="45"/>
        <v>0</v>
      </c>
      <c r="AI23" s="9"/>
      <c r="AJ23" s="30">
        <f t="shared" ref="AJ23" si="117">AI23*$L23</f>
        <v>0</v>
      </c>
      <c r="AK23" s="9"/>
      <c r="AL23" s="30">
        <f t="shared" ref="AL23" si="118">AK23*$L23</f>
        <v>0</v>
      </c>
      <c r="AM23" s="9"/>
      <c r="AN23" s="30">
        <f t="shared" si="35"/>
        <v>0</v>
      </c>
      <c r="AO23" s="9"/>
      <c r="AP23" s="30">
        <f t="shared" si="36"/>
        <v>0</v>
      </c>
      <c r="AQ23" s="9"/>
      <c r="AR23" s="30">
        <f t="shared" si="37"/>
        <v>0</v>
      </c>
      <c r="AS23" s="9"/>
      <c r="AT23" s="30">
        <f t="shared" si="38"/>
        <v>0</v>
      </c>
      <c r="AU23" s="9"/>
      <c r="AV23" s="30">
        <f t="shared" si="39"/>
        <v>0</v>
      </c>
      <c r="AW23" s="9"/>
      <c r="AX23" s="30">
        <f t="shared" si="40"/>
        <v>0</v>
      </c>
      <c r="AY23" s="9"/>
      <c r="AZ23" s="30">
        <f t="shared" si="41"/>
        <v>0</v>
      </c>
      <c r="BA23" s="10">
        <v>17192</v>
      </c>
      <c r="BB23" s="31">
        <v>21490</v>
      </c>
      <c r="BC23" s="15">
        <f t="shared" si="57"/>
        <v>21490</v>
      </c>
      <c r="BD23" s="9">
        <f t="shared" si="58"/>
        <v>0</v>
      </c>
      <c r="BE23" s="28">
        <f t="shared" si="59"/>
        <v>17192</v>
      </c>
      <c r="BF23" s="8">
        <f t="shared" si="60"/>
        <v>0</v>
      </c>
      <c r="BG23" s="29">
        <f t="shared" si="48"/>
        <v>21490</v>
      </c>
      <c r="BH23" s="13">
        <f t="shared" si="61"/>
        <v>0</v>
      </c>
      <c r="BI23" s="2" t="str">
        <f t="shared" si="49"/>
        <v/>
      </c>
      <c r="BJ23" s="2"/>
    </row>
    <row r="24" spans="1:62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49</v>
      </c>
      <c r="G24" s="31">
        <v>18</v>
      </c>
      <c r="H24" s="31" t="s">
        <v>97</v>
      </c>
      <c r="I24" s="5">
        <v>4</v>
      </c>
      <c r="J24" s="5"/>
      <c r="K24" s="6"/>
      <c r="L24" s="11">
        <f t="shared" si="50"/>
        <v>4</v>
      </c>
      <c r="M24" s="7" t="s">
        <v>47</v>
      </c>
      <c r="N24" s="31"/>
      <c r="O24" s="9"/>
      <c r="P24" s="9" t="str">
        <f t="shared" si="51"/>
        <v/>
      </c>
      <c r="Q24" s="9"/>
      <c r="R24" s="30">
        <f t="shared" ref="R24" si="119">Q24*$L24</f>
        <v>0</v>
      </c>
      <c r="S24" s="9"/>
      <c r="T24" s="30">
        <f t="shared" ref="T24" si="120">S24*$L24</f>
        <v>0</v>
      </c>
      <c r="U24" s="9"/>
      <c r="V24" s="30">
        <f t="shared" si="43"/>
        <v>0</v>
      </c>
      <c r="W24" s="9"/>
      <c r="X24" s="30">
        <f t="shared" si="53"/>
        <v>0</v>
      </c>
      <c r="Y24" s="42"/>
      <c r="Z24" s="30">
        <f t="shared" si="54"/>
        <v>0</v>
      </c>
      <c r="AA24" s="9"/>
      <c r="AB24" s="30">
        <f t="shared" si="32"/>
        <v>0</v>
      </c>
      <c r="AC24" s="9"/>
      <c r="AD24" s="30">
        <f t="shared" si="44"/>
        <v>0</v>
      </c>
      <c r="AE24" s="9">
        <v>900</v>
      </c>
      <c r="AF24" s="30">
        <v>3600</v>
      </c>
      <c r="AG24" s="9"/>
      <c r="AH24" s="30">
        <f t="shared" si="45"/>
        <v>0</v>
      </c>
      <c r="AI24" s="9"/>
      <c r="AJ24" s="30">
        <f t="shared" ref="AJ24" si="121">AI24*$L24</f>
        <v>0</v>
      </c>
      <c r="AK24" s="9"/>
      <c r="AL24" s="30">
        <f t="shared" ref="AL24" si="122">AK24*$L24</f>
        <v>0</v>
      </c>
      <c r="AM24" s="9"/>
      <c r="AN24" s="30">
        <f t="shared" si="35"/>
        <v>0</v>
      </c>
      <c r="AO24" s="9"/>
      <c r="AP24" s="30">
        <f t="shared" si="36"/>
        <v>0</v>
      </c>
      <c r="AQ24" s="9">
        <v>36</v>
      </c>
      <c r="AR24" s="30">
        <v>144</v>
      </c>
      <c r="AS24" s="9"/>
      <c r="AT24" s="30">
        <f t="shared" si="38"/>
        <v>0</v>
      </c>
      <c r="AU24" s="9"/>
      <c r="AV24" s="30">
        <f t="shared" si="39"/>
        <v>0</v>
      </c>
      <c r="AW24" s="9"/>
      <c r="AX24" s="30">
        <f t="shared" si="40"/>
        <v>0</v>
      </c>
      <c r="AY24" s="9"/>
      <c r="AZ24" s="30">
        <f t="shared" si="41"/>
        <v>0</v>
      </c>
      <c r="BA24" s="10">
        <v>936</v>
      </c>
      <c r="BB24" s="31">
        <v>3744</v>
      </c>
      <c r="BC24" s="15">
        <f t="shared" si="57"/>
        <v>3744</v>
      </c>
      <c r="BD24" s="9">
        <f t="shared" si="58"/>
        <v>0</v>
      </c>
      <c r="BE24" s="28">
        <f t="shared" si="59"/>
        <v>936</v>
      </c>
      <c r="BF24" s="8">
        <f t="shared" si="60"/>
        <v>0</v>
      </c>
      <c r="BG24" s="29">
        <f t="shared" si="48"/>
        <v>3744</v>
      </c>
      <c r="BH24" s="13">
        <f t="shared" si="61"/>
        <v>0</v>
      </c>
      <c r="BI24" s="2" t="str">
        <f t="shared" si="49"/>
        <v/>
      </c>
      <c r="BJ24" s="2"/>
    </row>
    <row r="25" spans="1:62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49</v>
      </c>
      <c r="G25" s="31">
        <v>18</v>
      </c>
      <c r="H25" s="31" t="s">
        <v>98</v>
      </c>
      <c r="I25" s="5">
        <v>40</v>
      </c>
      <c r="J25" s="5"/>
      <c r="K25" s="6"/>
      <c r="L25" s="11">
        <f t="shared" si="50"/>
        <v>40</v>
      </c>
      <c r="M25" s="7" t="s">
        <v>14</v>
      </c>
      <c r="N25" s="31"/>
      <c r="O25" s="9"/>
      <c r="P25" s="9" t="str">
        <f t="shared" si="51"/>
        <v/>
      </c>
      <c r="Q25" s="9">
        <f>16000/100</f>
        <v>160</v>
      </c>
      <c r="R25" s="30">
        <v>6400</v>
      </c>
      <c r="S25" s="9"/>
      <c r="T25" s="30">
        <f t="shared" ref="T25" si="123">S25*$L25</f>
        <v>0</v>
      </c>
      <c r="U25" s="9"/>
      <c r="V25" s="30">
        <f t="shared" si="43"/>
        <v>0</v>
      </c>
      <c r="W25" s="9"/>
      <c r="X25" s="30">
        <f t="shared" si="53"/>
        <v>0</v>
      </c>
      <c r="Y25" s="42"/>
      <c r="Z25" s="30">
        <f t="shared" si="54"/>
        <v>0</v>
      </c>
      <c r="AA25" s="9"/>
      <c r="AB25" s="30">
        <f t="shared" si="32"/>
        <v>0</v>
      </c>
      <c r="AC25" s="9"/>
      <c r="AD25" s="30">
        <f t="shared" si="44"/>
        <v>0</v>
      </c>
      <c r="AE25" s="9"/>
      <c r="AF25" s="30">
        <f t="shared" si="33"/>
        <v>0</v>
      </c>
      <c r="AG25" s="9"/>
      <c r="AH25" s="30">
        <f t="shared" si="45"/>
        <v>0</v>
      </c>
      <c r="AI25" s="9"/>
      <c r="AJ25" s="30">
        <f t="shared" ref="AJ25" si="124">AI25*$L25</f>
        <v>0</v>
      </c>
      <c r="AK25" s="9"/>
      <c r="AL25" s="30">
        <f t="shared" ref="AL25" si="125">AK25*$L25</f>
        <v>0</v>
      </c>
      <c r="AM25" s="9"/>
      <c r="AN25" s="30">
        <f t="shared" si="35"/>
        <v>0</v>
      </c>
      <c r="AO25" s="9"/>
      <c r="AP25" s="30">
        <f t="shared" si="36"/>
        <v>0</v>
      </c>
      <c r="AQ25" s="9"/>
      <c r="AR25" s="30">
        <f t="shared" si="37"/>
        <v>0</v>
      </c>
      <c r="AS25" s="9"/>
      <c r="AT25" s="30">
        <f t="shared" si="38"/>
        <v>0</v>
      </c>
      <c r="AU25" s="9"/>
      <c r="AV25" s="30">
        <f t="shared" si="39"/>
        <v>0</v>
      </c>
      <c r="AW25" s="9"/>
      <c r="AX25" s="30">
        <f t="shared" si="40"/>
        <v>0</v>
      </c>
      <c r="AY25" s="9"/>
      <c r="AZ25" s="30">
        <f t="shared" si="41"/>
        <v>0</v>
      </c>
      <c r="BA25" s="10">
        <f>16000/100</f>
        <v>160</v>
      </c>
      <c r="BB25" s="31">
        <v>6400</v>
      </c>
      <c r="BC25" s="15">
        <f t="shared" si="57"/>
        <v>6400</v>
      </c>
      <c r="BD25" s="9">
        <f t="shared" si="58"/>
        <v>0</v>
      </c>
      <c r="BE25" s="28">
        <f t="shared" si="59"/>
        <v>160</v>
      </c>
      <c r="BF25" s="8">
        <f t="shared" si="60"/>
        <v>0</v>
      </c>
      <c r="BG25" s="29">
        <f t="shared" si="48"/>
        <v>6400</v>
      </c>
      <c r="BH25" s="13">
        <f t="shared" si="61"/>
        <v>0</v>
      </c>
      <c r="BI25" s="2" t="str">
        <f t="shared" si="49"/>
        <v/>
      </c>
      <c r="BJ25" s="2"/>
    </row>
    <row r="26" spans="1:62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49</v>
      </c>
      <c r="G26" s="31">
        <v>18</v>
      </c>
      <c r="H26" s="31" t="s">
        <v>99</v>
      </c>
      <c r="I26" s="5">
        <v>25</v>
      </c>
      <c r="J26" s="5"/>
      <c r="K26" s="6"/>
      <c r="L26" s="11">
        <f t="shared" si="50"/>
        <v>25</v>
      </c>
      <c r="M26" s="7" t="s">
        <v>14</v>
      </c>
      <c r="N26" s="31"/>
      <c r="O26" s="9"/>
      <c r="P26" s="9" t="str">
        <f t="shared" si="51"/>
        <v/>
      </c>
      <c r="Q26" s="9">
        <f>968306/100</f>
        <v>9683.06</v>
      </c>
      <c r="R26" s="30">
        <v>242076</v>
      </c>
      <c r="S26" s="9"/>
      <c r="T26" s="30">
        <f t="shared" ref="T26" si="126">S26*$L26</f>
        <v>0</v>
      </c>
      <c r="U26" s="9"/>
      <c r="V26" s="30">
        <f t="shared" si="43"/>
        <v>0</v>
      </c>
      <c r="W26" s="9">
        <f>39234/100</f>
        <v>392.34</v>
      </c>
      <c r="X26" s="30">
        <v>9808</v>
      </c>
      <c r="Y26" s="42"/>
      <c r="Z26" s="30">
        <v>3410</v>
      </c>
      <c r="AA26" s="9"/>
      <c r="AB26" s="30">
        <f t="shared" si="32"/>
        <v>0</v>
      </c>
      <c r="AC26" s="9"/>
      <c r="AD26" s="30">
        <f t="shared" si="44"/>
        <v>0</v>
      </c>
      <c r="AE26" s="9"/>
      <c r="AF26" s="30">
        <f t="shared" si="33"/>
        <v>0</v>
      </c>
      <c r="AG26" s="9"/>
      <c r="AH26" s="30">
        <f t="shared" si="45"/>
        <v>0</v>
      </c>
      <c r="AI26" s="9"/>
      <c r="AJ26" s="30">
        <f t="shared" ref="AJ26" si="127">AI26*$L26</f>
        <v>0</v>
      </c>
      <c r="AK26" s="9">
        <f>2665/100</f>
        <v>26.65</v>
      </c>
      <c r="AL26" s="30">
        <v>666</v>
      </c>
      <c r="AM26" s="9"/>
      <c r="AN26" s="30">
        <f t="shared" si="35"/>
        <v>0</v>
      </c>
      <c r="AO26" s="9"/>
      <c r="AP26" s="30">
        <f t="shared" si="36"/>
        <v>0</v>
      </c>
      <c r="AQ26" s="9"/>
      <c r="AR26" s="30">
        <f t="shared" si="37"/>
        <v>0</v>
      </c>
      <c r="AS26" s="9"/>
      <c r="AT26" s="30">
        <f t="shared" si="38"/>
        <v>0</v>
      </c>
      <c r="AU26" s="9"/>
      <c r="AV26" s="30">
        <f t="shared" si="39"/>
        <v>0</v>
      </c>
      <c r="AW26" s="9"/>
      <c r="AX26" s="30">
        <f t="shared" si="40"/>
        <v>0</v>
      </c>
      <c r="AY26" s="9">
        <f>118115/100</f>
        <v>1181.1500000000001</v>
      </c>
      <c r="AZ26" s="30">
        <v>29529</v>
      </c>
      <c r="BA26" s="10">
        <f>1141960/100</f>
        <v>11419.6</v>
      </c>
      <c r="BB26" s="31">
        <v>285489</v>
      </c>
      <c r="BC26" s="15">
        <f t="shared" si="57"/>
        <v>285489</v>
      </c>
      <c r="BD26" s="9">
        <f t="shared" si="58"/>
        <v>0</v>
      </c>
      <c r="BE26" s="28">
        <f t="shared" si="59"/>
        <v>11283.199999999999</v>
      </c>
      <c r="BF26" s="8">
        <f t="shared" si="60"/>
        <v>136.40000000000146</v>
      </c>
      <c r="BG26" s="29">
        <f t="shared" si="48"/>
        <v>282080</v>
      </c>
      <c r="BH26" s="13">
        <f t="shared" si="61"/>
        <v>3409</v>
      </c>
      <c r="BI26" s="2" t="str">
        <f t="shared" si="49"/>
        <v>erreur de calcul</v>
      </c>
      <c r="BJ26" s="2"/>
    </row>
    <row r="27" spans="1:62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49</v>
      </c>
      <c r="G27" s="31">
        <v>18</v>
      </c>
      <c r="H27" s="31" t="s">
        <v>100</v>
      </c>
      <c r="I27" s="5">
        <v>30</v>
      </c>
      <c r="J27" s="5"/>
      <c r="K27" s="6"/>
      <c r="L27" s="11">
        <f t="shared" si="50"/>
        <v>30</v>
      </c>
      <c r="M27" s="7" t="s">
        <v>14</v>
      </c>
      <c r="N27" s="31" t="s">
        <v>18</v>
      </c>
      <c r="O27" s="9">
        <f>16672/100</f>
        <v>166.72</v>
      </c>
      <c r="P27" s="9">
        <v>5002</v>
      </c>
      <c r="Q27" s="9"/>
      <c r="R27" s="30">
        <f t="shared" ref="R27" si="128">Q27*$L27</f>
        <v>0</v>
      </c>
      <c r="S27" s="9"/>
      <c r="T27" s="30">
        <f t="shared" ref="T27" si="129">S27*$L27</f>
        <v>0</v>
      </c>
      <c r="U27" s="9"/>
      <c r="V27" s="30">
        <f t="shared" si="43"/>
        <v>0</v>
      </c>
      <c r="W27" s="9"/>
      <c r="X27" s="30">
        <f t="shared" si="53"/>
        <v>0</v>
      </c>
      <c r="Y27" s="42"/>
      <c r="Z27" s="30">
        <f t="shared" si="54"/>
        <v>0</v>
      </c>
      <c r="AA27" s="9"/>
      <c r="AB27" s="30">
        <f t="shared" si="32"/>
        <v>0</v>
      </c>
      <c r="AC27" s="9"/>
      <c r="AD27" s="30">
        <f t="shared" si="44"/>
        <v>0</v>
      </c>
      <c r="AE27" s="9"/>
      <c r="AF27" s="30">
        <f t="shared" si="33"/>
        <v>0</v>
      </c>
      <c r="AG27" s="9"/>
      <c r="AH27" s="30">
        <f t="shared" si="45"/>
        <v>0</v>
      </c>
      <c r="AI27" s="9"/>
      <c r="AJ27" s="30">
        <f t="shared" ref="AJ27" si="130">AI27*$L27</f>
        <v>0</v>
      </c>
      <c r="AK27" s="9"/>
      <c r="AL27" s="30">
        <f t="shared" ref="AL27" si="131">AK27*$L27</f>
        <v>0</v>
      </c>
      <c r="AM27" s="9"/>
      <c r="AN27" s="30">
        <f t="shared" si="35"/>
        <v>0</v>
      </c>
      <c r="AO27" s="9"/>
      <c r="AP27" s="30">
        <f t="shared" si="36"/>
        <v>0</v>
      </c>
      <c r="AQ27" s="9"/>
      <c r="AR27" s="30">
        <f t="shared" si="37"/>
        <v>0</v>
      </c>
      <c r="AS27" s="9"/>
      <c r="AT27" s="30">
        <f t="shared" si="38"/>
        <v>0</v>
      </c>
      <c r="AU27" s="9"/>
      <c r="AV27" s="30">
        <f t="shared" si="39"/>
        <v>0</v>
      </c>
      <c r="AW27" s="9"/>
      <c r="AX27" s="30">
        <f t="shared" si="40"/>
        <v>0</v>
      </c>
      <c r="AY27" s="9"/>
      <c r="AZ27" s="30">
        <f t="shared" si="41"/>
        <v>0</v>
      </c>
      <c r="BA27" s="10"/>
      <c r="BB27" s="31"/>
      <c r="BC27" s="15">
        <f t="shared" si="57"/>
        <v>0</v>
      </c>
      <c r="BD27" s="9">
        <f t="shared" si="58"/>
        <v>0</v>
      </c>
      <c r="BE27" s="28">
        <f t="shared" si="59"/>
        <v>0</v>
      </c>
      <c r="BF27" s="8">
        <f t="shared" si="60"/>
        <v>0</v>
      </c>
      <c r="BG27" s="29">
        <f t="shared" si="48"/>
        <v>0</v>
      </c>
      <c r="BH27" s="13">
        <f t="shared" si="61"/>
        <v>0</v>
      </c>
      <c r="BI27" s="2" t="str">
        <f t="shared" si="49"/>
        <v/>
      </c>
      <c r="BJ27" s="2"/>
    </row>
    <row r="28" spans="1:62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49</v>
      </c>
      <c r="G28" s="31">
        <v>18</v>
      </c>
      <c r="H28" s="31" t="s">
        <v>101</v>
      </c>
      <c r="I28" s="5">
        <v>12</v>
      </c>
      <c r="J28" s="5"/>
      <c r="K28" s="6"/>
      <c r="L28" s="11">
        <f t="shared" si="50"/>
        <v>12</v>
      </c>
      <c r="M28" s="7" t="s">
        <v>14</v>
      </c>
      <c r="N28" s="31"/>
      <c r="O28" s="9"/>
      <c r="P28" s="9" t="str">
        <f t="shared" si="51"/>
        <v/>
      </c>
      <c r="Q28" s="9">
        <f>7077/100</f>
        <v>70.77</v>
      </c>
      <c r="R28" s="30">
        <v>849</v>
      </c>
      <c r="S28" s="9"/>
      <c r="T28" s="30">
        <f t="shared" ref="T28" si="132">S28*$L28</f>
        <v>0</v>
      </c>
      <c r="U28" s="9"/>
      <c r="V28" s="30">
        <f t="shared" si="43"/>
        <v>0</v>
      </c>
      <c r="W28" s="9"/>
      <c r="X28" s="30">
        <f t="shared" si="53"/>
        <v>0</v>
      </c>
      <c r="Y28" s="42"/>
      <c r="Z28" s="30">
        <v>866</v>
      </c>
      <c r="AA28" s="9"/>
      <c r="AB28" s="30">
        <f t="shared" si="32"/>
        <v>0</v>
      </c>
      <c r="AC28" s="9"/>
      <c r="AD28" s="30">
        <f t="shared" si="44"/>
        <v>0</v>
      </c>
      <c r="AE28" s="9"/>
      <c r="AF28" s="30">
        <f t="shared" si="33"/>
        <v>0</v>
      </c>
      <c r="AG28" s="9"/>
      <c r="AH28" s="30">
        <f t="shared" si="45"/>
        <v>0</v>
      </c>
      <c r="AI28" s="9"/>
      <c r="AJ28" s="30">
        <f t="shared" ref="AJ28" si="133">AI28*$L28</f>
        <v>0</v>
      </c>
      <c r="AK28" s="9"/>
      <c r="AL28" s="30">
        <f t="shared" ref="AL28" si="134">AK28*$L28</f>
        <v>0</v>
      </c>
      <c r="AM28" s="9"/>
      <c r="AN28" s="30">
        <f t="shared" si="35"/>
        <v>0</v>
      </c>
      <c r="AO28" s="9"/>
      <c r="AP28" s="30">
        <f t="shared" si="36"/>
        <v>0</v>
      </c>
      <c r="AQ28" s="9"/>
      <c r="AR28" s="30">
        <f t="shared" si="37"/>
        <v>0</v>
      </c>
      <c r="AS28" s="9"/>
      <c r="AT28" s="30">
        <f t="shared" si="38"/>
        <v>0</v>
      </c>
      <c r="AU28" s="9"/>
      <c r="AV28" s="30">
        <f t="shared" si="39"/>
        <v>0</v>
      </c>
      <c r="AW28" s="9"/>
      <c r="AX28" s="30">
        <f t="shared" si="40"/>
        <v>0</v>
      </c>
      <c r="AY28" s="9"/>
      <c r="AZ28" s="30">
        <f t="shared" si="41"/>
        <v>0</v>
      </c>
      <c r="BA28" s="10">
        <f>14294/100</f>
        <v>142.94</v>
      </c>
      <c r="BB28" s="31">
        <v>1715</v>
      </c>
      <c r="BC28" s="15">
        <f t="shared" si="57"/>
        <v>1715</v>
      </c>
      <c r="BD28" s="9">
        <f t="shared" si="58"/>
        <v>0</v>
      </c>
      <c r="BE28" s="28">
        <f t="shared" si="59"/>
        <v>70.77</v>
      </c>
      <c r="BF28" s="8">
        <f t="shared" si="60"/>
        <v>72.17</v>
      </c>
      <c r="BG28" s="29">
        <f t="shared" si="48"/>
        <v>849.24</v>
      </c>
      <c r="BH28" s="13">
        <f t="shared" si="61"/>
        <v>865.76</v>
      </c>
      <c r="BI28" s="2" t="str">
        <f t="shared" si="49"/>
        <v>erreur de calcul</v>
      </c>
      <c r="BJ28" s="2"/>
    </row>
    <row r="29" spans="1:62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49</v>
      </c>
      <c r="G29" s="31">
        <v>18</v>
      </c>
      <c r="H29" s="31" t="s">
        <v>102</v>
      </c>
      <c r="I29" s="5">
        <v>13</v>
      </c>
      <c r="J29" s="5"/>
      <c r="K29" s="6"/>
      <c r="L29" s="11">
        <f t="shared" si="50"/>
        <v>13</v>
      </c>
      <c r="M29" s="7" t="s">
        <v>14</v>
      </c>
      <c r="N29" s="31"/>
      <c r="O29" s="9"/>
      <c r="P29" s="9" t="str">
        <f t="shared" si="51"/>
        <v/>
      </c>
      <c r="Q29" s="9"/>
      <c r="R29" s="30">
        <f t="shared" ref="R29" si="135">Q29*$L29</f>
        <v>0</v>
      </c>
      <c r="S29" s="9"/>
      <c r="T29" s="30">
        <f t="shared" ref="T29" si="136">S29*$L29</f>
        <v>0</v>
      </c>
      <c r="U29" s="9"/>
      <c r="V29" s="30">
        <f t="shared" si="43"/>
        <v>0</v>
      </c>
      <c r="W29" s="9"/>
      <c r="X29" s="30">
        <f t="shared" si="53"/>
        <v>0</v>
      </c>
      <c r="Y29" s="42"/>
      <c r="Z29" s="30">
        <f t="shared" si="54"/>
        <v>0</v>
      </c>
      <c r="AA29" s="9"/>
      <c r="AB29" s="30">
        <f t="shared" si="32"/>
        <v>0</v>
      </c>
      <c r="AC29" s="9"/>
      <c r="AD29" s="30">
        <f t="shared" si="44"/>
        <v>0</v>
      </c>
      <c r="AE29" s="9"/>
      <c r="AF29" s="30">
        <f t="shared" si="33"/>
        <v>0</v>
      </c>
      <c r="AG29" s="9"/>
      <c r="AH29" s="30">
        <f t="shared" si="45"/>
        <v>0</v>
      </c>
      <c r="AI29" s="9">
        <f>7819/100</f>
        <v>78.19</v>
      </c>
      <c r="AJ29" s="30">
        <v>1016</v>
      </c>
      <c r="AK29" s="9">
        <f>10382/100</f>
        <v>103.82</v>
      </c>
      <c r="AL29" s="30">
        <v>1350</v>
      </c>
      <c r="AM29" s="9"/>
      <c r="AN29" s="30">
        <f t="shared" si="35"/>
        <v>0</v>
      </c>
      <c r="AO29" s="9"/>
      <c r="AP29" s="30">
        <f t="shared" si="36"/>
        <v>0</v>
      </c>
      <c r="AQ29" s="9"/>
      <c r="AR29" s="30">
        <f t="shared" si="37"/>
        <v>0</v>
      </c>
      <c r="AS29" s="9"/>
      <c r="AT29" s="30">
        <f t="shared" si="38"/>
        <v>0</v>
      </c>
      <c r="AU29" s="9"/>
      <c r="AV29" s="30">
        <f t="shared" si="39"/>
        <v>0</v>
      </c>
      <c r="AW29" s="9"/>
      <c r="AX29" s="30">
        <f t="shared" si="40"/>
        <v>0</v>
      </c>
      <c r="AY29" s="9"/>
      <c r="AZ29" s="30">
        <f t="shared" si="41"/>
        <v>0</v>
      </c>
      <c r="BA29" s="10">
        <f>18201/100</f>
        <v>182.01</v>
      </c>
      <c r="BB29" s="31">
        <v>2366</v>
      </c>
      <c r="BC29" s="15">
        <f t="shared" si="57"/>
        <v>2366</v>
      </c>
      <c r="BD29" s="9">
        <f t="shared" si="58"/>
        <v>0</v>
      </c>
      <c r="BE29" s="28">
        <f t="shared" si="59"/>
        <v>182.01</v>
      </c>
      <c r="BF29" s="8">
        <f t="shared" si="60"/>
        <v>0</v>
      </c>
      <c r="BG29" s="29">
        <f t="shared" si="48"/>
        <v>2366.13</v>
      </c>
      <c r="BH29" s="13">
        <f t="shared" si="61"/>
        <v>-0.13000000000010914</v>
      </c>
      <c r="BI29" s="2" t="str">
        <f t="shared" si="49"/>
        <v>erreur de calcul</v>
      </c>
      <c r="BJ29" s="2"/>
    </row>
    <row r="30" spans="1:62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49</v>
      </c>
      <c r="G30" s="31">
        <v>18</v>
      </c>
      <c r="H30" s="31" t="s">
        <v>103</v>
      </c>
      <c r="I30" s="5">
        <v>35</v>
      </c>
      <c r="J30" s="5"/>
      <c r="K30" s="6"/>
      <c r="L30" s="11">
        <f t="shared" si="50"/>
        <v>35</v>
      </c>
      <c r="M30" s="7" t="s">
        <v>14</v>
      </c>
      <c r="N30" s="31"/>
      <c r="O30" s="9"/>
      <c r="P30" s="9" t="str">
        <f t="shared" si="51"/>
        <v/>
      </c>
      <c r="Q30" s="9"/>
      <c r="R30" s="30">
        <f t="shared" ref="R30" si="137">Q30*$L30</f>
        <v>0</v>
      </c>
      <c r="S30" s="9"/>
      <c r="T30" s="30">
        <f t="shared" ref="T30" si="138">S30*$L30</f>
        <v>0</v>
      </c>
      <c r="U30" s="9"/>
      <c r="V30" s="30">
        <f t="shared" si="43"/>
        <v>0</v>
      </c>
      <c r="W30" s="9"/>
      <c r="X30" s="30">
        <f t="shared" si="53"/>
        <v>0</v>
      </c>
      <c r="Y30" s="42"/>
      <c r="Z30" s="30">
        <f t="shared" si="54"/>
        <v>0</v>
      </c>
      <c r="AA30" s="9"/>
      <c r="AB30" s="30">
        <f t="shared" si="32"/>
        <v>0</v>
      </c>
      <c r="AC30" s="9"/>
      <c r="AD30" s="30">
        <f t="shared" si="44"/>
        <v>0</v>
      </c>
      <c r="AE30" s="9"/>
      <c r="AF30" s="30">
        <f t="shared" si="33"/>
        <v>0</v>
      </c>
      <c r="AG30" s="9"/>
      <c r="AH30" s="30">
        <f t="shared" si="45"/>
        <v>0</v>
      </c>
      <c r="AI30" s="9"/>
      <c r="AJ30" s="30">
        <f t="shared" ref="AJ30" si="139">AI30*$L30</f>
        <v>0</v>
      </c>
      <c r="AK30" s="9">
        <f>65277/100</f>
        <v>652.77</v>
      </c>
      <c r="AL30" s="30">
        <v>22847</v>
      </c>
      <c r="AM30" s="9"/>
      <c r="AN30" s="30">
        <f t="shared" si="35"/>
        <v>0</v>
      </c>
      <c r="AO30" s="9"/>
      <c r="AP30" s="30">
        <f t="shared" si="36"/>
        <v>0</v>
      </c>
      <c r="AQ30" s="9"/>
      <c r="AR30" s="30">
        <f t="shared" si="37"/>
        <v>0</v>
      </c>
      <c r="AS30" s="9"/>
      <c r="AT30" s="30">
        <f t="shared" si="38"/>
        <v>0</v>
      </c>
      <c r="AU30" s="9"/>
      <c r="AV30" s="30">
        <f t="shared" si="39"/>
        <v>0</v>
      </c>
      <c r="AW30" s="9"/>
      <c r="AX30" s="30">
        <f t="shared" si="40"/>
        <v>0</v>
      </c>
      <c r="AY30" s="9"/>
      <c r="AZ30" s="30">
        <f t="shared" si="41"/>
        <v>0</v>
      </c>
      <c r="BA30" s="10">
        <f>65277/100</f>
        <v>652.77</v>
      </c>
      <c r="BB30" s="31">
        <v>22847</v>
      </c>
      <c r="BC30" s="15">
        <f t="shared" si="57"/>
        <v>22847</v>
      </c>
      <c r="BD30" s="9">
        <f t="shared" si="58"/>
        <v>0</v>
      </c>
      <c r="BE30" s="28">
        <f t="shared" si="59"/>
        <v>652.77</v>
      </c>
      <c r="BF30" s="8">
        <f t="shared" si="60"/>
        <v>0</v>
      </c>
      <c r="BG30" s="29">
        <f t="shared" si="48"/>
        <v>22846.95</v>
      </c>
      <c r="BH30" s="13">
        <f t="shared" si="61"/>
        <v>4.9999999999272404E-2</v>
      </c>
      <c r="BI30" s="2" t="str">
        <f t="shared" si="49"/>
        <v>erreur de calcul</v>
      </c>
      <c r="BJ30" s="2"/>
    </row>
    <row r="31" spans="1:62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49</v>
      </c>
      <c r="G31" s="31">
        <v>18</v>
      </c>
      <c r="H31" s="31" t="s">
        <v>104</v>
      </c>
      <c r="I31" s="5">
        <v>47</v>
      </c>
      <c r="J31" s="5"/>
      <c r="K31" s="6"/>
      <c r="L31" s="11">
        <f t="shared" si="50"/>
        <v>47</v>
      </c>
      <c r="M31" s="7" t="s">
        <v>14</v>
      </c>
      <c r="N31" s="31"/>
      <c r="O31" s="9"/>
      <c r="P31" s="9" t="str">
        <f t="shared" si="51"/>
        <v/>
      </c>
      <c r="Q31" s="9">
        <f>8467/100</f>
        <v>84.67</v>
      </c>
      <c r="R31" s="30">
        <v>3979</v>
      </c>
      <c r="S31" s="9"/>
      <c r="T31" s="30">
        <f t="shared" ref="T31" si="140">S31*$L31</f>
        <v>0</v>
      </c>
      <c r="U31" s="9"/>
      <c r="V31" s="30">
        <f t="shared" si="43"/>
        <v>0</v>
      </c>
      <c r="W31" s="9"/>
      <c r="X31" s="30">
        <f t="shared" si="53"/>
        <v>0</v>
      </c>
      <c r="Y31" s="42"/>
      <c r="Z31" s="30">
        <f t="shared" si="54"/>
        <v>0</v>
      </c>
      <c r="AA31" s="9"/>
      <c r="AB31" s="30">
        <f t="shared" si="32"/>
        <v>0</v>
      </c>
      <c r="AC31" s="9"/>
      <c r="AD31" s="30">
        <f t="shared" si="44"/>
        <v>0</v>
      </c>
      <c r="AE31" s="9"/>
      <c r="AF31" s="30">
        <f t="shared" si="33"/>
        <v>0</v>
      </c>
      <c r="AG31" s="9"/>
      <c r="AH31" s="30">
        <f t="shared" si="45"/>
        <v>0</v>
      </c>
      <c r="AI31" s="9"/>
      <c r="AJ31" s="30">
        <f t="shared" ref="AJ31" si="141">AI31*$L31</f>
        <v>0</v>
      </c>
      <c r="AK31" s="9"/>
      <c r="AL31" s="30">
        <f t="shared" ref="AL31" si="142">AK31*$L31</f>
        <v>0</v>
      </c>
      <c r="AM31" s="9"/>
      <c r="AN31" s="30">
        <f t="shared" si="35"/>
        <v>0</v>
      </c>
      <c r="AO31" s="9"/>
      <c r="AP31" s="30">
        <f t="shared" si="36"/>
        <v>0</v>
      </c>
      <c r="AQ31" s="9"/>
      <c r="AR31" s="30">
        <f t="shared" si="37"/>
        <v>0</v>
      </c>
      <c r="AS31" s="9"/>
      <c r="AT31" s="30">
        <f t="shared" si="38"/>
        <v>0</v>
      </c>
      <c r="AU31" s="9"/>
      <c r="AV31" s="30">
        <f t="shared" si="39"/>
        <v>0</v>
      </c>
      <c r="AW31" s="9"/>
      <c r="AX31" s="30">
        <f t="shared" si="40"/>
        <v>0</v>
      </c>
      <c r="AY31" s="9"/>
      <c r="AZ31" s="30">
        <f t="shared" si="41"/>
        <v>0</v>
      </c>
      <c r="BA31" s="10">
        <f>8467/100</f>
        <v>84.67</v>
      </c>
      <c r="BB31" s="31">
        <v>3979</v>
      </c>
      <c r="BC31" s="15">
        <f t="shared" si="57"/>
        <v>3979</v>
      </c>
      <c r="BD31" s="9">
        <f t="shared" si="58"/>
        <v>0</v>
      </c>
      <c r="BE31" s="28">
        <f t="shared" si="59"/>
        <v>84.67</v>
      </c>
      <c r="BF31" s="8">
        <f t="shared" si="60"/>
        <v>0</v>
      </c>
      <c r="BG31" s="29">
        <f t="shared" si="48"/>
        <v>3979.4900000000002</v>
      </c>
      <c r="BH31" s="13">
        <f t="shared" si="61"/>
        <v>-0.49000000000023647</v>
      </c>
      <c r="BI31" s="2" t="str">
        <f t="shared" si="49"/>
        <v>erreur de calcul</v>
      </c>
      <c r="BJ31" s="2"/>
    </row>
    <row r="32" spans="1:62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49</v>
      </c>
      <c r="G32" s="31">
        <v>18</v>
      </c>
      <c r="H32" s="31" t="s">
        <v>105</v>
      </c>
      <c r="I32" s="5">
        <v>475</v>
      </c>
      <c r="J32" s="5"/>
      <c r="K32" s="6"/>
      <c r="L32" s="11">
        <f t="shared" si="50"/>
        <v>475</v>
      </c>
      <c r="M32" s="7" t="s">
        <v>14</v>
      </c>
      <c r="N32" s="31"/>
      <c r="O32" s="9"/>
      <c r="P32" s="9" t="str">
        <f t="shared" si="51"/>
        <v/>
      </c>
      <c r="Q32" s="9"/>
      <c r="R32" s="30">
        <f t="shared" ref="R32" si="143">Q32*$L32</f>
        <v>0</v>
      </c>
      <c r="S32" s="9"/>
      <c r="T32" s="30">
        <f t="shared" ref="T32" si="144">S32*$L32</f>
        <v>0</v>
      </c>
      <c r="U32" s="9">
        <f>1746/100</f>
        <v>17.46</v>
      </c>
      <c r="V32" s="30">
        <v>8293</v>
      </c>
      <c r="W32" s="9"/>
      <c r="X32" s="30">
        <f t="shared" si="53"/>
        <v>0</v>
      </c>
      <c r="Y32" s="42"/>
      <c r="Z32" s="30">
        <f t="shared" si="54"/>
        <v>0</v>
      </c>
      <c r="AA32" s="9"/>
      <c r="AB32" s="30">
        <f t="shared" si="32"/>
        <v>0</v>
      </c>
      <c r="AC32" s="9"/>
      <c r="AD32" s="30">
        <f t="shared" si="44"/>
        <v>0</v>
      </c>
      <c r="AE32" s="9"/>
      <c r="AF32" s="30">
        <f t="shared" si="33"/>
        <v>0</v>
      </c>
      <c r="AG32" s="9"/>
      <c r="AH32" s="30">
        <f t="shared" si="45"/>
        <v>0</v>
      </c>
      <c r="AI32" s="9">
        <f>1667/100</f>
        <v>16.670000000000002</v>
      </c>
      <c r="AJ32" s="30">
        <v>7918</v>
      </c>
      <c r="AK32" s="9"/>
      <c r="AL32" s="30">
        <f t="shared" ref="AL32" si="145">AK32*$L32</f>
        <v>0</v>
      </c>
      <c r="AM32" s="9"/>
      <c r="AN32" s="30">
        <f t="shared" si="35"/>
        <v>0</v>
      </c>
      <c r="AO32" s="9"/>
      <c r="AP32" s="30">
        <f t="shared" si="36"/>
        <v>0</v>
      </c>
      <c r="AQ32" s="9"/>
      <c r="AR32" s="30">
        <f t="shared" si="37"/>
        <v>0</v>
      </c>
      <c r="AS32" s="9"/>
      <c r="AT32" s="30">
        <f t="shared" si="38"/>
        <v>0</v>
      </c>
      <c r="AU32" s="9"/>
      <c r="AV32" s="30">
        <f t="shared" si="39"/>
        <v>0</v>
      </c>
      <c r="AW32" s="9"/>
      <c r="AX32" s="30">
        <f t="shared" si="40"/>
        <v>0</v>
      </c>
      <c r="AY32" s="9"/>
      <c r="AZ32" s="30">
        <f t="shared" si="41"/>
        <v>0</v>
      </c>
      <c r="BA32" s="10">
        <f>3413/100</f>
        <v>34.130000000000003</v>
      </c>
      <c r="BB32" s="31">
        <v>16211</v>
      </c>
      <c r="BC32" s="15">
        <f t="shared" si="57"/>
        <v>16211</v>
      </c>
      <c r="BD32" s="9">
        <f t="shared" si="58"/>
        <v>0</v>
      </c>
      <c r="BE32" s="28">
        <f t="shared" si="59"/>
        <v>34.130000000000003</v>
      </c>
      <c r="BF32" s="8">
        <f t="shared" si="60"/>
        <v>0</v>
      </c>
      <c r="BG32" s="29">
        <f t="shared" si="48"/>
        <v>16211.750000000002</v>
      </c>
      <c r="BH32" s="13">
        <f t="shared" si="61"/>
        <v>-0.75000000000181899</v>
      </c>
      <c r="BI32" s="2" t="str">
        <f t="shared" si="49"/>
        <v>erreur de calcul</v>
      </c>
      <c r="BJ32" s="2"/>
    </row>
    <row r="33" spans="1:62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49</v>
      </c>
      <c r="G33" s="31">
        <v>18</v>
      </c>
      <c r="H33" s="31" t="s">
        <v>106</v>
      </c>
      <c r="I33" s="5">
        <v>310</v>
      </c>
      <c r="J33" s="5"/>
      <c r="K33" s="6"/>
      <c r="L33" s="11">
        <f t="shared" si="50"/>
        <v>310</v>
      </c>
      <c r="M33" s="7" t="s">
        <v>14</v>
      </c>
      <c r="N33" s="31"/>
      <c r="O33" s="9"/>
      <c r="P33" s="9" t="str">
        <f t="shared" si="51"/>
        <v/>
      </c>
      <c r="Q33" s="9"/>
      <c r="R33" s="30">
        <f t="shared" ref="R33" si="146">Q33*$L33</f>
        <v>0</v>
      </c>
      <c r="S33" s="9"/>
      <c r="T33" s="30">
        <f t="shared" ref="T33" si="147">S33*$L33</f>
        <v>0</v>
      </c>
      <c r="U33" s="9">
        <f>1087/100</f>
        <v>10.87</v>
      </c>
      <c r="V33" s="30">
        <v>3370</v>
      </c>
      <c r="W33" s="9">
        <f>285/100</f>
        <v>2.85</v>
      </c>
      <c r="X33" s="30">
        <v>883</v>
      </c>
      <c r="Y33" s="42"/>
      <c r="Z33" s="30">
        <f t="shared" si="54"/>
        <v>0</v>
      </c>
      <c r="AA33" s="9"/>
      <c r="AB33" s="30">
        <f t="shared" si="32"/>
        <v>0</v>
      </c>
      <c r="AC33" s="9"/>
      <c r="AD33" s="30">
        <f t="shared" si="44"/>
        <v>0</v>
      </c>
      <c r="AE33" s="9"/>
      <c r="AF33" s="30">
        <f t="shared" si="33"/>
        <v>0</v>
      </c>
      <c r="AG33" s="9"/>
      <c r="AH33" s="30">
        <f t="shared" si="45"/>
        <v>0</v>
      </c>
      <c r="AI33" s="9"/>
      <c r="AJ33" s="30">
        <f t="shared" ref="AJ33" si="148">AI33*$L33</f>
        <v>0</v>
      </c>
      <c r="AK33" s="9"/>
      <c r="AL33" s="30">
        <f t="shared" ref="AL33" si="149">AK33*$L33</f>
        <v>0</v>
      </c>
      <c r="AM33" s="9"/>
      <c r="AN33" s="30">
        <f t="shared" si="35"/>
        <v>0</v>
      </c>
      <c r="AO33" s="9"/>
      <c r="AP33" s="30">
        <f t="shared" si="36"/>
        <v>0</v>
      </c>
      <c r="AQ33" s="9"/>
      <c r="AR33" s="30">
        <f t="shared" si="37"/>
        <v>0</v>
      </c>
      <c r="AS33" s="9"/>
      <c r="AT33" s="30">
        <f t="shared" si="38"/>
        <v>0</v>
      </c>
      <c r="AU33" s="9"/>
      <c r="AV33" s="30">
        <f t="shared" si="39"/>
        <v>0</v>
      </c>
      <c r="AW33" s="9"/>
      <c r="AX33" s="30">
        <f t="shared" si="40"/>
        <v>0</v>
      </c>
      <c r="AY33" s="9"/>
      <c r="AZ33" s="30">
        <f t="shared" si="41"/>
        <v>0</v>
      </c>
      <c r="BA33" s="10">
        <f>1372/100</f>
        <v>13.72</v>
      </c>
      <c r="BB33" s="31">
        <v>4253</v>
      </c>
      <c r="BC33" s="15">
        <f t="shared" si="57"/>
        <v>4253</v>
      </c>
      <c r="BD33" s="9">
        <f t="shared" si="58"/>
        <v>0</v>
      </c>
      <c r="BE33" s="28">
        <f t="shared" si="59"/>
        <v>13.719999999999999</v>
      </c>
      <c r="BF33" s="8">
        <f t="shared" si="60"/>
        <v>0</v>
      </c>
      <c r="BG33" s="29">
        <f t="shared" si="48"/>
        <v>4253.2</v>
      </c>
      <c r="BH33" s="13">
        <f t="shared" si="61"/>
        <v>-0.1999999999998181</v>
      </c>
      <c r="BI33" s="2" t="str">
        <f t="shared" si="49"/>
        <v>erreur de calcul</v>
      </c>
      <c r="BJ33" s="2"/>
    </row>
    <row r="34" spans="1:62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49</v>
      </c>
      <c r="G34" s="31">
        <v>18</v>
      </c>
      <c r="H34" s="31" t="s">
        <v>107</v>
      </c>
      <c r="I34" s="5">
        <v>570</v>
      </c>
      <c r="J34" s="5"/>
      <c r="K34" s="6"/>
      <c r="L34" s="11">
        <f t="shared" si="50"/>
        <v>570</v>
      </c>
      <c r="M34" s="7" t="s">
        <v>14</v>
      </c>
      <c r="N34" s="31"/>
      <c r="O34" s="9"/>
      <c r="P34" s="9" t="str">
        <f t="shared" si="51"/>
        <v/>
      </c>
      <c r="Q34" s="9"/>
      <c r="R34" s="30">
        <f t="shared" ref="R34" si="150">Q34*$L34</f>
        <v>0</v>
      </c>
      <c r="S34" s="9"/>
      <c r="T34" s="30">
        <f t="shared" ref="T34" si="151">S34*$L34</f>
        <v>0</v>
      </c>
      <c r="U34" s="9">
        <f>7423/100</f>
        <v>74.23</v>
      </c>
      <c r="V34" s="30">
        <v>42311</v>
      </c>
      <c r="W34" s="9">
        <f>798/100</f>
        <v>7.98</v>
      </c>
      <c r="X34" s="30">
        <v>4549</v>
      </c>
      <c r="Y34" s="42">
        <f>2068/100</f>
        <v>20.68</v>
      </c>
      <c r="Z34" s="30">
        <v>8368</v>
      </c>
      <c r="AA34" s="9"/>
      <c r="AB34" s="30">
        <f t="shared" si="32"/>
        <v>0</v>
      </c>
      <c r="AC34" s="9">
        <f>226/100</f>
        <v>2.2599999999999998</v>
      </c>
      <c r="AD34" s="30">
        <v>1288</v>
      </c>
      <c r="AE34" s="9"/>
      <c r="AF34" s="30">
        <f t="shared" si="33"/>
        <v>0</v>
      </c>
      <c r="AG34" s="9"/>
      <c r="AH34" s="30">
        <f t="shared" si="45"/>
        <v>0</v>
      </c>
      <c r="AI34" s="9"/>
      <c r="AJ34" s="30">
        <f t="shared" ref="AJ34" si="152">AI34*$L34</f>
        <v>0</v>
      </c>
      <c r="AK34" s="9"/>
      <c r="AL34" s="30">
        <f t="shared" ref="AL34" si="153">AK34*$L34</f>
        <v>0</v>
      </c>
      <c r="AM34" s="9"/>
      <c r="AN34" s="30">
        <f t="shared" si="35"/>
        <v>0</v>
      </c>
      <c r="AO34" s="9"/>
      <c r="AP34" s="30">
        <f t="shared" si="36"/>
        <v>0</v>
      </c>
      <c r="AQ34" s="9"/>
      <c r="AR34" s="30">
        <f t="shared" si="37"/>
        <v>0</v>
      </c>
      <c r="AS34" s="9"/>
      <c r="AT34" s="30">
        <f t="shared" si="38"/>
        <v>0</v>
      </c>
      <c r="AU34" s="9"/>
      <c r="AV34" s="30">
        <f t="shared" si="39"/>
        <v>0</v>
      </c>
      <c r="AW34" s="9"/>
      <c r="AX34" s="30">
        <f t="shared" si="40"/>
        <v>0</v>
      </c>
      <c r="AY34" s="9"/>
      <c r="AZ34" s="30">
        <f t="shared" si="41"/>
        <v>0</v>
      </c>
      <c r="BA34" s="10">
        <f>10515/100</f>
        <v>105.15</v>
      </c>
      <c r="BB34" s="31">
        <v>56516</v>
      </c>
      <c r="BC34" s="15">
        <f t="shared" si="57"/>
        <v>56516</v>
      </c>
      <c r="BD34" s="9">
        <f t="shared" si="58"/>
        <v>0</v>
      </c>
      <c r="BE34" s="28">
        <f t="shared" si="59"/>
        <v>105.15000000000002</v>
      </c>
      <c r="BF34" s="8">
        <f t="shared" si="60"/>
        <v>0</v>
      </c>
      <c r="BG34" s="29">
        <f t="shared" si="48"/>
        <v>59935.500000000015</v>
      </c>
      <c r="BH34" s="13">
        <f t="shared" si="61"/>
        <v>-3419.5000000000146</v>
      </c>
      <c r="BI34" s="2" t="str">
        <f t="shared" si="49"/>
        <v>erreur de calcul</v>
      </c>
      <c r="BJ34" s="2"/>
    </row>
    <row r="35" spans="1:62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49</v>
      </c>
      <c r="G35" s="31">
        <v>18</v>
      </c>
      <c r="H35" s="31" t="s">
        <v>108</v>
      </c>
      <c r="I35" s="5"/>
      <c r="J35" s="5">
        <v>40</v>
      </c>
      <c r="K35" s="6"/>
      <c r="L35" s="11">
        <f t="shared" si="50"/>
        <v>2</v>
      </c>
      <c r="M35" s="7" t="s">
        <v>15</v>
      </c>
      <c r="N35" s="31"/>
      <c r="O35" s="9"/>
      <c r="P35" s="9" t="str">
        <f t="shared" si="51"/>
        <v/>
      </c>
      <c r="Q35" s="9"/>
      <c r="R35" s="30">
        <f t="shared" ref="R35" si="154">Q35*$L35</f>
        <v>0</v>
      </c>
      <c r="S35" s="9"/>
      <c r="T35" s="30">
        <f t="shared" ref="T35" si="155">S35*$L35</f>
        <v>0</v>
      </c>
      <c r="U35" s="9"/>
      <c r="V35" s="30">
        <f t="shared" si="43"/>
        <v>0</v>
      </c>
      <c r="W35" s="9">
        <v>892</v>
      </c>
      <c r="X35" s="30">
        <v>1784</v>
      </c>
      <c r="Y35" s="42"/>
      <c r="Z35" s="30">
        <f t="shared" si="54"/>
        <v>0</v>
      </c>
      <c r="AA35" s="9"/>
      <c r="AB35" s="30">
        <f t="shared" si="32"/>
        <v>0</v>
      </c>
      <c r="AC35" s="9"/>
      <c r="AD35" s="30">
        <f t="shared" si="44"/>
        <v>0</v>
      </c>
      <c r="AE35" s="9"/>
      <c r="AF35" s="30">
        <f t="shared" si="33"/>
        <v>0</v>
      </c>
      <c r="AG35" s="9"/>
      <c r="AH35" s="30">
        <f t="shared" si="45"/>
        <v>0</v>
      </c>
      <c r="AI35" s="9">
        <v>1961</v>
      </c>
      <c r="AJ35" s="30">
        <v>3922</v>
      </c>
      <c r="AK35" s="9"/>
      <c r="AL35" s="30">
        <f t="shared" ref="AL35" si="156">AK35*$L35</f>
        <v>0</v>
      </c>
      <c r="AM35" s="9"/>
      <c r="AN35" s="30">
        <f t="shared" si="35"/>
        <v>0</v>
      </c>
      <c r="AO35" s="9"/>
      <c r="AP35" s="30">
        <f t="shared" si="36"/>
        <v>0</v>
      </c>
      <c r="AQ35" s="9"/>
      <c r="AR35" s="30">
        <f t="shared" si="37"/>
        <v>0</v>
      </c>
      <c r="AS35" s="9"/>
      <c r="AT35" s="30">
        <f t="shared" si="38"/>
        <v>0</v>
      </c>
      <c r="AU35" s="9"/>
      <c r="AV35" s="30">
        <f t="shared" si="39"/>
        <v>0</v>
      </c>
      <c r="AW35" s="9"/>
      <c r="AX35" s="30">
        <f t="shared" si="40"/>
        <v>0</v>
      </c>
      <c r="AY35" s="9"/>
      <c r="AZ35" s="30">
        <f t="shared" si="41"/>
        <v>0</v>
      </c>
      <c r="BA35" s="10">
        <v>2853</v>
      </c>
      <c r="BB35" s="31">
        <v>5706</v>
      </c>
      <c r="BC35" s="15">
        <f t="shared" si="57"/>
        <v>5706</v>
      </c>
      <c r="BD35" s="9">
        <f t="shared" si="58"/>
        <v>0</v>
      </c>
      <c r="BE35" s="28">
        <f t="shared" si="59"/>
        <v>2853</v>
      </c>
      <c r="BF35" s="8">
        <f t="shared" si="60"/>
        <v>0</v>
      </c>
      <c r="BG35" s="29">
        <f t="shared" si="48"/>
        <v>5706</v>
      </c>
      <c r="BH35" s="13">
        <f t="shared" si="61"/>
        <v>0</v>
      </c>
      <c r="BI35" s="2" t="str">
        <f t="shared" si="49"/>
        <v/>
      </c>
      <c r="BJ35" s="2"/>
    </row>
    <row r="36" spans="1:62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49</v>
      </c>
      <c r="G36" s="31">
        <v>18</v>
      </c>
      <c r="H36" s="31" t="s">
        <v>109</v>
      </c>
      <c r="I36" s="5">
        <v>180</v>
      </c>
      <c r="J36" s="5"/>
      <c r="K36" s="6"/>
      <c r="L36" s="11">
        <f t="shared" si="50"/>
        <v>180</v>
      </c>
      <c r="M36" s="7" t="s">
        <v>14</v>
      </c>
      <c r="N36" s="31"/>
      <c r="O36" s="9"/>
      <c r="P36" s="9" t="str">
        <f t="shared" si="51"/>
        <v/>
      </c>
      <c r="Q36" s="9"/>
      <c r="R36" s="30">
        <f t="shared" ref="R36" si="157">Q36*$L36</f>
        <v>0</v>
      </c>
      <c r="S36" s="9"/>
      <c r="T36" s="30">
        <f t="shared" ref="T36" si="158">S36*$L36</f>
        <v>0</v>
      </c>
      <c r="U36" s="9"/>
      <c r="V36" s="30">
        <f t="shared" si="43"/>
        <v>0</v>
      </c>
      <c r="W36" s="9"/>
      <c r="X36" s="30">
        <f t="shared" si="53"/>
        <v>0</v>
      </c>
      <c r="Y36" s="42"/>
      <c r="Z36" s="30">
        <f t="shared" si="54"/>
        <v>0</v>
      </c>
      <c r="AA36" s="9"/>
      <c r="AB36" s="30">
        <f t="shared" si="32"/>
        <v>0</v>
      </c>
      <c r="AC36" s="9"/>
      <c r="AD36" s="30">
        <f t="shared" si="44"/>
        <v>0</v>
      </c>
      <c r="AE36" s="9"/>
      <c r="AF36" s="30">
        <f t="shared" si="33"/>
        <v>0</v>
      </c>
      <c r="AG36" s="9"/>
      <c r="AH36" s="30">
        <f t="shared" si="45"/>
        <v>0</v>
      </c>
      <c r="AI36" s="9">
        <f>28680/100</f>
        <v>286.8</v>
      </c>
      <c r="AJ36" s="30">
        <v>51624</v>
      </c>
      <c r="AK36" s="9"/>
      <c r="AL36" s="30">
        <f t="shared" ref="AL36" si="159">AK36*$L36</f>
        <v>0</v>
      </c>
      <c r="AM36" s="9"/>
      <c r="AN36" s="30">
        <f t="shared" si="35"/>
        <v>0</v>
      </c>
      <c r="AO36" s="9"/>
      <c r="AP36" s="30">
        <f t="shared" si="36"/>
        <v>0</v>
      </c>
      <c r="AQ36" s="9"/>
      <c r="AR36" s="30">
        <f t="shared" si="37"/>
        <v>0</v>
      </c>
      <c r="AS36" s="9"/>
      <c r="AT36" s="30">
        <f t="shared" si="38"/>
        <v>0</v>
      </c>
      <c r="AU36" s="9"/>
      <c r="AV36" s="30">
        <f t="shared" si="39"/>
        <v>0</v>
      </c>
      <c r="AW36" s="9"/>
      <c r="AX36" s="30">
        <f t="shared" si="40"/>
        <v>0</v>
      </c>
      <c r="AY36" s="9"/>
      <c r="AZ36" s="30">
        <f t="shared" si="41"/>
        <v>0</v>
      </c>
      <c r="BA36" s="10">
        <f>28680/100</f>
        <v>286.8</v>
      </c>
      <c r="BB36" s="31">
        <v>51624</v>
      </c>
      <c r="BC36" s="15">
        <f t="shared" si="57"/>
        <v>51624</v>
      </c>
      <c r="BD36" s="9">
        <f t="shared" si="58"/>
        <v>0</v>
      </c>
      <c r="BE36" s="28">
        <f t="shared" si="59"/>
        <v>286.8</v>
      </c>
      <c r="BF36" s="8">
        <f t="shared" si="60"/>
        <v>0</v>
      </c>
      <c r="BG36" s="29">
        <f t="shared" si="48"/>
        <v>51624</v>
      </c>
      <c r="BH36" s="13">
        <f t="shared" si="61"/>
        <v>0</v>
      </c>
      <c r="BI36" s="2" t="str">
        <f t="shared" si="49"/>
        <v/>
      </c>
      <c r="BJ36" s="2"/>
    </row>
    <row r="37" spans="1:62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49</v>
      </c>
      <c r="G37" s="31">
        <v>18</v>
      </c>
      <c r="H37" s="31" t="s">
        <v>110</v>
      </c>
      <c r="I37" s="5">
        <v>11</v>
      </c>
      <c r="J37" s="5"/>
      <c r="K37" s="6"/>
      <c r="L37" s="11">
        <f t="shared" si="50"/>
        <v>11</v>
      </c>
      <c r="M37" s="7" t="s">
        <v>14</v>
      </c>
      <c r="N37" s="31" t="s">
        <v>19</v>
      </c>
      <c r="O37" s="9">
        <f>121700/100</f>
        <v>1217</v>
      </c>
      <c r="P37" s="9">
        <v>13387</v>
      </c>
      <c r="Q37" s="9"/>
      <c r="R37" s="30">
        <f t="shared" ref="R37" si="160">Q37*$L37</f>
        <v>0</v>
      </c>
      <c r="S37" s="9"/>
      <c r="T37" s="30">
        <f t="shared" ref="T37" si="161">S37*$L37</f>
        <v>0</v>
      </c>
      <c r="U37" s="9"/>
      <c r="V37" s="30">
        <f t="shared" si="43"/>
        <v>0</v>
      </c>
      <c r="W37" s="9"/>
      <c r="X37" s="30">
        <f t="shared" si="53"/>
        <v>0</v>
      </c>
      <c r="Y37" s="42"/>
      <c r="Z37" s="30">
        <f t="shared" si="54"/>
        <v>0</v>
      </c>
      <c r="AA37" s="9"/>
      <c r="AB37" s="30">
        <f t="shared" si="32"/>
        <v>0</v>
      </c>
      <c r="AC37" s="9"/>
      <c r="AD37" s="30">
        <f t="shared" si="44"/>
        <v>0</v>
      </c>
      <c r="AE37" s="9"/>
      <c r="AF37" s="30">
        <f t="shared" si="33"/>
        <v>0</v>
      </c>
      <c r="AG37" s="9"/>
      <c r="AH37" s="30">
        <f t="shared" si="45"/>
        <v>0</v>
      </c>
      <c r="AI37" s="9"/>
      <c r="AJ37" s="30">
        <f t="shared" ref="AJ37" si="162">AI37*$L37</f>
        <v>0</v>
      </c>
      <c r="AK37" s="9">
        <f>1784/100</f>
        <v>17.84</v>
      </c>
      <c r="AL37" s="30">
        <v>196</v>
      </c>
      <c r="AM37" s="9">
        <f>7942/100</f>
        <v>79.42</v>
      </c>
      <c r="AN37" s="30">
        <v>874</v>
      </c>
      <c r="AO37" s="9"/>
      <c r="AP37" s="30">
        <f t="shared" si="36"/>
        <v>0</v>
      </c>
      <c r="AQ37" s="9">
        <f>13980/100</f>
        <v>139.80000000000001</v>
      </c>
      <c r="AR37" s="30">
        <v>1538</v>
      </c>
      <c r="AS37" s="9">
        <f>96390/100</f>
        <v>963.9</v>
      </c>
      <c r="AT37" s="30">
        <v>10603</v>
      </c>
      <c r="AU37" s="9"/>
      <c r="AV37" s="30">
        <f t="shared" si="39"/>
        <v>0</v>
      </c>
      <c r="AW37" s="9"/>
      <c r="AX37" s="30">
        <f t="shared" si="40"/>
        <v>0</v>
      </c>
      <c r="AY37" s="9"/>
      <c r="AZ37" s="30">
        <f t="shared" si="41"/>
        <v>0</v>
      </c>
      <c r="BA37" s="10">
        <f>120096/100</f>
        <v>1200.96</v>
      </c>
      <c r="BB37" s="31">
        <v>13211</v>
      </c>
      <c r="BC37" s="15">
        <f t="shared" si="57"/>
        <v>13211</v>
      </c>
      <c r="BD37" s="9">
        <f t="shared" si="58"/>
        <v>0</v>
      </c>
      <c r="BE37" s="28">
        <f t="shared" si="59"/>
        <v>1200.96</v>
      </c>
      <c r="BF37" s="8">
        <f t="shared" si="60"/>
        <v>0</v>
      </c>
      <c r="BG37" s="29">
        <f t="shared" si="48"/>
        <v>13210.560000000001</v>
      </c>
      <c r="BH37" s="13">
        <f t="shared" si="61"/>
        <v>0.43999999999869033</v>
      </c>
      <c r="BI37" s="2" t="str">
        <f t="shared" si="49"/>
        <v>erreur de calcul</v>
      </c>
      <c r="BJ37" s="2"/>
    </row>
    <row r="38" spans="1:62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49</v>
      </c>
      <c r="G38" s="31">
        <v>18</v>
      </c>
      <c r="H38" s="31" t="s">
        <v>111</v>
      </c>
      <c r="I38" s="5">
        <v>12</v>
      </c>
      <c r="J38" s="5"/>
      <c r="K38" s="6"/>
      <c r="L38" s="11">
        <f t="shared" si="50"/>
        <v>12</v>
      </c>
      <c r="M38" s="7" t="s">
        <v>14</v>
      </c>
      <c r="N38" s="31" t="s">
        <v>19</v>
      </c>
      <c r="O38" s="9">
        <f>20419/100</f>
        <v>204.19</v>
      </c>
      <c r="P38" s="9">
        <v>2450</v>
      </c>
      <c r="Q38" s="9">
        <f>30663/100</f>
        <v>306.63</v>
      </c>
      <c r="R38" s="30">
        <v>3679</v>
      </c>
      <c r="S38" s="9"/>
      <c r="T38" s="30">
        <f t="shared" ref="T38" si="163">S38*$L38</f>
        <v>0</v>
      </c>
      <c r="U38" s="9"/>
      <c r="V38" s="30">
        <f t="shared" si="43"/>
        <v>0</v>
      </c>
      <c r="W38" s="9"/>
      <c r="X38" s="30">
        <f t="shared" si="53"/>
        <v>0</v>
      </c>
      <c r="Y38" s="42"/>
      <c r="Z38" s="30">
        <f t="shared" si="54"/>
        <v>0</v>
      </c>
      <c r="AA38" s="9"/>
      <c r="AB38" s="30">
        <f t="shared" si="32"/>
        <v>0</v>
      </c>
      <c r="AC38" s="9"/>
      <c r="AD38" s="30">
        <f t="shared" si="44"/>
        <v>0</v>
      </c>
      <c r="AE38" s="9"/>
      <c r="AF38" s="30">
        <f t="shared" si="33"/>
        <v>0</v>
      </c>
      <c r="AG38" s="9"/>
      <c r="AH38" s="30">
        <f t="shared" si="45"/>
        <v>0</v>
      </c>
      <c r="AI38" s="9"/>
      <c r="AJ38" s="30">
        <f t="shared" ref="AJ38" si="164">AI38*$L38</f>
        <v>0</v>
      </c>
      <c r="AK38" s="9"/>
      <c r="AL38" s="30">
        <f t="shared" ref="AL38" si="165">AK38*$L38</f>
        <v>0</v>
      </c>
      <c r="AM38" s="9">
        <f>114207/100</f>
        <v>1142.07</v>
      </c>
      <c r="AN38" s="30">
        <v>13705</v>
      </c>
      <c r="AO38" s="9">
        <f>2100/100</f>
        <v>21</v>
      </c>
      <c r="AP38" s="30">
        <v>252</v>
      </c>
      <c r="AQ38" s="9">
        <f>16107/100</f>
        <v>161.07</v>
      </c>
      <c r="AR38" s="30">
        <v>1933</v>
      </c>
      <c r="AS38" s="9">
        <f>553069/100</f>
        <v>5530.69</v>
      </c>
      <c r="AT38" s="30">
        <v>66368</v>
      </c>
      <c r="AU38" s="9">
        <f>6160/100</f>
        <v>61.6</v>
      </c>
      <c r="AV38" s="30">
        <v>739</v>
      </c>
      <c r="AW38" s="9">
        <f>2640/100</f>
        <v>26.4</v>
      </c>
      <c r="AX38" s="30">
        <v>317</v>
      </c>
      <c r="AY38" s="9">
        <f>8767/100</f>
        <v>87.67</v>
      </c>
      <c r="AZ38" s="32">
        <v>1085</v>
      </c>
      <c r="BA38" s="10">
        <f>733753/100</f>
        <v>7337.53</v>
      </c>
      <c r="BB38" s="31">
        <v>88078</v>
      </c>
      <c r="BC38" s="15">
        <f t="shared" si="57"/>
        <v>88078</v>
      </c>
      <c r="BD38" s="9">
        <f t="shared" si="58"/>
        <v>0</v>
      </c>
      <c r="BE38" s="28">
        <f t="shared" si="59"/>
        <v>7337.1299999999992</v>
      </c>
      <c r="BF38" s="8">
        <f t="shared" si="60"/>
        <v>0.4000000000005457</v>
      </c>
      <c r="BG38" s="29">
        <f t="shared" si="48"/>
        <v>88045.56</v>
      </c>
      <c r="BH38" s="13">
        <f t="shared" si="61"/>
        <v>32.440000000002328</v>
      </c>
      <c r="BI38" s="2" t="str">
        <f t="shared" si="49"/>
        <v>erreur de calcul</v>
      </c>
      <c r="BJ38" s="2"/>
    </row>
    <row r="39" spans="1:62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49</v>
      </c>
      <c r="G39" s="31">
        <v>18</v>
      </c>
      <c r="H39" s="31" t="s">
        <v>112</v>
      </c>
      <c r="I39" s="5">
        <v>10</v>
      </c>
      <c r="J39" s="5"/>
      <c r="K39" s="6"/>
      <c r="L39" s="11">
        <f t="shared" si="50"/>
        <v>10</v>
      </c>
      <c r="M39" s="7" t="s">
        <v>14</v>
      </c>
      <c r="N39" s="31"/>
      <c r="O39" s="9"/>
      <c r="P39" s="9" t="str">
        <f t="shared" si="51"/>
        <v/>
      </c>
      <c r="Q39" s="9"/>
      <c r="R39" s="30">
        <f t="shared" ref="R39" si="166">Q39*$L39</f>
        <v>0</v>
      </c>
      <c r="S39" s="9"/>
      <c r="T39" s="30">
        <f t="shared" ref="T39" si="167">S39*$L39</f>
        <v>0</v>
      </c>
      <c r="U39" s="9"/>
      <c r="V39" s="30">
        <f t="shared" si="43"/>
        <v>0</v>
      </c>
      <c r="W39" s="9"/>
      <c r="X39" s="30">
        <f t="shared" si="53"/>
        <v>0</v>
      </c>
      <c r="Y39" s="42"/>
      <c r="Z39" s="30">
        <f t="shared" si="54"/>
        <v>0</v>
      </c>
      <c r="AA39" s="9"/>
      <c r="AB39" s="30">
        <f t="shared" si="32"/>
        <v>0</v>
      </c>
      <c r="AC39" s="9"/>
      <c r="AD39" s="30">
        <f t="shared" si="44"/>
        <v>0</v>
      </c>
      <c r="AE39" s="9"/>
      <c r="AF39" s="30">
        <f t="shared" si="33"/>
        <v>0</v>
      </c>
      <c r="AG39" s="9"/>
      <c r="AH39" s="30">
        <f t="shared" si="45"/>
        <v>0</v>
      </c>
      <c r="AI39" s="9"/>
      <c r="AJ39" s="30">
        <f t="shared" ref="AJ39" si="168">AI39*$L39</f>
        <v>0</v>
      </c>
      <c r="AK39" s="9"/>
      <c r="AL39" s="30">
        <f t="shared" ref="AL39" si="169">AK39*$L39</f>
        <v>0</v>
      </c>
      <c r="AM39" s="9"/>
      <c r="AN39" s="30">
        <f t="shared" si="35"/>
        <v>0</v>
      </c>
      <c r="AO39" s="9"/>
      <c r="AP39" s="30">
        <f t="shared" si="36"/>
        <v>0</v>
      </c>
      <c r="AQ39" s="9"/>
      <c r="AR39" s="30">
        <f t="shared" si="37"/>
        <v>0</v>
      </c>
      <c r="AS39" s="9"/>
      <c r="AT39" s="30">
        <f t="shared" si="38"/>
        <v>0</v>
      </c>
      <c r="AU39" s="9"/>
      <c r="AV39" s="30">
        <f t="shared" si="39"/>
        <v>0</v>
      </c>
      <c r="AW39" s="9"/>
      <c r="AX39" s="30">
        <f t="shared" si="40"/>
        <v>0</v>
      </c>
      <c r="AY39" s="9">
        <f>16133/100</f>
        <v>161.33000000000001</v>
      </c>
      <c r="AZ39" s="30">
        <v>1613</v>
      </c>
      <c r="BA39" s="10"/>
      <c r="BB39" s="31">
        <v>1613</v>
      </c>
      <c r="BC39" s="15">
        <f t="shared" si="57"/>
        <v>1613</v>
      </c>
      <c r="BD39" s="9">
        <f t="shared" si="58"/>
        <v>0</v>
      </c>
      <c r="BE39" s="28">
        <f t="shared" si="59"/>
        <v>161.33000000000001</v>
      </c>
      <c r="BF39" s="8">
        <f t="shared" si="60"/>
        <v>-161.33000000000001</v>
      </c>
      <c r="BG39" s="29">
        <f t="shared" si="48"/>
        <v>1613.3000000000002</v>
      </c>
      <c r="BH39" s="13">
        <f t="shared" si="61"/>
        <v>-0.3000000000001819</v>
      </c>
      <c r="BI39" s="2" t="str">
        <f t="shared" si="49"/>
        <v>erreur de calcul</v>
      </c>
      <c r="BJ39" s="2"/>
    </row>
    <row r="40" spans="1:62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49</v>
      </c>
      <c r="G40" s="31">
        <v>18</v>
      </c>
      <c r="H40" s="31" t="s">
        <v>113</v>
      </c>
      <c r="I40" s="5">
        <v>100</v>
      </c>
      <c r="J40" s="5"/>
      <c r="K40" s="6"/>
      <c r="L40" s="11">
        <f t="shared" si="50"/>
        <v>100</v>
      </c>
      <c r="M40" s="7" t="s">
        <v>14</v>
      </c>
      <c r="N40" s="31"/>
      <c r="O40" s="9"/>
      <c r="P40" s="9" t="str">
        <f t="shared" si="51"/>
        <v/>
      </c>
      <c r="Q40" s="9">
        <f>69730/100</f>
        <v>697.3</v>
      </c>
      <c r="R40" s="30">
        <v>69730</v>
      </c>
      <c r="S40" s="9"/>
      <c r="T40" s="30">
        <f t="shared" ref="T40" si="170">S40*$L40</f>
        <v>0</v>
      </c>
      <c r="U40" s="9"/>
      <c r="V40" s="30">
        <f t="shared" si="43"/>
        <v>0</v>
      </c>
      <c r="W40" s="9"/>
      <c r="X40" s="30">
        <f t="shared" si="53"/>
        <v>0</v>
      </c>
      <c r="Y40" s="42"/>
      <c r="Z40" s="30">
        <f t="shared" si="54"/>
        <v>0</v>
      </c>
      <c r="AA40" s="9"/>
      <c r="AB40" s="30">
        <f t="shared" si="32"/>
        <v>0</v>
      </c>
      <c r="AC40" s="9"/>
      <c r="AD40" s="30">
        <f t="shared" si="44"/>
        <v>0</v>
      </c>
      <c r="AE40" s="9"/>
      <c r="AF40" s="30">
        <f t="shared" si="33"/>
        <v>0</v>
      </c>
      <c r="AG40" s="9"/>
      <c r="AH40" s="30">
        <f t="shared" si="45"/>
        <v>0</v>
      </c>
      <c r="AI40" s="9"/>
      <c r="AJ40" s="30">
        <f t="shared" ref="AJ40" si="171">AI40*$L40</f>
        <v>0</v>
      </c>
      <c r="AK40" s="9"/>
      <c r="AL40" s="30">
        <f t="shared" ref="AL40" si="172">AK40*$L40</f>
        <v>0</v>
      </c>
      <c r="AM40" s="9"/>
      <c r="AN40" s="30">
        <f t="shared" si="35"/>
        <v>0</v>
      </c>
      <c r="AO40" s="9"/>
      <c r="AP40" s="30">
        <f t="shared" si="36"/>
        <v>0</v>
      </c>
      <c r="AQ40" s="9"/>
      <c r="AR40" s="30">
        <f t="shared" si="37"/>
        <v>0</v>
      </c>
      <c r="AS40" s="9"/>
      <c r="AT40" s="30">
        <f t="shared" si="38"/>
        <v>0</v>
      </c>
      <c r="AU40" s="9"/>
      <c r="AV40" s="30">
        <f t="shared" si="39"/>
        <v>0</v>
      </c>
      <c r="AW40" s="9"/>
      <c r="AX40" s="30">
        <f t="shared" si="40"/>
        <v>0</v>
      </c>
      <c r="AY40" s="9"/>
      <c r="AZ40" s="30">
        <f t="shared" si="41"/>
        <v>0</v>
      </c>
      <c r="BA40" s="10">
        <f>69730/100</f>
        <v>697.3</v>
      </c>
      <c r="BB40" s="31">
        <v>69730</v>
      </c>
      <c r="BC40" s="15">
        <f t="shared" si="57"/>
        <v>69730</v>
      </c>
      <c r="BD40" s="9">
        <f t="shared" si="58"/>
        <v>0</v>
      </c>
      <c r="BE40" s="28">
        <f t="shared" si="59"/>
        <v>697.3</v>
      </c>
      <c r="BF40" s="8">
        <f t="shared" si="60"/>
        <v>0</v>
      </c>
      <c r="BG40" s="29">
        <f t="shared" si="48"/>
        <v>69730</v>
      </c>
      <c r="BH40" s="13">
        <f t="shared" si="61"/>
        <v>0</v>
      </c>
      <c r="BI40" s="2" t="str">
        <f t="shared" si="49"/>
        <v/>
      </c>
      <c r="BJ40" s="2" t="s">
        <v>114</v>
      </c>
    </row>
    <row r="41" spans="1:62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49</v>
      </c>
      <c r="G41" s="31">
        <v>18</v>
      </c>
      <c r="H41" s="31" t="s">
        <v>113</v>
      </c>
      <c r="I41" s="5">
        <v>50</v>
      </c>
      <c r="J41" s="5"/>
      <c r="K41" s="6"/>
      <c r="L41" s="11">
        <f t="shared" si="50"/>
        <v>50</v>
      </c>
      <c r="M41" s="7" t="s">
        <v>14</v>
      </c>
      <c r="N41" s="31"/>
      <c r="O41" s="9"/>
      <c r="P41" s="9" t="str">
        <f t="shared" si="51"/>
        <v/>
      </c>
      <c r="Q41" s="9"/>
      <c r="R41" s="30">
        <f t="shared" ref="R41" si="173">Q41*$L41</f>
        <v>0</v>
      </c>
      <c r="S41" s="9"/>
      <c r="T41" s="30">
        <f t="shared" ref="T41" si="174">S41*$L41</f>
        <v>0</v>
      </c>
      <c r="U41" s="9"/>
      <c r="V41" s="30">
        <f t="shared" si="43"/>
        <v>0</v>
      </c>
      <c r="W41" s="9">
        <f>38043/100</f>
        <v>380.43</v>
      </c>
      <c r="X41" s="30">
        <v>19021</v>
      </c>
      <c r="Y41" s="42">
        <f>10658/100</f>
        <v>106.58</v>
      </c>
      <c r="Z41" s="30">
        <v>5329</v>
      </c>
      <c r="AA41" s="9"/>
      <c r="AB41" s="30">
        <f t="shared" si="32"/>
        <v>0</v>
      </c>
      <c r="AC41" s="9"/>
      <c r="AD41" s="30">
        <f t="shared" si="44"/>
        <v>0</v>
      </c>
      <c r="AE41" s="9"/>
      <c r="AF41" s="30">
        <f t="shared" si="33"/>
        <v>0</v>
      </c>
      <c r="AG41" s="9"/>
      <c r="AH41" s="30">
        <f t="shared" si="45"/>
        <v>0</v>
      </c>
      <c r="AI41" s="9"/>
      <c r="AJ41" s="30">
        <f t="shared" ref="AJ41" si="175">AI41*$L41</f>
        <v>0</v>
      </c>
      <c r="AK41" s="9">
        <f>39321/100</f>
        <v>393.21</v>
      </c>
      <c r="AL41" s="30">
        <v>19660</v>
      </c>
      <c r="AM41" s="9"/>
      <c r="AN41" s="30">
        <f t="shared" si="35"/>
        <v>0</v>
      </c>
      <c r="AO41" s="9"/>
      <c r="AP41" s="30">
        <f t="shared" si="36"/>
        <v>0</v>
      </c>
      <c r="AQ41" s="9"/>
      <c r="AR41" s="30">
        <f t="shared" si="37"/>
        <v>0</v>
      </c>
      <c r="AS41" s="9"/>
      <c r="AT41" s="30">
        <f t="shared" si="38"/>
        <v>0</v>
      </c>
      <c r="AU41" s="9"/>
      <c r="AV41" s="30">
        <f t="shared" si="39"/>
        <v>0</v>
      </c>
      <c r="AW41" s="9"/>
      <c r="AX41" s="30">
        <f t="shared" si="40"/>
        <v>0</v>
      </c>
      <c r="AY41" s="9"/>
      <c r="AZ41" s="30">
        <f t="shared" si="41"/>
        <v>0</v>
      </c>
      <c r="BA41" s="10">
        <f>88022/100</f>
        <v>880.22</v>
      </c>
      <c r="BB41" s="31">
        <v>44010</v>
      </c>
      <c r="BC41" s="15">
        <f t="shared" si="57"/>
        <v>44010</v>
      </c>
      <c r="BD41" s="9">
        <f t="shared" si="58"/>
        <v>0</v>
      </c>
      <c r="BE41" s="28">
        <f t="shared" si="59"/>
        <v>880.22</v>
      </c>
      <c r="BF41" s="8">
        <f t="shared" si="60"/>
        <v>0</v>
      </c>
      <c r="BG41" s="29">
        <f t="shared" si="48"/>
        <v>44011</v>
      </c>
      <c r="BH41" s="13">
        <f t="shared" si="61"/>
        <v>-1</v>
      </c>
      <c r="BI41" s="2" t="str">
        <f t="shared" si="49"/>
        <v>erreur de calcul</v>
      </c>
      <c r="BJ41" s="2" t="s">
        <v>115</v>
      </c>
    </row>
    <row r="42" spans="1:62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49</v>
      </c>
      <c r="G42" s="31">
        <v>18</v>
      </c>
      <c r="H42" s="31" t="s">
        <v>116</v>
      </c>
      <c r="I42" s="5"/>
      <c r="J42" s="5">
        <v>28</v>
      </c>
      <c r="K42" s="6"/>
      <c r="L42" s="11">
        <f t="shared" si="50"/>
        <v>1.4</v>
      </c>
      <c r="M42" s="7" t="s">
        <v>15</v>
      </c>
      <c r="N42" s="31" t="s">
        <v>18</v>
      </c>
      <c r="O42" s="9">
        <v>754</v>
      </c>
      <c r="P42" s="9">
        <v>1056</v>
      </c>
      <c r="Q42" s="9"/>
      <c r="R42" s="30">
        <f t="shared" ref="R42" si="176">Q42*$L42</f>
        <v>0</v>
      </c>
      <c r="S42" s="9"/>
      <c r="T42" s="30">
        <f t="shared" ref="T42" si="177">S42*$L42</f>
        <v>0</v>
      </c>
      <c r="U42" s="9">
        <v>426</v>
      </c>
      <c r="V42" s="30">
        <v>596</v>
      </c>
      <c r="W42" s="9"/>
      <c r="X42" s="30">
        <f t="shared" si="53"/>
        <v>0</v>
      </c>
      <c r="Y42" s="42"/>
      <c r="Z42" s="30">
        <f t="shared" si="54"/>
        <v>0</v>
      </c>
      <c r="AA42" s="9"/>
      <c r="AB42" s="30">
        <f t="shared" si="32"/>
        <v>0</v>
      </c>
      <c r="AC42" s="9"/>
      <c r="AD42" s="30">
        <f t="shared" si="44"/>
        <v>0</v>
      </c>
      <c r="AE42" s="9"/>
      <c r="AF42" s="30">
        <f t="shared" si="33"/>
        <v>0</v>
      </c>
      <c r="AG42" s="9"/>
      <c r="AH42" s="30">
        <f t="shared" si="45"/>
        <v>0</v>
      </c>
      <c r="AI42" s="9"/>
      <c r="AJ42" s="30">
        <f t="shared" ref="AJ42" si="178">AI42*$L42</f>
        <v>0</v>
      </c>
      <c r="AK42" s="9">
        <v>142</v>
      </c>
      <c r="AL42" s="30">
        <v>199</v>
      </c>
      <c r="AM42" s="9"/>
      <c r="AN42" s="30">
        <f t="shared" si="35"/>
        <v>0</v>
      </c>
      <c r="AO42" s="9"/>
      <c r="AP42" s="30">
        <f t="shared" si="36"/>
        <v>0</v>
      </c>
      <c r="AQ42" s="9"/>
      <c r="AR42" s="30">
        <f t="shared" si="37"/>
        <v>0</v>
      </c>
      <c r="AS42" s="9"/>
      <c r="AT42" s="30">
        <f t="shared" si="38"/>
        <v>0</v>
      </c>
      <c r="AU42" s="9"/>
      <c r="AV42" s="30">
        <f t="shared" si="39"/>
        <v>0</v>
      </c>
      <c r="AW42" s="9"/>
      <c r="AX42" s="30">
        <f t="shared" si="40"/>
        <v>0</v>
      </c>
      <c r="AY42" s="9"/>
      <c r="AZ42" s="30">
        <f t="shared" si="41"/>
        <v>0</v>
      </c>
      <c r="BA42" s="10">
        <v>568</v>
      </c>
      <c r="BB42" s="31">
        <v>795</v>
      </c>
      <c r="BC42" s="15">
        <f t="shared" si="57"/>
        <v>795</v>
      </c>
      <c r="BD42" s="9">
        <f t="shared" si="58"/>
        <v>0</v>
      </c>
      <c r="BE42" s="28">
        <f t="shared" si="59"/>
        <v>568</v>
      </c>
      <c r="BF42" s="8">
        <f t="shared" si="60"/>
        <v>0</v>
      </c>
      <c r="BG42" s="29">
        <f t="shared" si="48"/>
        <v>795.19999999999993</v>
      </c>
      <c r="BH42" s="13">
        <f t="shared" si="61"/>
        <v>-0.19999999999993179</v>
      </c>
      <c r="BI42" s="2" t="str">
        <f t="shared" si="49"/>
        <v>erreur de calcul</v>
      </c>
      <c r="BJ42" s="2"/>
    </row>
    <row r="43" spans="1:62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49</v>
      </c>
      <c r="G43" s="31">
        <v>18</v>
      </c>
      <c r="H43" s="31" t="s">
        <v>117</v>
      </c>
      <c r="I43" s="5"/>
      <c r="J43" s="5">
        <v>40</v>
      </c>
      <c r="K43" s="6"/>
      <c r="L43" s="11">
        <f t="shared" si="50"/>
        <v>2</v>
      </c>
      <c r="M43" s="7" t="s">
        <v>15</v>
      </c>
      <c r="N43" s="31"/>
      <c r="O43" s="9"/>
      <c r="P43" s="9" t="str">
        <f t="shared" si="51"/>
        <v/>
      </c>
      <c r="Q43" s="9"/>
      <c r="R43" s="30">
        <f t="shared" ref="R43" si="179">Q43*$L43</f>
        <v>0</v>
      </c>
      <c r="S43" s="9"/>
      <c r="T43" s="30">
        <f t="shared" ref="T43" si="180">S43*$L43</f>
        <v>0</v>
      </c>
      <c r="U43" s="9"/>
      <c r="V43" s="30">
        <f t="shared" si="43"/>
        <v>0</v>
      </c>
      <c r="W43" s="9"/>
      <c r="X43" s="30">
        <f t="shared" si="53"/>
        <v>0</v>
      </c>
      <c r="Y43" s="42"/>
      <c r="Z43" s="30">
        <f t="shared" si="54"/>
        <v>0</v>
      </c>
      <c r="AA43" s="9"/>
      <c r="AB43" s="30">
        <f t="shared" si="32"/>
        <v>0</v>
      </c>
      <c r="AC43" s="9"/>
      <c r="AD43" s="30">
        <f t="shared" si="44"/>
        <v>0</v>
      </c>
      <c r="AE43" s="9"/>
      <c r="AF43" s="30">
        <f t="shared" si="33"/>
        <v>0</v>
      </c>
      <c r="AG43" s="9"/>
      <c r="AH43" s="30">
        <f t="shared" si="45"/>
        <v>0</v>
      </c>
      <c r="AI43" s="9">
        <v>232710</v>
      </c>
      <c r="AJ43" s="30">
        <v>465420</v>
      </c>
      <c r="AK43" s="9"/>
      <c r="AL43" s="30">
        <f t="shared" ref="AL43" si="181">AK43*$L43</f>
        <v>0</v>
      </c>
      <c r="AM43" s="9"/>
      <c r="AN43" s="30">
        <f t="shared" si="35"/>
        <v>0</v>
      </c>
      <c r="AO43" s="9"/>
      <c r="AP43" s="30">
        <f t="shared" si="36"/>
        <v>0</v>
      </c>
      <c r="AQ43" s="9"/>
      <c r="AR43" s="30">
        <f t="shared" si="37"/>
        <v>0</v>
      </c>
      <c r="AS43" s="9"/>
      <c r="AT43" s="30">
        <f t="shared" si="38"/>
        <v>0</v>
      </c>
      <c r="AU43" s="9"/>
      <c r="AV43" s="30">
        <f t="shared" si="39"/>
        <v>0</v>
      </c>
      <c r="AW43" s="9"/>
      <c r="AX43" s="30">
        <f t="shared" si="40"/>
        <v>0</v>
      </c>
      <c r="AY43" s="9"/>
      <c r="AZ43" s="30">
        <f t="shared" si="41"/>
        <v>0</v>
      </c>
      <c r="BA43" s="10">
        <v>232710</v>
      </c>
      <c r="BB43" s="31">
        <v>465420</v>
      </c>
      <c r="BC43" s="15">
        <f t="shared" si="57"/>
        <v>465420</v>
      </c>
      <c r="BD43" s="9">
        <f t="shared" si="58"/>
        <v>0</v>
      </c>
      <c r="BE43" s="28">
        <f t="shared" si="59"/>
        <v>232710</v>
      </c>
      <c r="BF43" s="8">
        <f t="shared" si="60"/>
        <v>0</v>
      </c>
      <c r="BG43" s="29">
        <f t="shared" si="48"/>
        <v>465420</v>
      </c>
      <c r="BH43" s="13">
        <f t="shared" si="61"/>
        <v>0</v>
      </c>
      <c r="BI43" s="2" t="str">
        <f t="shared" si="49"/>
        <v/>
      </c>
      <c r="BJ43" s="2"/>
    </row>
    <row r="44" spans="1:62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49</v>
      </c>
      <c r="G44" s="31">
        <v>20</v>
      </c>
      <c r="H44" s="31" t="s">
        <v>118</v>
      </c>
      <c r="I44" s="5">
        <v>10</v>
      </c>
      <c r="J44" s="5"/>
      <c r="K44" s="6"/>
      <c r="L44" s="11">
        <f t="shared" si="50"/>
        <v>10</v>
      </c>
      <c r="M44" s="7" t="s">
        <v>14</v>
      </c>
      <c r="N44" s="31"/>
      <c r="O44" s="9"/>
      <c r="P44" s="9" t="str">
        <f t="shared" si="51"/>
        <v/>
      </c>
      <c r="Q44" s="9">
        <f>2120/100</f>
        <v>21.2</v>
      </c>
      <c r="R44" s="30">
        <v>212</v>
      </c>
      <c r="S44" s="9"/>
      <c r="T44" s="30">
        <f t="shared" ref="T44" si="182">S44*$L44</f>
        <v>0</v>
      </c>
      <c r="U44" s="9">
        <f>4184/100</f>
        <v>41.84</v>
      </c>
      <c r="V44" s="30">
        <v>418</v>
      </c>
      <c r="W44" s="9"/>
      <c r="X44" s="30">
        <f t="shared" si="53"/>
        <v>0</v>
      </c>
      <c r="Y44" s="9"/>
      <c r="Z44" s="30">
        <f t="shared" si="54"/>
        <v>0</v>
      </c>
      <c r="AA44" s="9">
        <f>4467/100</f>
        <v>44.67</v>
      </c>
      <c r="AB44" s="30">
        <v>447</v>
      </c>
      <c r="AC44" s="9"/>
      <c r="AD44" s="30">
        <f t="shared" si="44"/>
        <v>0</v>
      </c>
      <c r="AE44" s="9"/>
      <c r="AF44" s="30">
        <f t="shared" si="33"/>
        <v>0</v>
      </c>
      <c r="AG44" s="9"/>
      <c r="AH44" s="30">
        <f t="shared" si="45"/>
        <v>0</v>
      </c>
      <c r="AI44" s="9">
        <f>37604/100</f>
        <v>376.04</v>
      </c>
      <c r="AJ44" s="30">
        <v>3760</v>
      </c>
      <c r="AK44" s="9"/>
      <c r="AL44" s="30">
        <f t="shared" ref="AL44" si="183">AK44*$L44</f>
        <v>0</v>
      </c>
      <c r="AM44" s="9"/>
      <c r="AN44" s="30">
        <f t="shared" si="35"/>
        <v>0</v>
      </c>
      <c r="AO44" s="9"/>
      <c r="AP44" s="30">
        <f t="shared" si="36"/>
        <v>0</v>
      </c>
      <c r="AQ44" s="9"/>
      <c r="AR44" s="30">
        <f t="shared" si="37"/>
        <v>0</v>
      </c>
      <c r="AS44" s="9"/>
      <c r="AT44" s="30">
        <f t="shared" si="38"/>
        <v>0</v>
      </c>
      <c r="AU44" s="9"/>
      <c r="AV44" s="30">
        <f t="shared" si="39"/>
        <v>0</v>
      </c>
      <c r="AW44" s="9"/>
      <c r="AX44" s="30">
        <f t="shared" si="40"/>
        <v>0</v>
      </c>
      <c r="AY44" s="9"/>
      <c r="AZ44" s="30">
        <f t="shared" si="41"/>
        <v>0</v>
      </c>
      <c r="BA44" s="10">
        <f>46255/100</f>
        <v>462.55</v>
      </c>
      <c r="BB44" s="31">
        <v>4837</v>
      </c>
      <c r="BC44" s="15">
        <f t="shared" si="57"/>
        <v>4837</v>
      </c>
      <c r="BD44" s="9">
        <f t="shared" si="58"/>
        <v>0</v>
      </c>
      <c r="BE44" s="28">
        <f t="shared" si="59"/>
        <v>483.75</v>
      </c>
      <c r="BF44" s="8">
        <f t="shared" si="60"/>
        <v>-21.199999999999989</v>
      </c>
      <c r="BG44" s="29">
        <f t="shared" si="48"/>
        <v>4837.5</v>
      </c>
      <c r="BH44" s="13">
        <f t="shared" si="61"/>
        <v>-0.5</v>
      </c>
      <c r="BI44" s="2" t="str">
        <f t="shared" si="49"/>
        <v>erreur de calcul</v>
      </c>
      <c r="BJ44" s="2"/>
    </row>
    <row r="45" spans="1:62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49</v>
      </c>
      <c r="G45" s="31">
        <v>20</v>
      </c>
      <c r="H45" s="31" t="s">
        <v>119</v>
      </c>
      <c r="I45" s="5">
        <v>10</v>
      </c>
      <c r="J45" s="5"/>
      <c r="K45" s="6"/>
      <c r="L45" s="11">
        <f t="shared" si="50"/>
        <v>10</v>
      </c>
      <c r="M45" s="7" t="s">
        <v>14</v>
      </c>
      <c r="N45" s="31"/>
      <c r="O45" s="9"/>
      <c r="P45" s="9" t="str">
        <f t="shared" si="51"/>
        <v/>
      </c>
      <c r="Q45" s="9">
        <f>6450193/100</f>
        <v>64501.93</v>
      </c>
      <c r="R45" s="30">
        <v>645019</v>
      </c>
      <c r="S45" s="9"/>
      <c r="T45" s="30">
        <f t="shared" ref="T45" si="184">S45*$L45</f>
        <v>0</v>
      </c>
      <c r="U45" s="9"/>
      <c r="V45" s="30">
        <f t="shared" si="43"/>
        <v>0</v>
      </c>
      <c r="W45" s="9"/>
      <c r="X45" s="30">
        <f t="shared" si="53"/>
        <v>0</v>
      </c>
      <c r="Y45" s="9"/>
      <c r="Z45" s="30">
        <f t="shared" si="54"/>
        <v>0</v>
      </c>
      <c r="AA45" s="9"/>
      <c r="AB45" s="30">
        <f t="shared" si="32"/>
        <v>0</v>
      </c>
      <c r="AC45" s="9">
        <f>601547/100</f>
        <v>6015.47</v>
      </c>
      <c r="AD45" s="30">
        <v>60155</v>
      </c>
      <c r="AE45" s="9"/>
      <c r="AF45" s="30">
        <f t="shared" si="33"/>
        <v>0</v>
      </c>
      <c r="AG45" s="9">
        <f>727551/100</f>
        <v>7275.51</v>
      </c>
      <c r="AH45" s="30">
        <v>72755</v>
      </c>
      <c r="AI45" s="9">
        <f>52982/100</f>
        <v>529.82000000000005</v>
      </c>
      <c r="AJ45" s="30">
        <v>5299</v>
      </c>
      <c r="AK45" s="9"/>
      <c r="AL45" s="30">
        <f t="shared" ref="AL45" si="185">AK45*$L45</f>
        <v>0</v>
      </c>
      <c r="AM45" s="9"/>
      <c r="AN45" s="30">
        <f t="shared" si="35"/>
        <v>0</v>
      </c>
      <c r="AO45" s="9"/>
      <c r="AP45" s="30">
        <f t="shared" si="36"/>
        <v>0</v>
      </c>
      <c r="AQ45" s="9"/>
      <c r="AR45" s="30">
        <f t="shared" si="37"/>
        <v>0</v>
      </c>
      <c r="AS45" s="9"/>
      <c r="AT45" s="30">
        <f t="shared" si="38"/>
        <v>0</v>
      </c>
      <c r="AU45" s="9"/>
      <c r="AV45" s="30">
        <f t="shared" si="39"/>
        <v>0</v>
      </c>
      <c r="AW45" s="9"/>
      <c r="AX45" s="30">
        <f t="shared" si="40"/>
        <v>0</v>
      </c>
      <c r="AY45" s="9"/>
      <c r="AZ45" s="30">
        <f t="shared" si="41"/>
        <v>0</v>
      </c>
      <c r="BA45" s="10">
        <f>7832273/100</f>
        <v>78322.73</v>
      </c>
      <c r="BB45" s="31">
        <v>783228</v>
      </c>
      <c r="BC45" s="15">
        <f t="shared" si="57"/>
        <v>783228</v>
      </c>
      <c r="BD45" s="9">
        <f t="shared" si="58"/>
        <v>0</v>
      </c>
      <c r="BE45" s="28">
        <f t="shared" si="59"/>
        <v>78322.73</v>
      </c>
      <c r="BF45" s="8">
        <f t="shared" si="60"/>
        <v>0</v>
      </c>
      <c r="BG45" s="29">
        <f t="shared" si="48"/>
        <v>783227.29999999993</v>
      </c>
      <c r="BH45" s="13">
        <f t="shared" si="61"/>
        <v>0.70000000006984919</v>
      </c>
      <c r="BI45" s="2" t="str">
        <f t="shared" si="49"/>
        <v>erreur de calcul</v>
      </c>
      <c r="BJ45" s="2"/>
    </row>
    <row r="46" spans="1:62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49</v>
      </c>
      <c r="G46" s="31">
        <v>20</v>
      </c>
      <c r="H46" s="31" t="s">
        <v>120</v>
      </c>
      <c r="I46" s="5">
        <v>10</v>
      </c>
      <c r="J46" s="5"/>
      <c r="K46" s="6"/>
      <c r="L46" s="11">
        <f t="shared" si="50"/>
        <v>10</v>
      </c>
      <c r="M46" s="7" t="s">
        <v>14</v>
      </c>
      <c r="N46" s="31"/>
      <c r="O46" s="9"/>
      <c r="P46" s="9" t="str">
        <f t="shared" si="51"/>
        <v/>
      </c>
      <c r="Q46" s="9">
        <f>2617064/100</f>
        <v>26170.639999999999</v>
      </c>
      <c r="R46" s="30">
        <v>261706</v>
      </c>
      <c r="S46" s="9"/>
      <c r="T46" s="30">
        <f t="shared" ref="T46" si="186">S46*$L46</f>
        <v>0</v>
      </c>
      <c r="U46" s="9">
        <f>251959/100</f>
        <v>2519.59</v>
      </c>
      <c r="V46" s="30">
        <v>25196</v>
      </c>
      <c r="W46" s="9"/>
      <c r="X46" s="30">
        <f t="shared" si="53"/>
        <v>0</v>
      </c>
      <c r="Y46" s="9"/>
      <c r="Z46" s="30">
        <f t="shared" si="54"/>
        <v>0</v>
      </c>
      <c r="AA46" s="9"/>
      <c r="AB46" s="30">
        <f t="shared" si="32"/>
        <v>0</v>
      </c>
      <c r="AC46" s="9"/>
      <c r="AD46" s="30">
        <f t="shared" si="44"/>
        <v>0</v>
      </c>
      <c r="AE46" s="9"/>
      <c r="AF46" s="30">
        <f t="shared" si="33"/>
        <v>0</v>
      </c>
      <c r="AG46" s="9"/>
      <c r="AH46" s="30">
        <f t="shared" si="45"/>
        <v>0</v>
      </c>
      <c r="AI46" s="9"/>
      <c r="AJ46" s="30">
        <f t="shared" ref="AJ46" si="187">AI46*$L46</f>
        <v>0</v>
      </c>
      <c r="AK46" s="9"/>
      <c r="AL46" s="30">
        <f t="shared" ref="AL46" si="188">AK46*$L46</f>
        <v>0</v>
      </c>
      <c r="AM46" s="9"/>
      <c r="AN46" s="30">
        <f t="shared" si="35"/>
        <v>0</v>
      </c>
      <c r="AO46" s="9"/>
      <c r="AP46" s="30">
        <f t="shared" si="36"/>
        <v>0</v>
      </c>
      <c r="AQ46" s="9"/>
      <c r="AR46" s="30">
        <f t="shared" si="37"/>
        <v>0</v>
      </c>
      <c r="AS46" s="9"/>
      <c r="AT46" s="30">
        <f t="shared" si="38"/>
        <v>0</v>
      </c>
      <c r="AU46" s="9"/>
      <c r="AV46" s="30">
        <f t="shared" si="39"/>
        <v>0</v>
      </c>
      <c r="AW46" s="9"/>
      <c r="AX46" s="30">
        <f t="shared" si="40"/>
        <v>0</v>
      </c>
      <c r="AY46" s="9"/>
      <c r="AZ46" s="30">
        <f t="shared" si="41"/>
        <v>0</v>
      </c>
      <c r="BA46" s="10">
        <f>2869023/100</f>
        <v>28690.23</v>
      </c>
      <c r="BB46" s="31">
        <v>286902</v>
      </c>
      <c r="BC46" s="15">
        <f t="shared" si="57"/>
        <v>286902</v>
      </c>
      <c r="BD46" s="9">
        <f t="shared" si="58"/>
        <v>0</v>
      </c>
      <c r="BE46" s="28">
        <f t="shared" si="59"/>
        <v>28690.23</v>
      </c>
      <c r="BF46" s="8">
        <f t="shared" si="60"/>
        <v>0</v>
      </c>
      <c r="BG46" s="29">
        <f t="shared" si="48"/>
        <v>286902.3</v>
      </c>
      <c r="BH46" s="13">
        <f t="shared" si="61"/>
        <v>-0.29999999998835847</v>
      </c>
      <c r="BI46" s="2" t="str">
        <f t="shared" si="49"/>
        <v>erreur de calcul</v>
      </c>
      <c r="BJ46" s="2"/>
    </row>
    <row r="47" spans="1:62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49</v>
      </c>
      <c r="G47" s="31">
        <v>20</v>
      </c>
      <c r="H47" s="31" t="s">
        <v>121</v>
      </c>
      <c r="I47" s="5">
        <v>12</v>
      </c>
      <c r="J47" s="5"/>
      <c r="K47" s="6"/>
      <c r="L47" s="11">
        <f t="shared" si="50"/>
        <v>12</v>
      </c>
      <c r="M47" s="7" t="s">
        <v>14</v>
      </c>
      <c r="N47" s="31" t="s">
        <v>84</v>
      </c>
      <c r="O47" s="9">
        <f>18334/100</f>
        <v>183.34</v>
      </c>
      <c r="P47" s="9">
        <v>2200</v>
      </c>
      <c r="Q47" s="9"/>
      <c r="R47" s="30">
        <f t="shared" ref="R47" si="189">Q47*$L47</f>
        <v>0</v>
      </c>
      <c r="S47" s="9"/>
      <c r="T47" s="30">
        <f t="shared" ref="T47" si="190">S47*$L47</f>
        <v>0</v>
      </c>
      <c r="U47" s="9"/>
      <c r="V47" s="30">
        <f t="shared" si="43"/>
        <v>0</v>
      </c>
      <c r="W47" s="9">
        <f>15268/100</f>
        <v>152.68</v>
      </c>
      <c r="X47" s="30">
        <v>1832</v>
      </c>
      <c r="Y47" s="9"/>
      <c r="Z47" s="30">
        <f t="shared" si="54"/>
        <v>0</v>
      </c>
      <c r="AA47" s="9"/>
      <c r="AB47" s="30">
        <f t="shared" si="32"/>
        <v>0</v>
      </c>
      <c r="AC47" s="9"/>
      <c r="AD47" s="30">
        <f t="shared" si="44"/>
        <v>0</v>
      </c>
      <c r="AE47" s="9"/>
      <c r="AF47" s="30">
        <f t="shared" si="33"/>
        <v>0</v>
      </c>
      <c r="AG47" s="9"/>
      <c r="AH47" s="30">
        <f t="shared" si="45"/>
        <v>0</v>
      </c>
      <c r="AI47" s="9">
        <f>26667/100</f>
        <v>266.67</v>
      </c>
      <c r="AJ47" s="30">
        <v>3200</v>
      </c>
      <c r="AK47" s="9"/>
      <c r="AL47" s="30">
        <f t="shared" ref="AL47" si="191">AK47*$L47</f>
        <v>0</v>
      </c>
      <c r="AM47" s="9"/>
      <c r="AN47" s="30">
        <f t="shared" si="35"/>
        <v>0</v>
      </c>
      <c r="AO47" s="9"/>
      <c r="AP47" s="30">
        <f t="shared" si="36"/>
        <v>0</v>
      </c>
      <c r="AQ47" s="9"/>
      <c r="AR47" s="30">
        <f t="shared" si="37"/>
        <v>0</v>
      </c>
      <c r="AS47" s="9"/>
      <c r="AT47" s="30">
        <f t="shared" si="38"/>
        <v>0</v>
      </c>
      <c r="AU47" s="9"/>
      <c r="AV47" s="30">
        <f t="shared" si="39"/>
        <v>0</v>
      </c>
      <c r="AW47" s="9"/>
      <c r="AX47" s="30">
        <f t="shared" si="40"/>
        <v>0</v>
      </c>
      <c r="AY47" s="9"/>
      <c r="AZ47" s="30">
        <f t="shared" si="41"/>
        <v>0</v>
      </c>
      <c r="BA47" s="10">
        <f>41935/100</f>
        <v>419.35</v>
      </c>
      <c r="BB47" s="31">
        <v>5032</v>
      </c>
      <c r="BC47" s="15">
        <f t="shared" si="57"/>
        <v>5032</v>
      </c>
      <c r="BD47" s="9">
        <f t="shared" si="58"/>
        <v>0</v>
      </c>
      <c r="BE47" s="28">
        <f t="shared" si="59"/>
        <v>419.35</v>
      </c>
      <c r="BF47" s="8">
        <f t="shared" si="60"/>
        <v>0</v>
      </c>
      <c r="BG47" s="29">
        <f t="shared" si="48"/>
        <v>5032.2000000000007</v>
      </c>
      <c r="BH47" s="13">
        <f t="shared" si="61"/>
        <v>-0.2000000000007276</v>
      </c>
      <c r="BI47" s="2" t="str">
        <f t="shared" si="49"/>
        <v>erreur de calcul</v>
      </c>
      <c r="BJ47" s="2"/>
    </row>
    <row r="48" spans="1:62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49</v>
      </c>
      <c r="G48" s="31">
        <v>20</v>
      </c>
      <c r="H48" s="31" t="s">
        <v>122</v>
      </c>
      <c r="I48" s="5">
        <v>28</v>
      </c>
      <c r="J48" s="5"/>
      <c r="K48" s="6"/>
      <c r="L48" s="11">
        <f t="shared" si="50"/>
        <v>28</v>
      </c>
      <c r="M48" s="7" t="s">
        <v>14</v>
      </c>
      <c r="N48" s="31"/>
      <c r="O48" s="9"/>
      <c r="P48" s="9" t="str">
        <f t="shared" si="51"/>
        <v/>
      </c>
      <c r="Q48" s="9"/>
      <c r="R48" s="30">
        <f t="shared" ref="R48" si="192">Q48*$L48</f>
        <v>0</v>
      </c>
      <c r="S48" s="9"/>
      <c r="T48" s="30">
        <f t="shared" ref="T48" si="193">S48*$L48</f>
        <v>0</v>
      </c>
      <c r="U48" s="9"/>
      <c r="V48" s="30">
        <f t="shared" si="43"/>
        <v>0</v>
      </c>
      <c r="W48" s="9"/>
      <c r="X48" s="30">
        <f t="shared" si="53"/>
        <v>0</v>
      </c>
      <c r="Y48" s="9">
        <f>187504/100</f>
        <v>1875.04</v>
      </c>
      <c r="Z48" s="30">
        <v>52501</v>
      </c>
      <c r="AA48" s="9">
        <f>1041667/100</f>
        <v>10416.67</v>
      </c>
      <c r="AB48" s="30">
        <v>291667</v>
      </c>
      <c r="AC48" s="9"/>
      <c r="AD48" s="30">
        <f t="shared" si="44"/>
        <v>0</v>
      </c>
      <c r="AE48" s="9"/>
      <c r="AF48" s="30">
        <f t="shared" si="33"/>
        <v>0</v>
      </c>
      <c r="AG48" s="9"/>
      <c r="AH48" s="30">
        <f t="shared" si="45"/>
        <v>0</v>
      </c>
      <c r="AI48" s="9"/>
      <c r="AJ48" s="30">
        <f t="shared" ref="AJ48" si="194">AI48*$L48</f>
        <v>0</v>
      </c>
      <c r="AK48" s="9"/>
      <c r="AL48" s="30">
        <f t="shared" ref="AL48" si="195">AK48*$L48</f>
        <v>0</v>
      </c>
      <c r="AM48" s="9"/>
      <c r="AN48" s="30">
        <f t="shared" si="35"/>
        <v>0</v>
      </c>
      <c r="AO48" s="9"/>
      <c r="AP48" s="30">
        <f t="shared" si="36"/>
        <v>0</v>
      </c>
      <c r="AQ48" s="9"/>
      <c r="AR48" s="30">
        <f t="shared" si="37"/>
        <v>0</v>
      </c>
      <c r="AS48" s="9"/>
      <c r="AT48" s="30">
        <f t="shared" si="38"/>
        <v>0</v>
      </c>
      <c r="AU48" s="9"/>
      <c r="AV48" s="30">
        <f t="shared" si="39"/>
        <v>0</v>
      </c>
      <c r="AW48" s="9"/>
      <c r="AX48" s="30">
        <f t="shared" si="40"/>
        <v>0</v>
      </c>
      <c r="AY48" s="9"/>
      <c r="AZ48" s="30">
        <f t="shared" si="41"/>
        <v>0</v>
      </c>
      <c r="BA48" s="10">
        <f>1229171/100</f>
        <v>12291.71</v>
      </c>
      <c r="BB48" s="31">
        <v>344168</v>
      </c>
      <c r="BC48" s="15">
        <f t="shared" si="57"/>
        <v>344168</v>
      </c>
      <c r="BD48" s="9">
        <f t="shared" si="58"/>
        <v>0</v>
      </c>
      <c r="BE48" s="28">
        <f t="shared" si="59"/>
        <v>12291.71</v>
      </c>
      <c r="BF48" s="8">
        <f t="shared" si="60"/>
        <v>0</v>
      </c>
      <c r="BG48" s="29">
        <f t="shared" si="48"/>
        <v>344167.88</v>
      </c>
      <c r="BH48" s="13">
        <f t="shared" si="61"/>
        <v>0.11999999999534339</v>
      </c>
      <c r="BI48" s="2" t="str">
        <f t="shared" si="49"/>
        <v>erreur de calcul</v>
      </c>
      <c r="BJ48" s="2"/>
    </row>
    <row r="49" spans="1:62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49</v>
      </c>
      <c r="G49" s="31">
        <v>20</v>
      </c>
      <c r="H49" s="31" t="s">
        <v>123</v>
      </c>
      <c r="I49" s="5">
        <v>16</v>
      </c>
      <c r="J49" s="5"/>
      <c r="K49" s="6"/>
      <c r="L49" s="11">
        <f t="shared" si="50"/>
        <v>16</v>
      </c>
      <c r="M49" s="7" t="s">
        <v>14</v>
      </c>
      <c r="N49" s="31"/>
      <c r="O49" s="9"/>
      <c r="P49" s="9" t="str">
        <f t="shared" si="51"/>
        <v/>
      </c>
      <c r="Q49" s="9">
        <f>1774951/100</f>
        <v>17749.509999999998</v>
      </c>
      <c r="R49" s="30">
        <v>283992</v>
      </c>
      <c r="S49" s="9"/>
      <c r="T49" s="30">
        <f t="shared" ref="T49" si="196">S49*$L49</f>
        <v>0</v>
      </c>
      <c r="U49" s="9"/>
      <c r="V49" s="30">
        <f t="shared" si="43"/>
        <v>0</v>
      </c>
      <c r="W49" s="9">
        <f>20834/100</f>
        <v>208.34</v>
      </c>
      <c r="X49" s="30">
        <v>3333</v>
      </c>
      <c r="Y49" s="9">
        <f>85901/100</f>
        <v>859.01</v>
      </c>
      <c r="Z49" s="30">
        <v>13744</v>
      </c>
      <c r="AA49" s="9"/>
      <c r="AB49" s="30">
        <f t="shared" si="32"/>
        <v>0</v>
      </c>
      <c r="AC49" s="9">
        <f>6847841/100</f>
        <v>68478.41</v>
      </c>
      <c r="AD49" s="30">
        <v>1095654</v>
      </c>
      <c r="AE49" s="9"/>
      <c r="AF49" s="30">
        <f t="shared" si="33"/>
        <v>0</v>
      </c>
      <c r="AG49" s="9"/>
      <c r="AH49" s="30">
        <f t="shared" si="45"/>
        <v>0</v>
      </c>
      <c r="AI49" s="9">
        <f>50417/100</f>
        <v>504.17</v>
      </c>
      <c r="AJ49" s="30">
        <v>8067</v>
      </c>
      <c r="AK49" s="9"/>
      <c r="AL49" s="30">
        <f t="shared" ref="AL49" si="197">AK49*$L49</f>
        <v>0</v>
      </c>
      <c r="AM49" s="9"/>
      <c r="AN49" s="30">
        <f t="shared" si="35"/>
        <v>0</v>
      </c>
      <c r="AO49" s="9"/>
      <c r="AP49" s="30">
        <f t="shared" si="36"/>
        <v>0</v>
      </c>
      <c r="AQ49" s="9"/>
      <c r="AR49" s="30">
        <f t="shared" si="37"/>
        <v>0</v>
      </c>
      <c r="AS49" s="9"/>
      <c r="AT49" s="30">
        <f t="shared" si="38"/>
        <v>0</v>
      </c>
      <c r="AU49" s="9"/>
      <c r="AV49" s="30">
        <f t="shared" si="39"/>
        <v>0</v>
      </c>
      <c r="AW49" s="9"/>
      <c r="AX49" s="30">
        <f t="shared" si="40"/>
        <v>0</v>
      </c>
      <c r="AY49" s="9"/>
      <c r="AZ49" s="30">
        <f t="shared" si="41"/>
        <v>0</v>
      </c>
      <c r="BA49" s="10">
        <f>8779944/100</f>
        <v>87799.44</v>
      </c>
      <c r="BB49" s="31">
        <v>1404790</v>
      </c>
      <c r="BC49" s="15">
        <f t="shared" si="57"/>
        <v>1404790</v>
      </c>
      <c r="BD49" s="9">
        <f t="shared" si="58"/>
        <v>0</v>
      </c>
      <c r="BE49" s="28">
        <f t="shared" si="59"/>
        <v>87799.44</v>
      </c>
      <c r="BF49" s="8">
        <f t="shared" si="60"/>
        <v>0</v>
      </c>
      <c r="BG49" s="29">
        <f t="shared" si="48"/>
        <v>1404791.04</v>
      </c>
      <c r="BH49" s="13">
        <f t="shared" si="61"/>
        <v>-1.0400000000372529</v>
      </c>
      <c r="BI49" s="2" t="str">
        <f t="shared" si="49"/>
        <v>erreur de calcul</v>
      </c>
      <c r="BJ49" s="2"/>
    </row>
    <row r="50" spans="1:62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49</v>
      </c>
      <c r="G50" s="31">
        <v>20</v>
      </c>
      <c r="H50" s="31" t="s">
        <v>124</v>
      </c>
      <c r="I50" s="5">
        <v>12</v>
      </c>
      <c r="J50" s="5"/>
      <c r="K50" s="6"/>
      <c r="L50" s="11">
        <f t="shared" si="50"/>
        <v>12</v>
      </c>
      <c r="M50" s="7" t="s">
        <v>14</v>
      </c>
      <c r="N50" s="31"/>
      <c r="O50" s="9"/>
      <c r="P50" s="9" t="str">
        <f t="shared" si="51"/>
        <v/>
      </c>
      <c r="Q50" s="9"/>
      <c r="R50" s="30">
        <f t="shared" ref="R50" si="198">Q50*$L50</f>
        <v>0</v>
      </c>
      <c r="S50" s="9"/>
      <c r="T50" s="30">
        <f t="shared" ref="T50" si="199">S50*$L50</f>
        <v>0</v>
      </c>
      <c r="U50" s="9"/>
      <c r="V50" s="30">
        <f t="shared" si="43"/>
        <v>0</v>
      </c>
      <c r="W50" s="9"/>
      <c r="X50" s="30">
        <f t="shared" si="53"/>
        <v>0</v>
      </c>
      <c r="Y50" s="9"/>
      <c r="Z50" s="30">
        <f t="shared" si="54"/>
        <v>0</v>
      </c>
      <c r="AA50" s="9"/>
      <c r="AB50" s="30">
        <f t="shared" si="32"/>
        <v>0</v>
      </c>
      <c r="AC50" s="9"/>
      <c r="AD50" s="30">
        <f t="shared" si="44"/>
        <v>0</v>
      </c>
      <c r="AE50" s="9"/>
      <c r="AF50" s="30">
        <f t="shared" si="33"/>
        <v>0</v>
      </c>
      <c r="AG50" s="9"/>
      <c r="AH50" s="30">
        <f t="shared" si="45"/>
        <v>0</v>
      </c>
      <c r="AI50" s="9">
        <f>5697511/100</f>
        <v>56975.11</v>
      </c>
      <c r="AJ50" s="30">
        <v>683701</v>
      </c>
      <c r="AK50" s="9"/>
      <c r="AL50" s="30">
        <f t="shared" ref="AL50" si="200">AK50*$L50</f>
        <v>0</v>
      </c>
      <c r="AM50" s="9"/>
      <c r="AN50" s="30">
        <f t="shared" si="35"/>
        <v>0</v>
      </c>
      <c r="AO50" s="9"/>
      <c r="AP50" s="30">
        <f t="shared" si="36"/>
        <v>0</v>
      </c>
      <c r="AQ50" s="9"/>
      <c r="AR50" s="30">
        <f t="shared" si="37"/>
        <v>0</v>
      </c>
      <c r="AS50" s="9"/>
      <c r="AT50" s="30">
        <f t="shared" si="38"/>
        <v>0</v>
      </c>
      <c r="AU50" s="9"/>
      <c r="AV50" s="30">
        <f t="shared" si="39"/>
        <v>0</v>
      </c>
      <c r="AW50" s="9"/>
      <c r="AX50" s="30">
        <f t="shared" si="40"/>
        <v>0</v>
      </c>
      <c r="AY50" s="9"/>
      <c r="AZ50" s="30">
        <f t="shared" si="41"/>
        <v>0</v>
      </c>
      <c r="BA50" s="10">
        <f>5697511/100</f>
        <v>56975.11</v>
      </c>
      <c r="BB50" s="31">
        <v>683701</v>
      </c>
      <c r="BC50" s="15">
        <f t="shared" si="57"/>
        <v>683701</v>
      </c>
      <c r="BD50" s="9">
        <f t="shared" si="58"/>
        <v>0</v>
      </c>
      <c r="BE50" s="28">
        <f t="shared" si="59"/>
        <v>56975.11</v>
      </c>
      <c r="BF50" s="8">
        <f t="shared" si="60"/>
        <v>0</v>
      </c>
      <c r="BG50" s="29">
        <f t="shared" si="48"/>
        <v>683701.32000000007</v>
      </c>
      <c r="BH50" s="13">
        <f t="shared" si="61"/>
        <v>-0.32000000006519258</v>
      </c>
      <c r="BI50" s="2" t="str">
        <f t="shared" si="49"/>
        <v>erreur de calcul</v>
      </c>
      <c r="BJ50" s="2"/>
    </row>
    <row r="51" spans="1:62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49</v>
      </c>
      <c r="G51" s="31">
        <v>20</v>
      </c>
      <c r="H51" s="31" t="s">
        <v>125</v>
      </c>
      <c r="I51" s="5">
        <v>34</v>
      </c>
      <c r="J51" s="5"/>
      <c r="K51" s="6"/>
      <c r="L51" s="11">
        <f t="shared" si="50"/>
        <v>34</v>
      </c>
      <c r="M51" s="7" t="s">
        <v>14</v>
      </c>
      <c r="N51" s="31"/>
      <c r="O51" s="9"/>
      <c r="P51" s="9" t="str">
        <f t="shared" si="51"/>
        <v/>
      </c>
      <c r="Q51" s="9"/>
      <c r="R51" s="30">
        <f t="shared" ref="R51" si="201">Q51*$L51</f>
        <v>0</v>
      </c>
      <c r="S51" s="9"/>
      <c r="T51" s="30">
        <f t="shared" ref="T51" si="202">S51*$L51</f>
        <v>0</v>
      </c>
      <c r="U51" s="9">
        <f>528/100</f>
        <v>5.28</v>
      </c>
      <c r="V51" s="30">
        <v>179</v>
      </c>
      <c r="W51" s="9"/>
      <c r="X51" s="30">
        <f t="shared" si="53"/>
        <v>0</v>
      </c>
      <c r="Y51" s="9">
        <f>1014/100</f>
        <v>10.14</v>
      </c>
      <c r="Z51" s="32">
        <v>243</v>
      </c>
      <c r="AA51" s="9"/>
      <c r="AB51" s="30">
        <f t="shared" si="32"/>
        <v>0</v>
      </c>
      <c r="AC51" s="9"/>
      <c r="AD51" s="30">
        <f t="shared" si="44"/>
        <v>0</v>
      </c>
      <c r="AE51" s="9"/>
      <c r="AF51" s="30">
        <f t="shared" si="33"/>
        <v>0</v>
      </c>
      <c r="AG51" s="9"/>
      <c r="AH51" s="30">
        <f t="shared" si="45"/>
        <v>0</v>
      </c>
      <c r="AI51" s="9"/>
      <c r="AJ51" s="30">
        <f t="shared" ref="AJ51" si="203">AI51*$L51</f>
        <v>0</v>
      </c>
      <c r="AK51" s="9">
        <f>1917/100</f>
        <v>19.170000000000002</v>
      </c>
      <c r="AL51" s="30">
        <v>652</v>
      </c>
      <c r="AM51" s="9"/>
      <c r="AN51" s="30">
        <f t="shared" si="35"/>
        <v>0</v>
      </c>
      <c r="AO51" s="9"/>
      <c r="AP51" s="30">
        <f t="shared" si="36"/>
        <v>0</v>
      </c>
      <c r="AQ51" s="9"/>
      <c r="AR51" s="30">
        <f t="shared" si="37"/>
        <v>0</v>
      </c>
      <c r="AS51" s="9"/>
      <c r="AT51" s="30">
        <f t="shared" si="38"/>
        <v>0</v>
      </c>
      <c r="AU51" s="9"/>
      <c r="AV51" s="30">
        <f t="shared" si="39"/>
        <v>0</v>
      </c>
      <c r="AW51" s="9"/>
      <c r="AX51" s="30">
        <f t="shared" si="40"/>
        <v>0</v>
      </c>
      <c r="AY51" s="9"/>
      <c r="AZ51" s="30">
        <f t="shared" si="41"/>
        <v>0</v>
      </c>
      <c r="BA51" s="10">
        <f>3459/100</f>
        <v>34.590000000000003</v>
      </c>
      <c r="BB51" s="31">
        <v>1074</v>
      </c>
      <c r="BC51" s="15">
        <f t="shared" si="57"/>
        <v>1074</v>
      </c>
      <c r="BD51" s="9">
        <f t="shared" si="58"/>
        <v>0</v>
      </c>
      <c r="BE51" s="28">
        <f t="shared" si="59"/>
        <v>34.590000000000003</v>
      </c>
      <c r="BF51" s="8">
        <f t="shared" si="60"/>
        <v>0</v>
      </c>
      <c r="BG51" s="29">
        <f t="shared" si="48"/>
        <v>1176.0600000000002</v>
      </c>
      <c r="BH51" s="13">
        <f t="shared" si="61"/>
        <v>-102.06000000000017</v>
      </c>
      <c r="BI51" s="2" t="str">
        <f t="shared" si="49"/>
        <v>erreur de calcul</v>
      </c>
      <c r="BJ51" s="2"/>
    </row>
    <row r="52" spans="1:62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49</v>
      </c>
      <c r="G52" s="31">
        <v>20</v>
      </c>
      <c r="H52" s="31" t="s">
        <v>126</v>
      </c>
      <c r="I52" s="5">
        <v>30</v>
      </c>
      <c r="J52" s="5"/>
      <c r="K52" s="6"/>
      <c r="L52" s="11">
        <f t="shared" si="50"/>
        <v>30</v>
      </c>
      <c r="M52" s="7" t="s">
        <v>14</v>
      </c>
      <c r="N52" s="31"/>
      <c r="O52" s="9"/>
      <c r="P52" s="9" t="str">
        <f t="shared" si="51"/>
        <v/>
      </c>
      <c r="Q52" s="9">
        <f>31476/100</f>
        <v>314.76</v>
      </c>
      <c r="R52" s="30">
        <v>9443</v>
      </c>
      <c r="S52" s="9"/>
      <c r="T52" s="30">
        <f t="shared" ref="T52" si="204">S52*$L52</f>
        <v>0</v>
      </c>
      <c r="U52" s="9"/>
      <c r="V52" s="30">
        <f t="shared" si="43"/>
        <v>0</v>
      </c>
      <c r="W52" s="9"/>
      <c r="X52" s="30">
        <f t="shared" si="53"/>
        <v>0</v>
      </c>
      <c r="Y52" s="9">
        <f>2320/100</f>
        <v>23.2</v>
      </c>
      <c r="Z52" s="30">
        <v>696</v>
      </c>
      <c r="AA52" s="9"/>
      <c r="AB52" s="30">
        <f t="shared" si="32"/>
        <v>0</v>
      </c>
      <c r="AC52" s="9"/>
      <c r="AD52" s="30">
        <f t="shared" si="44"/>
        <v>0</v>
      </c>
      <c r="AE52" s="9"/>
      <c r="AF52" s="30">
        <f t="shared" si="33"/>
        <v>0</v>
      </c>
      <c r="AG52" s="9"/>
      <c r="AH52" s="30">
        <f t="shared" si="45"/>
        <v>0</v>
      </c>
      <c r="AI52" s="9"/>
      <c r="AJ52" s="30">
        <f t="shared" ref="AJ52" si="205">AI52*$L52</f>
        <v>0</v>
      </c>
      <c r="AK52" s="9"/>
      <c r="AL52" s="30">
        <f t="shared" ref="AL52" si="206">AK52*$L52</f>
        <v>0</v>
      </c>
      <c r="AM52" s="9"/>
      <c r="AN52" s="30">
        <f t="shared" si="35"/>
        <v>0</v>
      </c>
      <c r="AO52" s="9"/>
      <c r="AP52" s="30">
        <f t="shared" si="36"/>
        <v>0</v>
      </c>
      <c r="AQ52" s="9">
        <f>5100/100</f>
        <v>51</v>
      </c>
      <c r="AR52" s="30">
        <v>1530</v>
      </c>
      <c r="AS52" s="9"/>
      <c r="AT52" s="30">
        <f t="shared" si="38"/>
        <v>0</v>
      </c>
      <c r="AU52" s="9"/>
      <c r="AV52" s="30">
        <f t="shared" si="39"/>
        <v>0</v>
      </c>
      <c r="AW52" s="9"/>
      <c r="AX52" s="30">
        <f t="shared" si="40"/>
        <v>0</v>
      </c>
      <c r="AY52" s="9">
        <f>26345/100</f>
        <v>263.45</v>
      </c>
      <c r="AZ52" s="30">
        <v>7903</v>
      </c>
      <c r="BA52" s="10">
        <f>65241/100</f>
        <v>652.41</v>
      </c>
      <c r="BB52" s="31">
        <v>19572</v>
      </c>
      <c r="BC52" s="15">
        <f t="shared" si="57"/>
        <v>19572</v>
      </c>
      <c r="BD52" s="9">
        <f t="shared" si="58"/>
        <v>0</v>
      </c>
      <c r="BE52" s="28">
        <f t="shared" si="59"/>
        <v>652.41</v>
      </c>
      <c r="BF52" s="8">
        <f t="shared" si="60"/>
        <v>0</v>
      </c>
      <c r="BG52" s="29">
        <f t="shared" si="48"/>
        <v>19572.3</v>
      </c>
      <c r="BH52" s="13">
        <f t="shared" si="61"/>
        <v>-0.2999999999992724</v>
      </c>
      <c r="BI52" s="2" t="str">
        <f t="shared" si="49"/>
        <v>erreur de calcul</v>
      </c>
      <c r="BJ52" s="2"/>
    </row>
    <row r="53" spans="1:62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49</v>
      </c>
      <c r="G53" s="31">
        <v>20</v>
      </c>
      <c r="H53" s="31" t="s">
        <v>127</v>
      </c>
      <c r="I53" s="5">
        <v>75</v>
      </c>
      <c r="J53" s="5"/>
      <c r="K53" s="6"/>
      <c r="L53" s="11">
        <f t="shared" si="50"/>
        <v>75</v>
      </c>
      <c r="M53" s="7" t="s">
        <v>14</v>
      </c>
      <c r="N53" s="31"/>
      <c r="O53" s="9"/>
      <c r="P53" s="9" t="str">
        <f t="shared" si="51"/>
        <v/>
      </c>
      <c r="Q53" s="9"/>
      <c r="R53" s="30">
        <f t="shared" ref="R53" si="207">Q53*$L53</f>
        <v>0</v>
      </c>
      <c r="S53" s="9"/>
      <c r="T53" s="30">
        <f t="shared" ref="T53" si="208">S53*$L53</f>
        <v>0</v>
      </c>
      <c r="U53" s="9"/>
      <c r="V53" s="30">
        <f t="shared" si="43"/>
        <v>0</v>
      </c>
      <c r="W53" s="9">
        <f>223/100</f>
        <v>2.23</v>
      </c>
      <c r="X53" s="30">
        <v>167</v>
      </c>
      <c r="Y53" s="9">
        <f>2897/100</f>
        <v>28.97</v>
      </c>
      <c r="Z53" s="30">
        <v>2173</v>
      </c>
      <c r="AA53" s="9"/>
      <c r="AB53" s="30">
        <f t="shared" si="32"/>
        <v>0</v>
      </c>
      <c r="AC53" s="9"/>
      <c r="AD53" s="30">
        <f t="shared" si="44"/>
        <v>0</v>
      </c>
      <c r="AE53" s="9"/>
      <c r="AF53" s="30">
        <f t="shared" si="33"/>
        <v>0</v>
      </c>
      <c r="AG53" s="9"/>
      <c r="AH53" s="30">
        <f t="shared" si="45"/>
        <v>0</v>
      </c>
      <c r="AI53" s="9"/>
      <c r="AJ53" s="30">
        <f t="shared" ref="AJ53" si="209">AI53*$L53</f>
        <v>0</v>
      </c>
      <c r="AK53" s="9"/>
      <c r="AL53" s="30">
        <f t="shared" ref="AL53" si="210">AK53*$L53</f>
        <v>0</v>
      </c>
      <c r="AM53" s="9"/>
      <c r="AN53" s="30">
        <f t="shared" si="35"/>
        <v>0</v>
      </c>
      <c r="AO53" s="9"/>
      <c r="AP53" s="30">
        <f t="shared" si="36"/>
        <v>0</v>
      </c>
      <c r="AQ53" s="9"/>
      <c r="AR53" s="30">
        <f t="shared" si="37"/>
        <v>0</v>
      </c>
      <c r="AS53" s="9"/>
      <c r="AT53" s="30">
        <f t="shared" si="38"/>
        <v>0</v>
      </c>
      <c r="AU53" s="9"/>
      <c r="AV53" s="30">
        <f t="shared" si="39"/>
        <v>0</v>
      </c>
      <c r="AW53" s="9"/>
      <c r="AX53" s="30">
        <f t="shared" si="40"/>
        <v>0</v>
      </c>
      <c r="AY53" s="9"/>
      <c r="AZ53" s="30">
        <f t="shared" si="41"/>
        <v>0</v>
      </c>
      <c r="BA53" s="10">
        <f>3120/100</f>
        <v>31.2</v>
      </c>
      <c r="BB53" s="31">
        <v>2340</v>
      </c>
      <c r="BC53" s="15">
        <f t="shared" si="57"/>
        <v>2340</v>
      </c>
      <c r="BD53" s="9">
        <f t="shared" si="58"/>
        <v>0</v>
      </c>
      <c r="BE53" s="28">
        <f t="shared" si="59"/>
        <v>31.2</v>
      </c>
      <c r="BF53" s="8">
        <f t="shared" si="60"/>
        <v>0</v>
      </c>
      <c r="BG53" s="29">
        <f t="shared" si="48"/>
        <v>2340</v>
      </c>
      <c r="BH53" s="13">
        <f t="shared" si="61"/>
        <v>0</v>
      </c>
      <c r="BI53" s="2" t="str">
        <f t="shared" si="49"/>
        <v/>
      </c>
      <c r="BJ53" s="2"/>
    </row>
    <row r="54" spans="1:62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49</v>
      </c>
      <c r="G54" s="31">
        <v>20</v>
      </c>
      <c r="H54" s="31" t="s">
        <v>128</v>
      </c>
      <c r="I54" s="5">
        <v>75</v>
      </c>
      <c r="J54" s="5"/>
      <c r="K54" s="6"/>
      <c r="L54" s="11">
        <f t="shared" si="50"/>
        <v>75</v>
      </c>
      <c r="M54" s="7" t="s">
        <v>14</v>
      </c>
      <c r="N54" s="31"/>
      <c r="O54" s="9"/>
      <c r="P54" s="9" t="str">
        <f t="shared" si="51"/>
        <v/>
      </c>
      <c r="Q54" s="9"/>
      <c r="R54" s="30">
        <f t="shared" ref="R54" si="211">Q54*$L54</f>
        <v>0</v>
      </c>
      <c r="S54" s="9"/>
      <c r="T54" s="30">
        <f t="shared" ref="T54" si="212">S54*$L54</f>
        <v>0</v>
      </c>
      <c r="U54" s="9">
        <f>5807/100</f>
        <v>58.07</v>
      </c>
      <c r="V54" s="30">
        <v>4355</v>
      </c>
      <c r="W54" s="9"/>
      <c r="X54" s="30">
        <f t="shared" si="53"/>
        <v>0</v>
      </c>
      <c r="Y54" s="9"/>
      <c r="Z54" s="30">
        <f t="shared" si="54"/>
        <v>0</v>
      </c>
      <c r="AA54" s="9"/>
      <c r="AB54" s="30">
        <f t="shared" si="32"/>
        <v>0</v>
      </c>
      <c r="AC54" s="9"/>
      <c r="AD54" s="30">
        <f t="shared" si="44"/>
        <v>0</v>
      </c>
      <c r="AE54" s="9"/>
      <c r="AF54" s="30">
        <f t="shared" si="33"/>
        <v>0</v>
      </c>
      <c r="AG54" s="9"/>
      <c r="AH54" s="30">
        <f t="shared" si="45"/>
        <v>0</v>
      </c>
      <c r="AI54" s="9"/>
      <c r="AJ54" s="30">
        <f t="shared" ref="AJ54" si="213">AI54*$L54</f>
        <v>0</v>
      </c>
      <c r="AK54" s="9"/>
      <c r="AL54" s="30">
        <f t="shared" ref="AL54" si="214">AK54*$L54</f>
        <v>0</v>
      </c>
      <c r="AM54" s="9"/>
      <c r="AN54" s="30">
        <f t="shared" si="35"/>
        <v>0</v>
      </c>
      <c r="AO54" s="9"/>
      <c r="AP54" s="30">
        <f t="shared" si="36"/>
        <v>0</v>
      </c>
      <c r="AQ54" s="9"/>
      <c r="AR54" s="30">
        <f t="shared" si="37"/>
        <v>0</v>
      </c>
      <c r="AS54" s="9"/>
      <c r="AT54" s="30">
        <f t="shared" si="38"/>
        <v>0</v>
      </c>
      <c r="AU54" s="9"/>
      <c r="AV54" s="30">
        <f t="shared" si="39"/>
        <v>0</v>
      </c>
      <c r="AW54" s="9"/>
      <c r="AX54" s="30">
        <f t="shared" si="40"/>
        <v>0</v>
      </c>
      <c r="AY54" s="9"/>
      <c r="AZ54" s="30">
        <f t="shared" si="41"/>
        <v>0</v>
      </c>
      <c r="BA54" s="10">
        <f>5807/100</f>
        <v>58.07</v>
      </c>
      <c r="BB54" s="31">
        <v>4355</v>
      </c>
      <c r="BC54" s="15">
        <f t="shared" si="57"/>
        <v>4355</v>
      </c>
      <c r="BD54" s="9">
        <f t="shared" si="58"/>
        <v>0</v>
      </c>
      <c r="BE54" s="28">
        <f t="shared" si="59"/>
        <v>58.07</v>
      </c>
      <c r="BF54" s="8">
        <f t="shared" si="60"/>
        <v>0</v>
      </c>
      <c r="BG54" s="29">
        <f t="shared" si="48"/>
        <v>4355.25</v>
      </c>
      <c r="BH54" s="13">
        <f t="shared" si="61"/>
        <v>-0.25</v>
      </c>
      <c r="BI54" s="2" t="str">
        <f t="shared" si="49"/>
        <v>erreur de calcul</v>
      </c>
      <c r="BJ54" s="2"/>
    </row>
    <row r="55" spans="1:62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49</v>
      </c>
      <c r="G55" s="31">
        <v>20</v>
      </c>
      <c r="H55" s="31" t="s">
        <v>129</v>
      </c>
      <c r="I55" s="5">
        <v>42</v>
      </c>
      <c r="J55" s="5"/>
      <c r="K55" s="6"/>
      <c r="L55" s="11">
        <f t="shared" si="50"/>
        <v>42</v>
      </c>
      <c r="M55" s="7" t="s">
        <v>14</v>
      </c>
      <c r="N55" s="31"/>
      <c r="O55" s="9"/>
      <c r="P55" s="9" t="str">
        <f t="shared" si="51"/>
        <v/>
      </c>
      <c r="Q55" s="9"/>
      <c r="R55" s="30">
        <f t="shared" ref="R55" si="215">Q55*$L55</f>
        <v>0</v>
      </c>
      <c r="S55" s="9"/>
      <c r="T55" s="30">
        <f t="shared" ref="T55" si="216">S55*$L55</f>
        <v>0</v>
      </c>
      <c r="U55" s="9">
        <f>347073/100</f>
        <v>3470.73</v>
      </c>
      <c r="V55" s="30">
        <v>145771</v>
      </c>
      <c r="W55" s="9">
        <f>188616/100</f>
        <v>1886.16</v>
      </c>
      <c r="X55" s="30">
        <v>79219</v>
      </c>
      <c r="Y55" s="9">
        <f>518894/100</f>
        <v>5188.9399999999996</v>
      </c>
      <c r="Z55" s="30">
        <v>217935</v>
      </c>
      <c r="AA55" s="9">
        <f>965148/100</f>
        <v>9651.48</v>
      </c>
      <c r="AB55" s="30">
        <v>405362</v>
      </c>
      <c r="AC55" s="9">
        <f>759238/100</f>
        <v>7592.38</v>
      </c>
      <c r="AD55" s="30">
        <v>318880</v>
      </c>
      <c r="AE55" s="9">
        <f>254167/100</f>
        <v>2541.67</v>
      </c>
      <c r="AF55" s="30">
        <v>106750</v>
      </c>
      <c r="AG55" s="9"/>
      <c r="AH55" s="30">
        <f t="shared" si="45"/>
        <v>0</v>
      </c>
      <c r="AI55" s="9"/>
      <c r="AJ55" s="30">
        <f t="shared" ref="AJ55" si="217">AI55*$L55</f>
        <v>0</v>
      </c>
      <c r="AK55" s="9"/>
      <c r="AL55" s="30">
        <f t="shared" ref="AL55" si="218">AK55*$L55</f>
        <v>0</v>
      </c>
      <c r="AM55" s="9">
        <f>73551/100</f>
        <v>735.51</v>
      </c>
      <c r="AN55" s="30">
        <v>30891</v>
      </c>
      <c r="AO55" s="9"/>
      <c r="AP55" s="30">
        <f t="shared" si="36"/>
        <v>0</v>
      </c>
      <c r="AQ55" s="9">
        <f>45836/100</f>
        <v>458.36</v>
      </c>
      <c r="AR55" s="30">
        <v>19251</v>
      </c>
      <c r="AS55" s="9"/>
      <c r="AT55" s="30">
        <f t="shared" si="38"/>
        <v>0</v>
      </c>
      <c r="AU55" s="9"/>
      <c r="AV55" s="30">
        <f t="shared" si="39"/>
        <v>0</v>
      </c>
      <c r="AW55" s="9">
        <f>566574/100</f>
        <v>5665.74</v>
      </c>
      <c r="AX55" s="30">
        <v>237961</v>
      </c>
      <c r="AY55" s="9"/>
      <c r="AZ55" s="30">
        <f t="shared" si="41"/>
        <v>0</v>
      </c>
      <c r="BA55" s="10">
        <f>3719097/100</f>
        <v>37190.97</v>
      </c>
      <c r="BB55" s="31">
        <v>1562020</v>
      </c>
      <c r="BC55" s="15">
        <f t="shared" si="57"/>
        <v>1562020</v>
      </c>
      <c r="BD55" s="9">
        <f t="shared" si="58"/>
        <v>0</v>
      </c>
      <c r="BE55" s="28">
        <f t="shared" si="59"/>
        <v>37190.97</v>
      </c>
      <c r="BF55" s="8">
        <f t="shared" si="60"/>
        <v>0</v>
      </c>
      <c r="BG55" s="29">
        <f t="shared" si="48"/>
        <v>1562020.74</v>
      </c>
      <c r="BH55" s="13">
        <f t="shared" si="61"/>
        <v>-0.73999999999068677</v>
      </c>
      <c r="BI55" s="2" t="str">
        <f t="shared" si="49"/>
        <v>erreur de calcul</v>
      </c>
      <c r="BJ55" s="2"/>
    </row>
    <row r="56" spans="1:62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49</v>
      </c>
      <c r="G56" s="31">
        <v>20</v>
      </c>
      <c r="H56" s="31" t="s">
        <v>130</v>
      </c>
      <c r="I56" s="5">
        <v>75</v>
      </c>
      <c r="J56" s="5"/>
      <c r="K56" s="6"/>
      <c r="L56" s="11">
        <f t="shared" si="50"/>
        <v>75</v>
      </c>
      <c r="M56" s="7" t="s">
        <v>14</v>
      </c>
      <c r="N56" s="31"/>
      <c r="O56" s="9"/>
      <c r="P56" s="9" t="str">
        <f t="shared" si="51"/>
        <v/>
      </c>
      <c r="Q56" s="9"/>
      <c r="R56" s="30">
        <f t="shared" ref="R56" si="219">Q56*$L56</f>
        <v>0</v>
      </c>
      <c r="S56" s="9"/>
      <c r="T56" s="30">
        <f t="shared" ref="T56" si="220">S56*$L56</f>
        <v>0</v>
      </c>
      <c r="U56" s="9"/>
      <c r="V56" s="30">
        <f t="shared" si="43"/>
        <v>0</v>
      </c>
      <c r="W56" s="9">
        <f>3418/100</f>
        <v>34.18</v>
      </c>
      <c r="X56" s="30">
        <v>2563</v>
      </c>
      <c r="Y56" s="9">
        <f>3755/100</f>
        <v>37.549999999999997</v>
      </c>
      <c r="Z56" s="30">
        <v>2817</v>
      </c>
      <c r="AA56" s="9"/>
      <c r="AB56" s="30">
        <f t="shared" si="32"/>
        <v>0</v>
      </c>
      <c r="AC56" s="9">
        <f>75529/100</f>
        <v>755.29</v>
      </c>
      <c r="AD56" s="30">
        <v>56647</v>
      </c>
      <c r="AE56" s="9"/>
      <c r="AF56" s="30">
        <f t="shared" si="33"/>
        <v>0</v>
      </c>
      <c r="AG56" s="9"/>
      <c r="AH56" s="30">
        <f t="shared" si="45"/>
        <v>0</v>
      </c>
      <c r="AI56" s="9"/>
      <c r="AJ56" s="30">
        <f t="shared" ref="AJ56" si="221">AI56*$L56</f>
        <v>0</v>
      </c>
      <c r="AK56" s="9"/>
      <c r="AL56" s="30">
        <f t="shared" ref="AL56" si="222">AK56*$L56</f>
        <v>0</v>
      </c>
      <c r="AM56" s="9"/>
      <c r="AN56" s="30">
        <f t="shared" si="35"/>
        <v>0</v>
      </c>
      <c r="AO56" s="9"/>
      <c r="AP56" s="30">
        <f t="shared" si="36"/>
        <v>0</v>
      </c>
      <c r="AQ56" s="9"/>
      <c r="AR56" s="30">
        <f t="shared" si="37"/>
        <v>0</v>
      </c>
      <c r="AS56" s="9"/>
      <c r="AT56" s="30">
        <f t="shared" si="38"/>
        <v>0</v>
      </c>
      <c r="AU56" s="9"/>
      <c r="AV56" s="30">
        <f t="shared" si="39"/>
        <v>0</v>
      </c>
      <c r="AW56" s="9"/>
      <c r="AX56" s="30">
        <f t="shared" si="40"/>
        <v>0</v>
      </c>
      <c r="AY56" s="9"/>
      <c r="AZ56" s="30">
        <f t="shared" si="41"/>
        <v>0</v>
      </c>
      <c r="BA56" s="10">
        <f>82702/100</f>
        <v>827.02</v>
      </c>
      <c r="BB56" s="31">
        <v>62027</v>
      </c>
      <c r="BC56" s="15">
        <f t="shared" si="57"/>
        <v>62027</v>
      </c>
      <c r="BD56" s="9">
        <f t="shared" si="58"/>
        <v>0</v>
      </c>
      <c r="BE56" s="28">
        <f t="shared" si="59"/>
        <v>827.02</v>
      </c>
      <c r="BF56" s="8">
        <f t="shared" si="60"/>
        <v>0</v>
      </c>
      <c r="BG56" s="29">
        <f t="shared" si="48"/>
        <v>62026.5</v>
      </c>
      <c r="BH56" s="13">
        <f t="shared" si="61"/>
        <v>0.5</v>
      </c>
      <c r="BI56" s="2" t="str">
        <f t="shared" si="49"/>
        <v>erreur de calcul</v>
      </c>
      <c r="BJ56" s="2"/>
    </row>
    <row r="57" spans="1:62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49</v>
      </c>
      <c r="G57" s="31">
        <v>20</v>
      </c>
      <c r="H57" s="31" t="s">
        <v>131</v>
      </c>
      <c r="I57" s="5">
        <v>170</v>
      </c>
      <c r="J57" s="5"/>
      <c r="K57" s="6"/>
      <c r="L57" s="11">
        <f t="shared" si="50"/>
        <v>170</v>
      </c>
      <c r="M57" s="7" t="s">
        <v>14</v>
      </c>
      <c r="N57" s="31"/>
      <c r="O57" s="9"/>
      <c r="P57" s="9" t="str">
        <f t="shared" si="51"/>
        <v/>
      </c>
      <c r="Q57" s="9"/>
      <c r="R57" s="30">
        <f t="shared" ref="R57" si="223">Q57*$L57</f>
        <v>0</v>
      </c>
      <c r="S57" s="9"/>
      <c r="T57" s="30">
        <f t="shared" ref="T57" si="224">S57*$L57</f>
        <v>0</v>
      </c>
      <c r="U57" s="9">
        <f>488/100</f>
        <v>4.88</v>
      </c>
      <c r="V57" s="30">
        <v>830</v>
      </c>
      <c r="W57" s="9"/>
      <c r="X57" s="30">
        <f t="shared" si="53"/>
        <v>0</v>
      </c>
      <c r="Y57" s="9">
        <f>8480/100</f>
        <v>84.8</v>
      </c>
      <c r="Z57" s="30">
        <v>14416</v>
      </c>
      <c r="AA57" s="9"/>
      <c r="AB57" s="30">
        <f t="shared" si="32"/>
        <v>0</v>
      </c>
      <c r="AC57" s="9">
        <f>291/100</f>
        <v>2.91</v>
      </c>
      <c r="AD57" s="30">
        <v>495</v>
      </c>
      <c r="AE57" s="9"/>
      <c r="AF57" s="30">
        <f t="shared" si="33"/>
        <v>0</v>
      </c>
      <c r="AG57" s="9"/>
      <c r="AH57" s="30">
        <f t="shared" si="45"/>
        <v>0</v>
      </c>
      <c r="AI57" s="9"/>
      <c r="AJ57" s="30">
        <f t="shared" ref="AJ57" si="225">AI57*$L57</f>
        <v>0</v>
      </c>
      <c r="AK57" s="9"/>
      <c r="AL57" s="30">
        <f t="shared" ref="AL57" si="226">AK57*$L57</f>
        <v>0</v>
      </c>
      <c r="AM57" s="9"/>
      <c r="AN57" s="30">
        <f t="shared" si="35"/>
        <v>0</v>
      </c>
      <c r="AO57" s="9"/>
      <c r="AP57" s="30">
        <f t="shared" si="36"/>
        <v>0</v>
      </c>
      <c r="AQ57" s="9"/>
      <c r="AR57" s="30">
        <f t="shared" si="37"/>
        <v>0</v>
      </c>
      <c r="AS57" s="9"/>
      <c r="AT57" s="30">
        <f t="shared" si="38"/>
        <v>0</v>
      </c>
      <c r="AU57" s="9"/>
      <c r="AV57" s="30">
        <f t="shared" si="39"/>
        <v>0</v>
      </c>
      <c r="AW57" s="9"/>
      <c r="AX57" s="30">
        <f t="shared" si="40"/>
        <v>0</v>
      </c>
      <c r="AY57" s="9"/>
      <c r="AZ57" s="30">
        <f t="shared" si="41"/>
        <v>0</v>
      </c>
      <c r="BA57" s="10">
        <f>9259/100</f>
        <v>92.59</v>
      </c>
      <c r="BB57" s="31">
        <v>15741</v>
      </c>
      <c r="BC57" s="15">
        <f t="shared" si="57"/>
        <v>15741</v>
      </c>
      <c r="BD57" s="9">
        <f t="shared" si="58"/>
        <v>0</v>
      </c>
      <c r="BE57" s="28">
        <f t="shared" si="59"/>
        <v>92.589999999999989</v>
      </c>
      <c r="BF57" s="8">
        <f t="shared" si="60"/>
        <v>0</v>
      </c>
      <c r="BG57" s="29">
        <f t="shared" si="48"/>
        <v>15740.299999999997</v>
      </c>
      <c r="BH57" s="13">
        <f t="shared" si="61"/>
        <v>0.70000000000254659</v>
      </c>
      <c r="BI57" s="2" t="str">
        <f t="shared" si="49"/>
        <v>erreur de calcul</v>
      </c>
      <c r="BJ57" s="2"/>
    </row>
    <row r="58" spans="1:62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49</v>
      </c>
      <c r="G58" s="31">
        <v>20</v>
      </c>
      <c r="H58" s="31" t="s">
        <v>132</v>
      </c>
      <c r="I58" s="5"/>
      <c r="J58" s="5">
        <v>55</v>
      </c>
      <c r="K58" s="6"/>
      <c r="L58" s="11">
        <f t="shared" si="50"/>
        <v>2.75</v>
      </c>
      <c r="M58" s="7" t="s">
        <v>14</v>
      </c>
      <c r="N58" s="31"/>
      <c r="O58" s="9"/>
      <c r="P58" s="9" t="str">
        <f t="shared" si="51"/>
        <v/>
      </c>
      <c r="Q58" s="9"/>
      <c r="R58" s="30">
        <f t="shared" ref="R58" si="227">Q58*$L58</f>
        <v>0</v>
      </c>
      <c r="S58" s="9"/>
      <c r="T58" s="30">
        <f t="shared" ref="T58" si="228">S58*$L58</f>
        <v>0</v>
      </c>
      <c r="U58" s="9"/>
      <c r="V58" s="30">
        <f t="shared" si="43"/>
        <v>0</v>
      </c>
      <c r="W58" s="9"/>
      <c r="X58" s="30">
        <f t="shared" si="53"/>
        <v>0</v>
      </c>
      <c r="Y58" s="9">
        <f>3875617/100</f>
        <v>38756.17</v>
      </c>
      <c r="Z58" s="30">
        <v>106579</v>
      </c>
      <c r="AA58" s="9">
        <f>62500/100</f>
        <v>625</v>
      </c>
      <c r="AB58" s="30">
        <v>1719</v>
      </c>
      <c r="AC58" s="9">
        <f>360000/100</f>
        <v>3600</v>
      </c>
      <c r="AD58" s="30">
        <v>9900</v>
      </c>
      <c r="AE58" s="9"/>
      <c r="AF58" s="30">
        <f t="shared" si="33"/>
        <v>0</v>
      </c>
      <c r="AG58" s="9"/>
      <c r="AH58" s="30">
        <f t="shared" si="45"/>
        <v>0</v>
      </c>
      <c r="AI58" s="9"/>
      <c r="AJ58" s="30">
        <f t="shared" ref="AJ58" si="229">AI58*$L58</f>
        <v>0</v>
      </c>
      <c r="AK58" s="9"/>
      <c r="AL58" s="30">
        <f t="shared" ref="AL58" si="230">AK58*$L58</f>
        <v>0</v>
      </c>
      <c r="AM58" s="9"/>
      <c r="AN58" s="30">
        <f t="shared" si="35"/>
        <v>0</v>
      </c>
      <c r="AO58" s="9"/>
      <c r="AP58" s="30">
        <f t="shared" si="36"/>
        <v>0</v>
      </c>
      <c r="AQ58" s="9"/>
      <c r="AR58" s="30">
        <f t="shared" si="37"/>
        <v>0</v>
      </c>
      <c r="AS58" s="9"/>
      <c r="AT58" s="30">
        <f t="shared" si="38"/>
        <v>0</v>
      </c>
      <c r="AU58" s="9"/>
      <c r="AV58" s="30">
        <f t="shared" si="39"/>
        <v>0</v>
      </c>
      <c r="AW58" s="9"/>
      <c r="AX58" s="30">
        <f t="shared" si="40"/>
        <v>0</v>
      </c>
      <c r="AY58" s="9"/>
      <c r="AZ58" s="30">
        <f t="shared" si="41"/>
        <v>0</v>
      </c>
      <c r="BA58" s="10">
        <f>4298117/100</f>
        <v>42981.17</v>
      </c>
      <c r="BB58" s="31">
        <v>118198</v>
      </c>
      <c r="BC58" s="15">
        <f t="shared" si="57"/>
        <v>118198</v>
      </c>
      <c r="BD58" s="9">
        <f t="shared" si="58"/>
        <v>0</v>
      </c>
      <c r="BE58" s="28">
        <f t="shared" si="59"/>
        <v>42981.17</v>
      </c>
      <c r="BF58" s="8">
        <f t="shared" si="60"/>
        <v>0</v>
      </c>
      <c r="BG58" s="29">
        <f t="shared" si="48"/>
        <v>118198.2175</v>
      </c>
      <c r="BH58" s="13">
        <f t="shared" si="61"/>
        <v>-0.21749999999883585</v>
      </c>
      <c r="BI58" s="2" t="str">
        <f t="shared" si="49"/>
        <v>erreur de calcul</v>
      </c>
      <c r="BJ58" s="2"/>
    </row>
    <row r="59" spans="1:62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49</v>
      </c>
      <c r="G59" s="31">
        <v>20</v>
      </c>
      <c r="H59" s="31" t="s">
        <v>133</v>
      </c>
      <c r="I59" s="5"/>
      <c r="J59" s="5">
        <v>50</v>
      </c>
      <c r="K59" s="6"/>
      <c r="L59" s="11">
        <f t="shared" si="50"/>
        <v>2.5</v>
      </c>
      <c r="M59" s="7" t="s">
        <v>14</v>
      </c>
      <c r="N59" s="31"/>
      <c r="O59" s="9"/>
      <c r="P59" s="9" t="str">
        <f t="shared" si="51"/>
        <v/>
      </c>
      <c r="Q59" s="9"/>
      <c r="R59" s="30">
        <f t="shared" ref="R59" si="231">Q59*$L59</f>
        <v>0</v>
      </c>
      <c r="S59" s="9"/>
      <c r="T59" s="30">
        <f t="shared" ref="T59" si="232">S59*$L59</f>
        <v>0</v>
      </c>
      <c r="U59" s="9"/>
      <c r="V59" s="30">
        <f t="shared" si="43"/>
        <v>0</v>
      </c>
      <c r="W59" s="9">
        <f>25000/100</f>
        <v>250</v>
      </c>
      <c r="X59" s="30">
        <v>625</v>
      </c>
      <c r="Y59" s="9">
        <f>9335/100</f>
        <v>93.35</v>
      </c>
      <c r="Z59" s="30">
        <v>233</v>
      </c>
      <c r="AA59" s="9"/>
      <c r="AB59" s="30">
        <f t="shared" si="32"/>
        <v>0</v>
      </c>
      <c r="AC59" s="9"/>
      <c r="AD59" s="30">
        <f t="shared" si="44"/>
        <v>0</v>
      </c>
      <c r="AE59" s="9"/>
      <c r="AF59" s="30">
        <f t="shared" si="33"/>
        <v>0</v>
      </c>
      <c r="AG59" s="9"/>
      <c r="AH59" s="30">
        <f t="shared" si="45"/>
        <v>0</v>
      </c>
      <c r="AI59" s="9"/>
      <c r="AJ59" s="30">
        <f t="shared" ref="AJ59" si="233">AI59*$L59</f>
        <v>0</v>
      </c>
      <c r="AK59" s="9"/>
      <c r="AL59" s="30">
        <f t="shared" ref="AL59" si="234">AK59*$L59</f>
        <v>0</v>
      </c>
      <c r="AM59" s="9"/>
      <c r="AN59" s="30">
        <f t="shared" si="35"/>
        <v>0</v>
      </c>
      <c r="AO59" s="9"/>
      <c r="AP59" s="30">
        <f t="shared" si="36"/>
        <v>0</v>
      </c>
      <c r="AQ59" s="9"/>
      <c r="AR59" s="30">
        <f t="shared" si="37"/>
        <v>0</v>
      </c>
      <c r="AS59" s="9"/>
      <c r="AT59" s="30">
        <f t="shared" si="38"/>
        <v>0</v>
      </c>
      <c r="AU59" s="9"/>
      <c r="AV59" s="30">
        <f t="shared" si="39"/>
        <v>0</v>
      </c>
      <c r="AW59" s="9"/>
      <c r="AX59" s="30">
        <f t="shared" si="40"/>
        <v>0</v>
      </c>
      <c r="AY59" s="9"/>
      <c r="AZ59" s="30">
        <f t="shared" si="41"/>
        <v>0</v>
      </c>
      <c r="BA59" s="10">
        <f>34335/100</f>
        <v>343.35</v>
      </c>
      <c r="BB59" s="31">
        <v>858</v>
      </c>
      <c r="BC59" s="15">
        <f t="shared" si="57"/>
        <v>858</v>
      </c>
      <c r="BD59" s="9">
        <f t="shared" si="58"/>
        <v>0</v>
      </c>
      <c r="BE59" s="28">
        <f t="shared" si="59"/>
        <v>343.35</v>
      </c>
      <c r="BF59" s="8">
        <f t="shared" si="60"/>
        <v>0</v>
      </c>
      <c r="BG59" s="29">
        <f t="shared" si="48"/>
        <v>858.375</v>
      </c>
      <c r="BH59" s="13">
        <f t="shared" si="61"/>
        <v>-0.375</v>
      </c>
      <c r="BI59" s="2" t="str">
        <f t="shared" si="49"/>
        <v>erreur de calcul</v>
      </c>
      <c r="BJ59" s="2"/>
    </row>
    <row r="60" spans="1:62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49</v>
      </c>
      <c r="G60" s="31">
        <v>20</v>
      </c>
      <c r="H60" s="31" t="s">
        <v>134</v>
      </c>
      <c r="I60" s="5">
        <v>175</v>
      </c>
      <c r="J60" s="5"/>
      <c r="K60" s="6"/>
      <c r="L60" s="11">
        <f t="shared" si="50"/>
        <v>175</v>
      </c>
      <c r="M60" s="7" t="s">
        <v>14</v>
      </c>
      <c r="N60" s="31"/>
      <c r="O60" s="9"/>
      <c r="P60" s="9" t="str">
        <f t="shared" si="51"/>
        <v/>
      </c>
      <c r="Q60" s="9">
        <f>84/100</f>
        <v>0.84</v>
      </c>
      <c r="R60" s="30">
        <v>147</v>
      </c>
      <c r="S60" s="9"/>
      <c r="T60" s="30">
        <f t="shared" ref="T60" si="235">S60*$L60</f>
        <v>0</v>
      </c>
      <c r="U60" s="9"/>
      <c r="V60" s="30">
        <f t="shared" si="43"/>
        <v>0</v>
      </c>
      <c r="W60" s="9">
        <f>124/100</f>
        <v>1.24</v>
      </c>
      <c r="X60" s="30">
        <v>217</v>
      </c>
      <c r="Y60" s="9">
        <f>6034/100</f>
        <v>60.34</v>
      </c>
      <c r="Z60" s="30">
        <v>10559</v>
      </c>
      <c r="AA60" s="9">
        <f>147/100</f>
        <v>1.47</v>
      </c>
      <c r="AB60" s="30">
        <v>257</v>
      </c>
      <c r="AC60" s="9">
        <f>195/100</f>
        <v>1.95</v>
      </c>
      <c r="AD60" s="30">
        <v>341</v>
      </c>
      <c r="AE60" s="9"/>
      <c r="AF60" s="30">
        <f t="shared" si="33"/>
        <v>0</v>
      </c>
      <c r="AG60" s="9"/>
      <c r="AH60" s="30">
        <f t="shared" si="45"/>
        <v>0</v>
      </c>
      <c r="AI60" s="9"/>
      <c r="AJ60" s="30">
        <f t="shared" ref="AJ60" si="236">AI60*$L60</f>
        <v>0</v>
      </c>
      <c r="AK60" s="9"/>
      <c r="AL60" s="30">
        <f t="shared" ref="AL60" si="237">AK60*$L60</f>
        <v>0</v>
      </c>
      <c r="AM60" s="9"/>
      <c r="AN60" s="30">
        <f t="shared" si="35"/>
        <v>0</v>
      </c>
      <c r="AO60" s="9"/>
      <c r="AP60" s="30">
        <f t="shared" si="36"/>
        <v>0</v>
      </c>
      <c r="AQ60" s="9"/>
      <c r="AR60" s="30">
        <f t="shared" si="37"/>
        <v>0</v>
      </c>
      <c r="AS60" s="9"/>
      <c r="AT60" s="30">
        <f t="shared" si="38"/>
        <v>0</v>
      </c>
      <c r="AU60" s="9"/>
      <c r="AV60" s="30">
        <f t="shared" si="39"/>
        <v>0</v>
      </c>
      <c r="AW60" s="9"/>
      <c r="AX60" s="30">
        <f t="shared" si="40"/>
        <v>0</v>
      </c>
      <c r="AY60" s="9"/>
      <c r="AZ60" s="30">
        <f t="shared" si="41"/>
        <v>0</v>
      </c>
      <c r="BA60" s="10">
        <f>6584/100</f>
        <v>65.84</v>
      </c>
      <c r="BB60" s="31">
        <v>11521</v>
      </c>
      <c r="BC60" s="15">
        <f t="shared" si="57"/>
        <v>11521</v>
      </c>
      <c r="BD60" s="9">
        <f t="shared" si="58"/>
        <v>0</v>
      </c>
      <c r="BE60" s="28">
        <f t="shared" si="59"/>
        <v>65.84</v>
      </c>
      <c r="BF60" s="8">
        <f t="shared" si="60"/>
        <v>0</v>
      </c>
      <c r="BG60" s="29">
        <f t="shared" si="48"/>
        <v>11522</v>
      </c>
      <c r="BH60" s="13">
        <f t="shared" si="61"/>
        <v>-1</v>
      </c>
      <c r="BI60" s="2" t="str">
        <f t="shared" si="49"/>
        <v>erreur de calcul</v>
      </c>
      <c r="BJ60" s="2"/>
    </row>
    <row r="61" spans="1:62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49</v>
      </c>
      <c r="G61" s="31">
        <v>20</v>
      </c>
      <c r="H61" s="31" t="s">
        <v>135</v>
      </c>
      <c r="I61" s="5">
        <v>210</v>
      </c>
      <c r="J61" s="5"/>
      <c r="K61" s="6"/>
      <c r="L61" s="11">
        <f t="shared" si="50"/>
        <v>210</v>
      </c>
      <c r="M61" s="7" t="s">
        <v>14</v>
      </c>
      <c r="N61" s="31"/>
      <c r="O61" s="9"/>
      <c r="P61" s="9" t="str">
        <f t="shared" si="51"/>
        <v/>
      </c>
      <c r="Q61" s="9"/>
      <c r="R61" s="30">
        <f t="shared" ref="R61" si="238">Q61*$L61</f>
        <v>0</v>
      </c>
      <c r="S61" s="9"/>
      <c r="T61" s="30">
        <f t="shared" ref="T61" si="239">S61*$L61</f>
        <v>0</v>
      </c>
      <c r="U61" s="9"/>
      <c r="V61" s="30">
        <f t="shared" si="43"/>
        <v>0</v>
      </c>
      <c r="W61" s="9">
        <f>869/100</f>
        <v>8.69</v>
      </c>
      <c r="X61" s="30">
        <v>1825</v>
      </c>
      <c r="Y61" s="9"/>
      <c r="Z61" s="30">
        <f t="shared" si="54"/>
        <v>0</v>
      </c>
      <c r="AA61" s="9"/>
      <c r="AB61" s="30">
        <f t="shared" si="32"/>
        <v>0</v>
      </c>
      <c r="AC61" s="9"/>
      <c r="AD61" s="30">
        <f t="shared" si="44"/>
        <v>0</v>
      </c>
      <c r="AE61" s="9"/>
      <c r="AF61" s="30">
        <f t="shared" si="33"/>
        <v>0</v>
      </c>
      <c r="AG61" s="9"/>
      <c r="AH61" s="30">
        <f t="shared" si="45"/>
        <v>0</v>
      </c>
      <c r="AI61" s="9"/>
      <c r="AJ61" s="30">
        <f t="shared" ref="AJ61" si="240">AI61*$L61</f>
        <v>0</v>
      </c>
      <c r="AK61" s="9"/>
      <c r="AL61" s="30">
        <f t="shared" ref="AL61" si="241">AK61*$L61</f>
        <v>0</v>
      </c>
      <c r="AM61" s="9"/>
      <c r="AN61" s="30">
        <f t="shared" si="35"/>
        <v>0</v>
      </c>
      <c r="AO61" s="9"/>
      <c r="AP61" s="30">
        <f t="shared" si="36"/>
        <v>0</v>
      </c>
      <c r="AQ61" s="9"/>
      <c r="AR61" s="30">
        <f t="shared" si="37"/>
        <v>0</v>
      </c>
      <c r="AS61" s="9"/>
      <c r="AT61" s="30">
        <f t="shared" si="38"/>
        <v>0</v>
      </c>
      <c r="AU61" s="9"/>
      <c r="AV61" s="30">
        <f t="shared" si="39"/>
        <v>0</v>
      </c>
      <c r="AW61" s="9"/>
      <c r="AX61" s="30">
        <f t="shared" si="40"/>
        <v>0</v>
      </c>
      <c r="AY61" s="9"/>
      <c r="AZ61" s="30">
        <f t="shared" si="41"/>
        <v>0</v>
      </c>
      <c r="BA61" s="10">
        <f>869/100</f>
        <v>8.69</v>
      </c>
      <c r="BB61" s="31">
        <v>1825</v>
      </c>
      <c r="BC61" s="15">
        <f t="shared" si="57"/>
        <v>1825</v>
      </c>
      <c r="BD61" s="9">
        <f t="shared" si="58"/>
        <v>0</v>
      </c>
      <c r="BE61" s="28">
        <f t="shared" si="59"/>
        <v>8.69</v>
      </c>
      <c r="BF61" s="8">
        <f t="shared" si="60"/>
        <v>0</v>
      </c>
      <c r="BG61" s="29">
        <f t="shared" si="48"/>
        <v>1824.8999999999999</v>
      </c>
      <c r="BH61" s="13">
        <f t="shared" si="61"/>
        <v>0.10000000000013642</v>
      </c>
      <c r="BI61" s="2" t="str">
        <f t="shared" si="49"/>
        <v>erreur de calcul</v>
      </c>
      <c r="BJ61" s="2"/>
    </row>
    <row r="62" spans="1:62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49</v>
      </c>
      <c r="G62" s="31">
        <v>20</v>
      </c>
      <c r="H62" s="31" t="s">
        <v>136</v>
      </c>
      <c r="I62" s="5">
        <v>170</v>
      </c>
      <c r="J62" s="5"/>
      <c r="K62" s="6"/>
      <c r="L62" s="11">
        <f t="shared" si="50"/>
        <v>170</v>
      </c>
      <c r="M62" s="7" t="s">
        <v>14</v>
      </c>
      <c r="N62" s="31" t="s">
        <v>84</v>
      </c>
      <c r="O62" s="9">
        <f>11451/100</f>
        <v>114.51</v>
      </c>
      <c r="P62" s="9">
        <v>19467</v>
      </c>
      <c r="Q62" s="9"/>
      <c r="R62" s="30">
        <f t="shared" ref="R62" si="242">Q62*$L62</f>
        <v>0</v>
      </c>
      <c r="S62" s="9"/>
      <c r="T62" s="30">
        <f t="shared" ref="T62" si="243">S62*$L62</f>
        <v>0</v>
      </c>
      <c r="U62" s="9"/>
      <c r="V62" s="30">
        <f t="shared" si="43"/>
        <v>0</v>
      </c>
      <c r="W62" s="9"/>
      <c r="X62" s="30">
        <f t="shared" si="53"/>
        <v>0</v>
      </c>
      <c r="Y62" s="9"/>
      <c r="Z62" s="30">
        <f t="shared" si="54"/>
        <v>0</v>
      </c>
      <c r="AA62" s="9"/>
      <c r="AB62" s="30">
        <f t="shared" si="32"/>
        <v>0</v>
      </c>
      <c r="AC62" s="9"/>
      <c r="AD62" s="30">
        <f t="shared" si="44"/>
        <v>0</v>
      </c>
      <c r="AE62" s="9"/>
      <c r="AF62" s="30">
        <f t="shared" si="33"/>
        <v>0</v>
      </c>
      <c r="AG62" s="9">
        <f>229459/100</f>
        <v>2294.59</v>
      </c>
      <c r="AH62" s="30">
        <v>390080</v>
      </c>
      <c r="AI62" s="9">
        <f>202301/100</f>
        <v>2023.01</v>
      </c>
      <c r="AJ62" s="30">
        <v>343912</v>
      </c>
      <c r="AK62" s="9"/>
      <c r="AL62" s="30">
        <f t="shared" ref="AL62" si="244">AK62*$L62</f>
        <v>0</v>
      </c>
      <c r="AM62" s="9"/>
      <c r="AN62" s="30">
        <f t="shared" si="35"/>
        <v>0</v>
      </c>
      <c r="AO62" s="9"/>
      <c r="AP62" s="30">
        <f t="shared" si="36"/>
        <v>0</v>
      </c>
      <c r="AQ62" s="9"/>
      <c r="AR62" s="30">
        <f t="shared" si="37"/>
        <v>0</v>
      </c>
      <c r="AS62" s="9"/>
      <c r="AT62" s="30">
        <f t="shared" si="38"/>
        <v>0</v>
      </c>
      <c r="AU62" s="9"/>
      <c r="AV62" s="30">
        <f t="shared" si="39"/>
        <v>0</v>
      </c>
      <c r="AW62" s="9"/>
      <c r="AX62" s="30">
        <f t="shared" si="40"/>
        <v>0</v>
      </c>
      <c r="AY62" s="9">
        <f>2736/100</f>
        <v>27.36</v>
      </c>
      <c r="AZ62" s="30">
        <v>4651</v>
      </c>
      <c r="BA62" s="10">
        <f>434496/100</f>
        <v>4344.96</v>
      </c>
      <c r="BB62" s="31">
        <v>738643</v>
      </c>
      <c r="BC62" s="15">
        <f t="shared" si="57"/>
        <v>738643</v>
      </c>
      <c r="BD62" s="9">
        <f t="shared" si="58"/>
        <v>0</v>
      </c>
      <c r="BE62" s="28">
        <f t="shared" si="59"/>
        <v>4344.96</v>
      </c>
      <c r="BF62" s="8">
        <f t="shared" si="60"/>
        <v>0</v>
      </c>
      <c r="BG62" s="29">
        <f t="shared" si="48"/>
        <v>738643.2</v>
      </c>
      <c r="BH62" s="13">
        <f t="shared" si="61"/>
        <v>-0.19999999995343387</v>
      </c>
      <c r="BI62" s="2" t="str">
        <f t="shared" si="49"/>
        <v>erreur de calcul</v>
      </c>
      <c r="BJ62" s="2"/>
    </row>
    <row r="63" spans="1:62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49</v>
      </c>
      <c r="G63" s="31">
        <v>20</v>
      </c>
      <c r="H63" s="31" t="s">
        <v>137</v>
      </c>
      <c r="I63" s="5">
        <v>41</v>
      </c>
      <c r="J63" s="5"/>
      <c r="K63" s="6"/>
      <c r="L63" s="11">
        <f t="shared" si="50"/>
        <v>41</v>
      </c>
      <c r="M63" s="7" t="s">
        <v>14</v>
      </c>
      <c r="N63" s="31"/>
      <c r="O63" s="9"/>
      <c r="P63" s="9" t="str">
        <f t="shared" si="51"/>
        <v/>
      </c>
      <c r="Q63" s="9">
        <f>1210/100</f>
        <v>12.1</v>
      </c>
      <c r="R63" s="30">
        <v>496</v>
      </c>
      <c r="S63" s="9"/>
      <c r="T63" s="30">
        <f t="shared" ref="T63" si="245">S63*$L63</f>
        <v>0</v>
      </c>
      <c r="U63" s="9"/>
      <c r="V63" s="30">
        <f t="shared" si="43"/>
        <v>0</v>
      </c>
      <c r="W63" s="9"/>
      <c r="X63" s="30">
        <f t="shared" si="53"/>
        <v>0</v>
      </c>
      <c r="Y63" s="9"/>
      <c r="Z63" s="30">
        <f t="shared" si="54"/>
        <v>0</v>
      </c>
      <c r="AA63" s="9"/>
      <c r="AB63" s="30">
        <f t="shared" si="32"/>
        <v>0</v>
      </c>
      <c r="AC63" s="9"/>
      <c r="AD63" s="30">
        <f t="shared" si="44"/>
        <v>0</v>
      </c>
      <c r="AE63" s="9"/>
      <c r="AF63" s="30">
        <f t="shared" si="33"/>
        <v>0</v>
      </c>
      <c r="AG63" s="9"/>
      <c r="AH63" s="30">
        <f t="shared" si="45"/>
        <v>0</v>
      </c>
      <c r="AI63" s="9"/>
      <c r="AJ63" s="30">
        <f t="shared" ref="AJ63" si="246">AI63*$L63</f>
        <v>0</v>
      </c>
      <c r="AK63" s="9">
        <f>85034/100</f>
        <v>850.34</v>
      </c>
      <c r="AL63" s="30">
        <v>34864</v>
      </c>
      <c r="AM63" s="9">
        <f>1024/100</f>
        <v>10.24</v>
      </c>
      <c r="AN63" s="30">
        <v>420</v>
      </c>
      <c r="AO63" s="9"/>
      <c r="AP63" s="30">
        <f t="shared" si="36"/>
        <v>0</v>
      </c>
      <c r="AQ63" s="9"/>
      <c r="AR63" s="30">
        <f t="shared" si="37"/>
        <v>0</v>
      </c>
      <c r="AS63" s="9"/>
      <c r="AT63" s="30">
        <f t="shared" si="38"/>
        <v>0</v>
      </c>
      <c r="AU63" s="9"/>
      <c r="AV63" s="30">
        <f t="shared" si="39"/>
        <v>0</v>
      </c>
      <c r="AW63" s="9"/>
      <c r="AX63" s="30">
        <f t="shared" si="40"/>
        <v>0</v>
      </c>
      <c r="AY63" s="9"/>
      <c r="AZ63" s="30">
        <f t="shared" si="41"/>
        <v>0</v>
      </c>
      <c r="BA63" s="10">
        <f>87268/100</f>
        <v>872.68</v>
      </c>
      <c r="BB63" s="31">
        <v>35780</v>
      </c>
      <c r="BC63" s="15">
        <f t="shared" si="57"/>
        <v>35780</v>
      </c>
      <c r="BD63" s="9">
        <f t="shared" si="58"/>
        <v>0</v>
      </c>
      <c r="BE63" s="28">
        <f t="shared" si="59"/>
        <v>872.68000000000006</v>
      </c>
      <c r="BF63" s="8">
        <f t="shared" si="60"/>
        <v>0</v>
      </c>
      <c r="BG63" s="29">
        <f t="shared" si="48"/>
        <v>35779.880000000005</v>
      </c>
      <c r="BH63" s="13">
        <f t="shared" si="61"/>
        <v>0.11999999999534339</v>
      </c>
      <c r="BI63" s="2" t="str">
        <f t="shared" si="49"/>
        <v>erreur de calcul</v>
      </c>
      <c r="BJ63" s="2"/>
    </row>
    <row r="64" spans="1:62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49</v>
      </c>
      <c r="G64" s="31">
        <v>20</v>
      </c>
      <c r="H64" s="31" t="s">
        <v>138</v>
      </c>
      <c r="I64" s="5"/>
      <c r="J64" s="5"/>
      <c r="K64" s="6"/>
      <c r="L64" s="11">
        <f t="shared" si="50"/>
        <v>0</v>
      </c>
      <c r="M64" s="44" t="s">
        <v>426</v>
      </c>
      <c r="N64" s="31"/>
      <c r="O64" s="9"/>
      <c r="P64" s="9" t="str">
        <f t="shared" si="51"/>
        <v/>
      </c>
      <c r="Q64" s="9">
        <v>337</v>
      </c>
      <c r="R64" s="30">
        <v>6250</v>
      </c>
      <c r="S64" s="9"/>
      <c r="T64" s="30">
        <f t="shared" ref="T64" si="247">S64*$L64</f>
        <v>0</v>
      </c>
      <c r="U64" s="9"/>
      <c r="V64" s="30">
        <f t="shared" si="43"/>
        <v>0</v>
      </c>
      <c r="W64" s="9">
        <v>760</v>
      </c>
      <c r="X64" s="30">
        <v>18259</v>
      </c>
      <c r="Y64" s="9"/>
      <c r="Z64" s="30">
        <f t="shared" si="54"/>
        <v>0</v>
      </c>
      <c r="AA64" s="9"/>
      <c r="AB64" s="30">
        <f t="shared" si="32"/>
        <v>0</v>
      </c>
      <c r="AC64" s="9"/>
      <c r="AD64" s="30">
        <f t="shared" si="44"/>
        <v>0</v>
      </c>
      <c r="AE64" s="9"/>
      <c r="AF64" s="30">
        <f t="shared" si="33"/>
        <v>0</v>
      </c>
      <c r="AG64" s="9"/>
      <c r="AH64" s="30">
        <f t="shared" si="45"/>
        <v>0</v>
      </c>
      <c r="AI64" s="9"/>
      <c r="AJ64" s="30">
        <f t="shared" ref="AJ64" si="248">AI64*$L64</f>
        <v>0</v>
      </c>
      <c r="AK64" s="9"/>
      <c r="AL64" s="30">
        <f t="shared" ref="AL64" si="249">AK64*$L64</f>
        <v>0</v>
      </c>
      <c r="AM64" s="9"/>
      <c r="AN64" s="30">
        <f t="shared" si="35"/>
        <v>0</v>
      </c>
      <c r="AO64" s="9"/>
      <c r="AP64" s="30">
        <f t="shared" si="36"/>
        <v>0</v>
      </c>
      <c r="AQ64" s="9"/>
      <c r="AR64" s="30">
        <f t="shared" si="37"/>
        <v>0</v>
      </c>
      <c r="AS64" s="9"/>
      <c r="AT64" s="30">
        <f t="shared" si="38"/>
        <v>0</v>
      </c>
      <c r="AU64" s="9"/>
      <c r="AV64" s="30">
        <f t="shared" si="39"/>
        <v>0</v>
      </c>
      <c r="AW64" s="9"/>
      <c r="AX64" s="30">
        <f t="shared" si="40"/>
        <v>0</v>
      </c>
      <c r="AY64" s="9"/>
      <c r="AZ64" s="30">
        <f t="shared" si="41"/>
        <v>0</v>
      </c>
      <c r="BA64" s="10">
        <f>1097</f>
        <v>1097</v>
      </c>
      <c r="BB64" s="31">
        <v>24509</v>
      </c>
      <c r="BC64" s="15">
        <f t="shared" si="57"/>
        <v>24509</v>
      </c>
      <c r="BD64" s="9">
        <f t="shared" si="58"/>
        <v>0</v>
      </c>
      <c r="BE64" s="28">
        <f t="shared" si="59"/>
        <v>1097</v>
      </c>
      <c r="BF64" s="8">
        <f t="shared" si="60"/>
        <v>0</v>
      </c>
      <c r="BG64" s="29">
        <f t="shared" si="48"/>
        <v>0</v>
      </c>
      <c r="BH64" s="13">
        <f t="shared" si="61"/>
        <v>24509</v>
      </c>
      <c r="BI64" s="2" t="str">
        <f t="shared" si="49"/>
        <v>pas de prix</v>
      </c>
      <c r="BJ64" s="2" t="s">
        <v>479</v>
      </c>
    </row>
    <row r="65" spans="1:62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49</v>
      </c>
      <c r="G65" s="31">
        <v>20</v>
      </c>
      <c r="H65" s="31" t="s">
        <v>139</v>
      </c>
      <c r="I65" s="5">
        <v>28</v>
      </c>
      <c r="J65" s="5"/>
      <c r="K65" s="6"/>
      <c r="L65" s="11">
        <f t="shared" si="50"/>
        <v>28</v>
      </c>
      <c r="M65" s="7" t="s">
        <v>14</v>
      </c>
      <c r="N65" s="31"/>
      <c r="O65" s="9"/>
      <c r="P65" s="9" t="str">
        <f t="shared" si="51"/>
        <v/>
      </c>
      <c r="Q65" s="9"/>
      <c r="R65" s="30">
        <f t="shared" ref="R65" si="250">Q65*$L65</f>
        <v>0</v>
      </c>
      <c r="S65" s="9"/>
      <c r="T65" s="30">
        <f t="shared" ref="T65" si="251">S65*$L65</f>
        <v>0</v>
      </c>
      <c r="U65" s="9"/>
      <c r="V65" s="30">
        <f t="shared" si="43"/>
        <v>0</v>
      </c>
      <c r="W65" s="9"/>
      <c r="X65" s="30">
        <f t="shared" si="53"/>
        <v>0</v>
      </c>
      <c r="Y65" s="9">
        <f>2572/100</f>
        <v>25.72</v>
      </c>
      <c r="Z65" s="30">
        <v>720</v>
      </c>
      <c r="AA65" s="9"/>
      <c r="AB65" s="30">
        <f t="shared" si="32"/>
        <v>0</v>
      </c>
      <c r="AC65" s="9"/>
      <c r="AD65" s="30">
        <f t="shared" si="44"/>
        <v>0</v>
      </c>
      <c r="AE65" s="9"/>
      <c r="AF65" s="30">
        <f t="shared" si="33"/>
        <v>0</v>
      </c>
      <c r="AG65" s="9">
        <f>3367/100</f>
        <v>33.67</v>
      </c>
      <c r="AH65" s="32">
        <v>915</v>
      </c>
      <c r="AI65" s="9"/>
      <c r="AJ65" s="30">
        <f t="shared" ref="AJ65" si="252">AI65*$L65</f>
        <v>0</v>
      </c>
      <c r="AK65" s="9"/>
      <c r="AL65" s="30">
        <f t="shared" ref="AL65" si="253">AK65*$L65</f>
        <v>0</v>
      </c>
      <c r="AM65" s="9"/>
      <c r="AN65" s="30">
        <f t="shared" si="35"/>
        <v>0</v>
      </c>
      <c r="AO65" s="9"/>
      <c r="AP65" s="30">
        <f t="shared" si="36"/>
        <v>0</v>
      </c>
      <c r="AQ65" s="9"/>
      <c r="AR65" s="30">
        <f t="shared" si="37"/>
        <v>0</v>
      </c>
      <c r="AS65" s="9"/>
      <c r="AT65" s="30">
        <f t="shared" si="38"/>
        <v>0</v>
      </c>
      <c r="AU65" s="9"/>
      <c r="AV65" s="30">
        <f t="shared" si="39"/>
        <v>0</v>
      </c>
      <c r="AW65" s="9"/>
      <c r="AX65" s="30">
        <f t="shared" si="40"/>
        <v>0</v>
      </c>
      <c r="AY65" s="9"/>
      <c r="AZ65" s="30">
        <f t="shared" si="41"/>
        <v>0</v>
      </c>
      <c r="BA65" s="10">
        <f>5939/100</f>
        <v>59.39</v>
      </c>
      <c r="BB65" s="31">
        <v>1635</v>
      </c>
      <c r="BC65" s="15">
        <f t="shared" si="57"/>
        <v>1635</v>
      </c>
      <c r="BD65" s="9">
        <f t="shared" si="58"/>
        <v>0</v>
      </c>
      <c r="BE65" s="28">
        <f t="shared" si="59"/>
        <v>59.39</v>
      </c>
      <c r="BF65" s="8">
        <f t="shared" si="60"/>
        <v>0</v>
      </c>
      <c r="BG65" s="29">
        <f t="shared" si="48"/>
        <v>1662.92</v>
      </c>
      <c r="BH65" s="13">
        <f t="shared" si="61"/>
        <v>-27.920000000000073</v>
      </c>
      <c r="BI65" s="2" t="str">
        <f t="shared" si="49"/>
        <v>erreur de calcul</v>
      </c>
      <c r="BJ65" s="2"/>
    </row>
    <row r="66" spans="1:62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49</v>
      </c>
      <c r="G66" s="31">
        <v>20</v>
      </c>
      <c r="H66" s="31" t="s">
        <v>140</v>
      </c>
      <c r="I66" s="5">
        <v>50</v>
      </c>
      <c r="J66" s="5"/>
      <c r="K66" s="6"/>
      <c r="L66" s="11">
        <f t="shared" si="50"/>
        <v>50</v>
      </c>
      <c r="M66" s="7" t="s">
        <v>14</v>
      </c>
      <c r="N66" s="31"/>
      <c r="O66" s="9"/>
      <c r="P66" s="9" t="str">
        <f t="shared" si="51"/>
        <v/>
      </c>
      <c r="Q66" s="9">
        <f>79168/100</f>
        <v>791.68</v>
      </c>
      <c r="R66" s="30">
        <v>39584</v>
      </c>
      <c r="S66" s="9"/>
      <c r="T66" s="30">
        <f t="shared" ref="T66" si="254">S66*$L66</f>
        <v>0</v>
      </c>
      <c r="U66" s="9">
        <f>18545/100</f>
        <v>185.45</v>
      </c>
      <c r="V66" s="30">
        <v>9272</v>
      </c>
      <c r="W66" s="9">
        <f>10784/100</f>
        <v>107.84</v>
      </c>
      <c r="X66" s="30">
        <v>5392</v>
      </c>
      <c r="Y66" s="9">
        <f>22033/100</f>
        <v>220.33</v>
      </c>
      <c r="Z66" s="30">
        <v>11016</v>
      </c>
      <c r="AA66" s="9">
        <f>4478/100</f>
        <v>44.78</v>
      </c>
      <c r="AB66" s="30">
        <v>2239</v>
      </c>
      <c r="AC66" s="9">
        <f>8901/100</f>
        <v>89.01</v>
      </c>
      <c r="AD66" s="30">
        <v>4450</v>
      </c>
      <c r="AE66" s="9"/>
      <c r="AF66" s="30">
        <f t="shared" si="33"/>
        <v>0</v>
      </c>
      <c r="AG66" s="9"/>
      <c r="AH66" s="30">
        <f t="shared" si="45"/>
        <v>0</v>
      </c>
      <c r="AI66" s="9"/>
      <c r="AJ66" s="30">
        <f t="shared" ref="AJ66" si="255">AI66*$L66</f>
        <v>0</v>
      </c>
      <c r="AK66" s="9">
        <f>2917/100</f>
        <v>29.17</v>
      </c>
      <c r="AL66" s="30">
        <v>1458</v>
      </c>
      <c r="AM66" s="9"/>
      <c r="AN66" s="30">
        <f t="shared" si="35"/>
        <v>0</v>
      </c>
      <c r="AO66" s="9"/>
      <c r="AP66" s="30">
        <f t="shared" si="36"/>
        <v>0</v>
      </c>
      <c r="AQ66" s="9"/>
      <c r="AR66" s="30">
        <f t="shared" si="37"/>
        <v>0</v>
      </c>
      <c r="AS66" s="9"/>
      <c r="AT66" s="30">
        <f t="shared" si="38"/>
        <v>0</v>
      </c>
      <c r="AU66" s="9"/>
      <c r="AV66" s="30">
        <f t="shared" si="39"/>
        <v>0</v>
      </c>
      <c r="AW66" s="9">
        <f>6667/100</f>
        <v>66.67</v>
      </c>
      <c r="AX66" s="30">
        <v>3333</v>
      </c>
      <c r="AY66" s="9"/>
      <c r="AZ66" s="30">
        <f t="shared" si="41"/>
        <v>0</v>
      </c>
      <c r="BA66" s="10">
        <f>153493/100</f>
        <v>1534.93</v>
      </c>
      <c r="BB66" s="31">
        <v>76744</v>
      </c>
      <c r="BC66" s="15">
        <f t="shared" si="57"/>
        <v>76744</v>
      </c>
      <c r="BD66" s="9">
        <f t="shared" si="58"/>
        <v>0</v>
      </c>
      <c r="BE66" s="28">
        <f t="shared" si="59"/>
        <v>1534.9299999999998</v>
      </c>
      <c r="BF66" s="8">
        <f t="shared" si="60"/>
        <v>0</v>
      </c>
      <c r="BG66" s="29">
        <f t="shared" si="48"/>
        <v>76746.499999999985</v>
      </c>
      <c r="BH66" s="13">
        <f t="shared" si="61"/>
        <v>-2.4999999999854481</v>
      </c>
      <c r="BI66" s="2" t="str">
        <f t="shared" si="49"/>
        <v>erreur de calcul</v>
      </c>
      <c r="BJ66" s="2"/>
    </row>
    <row r="67" spans="1:62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49</v>
      </c>
      <c r="G67" s="31">
        <v>20</v>
      </c>
      <c r="H67" s="31" t="s">
        <v>141</v>
      </c>
      <c r="I67" s="5">
        <v>12</v>
      </c>
      <c r="J67" s="5"/>
      <c r="K67" s="6"/>
      <c r="L67" s="11">
        <f t="shared" si="50"/>
        <v>12</v>
      </c>
      <c r="M67" s="7" t="s">
        <v>15</v>
      </c>
      <c r="N67" s="31"/>
      <c r="O67" s="9"/>
      <c r="P67" s="9" t="str">
        <f t="shared" si="51"/>
        <v/>
      </c>
      <c r="Q67" s="9"/>
      <c r="R67" s="30">
        <f t="shared" ref="R67" si="256">Q67*$L67</f>
        <v>0</v>
      </c>
      <c r="S67" s="9"/>
      <c r="T67" s="30">
        <f t="shared" ref="T67" si="257">S67*$L67</f>
        <v>0</v>
      </c>
      <c r="U67" s="9"/>
      <c r="V67" s="30">
        <f t="shared" si="43"/>
        <v>0</v>
      </c>
      <c r="W67" s="9"/>
      <c r="X67" s="30">
        <f t="shared" si="53"/>
        <v>0</v>
      </c>
      <c r="Y67" s="9"/>
      <c r="Z67" s="30">
        <f t="shared" si="54"/>
        <v>0</v>
      </c>
      <c r="AA67" s="9">
        <v>21</v>
      </c>
      <c r="AB67" s="30">
        <v>252</v>
      </c>
      <c r="AC67" s="9">
        <v>672</v>
      </c>
      <c r="AD67" s="30">
        <v>8064</v>
      </c>
      <c r="AE67" s="9"/>
      <c r="AF67" s="30">
        <f t="shared" si="33"/>
        <v>0</v>
      </c>
      <c r="AG67" s="9"/>
      <c r="AH67" s="30">
        <f t="shared" si="45"/>
        <v>0</v>
      </c>
      <c r="AI67" s="9"/>
      <c r="AJ67" s="30">
        <f t="shared" ref="AJ67" si="258">AI67*$L67</f>
        <v>0</v>
      </c>
      <c r="AK67" s="9"/>
      <c r="AL67" s="30">
        <f t="shared" ref="AL67" si="259">AK67*$L67</f>
        <v>0</v>
      </c>
      <c r="AM67" s="9"/>
      <c r="AN67" s="30">
        <f t="shared" si="35"/>
        <v>0</v>
      </c>
      <c r="AO67" s="9"/>
      <c r="AP67" s="30">
        <f t="shared" si="36"/>
        <v>0</v>
      </c>
      <c r="AQ67" s="9"/>
      <c r="AR67" s="30">
        <f t="shared" si="37"/>
        <v>0</v>
      </c>
      <c r="AS67" s="9"/>
      <c r="AT67" s="30">
        <f t="shared" si="38"/>
        <v>0</v>
      </c>
      <c r="AU67" s="9"/>
      <c r="AV67" s="30">
        <f t="shared" si="39"/>
        <v>0</v>
      </c>
      <c r="AW67" s="9"/>
      <c r="AX67" s="30">
        <f t="shared" si="40"/>
        <v>0</v>
      </c>
      <c r="AY67" s="9"/>
      <c r="AZ67" s="30">
        <f t="shared" si="41"/>
        <v>0</v>
      </c>
      <c r="BA67" s="10">
        <v>693</v>
      </c>
      <c r="BB67" s="31">
        <v>8316</v>
      </c>
      <c r="BC67" s="15">
        <f t="shared" si="57"/>
        <v>8316</v>
      </c>
      <c r="BD67" s="9">
        <f t="shared" si="58"/>
        <v>0</v>
      </c>
      <c r="BE67" s="28">
        <f t="shared" si="59"/>
        <v>693</v>
      </c>
      <c r="BF67" s="8">
        <f t="shared" si="60"/>
        <v>0</v>
      </c>
      <c r="BG67" s="29">
        <f t="shared" si="48"/>
        <v>8316</v>
      </c>
      <c r="BH67" s="13">
        <f t="shared" si="61"/>
        <v>0</v>
      </c>
      <c r="BI67" s="2" t="str">
        <f t="shared" si="49"/>
        <v/>
      </c>
      <c r="BJ67" s="2"/>
    </row>
    <row r="68" spans="1:62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49</v>
      </c>
      <c r="G68" s="31">
        <v>20</v>
      </c>
      <c r="H68" s="31" t="s">
        <v>142</v>
      </c>
      <c r="I68" s="5">
        <v>8</v>
      </c>
      <c r="J68" s="5"/>
      <c r="K68" s="6"/>
      <c r="L68" s="11">
        <f t="shared" si="50"/>
        <v>8</v>
      </c>
      <c r="M68" s="7" t="s">
        <v>46</v>
      </c>
      <c r="N68" s="31"/>
      <c r="O68" s="9"/>
      <c r="P68" s="9" t="str">
        <f t="shared" si="51"/>
        <v/>
      </c>
      <c r="Q68" s="9">
        <f>74969/100</f>
        <v>749.69</v>
      </c>
      <c r="R68" s="30">
        <v>5997</v>
      </c>
      <c r="S68" s="9"/>
      <c r="T68" s="30">
        <f t="shared" ref="T68" si="260">S68*$L68</f>
        <v>0</v>
      </c>
      <c r="U68" s="9">
        <f>58256/100</f>
        <v>582.55999999999995</v>
      </c>
      <c r="V68" s="30">
        <v>4660</v>
      </c>
      <c r="W68" s="9">
        <f>14450/100</f>
        <v>144.5</v>
      </c>
      <c r="X68" s="30">
        <v>1156</v>
      </c>
      <c r="Y68" s="9">
        <f>4397/100</f>
        <v>43.97</v>
      </c>
      <c r="Z68" s="30">
        <v>352</v>
      </c>
      <c r="AA68" s="9"/>
      <c r="AB68" s="30">
        <f t="shared" si="32"/>
        <v>0</v>
      </c>
      <c r="AC68" s="9">
        <f>6400/100</f>
        <v>64</v>
      </c>
      <c r="AD68" s="30">
        <v>512</v>
      </c>
      <c r="AE68" s="9">
        <f>19450/100</f>
        <v>194.5</v>
      </c>
      <c r="AF68" s="30">
        <v>1556</v>
      </c>
      <c r="AG68" s="9">
        <f>2496/100</f>
        <v>24.96</v>
      </c>
      <c r="AH68" s="30">
        <v>200</v>
      </c>
      <c r="AI68" s="9"/>
      <c r="AJ68" s="30">
        <f t="shared" ref="AJ68" si="261">AI68*$L68</f>
        <v>0</v>
      </c>
      <c r="AK68" s="9"/>
      <c r="AL68" s="30">
        <f t="shared" ref="AL68" si="262">AK68*$L68</f>
        <v>0</v>
      </c>
      <c r="AM68" s="9"/>
      <c r="AN68" s="30">
        <f t="shared" si="35"/>
        <v>0</v>
      </c>
      <c r="AO68" s="9"/>
      <c r="AP68" s="30">
        <f t="shared" si="36"/>
        <v>0</v>
      </c>
      <c r="AQ68" s="9"/>
      <c r="AR68" s="30">
        <f t="shared" si="37"/>
        <v>0</v>
      </c>
      <c r="AS68" s="9"/>
      <c r="AT68" s="30">
        <f t="shared" si="38"/>
        <v>0</v>
      </c>
      <c r="AU68" s="9"/>
      <c r="AV68" s="30">
        <f t="shared" si="39"/>
        <v>0</v>
      </c>
      <c r="AW68" s="9"/>
      <c r="AX68" s="30">
        <f t="shared" si="40"/>
        <v>0</v>
      </c>
      <c r="AY68" s="9"/>
      <c r="AZ68" s="30">
        <f t="shared" si="41"/>
        <v>0</v>
      </c>
      <c r="BA68" s="10">
        <f>180418/100</f>
        <v>1804.18</v>
      </c>
      <c r="BB68" s="31">
        <v>14433</v>
      </c>
      <c r="BC68" s="15">
        <f t="shared" si="57"/>
        <v>14433</v>
      </c>
      <c r="BD68" s="9">
        <f t="shared" si="58"/>
        <v>0</v>
      </c>
      <c r="BE68" s="28">
        <f t="shared" si="59"/>
        <v>1804.18</v>
      </c>
      <c r="BF68" s="8">
        <f t="shared" si="60"/>
        <v>0</v>
      </c>
      <c r="BG68" s="29">
        <f t="shared" si="48"/>
        <v>14433.44</v>
      </c>
      <c r="BH68" s="13">
        <f t="shared" si="61"/>
        <v>-0.44000000000050932</v>
      </c>
      <c r="BI68" s="2" t="str">
        <f t="shared" si="49"/>
        <v>erreur de calcul</v>
      </c>
      <c r="BJ68" s="2"/>
    </row>
    <row r="69" spans="1:62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49</v>
      </c>
      <c r="G69" s="31">
        <v>20</v>
      </c>
      <c r="H69" s="31" t="s">
        <v>143</v>
      </c>
      <c r="I69" s="5">
        <v>3</v>
      </c>
      <c r="J69" s="5"/>
      <c r="K69" s="6"/>
      <c r="L69" s="11">
        <f t="shared" si="50"/>
        <v>3</v>
      </c>
      <c r="M69" s="7" t="s">
        <v>15</v>
      </c>
      <c r="N69" s="31"/>
      <c r="O69" s="9"/>
      <c r="P69" s="9" t="str">
        <f t="shared" si="51"/>
        <v/>
      </c>
      <c r="Q69" s="9"/>
      <c r="R69" s="30">
        <f t="shared" ref="R69" si="263">Q69*$L69</f>
        <v>0</v>
      </c>
      <c r="S69" s="9"/>
      <c r="T69" s="30">
        <f t="shared" ref="T69" si="264">S69*$L69</f>
        <v>0</v>
      </c>
      <c r="U69" s="9">
        <v>24347</v>
      </c>
      <c r="V69" s="30">
        <v>73041</v>
      </c>
      <c r="W69" s="9">
        <v>2300</v>
      </c>
      <c r="X69" s="30">
        <v>6900</v>
      </c>
      <c r="Y69" s="9">
        <v>152</v>
      </c>
      <c r="Z69" s="30">
        <v>456</v>
      </c>
      <c r="AA69" s="9"/>
      <c r="AB69" s="30">
        <f t="shared" ref="AB69:AB132" si="265">AA69*$L69</f>
        <v>0</v>
      </c>
      <c r="AC69" s="9">
        <v>53940</v>
      </c>
      <c r="AD69" s="30">
        <v>161820</v>
      </c>
      <c r="AE69" s="9"/>
      <c r="AF69" s="30">
        <f t="shared" ref="AF69:AF132" si="266">AE69*$L69</f>
        <v>0</v>
      </c>
      <c r="AG69" s="9"/>
      <c r="AH69" s="30">
        <f t="shared" ref="AH69:AH132" si="267">AG69*$L69</f>
        <v>0</v>
      </c>
      <c r="AI69" s="9">
        <v>1668909</v>
      </c>
      <c r="AJ69" s="30">
        <v>5006727</v>
      </c>
      <c r="AK69" s="9"/>
      <c r="AL69" s="30">
        <f t="shared" ref="AL69" si="268">AK69*$L69</f>
        <v>0</v>
      </c>
      <c r="AM69" s="9"/>
      <c r="AN69" s="30">
        <f t="shared" ref="AN69:AN132" si="269">AM69*$L69</f>
        <v>0</v>
      </c>
      <c r="AO69" s="9">
        <v>165</v>
      </c>
      <c r="AP69" s="30">
        <v>495</v>
      </c>
      <c r="AQ69" s="9"/>
      <c r="AR69" s="30">
        <f t="shared" ref="AR69:AR132" si="270">AQ69*$L69</f>
        <v>0</v>
      </c>
      <c r="AS69" s="9"/>
      <c r="AT69" s="30">
        <f t="shared" ref="AT69:AT132" si="271">AS69*$L69</f>
        <v>0</v>
      </c>
      <c r="AU69" s="9"/>
      <c r="AV69" s="30">
        <f t="shared" ref="AV69:AV132" si="272">AU69*$L69</f>
        <v>0</v>
      </c>
      <c r="AW69" s="9"/>
      <c r="AX69" s="30">
        <f t="shared" ref="AX69:AX132" si="273">AW69*$L69</f>
        <v>0</v>
      </c>
      <c r="AY69" s="9"/>
      <c r="AZ69" s="30">
        <f t="shared" ref="AZ69:AZ132" si="274">AY69*$L69</f>
        <v>0</v>
      </c>
      <c r="BA69" s="10">
        <v>1736540</v>
      </c>
      <c r="BB69" s="31">
        <v>5249439</v>
      </c>
      <c r="BC69" s="15">
        <f t="shared" si="57"/>
        <v>5249439</v>
      </c>
      <c r="BD69" s="9">
        <f t="shared" si="58"/>
        <v>0</v>
      </c>
      <c r="BE69" s="28">
        <f t="shared" si="59"/>
        <v>1749813</v>
      </c>
      <c r="BF69" s="8">
        <f t="shared" si="60"/>
        <v>-13273</v>
      </c>
      <c r="BG69" s="29">
        <f t="shared" si="48"/>
        <v>5249439</v>
      </c>
      <c r="BH69" s="13">
        <f t="shared" si="61"/>
        <v>0</v>
      </c>
      <c r="BI69" s="2" t="str">
        <f t="shared" si="49"/>
        <v/>
      </c>
      <c r="BJ69" s="2"/>
    </row>
    <row r="70" spans="1:62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49</v>
      </c>
      <c r="G70" s="31">
        <v>20</v>
      </c>
      <c r="H70" s="31" t="s">
        <v>144</v>
      </c>
      <c r="I70" s="5">
        <v>4</v>
      </c>
      <c r="J70" s="5">
        <v>18</v>
      </c>
      <c r="K70" s="6"/>
      <c r="L70" s="11">
        <f t="shared" si="50"/>
        <v>4.9000000000000004</v>
      </c>
      <c r="M70" s="7" t="s">
        <v>15</v>
      </c>
      <c r="N70" s="31"/>
      <c r="O70" s="9"/>
      <c r="P70" s="9" t="str">
        <f t="shared" si="51"/>
        <v/>
      </c>
      <c r="Q70" s="9"/>
      <c r="R70" s="30">
        <f t="shared" ref="R70" si="275">Q70*$L70</f>
        <v>0</v>
      </c>
      <c r="S70" s="9"/>
      <c r="T70" s="30">
        <f t="shared" ref="T70" si="276">S70*$L70</f>
        <v>0</v>
      </c>
      <c r="U70" s="9"/>
      <c r="V70" s="30">
        <f t="shared" ref="V70:V132" si="277">U70*$L70</f>
        <v>0</v>
      </c>
      <c r="W70" s="9"/>
      <c r="X70" s="30">
        <f t="shared" ref="X70:X132" si="278">W70*$L70</f>
        <v>0</v>
      </c>
      <c r="Y70" s="9"/>
      <c r="Z70" s="30">
        <f t="shared" ref="Z70:Z132" si="279">Y70*$L70</f>
        <v>0</v>
      </c>
      <c r="AA70" s="9"/>
      <c r="AB70" s="30">
        <f t="shared" si="265"/>
        <v>0</v>
      </c>
      <c r="AC70" s="9"/>
      <c r="AD70" s="30">
        <f t="shared" ref="AD70:AD132" si="280">AC70*$L70</f>
        <v>0</v>
      </c>
      <c r="AE70" s="9"/>
      <c r="AF70" s="30">
        <f t="shared" si="266"/>
        <v>0</v>
      </c>
      <c r="AG70" s="9"/>
      <c r="AH70" s="30">
        <f t="shared" si="267"/>
        <v>0</v>
      </c>
      <c r="AI70" s="9">
        <v>14916</v>
      </c>
      <c r="AJ70" s="30">
        <v>73088</v>
      </c>
      <c r="AK70" s="9"/>
      <c r="AL70" s="30">
        <f t="shared" ref="AL70" si="281">AK70*$L70</f>
        <v>0</v>
      </c>
      <c r="AM70" s="9"/>
      <c r="AN70" s="30">
        <f t="shared" si="269"/>
        <v>0</v>
      </c>
      <c r="AO70" s="9"/>
      <c r="AP70" s="30">
        <f t="shared" ref="AP70:AP132" si="282">AO70*$L70</f>
        <v>0</v>
      </c>
      <c r="AQ70" s="9"/>
      <c r="AR70" s="30">
        <f t="shared" si="270"/>
        <v>0</v>
      </c>
      <c r="AS70" s="9"/>
      <c r="AT70" s="30">
        <f t="shared" si="271"/>
        <v>0</v>
      </c>
      <c r="AU70" s="9"/>
      <c r="AV70" s="30">
        <f t="shared" si="272"/>
        <v>0</v>
      </c>
      <c r="AW70" s="9"/>
      <c r="AX70" s="30">
        <f t="shared" si="273"/>
        <v>0</v>
      </c>
      <c r="AY70" s="9"/>
      <c r="AZ70" s="30">
        <f t="shared" si="274"/>
        <v>0</v>
      </c>
      <c r="BA70" s="10">
        <v>14916</v>
      </c>
      <c r="BB70" s="31">
        <v>73088</v>
      </c>
      <c r="BC70" s="15">
        <f t="shared" si="57"/>
        <v>73088</v>
      </c>
      <c r="BD70" s="9">
        <f t="shared" si="58"/>
        <v>0</v>
      </c>
      <c r="BE70" s="28">
        <f t="shared" si="59"/>
        <v>14916</v>
      </c>
      <c r="BF70" s="8">
        <f t="shared" si="60"/>
        <v>0</v>
      </c>
      <c r="BG70" s="29">
        <f t="shared" ref="BG70:BG133" si="283">BE70*L70</f>
        <v>73088.400000000009</v>
      </c>
      <c r="BH70" s="13">
        <f t="shared" si="61"/>
        <v>-0.40000000000873115</v>
      </c>
      <c r="BI70" s="2" t="str">
        <f t="shared" ref="BI70:BI133" si="284">IF(BH70=0,"",IF(BH70&lt;&gt;BB70,"erreur de calcul",IF(BE70&lt;&gt;0,"pas de prix",IF(L70&lt;&gt; 0,"pas de quantité","pas de prix, ni de quantité"))))</f>
        <v>erreur de calcul</v>
      </c>
      <c r="BJ70" s="2"/>
    </row>
    <row r="71" spans="1:62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49</v>
      </c>
      <c r="G71" s="31">
        <v>20</v>
      </c>
      <c r="H71" s="31" t="s">
        <v>145</v>
      </c>
      <c r="I71" s="5">
        <v>126</v>
      </c>
      <c r="J71" s="5"/>
      <c r="K71" s="6"/>
      <c r="L71" s="11"/>
      <c r="M71" s="7" t="s">
        <v>15</v>
      </c>
      <c r="N71" s="31" t="s">
        <v>18</v>
      </c>
      <c r="O71" s="9">
        <v>9641</v>
      </c>
      <c r="P71" s="9">
        <v>12148</v>
      </c>
      <c r="Q71" s="9"/>
      <c r="R71" s="30">
        <f t="shared" ref="R71" si="285">Q71*$L71</f>
        <v>0</v>
      </c>
      <c r="S71" s="9">
        <v>82676</v>
      </c>
      <c r="T71" s="30">
        <v>28572</v>
      </c>
      <c r="U71" s="9"/>
      <c r="V71" s="30">
        <f t="shared" si="277"/>
        <v>0</v>
      </c>
      <c r="W71" s="9"/>
      <c r="X71" s="30">
        <f t="shared" si="278"/>
        <v>0</v>
      </c>
      <c r="Y71" s="9"/>
      <c r="Z71" s="30">
        <f t="shared" si="279"/>
        <v>0</v>
      </c>
      <c r="AA71" s="9"/>
      <c r="AB71" s="30">
        <f t="shared" si="265"/>
        <v>0</v>
      </c>
      <c r="AC71" s="9"/>
      <c r="AD71" s="30">
        <f t="shared" si="280"/>
        <v>0</v>
      </c>
      <c r="AE71" s="9"/>
      <c r="AF71" s="30">
        <f t="shared" si="266"/>
        <v>0</v>
      </c>
      <c r="AG71" s="9"/>
      <c r="AH71" s="30">
        <f t="shared" si="267"/>
        <v>0</v>
      </c>
      <c r="AI71" s="9">
        <v>6408925</v>
      </c>
      <c r="AJ71" s="30">
        <v>8075245</v>
      </c>
      <c r="AK71" s="9"/>
      <c r="AL71" s="30">
        <f t="shared" ref="AL71" si="286">AK71*$L71</f>
        <v>0</v>
      </c>
      <c r="AM71" s="9"/>
      <c r="AN71" s="30">
        <f t="shared" si="269"/>
        <v>0</v>
      </c>
      <c r="AO71" s="9"/>
      <c r="AP71" s="30">
        <f t="shared" si="282"/>
        <v>0</v>
      </c>
      <c r="AQ71" s="9"/>
      <c r="AR71" s="30">
        <f t="shared" si="270"/>
        <v>0</v>
      </c>
      <c r="AS71" s="9"/>
      <c r="AT71" s="30">
        <f t="shared" si="271"/>
        <v>0</v>
      </c>
      <c r="AU71" s="9"/>
      <c r="AV71" s="30">
        <f t="shared" si="272"/>
        <v>0</v>
      </c>
      <c r="AW71" s="9"/>
      <c r="AX71" s="30">
        <f t="shared" si="273"/>
        <v>0</v>
      </c>
      <c r="AY71" s="9"/>
      <c r="AZ71" s="30">
        <f t="shared" si="274"/>
        <v>0</v>
      </c>
      <c r="BA71" s="31">
        <v>6431601</v>
      </c>
      <c r="BB71" s="31">
        <v>8103817</v>
      </c>
      <c r="BC71" s="15">
        <f t="shared" ref="BC71:BC134" si="287">SUM(R71,T71,V71,X71,Z71,AB71,AD71,AF71,AH71,AJ71,AL71,AN71,AP71,AR71,AT71,AV71,AX71,AZ71)</f>
        <v>8103817</v>
      </c>
      <c r="BD71" s="9">
        <f t="shared" ref="BD71:BD134" si="288">BB71-BC71</f>
        <v>0</v>
      </c>
      <c r="BE71" s="28">
        <f t="shared" ref="BE71:BE134" si="289">SUM(Q71,S71,U71,W71,Y71,AA71,AC71,AE71,AG71,AI71,AK71,AM71,AO71,AQ71,AS71,AU71,AW71,AY71)</f>
        <v>6491601</v>
      </c>
      <c r="BF71" s="8">
        <f t="shared" ref="BF71:BF134" si="290">BA71-BE71</f>
        <v>-60000</v>
      </c>
      <c r="BG71" s="29">
        <f t="shared" si="283"/>
        <v>0</v>
      </c>
      <c r="BH71" s="13">
        <f t="shared" ref="BH71:BH134" si="291">BB71-BG71</f>
        <v>8103817</v>
      </c>
      <c r="BI71" s="2" t="str">
        <f t="shared" si="284"/>
        <v>pas de prix</v>
      </c>
      <c r="BJ71" s="2" t="s">
        <v>478</v>
      </c>
    </row>
    <row r="72" spans="1:62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49</v>
      </c>
      <c r="G72" s="31">
        <v>20</v>
      </c>
      <c r="H72" s="31" t="s">
        <v>146</v>
      </c>
      <c r="I72" s="5"/>
      <c r="J72" s="5">
        <v>20</v>
      </c>
      <c r="K72" s="6"/>
      <c r="L72" s="11">
        <f t="shared" ref="L72:L134" si="292">I72+(J72/20)+(K72/240)</f>
        <v>1</v>
      </c>
      <c r="M72" s="7" t="s">
        <v>15</v>
      </c>
      <c r="N72" s="31"/>
      <c r="O72" s="9"/>
      <c r="P72" s="9" t="str">
        <f t="shared" ref="P72:P134" si="293">IF(N72&lt;&gt;"",O72*L72,"")</f>
        <v/>
      </c>
      <c r="Q72" s="9"/>
      <c r="R72" s="30">
        <f t="shared" ref="R72" si="294">Q72*$L72</f>
        <v>0</v>
      </c>
      <c r="S72" s="9"/>
      <c r="T72" s="30">
        <f t="shared" ref="T72" si="295">S72*$L72</f>
        <v>0</v>
      </c>
      <c r="U72" s="9">
        <v>392</v>
      </c>
      <c r="V72" s="30">
        <v>392</v>
      </c>
      <c r="W72" s="9"/>
      <c r="X72" s="30">
        <f t="shared" si="278"/>
        <v>0</v>
      </c>
      <c r="Y72" s="9"/>
      <c r="Z72" s="30">
        <f t="shared" si="279"/>
        <v>0</v>
      </c>
      <c r="AA72" s="9"/>
      <c r="AB72" s="30">
        <f t="shared" si="265"/>
        <v>0</v>
      </c>
      <c r="AC72" s="9">
        <v>7596</v>
      </c>
      <c r="AD72" s="30">
        <v>7596</v>
      </c>
      <c r="AE72" s="9"/>
      <c r="AF72" s="30">
        <f t="shared" si="266"/>
        <v>0</v>
      </c>
      <c r="AG72" s="9"/>
      <c r="AH72" s="30">
        <f t="shared" si="267"/>
        <v>0</v>
      </c>
      <c r="AI72" s="9"/>
      <c r="AJ72" s="30">
        <f t="shared" ref="AJ72" si="296">AI72*$L72</f>
        <v>0</v>
      </c>
      <c r="AK72" s="9"/>
      <c r="AL72" s="30">
        <f t="shared" ref="AL72" si="297">AK72*$L72</f>
        <v>0</v>
      </c>
      <c r="AM72" s="9"/>
      <c r="AN72" s="30">
        <f t="shared" si="269"/>
        <v>0</v>
      </c>
      <c r="AO72" s="9"/>
      <c r="AP72" s="30">
        <f t="shared" si="282"/>
        <v>0</v>
      </c>
      <c r="AQ72" s="9"/>
      <c r="AR72" s="30">
        <f t="shared" si="270"/>
        <v>0</v>
      </c>
      <c r="AS72" s="9"/>
      <c r="AT72" s="30">
        <f t="shared" si="271"/>
        <v>0</v>
      </c>
      <c r="AU72" s="9"/>
      <c r="AV72" s="30">
        <f t="shared" si="272"/>
        <v>0</v>
      </c>
      <c r="AW72" s="9"/>
      <c r="AX72" s="30">
        <f t="shared" si="273"/>
        <v>0</v>
      </c>
      <c r="AY72" s="9"/>
      <c r="AZ72" s="30">
        <f t="shared" si="274"/>
        <v>0</v>
      </c>
      <c r="BA72" s="10">
        <v>7988</v>
      </c>
      <c r="BB72" s="31">
        <v>7988</v>
      </c>
      <c r="BC72" s="15">
        <f t="shared" si="287"/>
        <v>7988</v>
      </c>
      <c r="BD72" s="9">
        <f t="shared" si="288"/>
        <v>0</v>
      </c>
      <c r="BE72" s="28">
        <f t="shared" si="289"/>
        <v>7988</v>
      </c>
      <c r="BF72" s="8">
        <f t="shared" si="290"/>
        <v>0</v>
      </c>
      <c r="BG72" s="29">
        <f t="shared" si="283"/>
        <v>7988</v>
      </c>
      <c r="BH72" s="13">
        <f t="shared" si="291"/>
        <v>0</v>
      </c>
      <c r="BI72" s="2" t="str">
        <f t="shared" si="284"/>
        <v/>
      </c>
      <c r="BJ72" s="2"/>
    </row>
    <row r="73" spans="1:62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49</v>
      </c>
      <c r="G73" s="31">
        <v>20</v>
      </c>
      <c r="H73" s="31" t="s">
        <v>147</v>
      </c>
      <c r="I73" s="5">
        <v>70</v>
      </c>
      <c r="J73" s="5"/>
      <c r="K73" s="6"/>
      <c r="L73" s="11">
        <f t="shared" si="292"/>
        <v>70</v>
      </c>
      <c r="M73" s="7" t="s">
        <v>14</v>
      </c>
      <c r="N73" s="31"/>
      <c r="O73" s="9"/>
      <c r="P73" s="9" t="str">
        <f t="shared" si="293"/>
        <v/>
      </c>
      <c r="Q73" s="9"/>
      <c r="R73" s="30">
        <f t="shared" ref="R73" si="298">Q73*$L73</f>
        <v>0</v>
      </c>
      <c r="S73" s="9"/>
      <c r="T73" s="30">
        <f t="shared" ref="T73" si="299">S73*$L73</f>
        <v>0</v>
      </c>
      <c r="U73" s="9"/>
      <c r="V73" s="30">
        <f t="shared" si="277"/>
        <v>0</v>
      </c>
      <c r="W73" s="9"/>
      <c r="X73" s="30">
        <f t="shared" si="278"/>
        <v>0</v>
      </c>
      <c r="Y73" s="9">
        <f>1904/100</f>
        <v>19.04</v>
      </c>
      <c r="Z73" s="30">
        <v>1333</v>
      </c>
      <c r="AA73" s="9"/>
      <c r="AB73" s="30">
        <f t="shared" si="265"/>
        <v>0</v>
      </c>
      <c r="AC73" s="9">
        <f>51370/100</f>
        <v>513.70000000000005</v>
      </c>
      <c r="AD73" s="30">
        <v>35959</v>
      </c>
      <c r="AE73" s="9"/>
      <c r="AF73" s="30">
        <f t="shared" si="266"/>
        <v>0</v>
      </c>
      <c r="AG73" s="9">
        <f>8872/100</f>
        <v>88.72</v>
      </c>
      <c r="AH73" s="30">
        <v>6210</v>
      </c>
      <c r="AI73" s="9">
        <f>14751/100</f>
        <v>147.51</v>
      </c>
      <c r="AJ73" s="30">
        <v>10326</v>
      </c>
      <c r="AK73" s="9"/>
      <c r="AL73" s="30">
        <f t="shared" ref="AL73" si="300">AK73*$L73</f>
        <v>0</v>
      </c>
      <c r="AM73" s="9"/>
      <c r="AN73" s="30">
        <f t="shared" si="269"/>
        <v>0</v>
      </c>
      <c r="AO73" s="9"/>
      <c r="AP73" s="30">
        <f t="shared" si="282"/>
        <v>0</v>
      </c>
      <c r="AQ73" s="9"/>
      <c r="AR73" s="30">
        <f t="shared" si="270"/>
        <v>0</v>
      </c>
      <c r="AS73" s="9"/>
      <c r="AT73" s="30">
        <f t="shared" si="271"/>
        <v>0</v>
      </c>
      <c r="AU73" s="9"/>
      <c r="AV73" s="30">
        <f t="shared" si="272"/>
        <v>0</v>
      </c>
      <c r="AW73" s="9"/>
      <c r="AX73" s="30">
        <f t="shared" si="273"/>
        <v>0</v>
      </c>
      <c r="AY73" s="9"/>
      <c r="AZ73" s="30">
        <f t="shared" si="274"/>
        <v>0</v>
      </c>
      <c r="BA73" s="10">
        <f>76897/100</f>
        <v>768.97</v>
      </c>
      <c r="BB73" s="31">
        <v>53828</v>
      </c>
      <c r="BC73" s="15">
        <f t="shared" si="287"/>
        <v>53828</v>
      </c>
      <c r="BD73" s="9">
        <f t="shared" si="288"/>
        <v>0</v>
      </c>
      <c r="BE73" s="28">
        <f t="shared" si="289"/>
        <v>768.97</v>
      </c>
      <c r="BF73" s="8">
        <f t="shared" si="290"/>
        <v>0</v>
      </c>
      <c r="BG73" s="29">
        <f t="shared" si="283"/>
        <v>53827.9</v>
      </c>
      <c r="BH73" s="13">
        <f t="shared" si="291"/>
        <v>9.9999999998544808E-2</v>
      </c>
      <c r="BI73" s="2" t="str">
        <f t="shared" si="284"/>
        <v>erreur de calcul</v>
      </c>
      <c r="BJ73" s="2"/>
    </row>
    <row r="74" spans="1:62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49</v>
      </c>
      <c r="G74" s="31">
        <v>20</v>
      </c>
      <c r="H74" s="31" t="s">
        <v>148</v>
      </c>
      <c r="I74" s="5">
        <v>70</v>
      </c>
      <c r="J74" s="5"/>
      <c r="K74" s="6"/>
      <c r="L74" s="11">
        <f t="shared" si="292"/>
        <v>70</v>
      </c>
      <c r="M74" s="7" t="s">
        <v>14</v>
      </c>
      <c r="N74" s="31" t="s">
        <v>84</v>
      </c>
      <c r="O74" s="9">
        <f>115178/100</f>
        <v>1151.78</v>
      </c>
      <c r="P74" s="9">
        <v>80625</v>
      </c>
      <c r="Q74" s="9"/>
      <c r="R74" s="30">
        <f t="shared" ref="R74" si="301">Q74*$L74</f>
        <v>0</v>
      </c>
      <c r="S74" s="9"/>
      <c r="T74" s="30">
        <f t="shared" ref="T74" si="302">S74*$L74</f>
        <v>0</v>
      </c>
      <c r="U74" s="9"/>
      <c r="V74" s="30">
        <f t="shared" si="277"/>
        <v>0</v>
      </c>
      <c r="W74" s="9"/>
      <c r="X74" s="30">
        <f t="shared" si="278"/>
        <v>0</v>
      </c>
      <c r="Y74" s="9"/>
      <c r="Z74" s="30">
        <f t="shared" si="279"/>
        <v>0</v>
      </c>
      <c r="AA74" s="9"/>
      <c r="AB74" s="30">
        <f t="shared" si="265"/>
        <v>0</v>
      </c>
      <c r="AC74" s="9"/>
      <c r="AD74" s="30">
        <f t="shared" si="280"/>
        <v>0</v>
      </c>
      <c r="AE74" s="9"/>
      <c r="AF74" s="30">
        <f t="shared" si="266"/>
        <v>0</v>
      </c>
      <c r="AG74" s="9"/>
      <c r="AH74" s="30">
        <f t="shared" si="267"/>
        <v>0</v>
      </c>
      <c r="AI74" s="9"/>
      <c r="AJ74" s="30">
        <f t="shared" ref="AJ74" si="303">AI74*$L74</f>
        <v>0</v>
      </c>
      <c r="AK74" s="9"/>
      <c r="AL74" s="30">
        <f t="shared" ref="AL74" si="304">AK74*$L74</f>
        <v>0</v>
      </c>
      <c r="AM74" s="9"/>
      <c r="AN74" s="30">
        <f t="shared" si="269"/>
        <v>0</v>
      </c>
      <c r="AO74" s="9"/>
      <c r="AP74" s="30">
        <f t="shared" si="282"/>
        <v>0</v>
      </c>
      <c r="AQ74" s="9"/>
      <c r="AR74" s="30">
        <f t="shared" si="270"/>
        <v>0</v>
      </c>
      <c r="AS74" s="9"/>
      <c r="AT74" s="30">
        <f t="shared" si="271"/>
        <v>0</v>
      </c>
      <c r="AU74" s="9"/>
      <c r="AV74" s="30">
        <f t="shared" si="272"/>
        <v>0</v>
      </c>
      <c r="AW74" s="9"/>
      <c r="AX74" s="30">
        <f t="shared" si="273"/>
        <v>0</v>
      </c>
      <c r="AY74" s="9"/>
      <c r="AZ74" s="30">
        <f t="shared" si="274"/>
        <v>0</v>
      </c>
      <c r="BA74" s="10"/>
      <c r="BB74" s="31"/>
      <c r="BC74" s="15">
        <f t="shared" si="287"/>
        <v>0</v>
      </c>
      <c r="BD74" s="9">
        <f t="shared" si="288"/>
        <v>0</v>
      </c>
      <c r="BE74" s="28">
        <f t="shared" si="289"/>
        <v>0</v>
      </c>
      <c r="BF74" s="8">
        <f t="shared" si="290"/>
        <v>0</v>
      </c>
      <c r="BG74" s="29">
        <f t="shared" si="283"/>
        <v>0</v>
      </c>
      <c r="BH74" s="13">
        <f t="shared" si="291"/>
        <v>0</v>
      </c>
      <c r="BI74" s="2" t="str">
        <f t="shared" si="284"/>
        <v/>
      </c>
      <c r="BJ74" s="2"/>
    </row>
    <row r="75" spans="1:62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49</v>
      </c>
      <c r="G75" s="31">
        <v>20</v>
      </c>
      <c r="H75" s="31" t="s">
        <v>148</v>
      </c>
      <c r="I75" s="5">
        <v>70</v>
      </c>
      <c r="J75" s="5"/>
      <c r="K75" s="6"/>
      <c r="L75" s="11">
        <f t="shared" si="292"/>
        <v>70</v>
      </c>
      <c r="M75" s="7" t="s">
        <v>14</v>
      </c>
      <c r="N75" s="31" t="s">
        <v>18</v>
      </c>
      <c r="O75" s="9">
        <f>9840/100</f>
        <v>98.4</v>
      </c>
      <c r="P75" s="9">
        <v>6888</v>
      </c>
      <c r="Q75" s="9">
        <f>382028/100</f>
        <v>3820.28</v>
      </c>
      <c r="R75" s="30">
        <v>267420</v>
      </c>
      <c r="S75" s="9">
        <f>131361/100</f>
        <v>1313.61</v>
      </c>
      <c r="T75" s="30">
        <v>91953</v>
      </c>
      <c r="U75" s="9">
        <f>8856/100</f>
        <v>88.56</v>
      </c>
      <c r="V75" s="30">
        <v>6199</v>
      </c>
      <c r="W75" s="9">
        <f>171125/100</f>
        <v>1711.25</v>
      </c>
      <c r="X75" s="30">
        <v>119787</v>
      </c>
      <c r="Y75" s="9">
        <f>24259/100</f>
        <v>242.59</v>
      </c>
      <c r="Z75" s="30">
        <v>16981</v>
      </c>
      <c r="AA75" s="9"/>
      <c r="AB75" s="30">
        <f t="shared" si="265"/>
        <v>0</v>
      </c>
      <c r="AC75" s="9">
        <f>33694/100</f>
        <v>336.94</v>
      </c>
      <c r="AD75" s="30">
        <v>23586</v>
      </c>
      <c r="AE75" s="9">
        <f>89734/100</f>
        <v>897.34</v>
      </c>
      <c r="AF75" s="30">
        <v>62814</v>
      </c>
      <c r="AG75" s="9">
        <f>1955727/100</f>
        <v>19557.27</v>
      </c>
      <c r="AH75" s="30">
        <v>1369009</v>
      </c>
      <c r="AI75" s="9">
        <f>11740/100</f>
        <v>117.4</v>
      </c>
      <c r="AJ75" s="30">
        <v>8218</v>
      </c>
      <c r="AK75" s="9"/>
      <c r="AL75" s="30">
        <f t="shared" ref="AL75" si="305">AK75*$L75</f>
        <v>0</v>
      </c>
      <c r="AM75" s="9"/>
      <c r="AN75" s="30">
        <f t="shared" si="269"/>
        <v>0</v>
      </c>
      <c r="AO75" s="9"/>
      <c r="AP75" s="30">
        <f t="shared" si="282"/>
        <v>0</v>
      </c>
      <c r="AQ75" s="9"/>
      <c r="AR75" s="30">
        <f t="shared" si="270"/>
        <v>0</v>
      </c>
      <c r="AS75" s="9"/>
      <c r="AT75" s="30">
        <f t="shared" si="271"/>
        <v>0</v>
      </c>
      <c r="AU75" s="9"/>
      <c r="AV75" s="30">
        <f t="shared" si="272"/>
        <v>0</v>
      </c>
      <c r="AW75" s="9">
        <f>15000/100</f>
        <v>150</v>
      </c>
      <c r="AX75" s="30">
        <v>10500</v>
      </c>
      <c r="AY75" s="9"/>
      <c r="AZ75" s="30">
        <f t="shared" si="274"/>
        <v>0</v>
      </c>
      <c r="BA75" s="10">
        <f>2823524/100</f>
        <v>28235.24</v>
      </c>
      <c r="BB75" s="31">
        <v>1976467</v>
      </c>
      <c r="BC75" s="15">
        <f t="shared" si="287"/>
        <v>1976467</v>
      </c>
      <c r="BD75" s="9">
        <f t="shared" si="288"/>
        <v>0</v>
      </c>
      <c r="BE75" s="28">
        <f t="shared" si="289"/>
        <v>28235.24</v>
      </c>
      <c r="BF75" s="8">
        <f t="shared" si="290"/>
        <v>0</v>
      </c>
      <c r="BG75" s="29">
        <f t="shared" si="283"/>
        <v>1976466.8</v>
      </c>
      <c r="BH75" s="13">
        <f t="shared" si="291"/>
        <v>0.19999999995343387</v>
      </c>
      <c r="BI75" s="2" t="str">
        <f t="shared" si="284"/>
        <v>erreur de calcul</v>
      </c>
      <c r="BJ75" s="2"/>
    </row>
    <row r="76" spans="1:62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49</v>
      </c>
      <c r="G76" s="31">
        <v>20</v>
      </c>
      <c r="H76" s="31" t="s">
        <v>149</v>
      </c>
      <c r="I76" s="5">
        <v>150</v>
      </c>
      <c r="J76" s="5"/>
      <c r="K76" s="6"/>
      <c r="L76" s="11">
        <f t="shared" si="292"/>
        <v>150</v>
      </c>
      <c r="M76" s="7" t="s">
        <v>14</v>
      </c>
      <c r="N76" s="31"/>
      <c r="O76" s="9"/>
      <c r="P76" s="9" t="str">
        <f t="shared" si="293"/>
        <v/>
      </c>
      <c r="Q76" s="9"/>
      <c r="R76" s="30">
        <f t="shared" ref="R76" si="306">Q76*$L76</f>
        <v>0</v>
      </c>
      <c r="S76" s="9"/>
      <c r="T76" s="30">
        <f t="shared" ref="T76" si="307">S76*$L76</f>
        <v>0</v>
      </c>
      <c r="U76" s="9"/>
      <c r="V76" s="30">
        <f t="shared" si="277"/>
        <v>0</v>
      </c>
      <c r="W76" s="9"/>
      <c r="X76" s="30">
        <f t="shared" si="278"/>
        <v>0</v>
      </c>
      <c r="Y76" s="9"/>
      <c r="Z76" s="30">
        <f t="shared" si="279"/>
        <v>0</v>
      </c>
      <c r="AA76" s="9"/>
      <c r="AB76" s="30">
        <f t="shared" si="265"/>
        <v>0</v>
      </c>
      <c r="AC76" s="9"/>
      <c r="AD76" s="30">
        <f t="shared" si="280"/>
        <v>0</v>
      </c>
      <c r="AE76" s="9"/>
      <c r="AF76" s="30">
        <f t="shared" si="266"/>
        <v>0</v>
      </c>
      <c r="AG76" s="9"/>
      <c r="AH76" s="30">
        <f t="shared" si="267"/>
        <v>0</v>
      </c>
      <c r="AI76" s="9"/>
      <c r="AJ76" s="30">
        <f t="shared" ref="AJ76" si="308">AI76*$L76</f>
        <v>0</v>
      </c>
      <c r="AK76" s="9"/>
      <c r="AL76" s="30">
        <f t="shared" ref="AL76" si="309">AK76*$L76</f>
        <v>0</v>
      </c>
      <c r="AM76" s="9">
        <f>118785/100</f>
        <v>1187.8499999999999</v>
      </c>
      <c r="AN76" s="30">
        <v>178177</v>
      </c>
      <c r="AO76" s="9"/>
      <c r="AP76" s="30">
        <f t="shared" si="282"/>
        <v>0</v>
      </c>
      <c r="AQ76" s="9"/>
      <c r="AR76" s="30">
        <f t="shared" si="270"/>
        <v>0</v>
      </c>
      <c r="AS76" s="9"/>
      <c r="AT76" s="30">
        <f t="shared" si="271"/>
        <v>0</v>
      </c>
      <c r="AU76" s="9"/>
      <c r="AV76" s="30">
        <f t="shared" si="272"/>
        <v>0</v>
      </c>
      <c r="AW76" s="9"/>
      <c r="AX76" s="30">
        <f t="shared" si="273"/>
        <v>0</v>
      </c>
      <c r="AY76" s="9"/>
      <c r="AZ76" s="30">
        <f t="shared" si="274"/>
        <v>0</v>
      </c>
      <c r="BA76" s="10">
        <f>118785/100</f>
        <v>1187.8499999999999</v>
      </c>
      <c r="BB76" s="31">
        <v>178177</v>
      </c>
      <c r="BC76" s="15">
        <f t="shared" si="287"/>
        <v>178177</v>
      </c>
      <c r="BD76" s="9">
        <f t="shared" si="288"/>
        <v>0</v>
      </c>
      <c r="BE76" s="28">
        <f t="shared" si="289"/>
        <v>1187.8499999999999</v>
      </c>
      <c r="BF76" s="8">
        <f t="shared" si="290"/>
        <v>0</v>
      </c>
      <c r="BG76" s="29">
        <f t="shared" si="283"/>
        <v>178177.5</v>
      </c>
      <c r="BH76" s="13">
        <f t="shared" si="291"/>
        <v>-0.5</v>
      </c>
      <c r="BI76" s="2" t="str">
        <f t="shared" si="284"/>
        <v>erreur de calcul</v>
      </c>
      <c r="BJ76" s="2"/>
    </row>
    <row r="77" spans="1:62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49</v>
      </c>
      <c r="G77" s="31">
        <v>20</v>
      </c>
      <c r="H77" s="31" t="s">
        <v>150</v>
      </c>
      <c r="I77" s="5">
        <v>80</v>
      </c>
      <c r="J77" s="5"/>
      <c r="K77" s="6"/>
      <c r="L77" s="11">
        <f t="shared" si="292"/>
        <v>80</v>
      </c>
      <c r="M77" s="7" t="s">
        <v>14</v>
      </c>
      <c r="N77" s="31"/>
      <c r="O77" s="9"/>
      <c r="P77" s="9" t="str">
        <f t="shared" si="293"/>
        <v/>
      </c>
      <c r="Q77" s="9"/>
      <c r="R77" s="30">
        <f t="shared" ref="R77" si="310">Q77*$L77</f>
        <v>0</v>
      </c>
      <c r="S77" s="9"/>
      <c r="T77" s="30">
        <f t="shared" ref="T77" si="311">S77*$L77</f>
        <v>0</v>
      </c>
      <c r="U77" s="9"/>
      <c r="V77" s="30">
        <f t="shared" si="277"/>
        <v>0</v>
      </c>
      <c r="W77" s="9"/>
      <c r="X77" s="30">
        <f t="shared" si="278"/>
        <v>0</v>
      </c>
      <c r="Y77" s="9"/>
      <c r="Z77" s="30">
        <f t="shared" si="279"/>
        <v>0</v>
      </c>
      <c r="AA77" s="9"/>
      <c r="AB77" s="30">
        <f t="shared" si="265"/>
        <v>0</v>
      </c>
      <c r="AC77" s="9">
        <f>3142/100</f>
        <v>31.42</v>
      </c>
      <c r="AD77" s="30">
        <v>2514</v>
      </c>
      <c r="AE77" s="9"/>
      <c r="AF77" s="30">
        <f t="shared" si="266"/>
        <v>0</v>
      </c>
      <c r="AG77" s="9">
        <f>4868/100</f>
        <v>48.68</v>
      </c>
      <c r="AH77" s="32">
        <v>3874</v>
      </c>
      <c r="AI77" s="9">
        <f>1541601/100</f>
        <v>15416.01</v>
      </c>
      <c r="AJ77" s="30">
        <v>1233281</v>
      </c>
      <c r="AK77" s="9"/>
      <c r="AL77" s="30">
        <f t="shared" ref="AL77" si="312">AK77*$L77</f>
        <v>0</v>
      </c>
      <c r="AM77" s="9"/>
      <c r="AN77" s="30">
        <f t="shared" si="269"/>
        <v>0</v>
      </c>
      <c r="AO77" s="9"/>
      <c r="AP77" s="30">
        <f t="shared" si="282"/>
        <v>0</v>
      </c>
      <c r="AQ77" s="9"/>
      <c r="AR77" s="30">
        <f t="shared" si="270"/>
        <v>0</v>
      </c>
      <c r="AS77" s="9"/>
      <c r="AT77" s="30">
        <f t="shared" si="271"/>
        <v>0</v>
      </c>
      <c r="AU77" s="9"/>
      <c r="AV77" s="30">
        <f t="shared" si="272"/>
        <v>0</v>
      </c>
      <c r="AW77" s="9"/>
      <c r="AX77" s="30">
        <f t="shared" si="273"/>
        <v>0</v>
      </c>
      <c r="AY77" s="9"/>
      <c r="AZ77" s="30">
        <f t="shared" si="274"/>
        <v>0</v>
      </c>
      <c r="BA77" s="10">
        <f>1549611/100</f>
        <v>15496.11</v>
      </c>
      <c r="BB77" s="31">
        <v>1239669</v>
      </c>
      <c r="BC77" s="15">
        <f t="shared" si="287"/>
        <v>1239669</v>
      </c>
      <c r="BD77" s="9">
        <f t="shared" si="288"/>
        <v>0</v>
      </c>
      <c r="BE77" s="28">
        <f t="shared" si="289"/>
        <v>15496.11</v>
      </c>
      <c r="BF77" s="8">
        <f t="shared" si="290"/>
        <v>0</v>
      </c>
      <c r="BG77" s="29">
        <f t="shared" si="283"/>
        <v>1239688.8</v>
      </c>
      <c r="BH77" s="13">
        <f t="shared" si="291"/>
        <v>-19.800000000046566</v>
      </c>
      <c r="BI77" s="2" t="str">
        <f t="shared" si="284"/>
        <v>erreur de calcul</v>
      </c>
      <c r="BJ77" s="2"/>
    </row>
    <row r="78" spans="1:62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49</v>
      </c>
      <c r="G78" s="31">
        <v>20</v>
      </c>
      <c r="H78" s="31" t="s">
        <v>151</v>
      </c>
      <c r="I78" s="5">
        <v>148</v>
      </c>
      <c r="J78" s="5"/>
      <c r="K78" s="6"/>
      <c r="L78" s="11">
        <f t="shared" si="292"/>
        <v>148</v>
      </c>
      <c r="M78" s="7" t="s">
        <v>14</v>
      </c>
      <c r="N78" s="31"/>
      <c r="O78" s="9"/>
      <c r="P78" s="9" t="str">
        <f t="shared" si="293"/>
        <v/>
      </c>
      <c r="Q78" s="9"/>
      <c r="R78" s="30">
        <f t="shared" ref="R78" si="313">Q78*$L78</f>
        <v>0</v>
      </c>
      <c r="S78" s="9"/>
      <c r="T78" s="30">
        <f t="shared" ref="T78" si="314">S78*$L78</f>
        <v>0</v>
      </c>
      <c r="U78" s="9"/>
      <c r="V78" s="30">
        <f t="shared" si="277"/>
        <v>0</v>
      </c>
      <c r="W78" s="9"/>
      <c r="X78" s="30">
        <f t="shared" si="278"/>
        <v>0</v>
      </c>
      <c r="Y78" s="9"/>
      <c r="Z78" s="30">
        <f t="shared" si="279"/>
        <v>0</v>
      </c>
      <c r="AA78" s="9"/>
      <c r="AB78" s="30">
        <f t="shared" si="265"/>
        <v>0</v>
      </c>
      <c r="AC78" s="9"/>
      <c r="AD78" s="30">
        <f t="shared" si="280"/>
        <v>0</v>
      </c>
      <c r="AE78" s="9"/>
      <c r="AF78" s="30">
        <f t="shared" si="266"/>
        <v>0</v>
      </c>
      <c r="AG78" s="9"/>
      <c r="AH78" s="30">
        <f t="shared" si="267"/>
        <v>0</v>
      </c>
      <c r="AI78" s="9"/>
      <c r="AJ78" s="30">
        <f t="shared" ref="AJ78" si="315">AI78*$L78</f>
        <v>0</v>
      </c>
      <c r="AK78" s="9">
        <f>1472/100</f>
        <v>14.72</v>
      </c>
      <c r="AL78" s="30">
        <v>2178</v>
      </c>
      <c r="AM78" s="9"/>
      <c r="AN78" s="30">
        <f t="shared" si="269"/>
        <v>0</v>
      </c>
      <c r="AO78" s="9"/>
      <c r="AP78" s="30">
        <f t="shared" si="282"/>
        <v>0</v>
      </c>
      <c r="AQ78" s="9"/>
      <c r="AR78" s="30">
        <f t="shared" si="270"/>
        <v>0</v>
      </c>
      <c r="AS78" s="9"/>
      <c r="AT78" s="30">
        <f t="shared" si="271"/>
        <v>0</v>
      </c>
      <c r="AU78" s="9"/>
      <c r="AV78" s="30">
        <f t="shared" si="272"/>
        <v>0</v>
      </c>
      <c r="AW78" s="9"/>
      <c r="AX78" s="30">
        <f t="shared" si="273"/>
        <v>0</v>
      </c>
      <c r="AY78" s="9"/>
      <c r="AZ78" s="30">
        <f t="shared" si="274"/>
        <v>0</v>
      </c>
      <c r="BA78" s="10">
        <f>1472/100</f>
        <v>14.72</v>
      </c>
      <c r="BB78" s="31">
        <v>2178</v>
      </c>
      <c r="BC78" s="15">
        <f t="shared" si="287"/>
        <v>2178</v>
      </c>
      <c r="BD78" s="9">
        <f t="shared" si="288"/>
        <v>0</v>
      </c>
      <c r="BE78" s="28">
        <f t="shared" si="289"/>
        <v>14.72</v>
      </c>
      <c r="BF78" s="8">
        <f t="shared" si="290"/>
        <v>0</v>
      </c>
      <c r="BG78" s="29">
        <f t="shared" si="283"/>
        <v>2178.56</v>
      </c>
      <c r="BH78" s="13">
        <f t="shared" si="291"/>
        <v>-0.55999999999994543</v>
      </c>
      <c r="BI78" s="2" t="str">
        <f t="shared" si="284"/>
        <v>erreur de calcul</v>
      </c>
      <c r="BJ78" s="2"/>
    </row>
    <row r="79" spans="1:62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49</v>
      </c>
      <c r="G79" s="31">
        <v>20</v>
      </c>
      <c r="H79" s="31" t="s">
        <v>152</v>
      </c>
      <c r="I79" s="5">
        <v>75</v>
      </c>
      <c r="J79" s="5"/>
      <c r="K79" s="6"/>
      <c r="L79" s="11">
        <f t="shared" si="292"/>
        <v>75</v>
      </c>
      <c r="M79" s="7" t="s">
        <v>14</v>
      </c>
      <c r="N79" s="31"/>
      <c r="O79" s="9"/>
      <c r="P79" s="9" t="str">
        <f t="shared" si="293"/>
        <v/>
      </c>
      <c r="Q79" s="9"/>
      <c r="R79" s="30">
        <f t="shared" ref="R79" si="316">Q79*$L79</f>
        <v>0</v>
      </c>
      <c r="S79" s="9"/>
      <c r="T79" s="30">
        <f t="shared" ref="T79" si="317">S79*$L79</f>
        <v>0</v>
      </c>
      <c r="U79" s="9">
        <f>627/100</f>
        <v>6.27</v>
      </c>
      <c r="V79" s="30">
        <v>470</v>
      </c>
      <c r="W79" s="9"/>
      <c r="X79" s="30">
        <f t="shared" si="278"/>
        <v>0</v>
      </c>
      <c r="Y79" s="9"/>
      <c r="Z79" s="30">
        <f t="shared" si="279"/>
        <v>0</v>
      </c>
      <c r="AA79" s="9"/>
      <c r="AB79" s="30">
        <f t="shared" si="265"/>
        <v>0</v>
      </c>
      <c r="AC79" s="9"/>
      <c r="AD79" s="30">
        <f t="shared" si="280"/>
        <v>0</v>
      </c>
      <c r="AE79" s="9"/>
      <c r="AF79" s="30">
        <f t="shared" si="266"/>
        <v>0</v>
      </c>
      <c r="AG79" s="9"/>
      <c r="AH79" s="30">
        <f t="shared" si="267"/>
        <v>0</v>
      </c>
      <c r="AI79" s="9"/>
      <c r="AJ79" s="30">
        <f t="shared" ref="AJ79" si="318">AI79*$L79</f>
        <v>0</v>
      </c>
      <c r="AK79" s="9"/>
      <c r="AL79" s="30">
        <f t="shared" ref="AL79" si="319">AK79*$L79</f>
        <v>0</v>
      </c>
      <c r="AM79" s="9"/>
      <c r="AN79" s="30">
        <f t="shared" si="269"/>
        <v>0</v>
      </c>
      <c r="AO79" s="9"/>
      <c r="AP79" s="30">
        <f t="shared" si="282"/>
        <v>0</v>
      </c>
      <c r="AQ79" s="9"/>
      <c r="AR79" s="30">
        <f t="shared" si="270"/>
        <v>0</v>
      </c>
      <c r="AS79" s="9"/>
      <c r="AT79" s="30">
        <f t="shared" si="271"/>
        <v>0</v>
      </c>
      <c r="AU79" s="9"/>
      <c r="AV79" s="30">
        <f t="shared" si="272"/>
        <v>0</v>
      </c>
      <c r="AW79" s="9"/>
      <c r="AX79" s="30">
        <f t="shared" si="273"/>
        <v>0</v>
      </c>
      <c r="AY79" s="9"/>
      <c r="AZ79" s="30">
        <f t="shared" si="274"/>
        <v>0</v>
      </c>
      <c r="BA79" s="10">
        <f>627/100</f>
        <v>6.27</v>
      </c>
      <c r="BB79" s="31">
        <v>470</v>
      </c>
      <c r="BC79" s="15">
        <f t="shared" si="287"/>
        <v>470</v>
      </c>
      <c r="BD79" s="9">
        <f t="shared" si="288"/>
        <v>0</v>
      </c>
      <c r="BE79" s="28">
        <f t="shared" si="289"/>
        <v>6.27</v>
      </c>
      <c r="BF79" s="8">
        <f t="shared" si="290"/>
        <v>0</v>
      </c>
      <c r="BG79" s="29">
        <f t="shared" si="283"/>
        <v>470.24999999999994</v>
      </c>
      <c r="BH79" s="13">
        <f t="shared" si="291"/>
        <v>-0.24999999999994316</v>
      </c>
      <c r="BI79" s="2" t="str">
        <f t="shared" si="284"/>
        <v>erreur de calcul</v>
      </c>
      <c r="BJ79" s="2"/>
    </row>
    <row r="80" spans="1:62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49</v>
      </c>
      <c r="G80" s="31">
        <v>21</v>
      </c>
      <c r="H80" s="31" t="s">
        <v>153</v>
      </c>
      <c r="I80" s="5">
        <v>60</v>
      </c>
      <c r="J80" s="5"/>
      <c r="K80" s="6"/>
      <c r="L80" s="11">
        <f t="shared" si="292"/>
        <v>60</v>
      </c>
      <c r="M80" s="7" t="s">
        <v>15</v>
      </c>
      <c r="N80" s="31"/>
      <c r="O80" s="9"/>
      <c r="P80" s="9" t="str">
        <f t="shared" si="293"/>
        <v/>
      </c>
      <c r="Q80" s="9"/>
      <c r="R80" s="30">
        <f t="shared" ref="R80" si="320">Q80*$L80</f>
        <v>0</v>
      </c>
      <c r="S80" s="9"/>
      <c r="T80" s="30">
        <f t="shared" ref="T80" si="321">S80*$L80</f>
        <v>0</v>
      </c>
      <c r="U80" s="9"/>
      <c r="V80" s="30">
        <f t="shared" si="277"/>
        <v>0</v>
      </c>
      <c r="W80" s="9">
        <v>10</v>
      </c>
      <c r="X80" s="30">
        <v>600</v>
      </c>
      <c r="Y80" s="9"/>
      <c r="Z80" s="30">
        <f t="shared" si="279"/>
        <v>0</v>
      </c>
      <c r="AA80" s="9"/>
      <c r="AB80" s="30">
        <f t="shared" si="265"/>
        <v>0</v>
      </c>
      <c r="AC80" s="9"/>
      <c r="AD80" s="30">
        <f t="shared" si="280"/>
        <v>0</v>
      </c>
      <c r="AE80" s="9"/>
      <c r="AF80" s="30">
        <f t="shared" si="266"/>
        <v>0</v>
      </c>
      <c r="AG80" s="9"/>
      <c r="AH80" s="30">
        <f t="shared" si="267"/>
        <v>0</v>
      </c>
      <c r="AI80" s="9"/>
      <c r="AJ80" s="30">
        <f t="shared" ref="AJ80" si="322">AI80*$L80</f>
        <v>0</v>
      </c>
      <c r="AK80" s="9"/>
      <c r="AL80" s="30">
        <f t="shared" ref="AL80" si="323">AK80*$L80</f>
        <v>0</v>
      </c>
      <c r="AM80" s="9"/>
      <c r="AN80" s="30">
        <f t="shared" si="269"/>
        <v>0</v>
      </c>
      <c r="AO80" s="9"/>
      <c r="AP80" s="30">
        <f t="shared" si="282"/>
        <v>0</v>
      </c>
      <c r="AQ80" s="9"/>
      <c r="AR80" s="30">
        <f t="shared" si="270"/>
        <v>0</v>
      </c>
      <c r="AS80" s="9"/>
      <c r="AT80" s="30">
        <f t="shared" si="271"/>
        <v>0</v>
      </c>
      <c r="AU80" s="9"/>
      <c r="AV80" s="30">
        <f t="shared" si="272"/>
        <v>0</v>
      </c>
      <c r="AW80" s="9"/>
      <c r="AX80" s="30">
        <f t="shared" si="273"/>
        <v>0</v>
      </c>
      <c r="AY80" s="9"/>
      <c r="AZ80" s="30">
        <f t="shared" si="274"/>
        <v>0</v>
      </c>
      <c r="BA80" s="10">
        <v>10</v>
      </c>
      <c r="BB80" s="31">
        <v>600</v>
      </c>
      <c r="BC80" s="15">
        <f t="shared" si="287"/>
        <v>600</v>
      </c>
      <c r="BD80" s="9">
        <f t="shared" si="288"/>
        <v>0</v>
      </c>
      <c r="BE80" s="28">
        <f t="shared" si="289"/>
        <v>10</v>
      </c>
      <c r="BF80" s="8">
        <f t="shared" si="290"/>
        <v>0</v>
      </c>
      <c r="BG80" s="29">
        <f t="shared" si="283"/>
        <v>600</v>
      </c>
      <c r="BH80" s="13">
        <f t="shared" si="291"/>
        <v>0</v>
      </c>
      <c r="BI80" s="2" t="str">
        <f t="shared" si="284"/>
        <v/>
      </c>
      <c r="BJ80" s="2"/>
    </row>
    <row r="81" spans="1:62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49</v>
      </c>
      <c r="G81" s="31">
        <v>21</v>
      </c>
      <c r="H81" s="31" t="s">
        <v>154</v>
      </c>
      <c r="I81" s="5"/>
      <c r="J81" s="5"/>
      <c r="K81" s="6"/>
      <c r="L81" s="11">
        <f t="shared" si="292"/>
        <v>0</v>
      </c>
      <c r="M81" s="7"/>
      <c r="N81" s="31"/>
      <c r="O81" s="9"/>
      <c r="P81" s="9" t="str">
        <f t="shared" si="293"/>
        <v/>
      </c>
      <c r="Q81" s="9"/>
      <c r="R81" s="30">
        <v>304</v>
      </c>
      <c r="S81" s="9"/>
      <c r="T81" s="30">
        <f t="shared" ref="T81" si="324">S81*$L81</f>
        <v>0</v>
      </c>
      <c r="U81" s="9"/>
      <c r="V81" s="30">
        <f t="shared" si="277"/>
        <v>0</v>
      </c>
      <c r="W81" s="9"/>
      <c r="X81" s="30">
        <f t="shared" si="278"/>
        <v>0</v>
      </c>
      <c r="Y81" s="9"/>
      <c r="Z81" s="30">
        <v>270</v>
      </c>
      <c r="AA81" s="9"/>
      <c r="AB81" s="30">
        <f t="shared" si="265"/>
        <v>0</v>
      </c>
      <c r="AC81" s="9"/>
      <c r="AD81" s="30">
        <f t="shared" si="280"/>
        <v>0</v>
      </c>
      <c r="AE81" s="9"/>
      <c r="AF81" s="30">
        <v>175</v>
      </c>
      <c r="AG81" s="9"/>
      <c r="AH81" s="30">
        <f t="shared" si="267"/>
        <v>0</v>
      </c>
      <c r="AI81" s="9"/>
      <c r="AJ81" s="30">
        <f t="shared" ref="AJ81" si="325">AI81*$L81</f>
        <v>0</v>
      </c>
      <c r="AK81" s="9"/>
      <c r="AL81" s="30">
        <v>240</v>
      </c>
      <c r="AM81" s="9"/>
      <c r="AN81" s="30">
        <v>808</v>
      </c>
      <c r="AO81" s="9"/>
      <c r="AP81" s="30">
        <f t="shared" si="282"/>
        <v>0</v>
      </c>
      <c r="AQ81" s="9"/>
      <c r="AR81" s="30">
        <f t="shared" si="270"/>
        <v>0</v>
      </c>
      <c r="AS81" s="9"/>
      <c r="AT81" s="30">
        <f t="shared" si="271"/>
        <v>0</v>
      </c>
      <c r="AU81" s="9"/>
      <c r="AV81" s="30">
        <f t="shared" si="272"/>
        <v>0</v>
      </c>
      <c r="AW81" s="9"/>
      <c r="AX81" s="30">
        <f t="shared" si="273"/>
        <v>0</v>
      </c>
      <c r="AY81" s="9"/>
      <c r="AZ81" s="30">
        <f t="shared" si="274"/>
        <v>0</v>
      </c>
      <c r="BA81" s="10"/>
      <c r="BB81" s="31">
        <v>1797</v>
      </c>
      <c r="BC81" s="15">
        <f t="shared" si="287"/>
        <v>1797</v>
      </c>
      <c r="BD81" s="9">
        <f t="shared" si="288"/>
        <v>0</v>
      </c>
      <c r="BE81" s="28">
        <f t="shared" si="289"/>
        <v>0</v>
      </c>
      <c r="BF81" s="8">
        <f t="shared" si="290"/>
        <v>0</v>
      </c>
      <c r="BG81" s="29">
        <f t="shared" si="283"/>
        <v>0</v>
      </c>
      <c r="BH81" s="13">
        <f t="shared" si="291"/>
        <v>1797</v>
      </c>
      <c r="BI81" s="2" t="str">
        <f t="shared" si="284"/>
        <v>pas de prix, ni de quantité</v>
      </c>
      <c r="BJ81" s="2"/>
    </row>
    <row r="82" spans="1:62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49</v>
      </c>
      <c r="G82" s="31">
        <v>21</v>
      </c>
      <c r="H82" s="31" t="s">
        <v>154</v>
      </c>
      <c r="I82" s="5">
        <v>175</v>
      </c>
      <c r="J82" s="5"/>
      <c r="K82" s="6"/>
      <c r="L82" s="11">
        <f t="shared" si="292"/>
        <v>175</v>
      </c>
      <c r="M82" s="7" t="s">
        <v>14</v>
      </c>
      <c r="N82" s="31" t="s">
        <v>18</v>
      </c>
      <c r="O82" s="9">
        <f>147/100</f>
        <v>1.47</v>
      </c>
      <c r="P82" s="9">
        <v>257</v>
      </c>
      <c r="Q82" s="9">
        <f>3429/100</f>
        <v>34.29</v>
      </c>
      <c r="R82" s="30">
        <v>6001</v>
      </c>
      <c r="S82" s="9"/>
      <c r="T82" s="30">
        <f t="shared" ref="T82" si="326">S82*$L82</f>
        <v>0</v>
      </c>
      <c r="U82" s="9">
        <f>5135/100</f>
        <v>51.35</v>
      </c>
      <c r="V82" s="30">
        <v>8986</v>
      </c>
      <c r="W82" s="9">
        <f>33716/100</f>
        <v>337.16</v>
      </c>
      <c r="X82" s="30">
        <v>59003</v>
      </c>
      <c r="Y82" s="9">
        <f>14982/100</f>
        <v>149.82</v>
      </c>
      <c r="Z82" s="30">
        <v>26218</v>
      </c>
      <c r="AA82" s="9"/>
      <c r="AB82" s="30">
        <f t="shared" si="265"/>
        <v>0</v>
      </c>
      <c r="AC82" s="9"/>
      <c r="AD82" s="30">
        <f t="shared" si="280"/>
        <v>0</v>
      </c>
      <c r="AE82" s="9"/>
      <c r="AF82" s="30">
        <f t="shared" si="266"/>
        <v>0</v>
      </c>
      <c r="AG82" s="9">
        <f>439/100</f>
        <v>4.3899999999999997</v>
      </c>
      <c r="AH82" s="30">
        <v>768</v>
      </c>
      <c r="AI82" s="9">
        <f>163722/100</f>
        <v>1637.22</v>
      </c>
      <c r="AJ82" s="30">
        <v>286513</v>
      </c>
      <c r="AK82" s="9">
        <f>17649/100</f>
        <v>176.49</v>
      </c>
      <c r="AL82" s="30">
        <v>30886</v>
      </c>
      <c r="AM82" s="9">
        <f>6852/100</f>
        <v>68.52</v>
      </c>
      <c r="AN82" s="30">
        <v>11991</v>
      </c>
      <c r="AO82" s="9"/>
      <c r="AP82" s="30">
        <f t="shared" si="282"/>
        <v>0</v>
      </c>
      <c r="AQ82" s="9"/>
      <c r="AR82" s="30">
        <f t="shared" si="270"/>
        <v>0</v>
      </c>
      <c r="AS82" s="9"/>
      <c r="AT82" s="30">
        <f t="shared" si="271"/>
        <v>0</v>
      </c>
      <c r="AU82" s="9"/>
      <c r="AV82" s="30">
        <f t="shared" si="272"/>
        <v>0</v>
      </c>
      <c r="AW82" s="9"/>
      <c r="AX82" s="30">
        <f t="shared" si="273"/>
        <v>0</v>
      </c>
      <c r="AY82" s="9"/>
      <c r="AZ82" s="30">
        <f t="shared" si="274"/>
        <v>0</v>
      </c>
      <c r="BA82" s="10">
        <f>245924/100</f>
        <v>2459.2399999999998</v>
      </c>
      <c r="BB82" s="31">
        <v>430366</v>
      </c>
      <c r="BC82" s="15">
        <f t="shared" si="287"/>
        <v>430366</v>
      </c>
      <c r="BD82" s="9">
        <f t="shared" si="288"/>
        <v>0</v>
      </c>
      <c r="BE82" s="28">
        <f t="shared" si="289"/>
        <v>2459.2400000000002</v>
      </c>
      <c r="BF82" s="8">
        <f t="shared" si="290"/>
        <v>0</v>
      </c>
      <c r="BG82" s="29">
        <f t="shared" si="283"/>
        <v>430367.00000000006</v>
      </c>
      <c r="BH82" s="13">
        <f t="shared" si="291"/>
        <v>-1.0000000000582077</v>
      </c>
      <c r="BI82" s="2" t="str">
        <f t="shared" si="284"/>
        <v>erreur de calcul</v>
      </c>
      <c r="BJ82" s="2"/>
    </row>
    <row r="83" spans="1:62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49</v>
      </c>
      <c r="G83" s="31">
        <v>21</v>
      </c>
      <c r="H83" s="31" t="s">
        <v>155</v>
      </c>
      <c r="I83" s="5">
        <v>240</v>
      </c>
      <c r="J83" s="5"/>
      <c r="K83" s="6"/>
      <c r="L83" s="11">
        <f t="shared" si="292"/>
        <v>240</v>
      </c>
      <c r="M83" s="7" t="s">
        <v>14</v>
      </c>
      <c r="N83" s="31"/>
      <c r="O83" s="9"/>
      <c r="P83" s="9" t="str">
        <f t="shared" si="293"/>
        <v/>
      </c>
      <c r="Q83" s="9"/>
      <c r="R83" s="30">
        <f t="shared" ref="R83" si="327">Q83*$L83</f>
        <v>0</v>
      </c>
      <c r="S83" s="9"/>
      <c r="T83" s="30">
        <f t="shared" ref="T83" si="328">S83*$L83</f>
        <v>0</v>
      </c>
      <c r="U83" s="9"/>
      <c r="V83" s="30">
        <f t="shared" si="277"/>
        <v>0</v>
      </c>
      <c r="W83" s="9"/>
      <c r="X83" s="30">
        <f t="shared" si="278"/>
        <v>0</v>
      </c>
      <c r="Y83" s="9"/>
      <c r="Z83" s="30">
        <f t="shared" si="279"/>
        <v>0</v>
      </c>
      <c r="AA83" s="9"/>
      <c r="AB83" s="30">
        <f t="shared" si="265"/>
        <v>0</v>
      </c>
      <c r="AC83" s="9"/>
      <c r="AD83" s="30">
        <f t="shared" si="280"/>
        <v>0</v>
      </c>
      <c r="AE83" s="9"/>
      <c r="AF83" s="30">
        <f t="shared" si="266"/>
        <v>0</v>
      </c>
      <c r="AG83" s="9"/>
      <c r="AH83" s="30">
        <f t="shared" si="267"/>
        <v>0</v>
      </c>
      <c r="AI83" s="9"/>
      <c r="AJ83" s="30">
        <f t="shared" ref="AJ83" si="329">AI83*$L83</f>
        <v>0</v>
      </c>
      <c r="AK83" s="9">
        <f>290/100</f>
        <v>2.9</v>
      </c>
      <c r="AL83" s="32">
        <v>2208</v>
      </c>
      <c r="AM83" s="9"/>
      <c r="AN83" s="30">
        <f t="shared" si="269"/>
        <v>0</v>
      </c>
      <c r="AO83" s="9"/>
      <c r="AP83" s="30">
        <f t="shared" si="282"/>
        <v>0</v>
      </c>
      <c r="AQ83" s="9"/>
      <c r="AR83" s="30">
        <f t="shared" si="270"/>
        <v>0</v>
      </c>
      <c r="AS83" s="9"/>
      <c r="AT83" s="30">
        <f t="shared" si="271"/>
        <v>0</v>
      </c>
      <c r="AU83" s="9"/>
      <c r="AV83" s="30">
        <f t="shared" si="272"/>
        <v>0</v>
      </c>
      <c r="AW83" s="9"/>
      <c r="AX83" s="30">
        <f t="shared" si="273"/>
        <v>0</v>
      </c>
      <c r="AY83" s="9"/>
      <c r="AZ83" s="30">
        <f t="shared" si="274"/>
        <v>0</v>
      </c>
      <c r="BA83" s="10">
        <f>290/100</f>
        <v>2.9</v>
      </c>
      <c r="BB83" s="31">
        <v>2208</v>
      </c>
      <c r="BC83" s="15">
        <f t="shared" si="287"/>
        <v>2208</v>
      </c>
      <c r="BD83" s="9">
        <f t="shared" si="288"/>
        <v>0</v>
      </c>
      <c r="BE83" s="28">
        <f t="shared" si="289"/>
        <v>2.9</v>
      </c>
      <c r="BF83" s="8">
        <f t="shared" si="290"/>
        <v>0</v>
      </c>
      <c r="BG83" s="29">
        <f t="shared" si="283"/>
        <v>696</v>
      </c>
      <c r="BH83" s="13">
        <f t="shared" si="291"/>
        <v>1512</v>
      </c>
      <c r="BI83" s="2" t="str">
        <f t="shared" si="284"/>
        <v>erreur de calcul</v>
      </c>
      <c r="BJ83" s="2"/>
    </row>
    <row r="84" spans="1:62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49</v>
      </c>
      <c r="G84" s="31">
        <v>21</v>
      </c>
      <c r="H84" s="31" t="s">
        <v>156</v>
      </c>
      <c r="I84" s="5">
        <v>115</v>
      </c>
      <c r="J84" s="5"/>
      <c r="K84" s="6"/>
      <c r="L84" s="11">
        <f t="shared" si="292"/>
        <v>115</v>
      </c>
      <c r="M84" s="7" t="s">
        <v>14</v>
      </c>
      <c r="N84" s="31"/>
      <c r="O84" s="9"/>
      <c r="P84" s="9" t="str">
        <f t="shared" si="293"/>
        <v/>
      </c>
      <c r="Q84" s="9"/>
      <c r="R84" s="30">
        <f t="shared" ref="R84" si="330">Q84*$L84</f>
        <v>0</v>
      </c>
      <c r="S84" s="9"/>
      <c r="T84" s="30">
        <f t="shared" ref="T84" si="331">S84*$L84</f>
        <v>0</v>
      </c>
      <c r="U84" s="9"/>
      <c r="V84" s="30">
        <f t="shared" si="277"/>
        <v>0</v>
      </c>
      <c r="W84" s="9"/>
      <c r="X84" s="30">
        <f t="shared" si="278"/>
        <v>0</v>
      </c>
      <c r="Y84" s="9"/>
      <c r="Z84" s="30">
        <f t="shared" si="279"/>
        <v>0</v>
      </c>
      <c r="AA84" s="9"/>
      <c r="AB84" s="30">
        <f t="shared" si="265"/>
        <v>0</v>
      </c>
      <c r="AC84" s="9"/>
      <c r="AD84" s="30">
        <f t="shared" si="280"/>
        <v>0</v>
      </c>
      <c r="AE84" s="9"/>
      <c r="AF84" s="30">
        <f t="shared" si="266"/>
        <v>0</v>
      </c>
      <c r="AG84" s="9"/>
      <c r="AH84" s="30">
        <f t="shared" si="267"/>
        <v>0</v>
      </c>
      <c r="AI84" s="9">
        <f>491552/100</f>
        <v>4915.5200000000004</v>
      </c>
      <c r="AJ84" s="30">
        <v>565285</v>
      </c>
      <c r="AK84" s="9"/>
      <c r="AL84" s="30">
        <f t="shared" ref="AL84" si="332">AK84*$L84</f>
        <v>0</v>
      </c>
      <c r="AM84" s="9"/>
      <c r="AN84" s="30">
        <f t="shared" si="269"/>
        <v>0</v>
      </c>
      <c r="AO84" s="9"/>
      <c r="AP84" s="30">
        <f t="shared" si="282"/>
        <v>0</v>
      </c>
      <c r="AQ84" s="9"/>
      <c r="AR84" s="30">
        <f t="shared" si="270"/>
        <v>0</v>
      </c>
      <c r="AS84" s="9"/>
      <c r="AT84" s="30">
        <f t="shared" si="271"/>
        <v>0</v>
      </c>
      <c r="AU84" s="9"/>
      <c r="AV84" s="30">
        <f t="shared" si="272"/>
        <v>0</v>
      </c>
      <c r="AW84" s="9"/>
      <c r="AX84" s="30">
        <f t="shared" si="273"/>
        <v>0</v>
      </c>
      <c r="AY84" s="9"/>
      <c r="AZ84" s="30">
        <f t="shared" si="274"/>
        <v>0</v>
      </c>
      <c r="BA84" s="10">
        <f>491552/100</f>
        <v>4915.5200000000004</v>
      </c>
      <c r="BB84" s="31">
        <v>565285</v>
      </c>
      <c r="BC84" s="15">
        <f t="shared" si="287"/>
        <v>565285</v>
      </c>
      <c r="BD84" s="9">
        <f t="shared" si="288"/>
        <v>0</v>
      </c>
      <c r="BE84" s="28">
        <f t="shared" si="289"/>
        <v>4915.5200000000004</v>
      </c>
      <c r="BF84" s="8">
        <f t="shared" si="290"/>
        <v>0</v>
      </c>
      <c r="BG84" s="29">
        <f t="shared" si="283"/>
        <v>565284.80000000005</v>
      </c>
      <c r="BH84" s="13">
        <f t="shared" si="291"/>
        <v>0.19999999995343387</v>
      </c>
      <c r="BI84" s="2" t="str">
        <f t="shared" si="284"/>
        <v>erreur de calcul</v>
      </c>
      <c r="BJ84" s="2"/>
    </row>
    <row r="85" spans="1:62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49</v>
      </c>
      <c r="G85" s="31">
        <v>21</v>
      </c>
      <c r="H85" s="31" t="s">
        <v>157</v>
      </c>
      <c r="I85" s="5">
        <v>240</v>
      </c>
      <c r="J85" s="5"/>
      <c r="K85" s="6"/>
      <c r="L85" s="11">
        <f t="shared" si="292"/>
        <v>240</v>
      </c>
      <c r="M85" s="7" t="s">
        <v>14</v>
      </c>
      <c r="N85" s="31"/>
      <c r="O85" s="9"/>
      <c r="P85" s="9" t="str">
        <f t="shared" si="293"/>
        <v/>
      </c>
      <c r="Q85" s="9"/>
      <c r="R85" s="30">
        <f t="shared" ref="R85" si="333">Q85*$L85</f>
        <v>0</v>
      </c>
      <c r="S85" s="9"/>
      <c r="T85" s="30">
        <f t="shared" ref="T85" si="334">S85*$L85</f>
        <v>0</v>
      </c>
      <c r="U85" s="9"/>
      <c r="V85" s="30">
        <f t="shared" si="277"/>
        <v>0</v>
      </c>
      <c r="W85" s="9"/>
      <c r="X85" s="30">
        <f t="shared" si="278"/>
        <v>0</v>
      </c>
      <c r="Y85" s="9"/>
      <c r="Z85" s="30">
        <f t="shared" si="279"/>
        <v>0</v>
      </c>
      <c r="AA85" s="9"/>
      <c r="AB85" s="30">
        <f t="shared" si="265"/>
        <v>0</v>
      </c>
      <c r="AC85" s="9"/>
      <c r="AD85" s="30">
        <f t="shared" si="280"/>
        <v>0</v>
      </c>
      <c r="AE85" s="9"/>
      <c r="AF85" s="30">
        <f t="shared" si="266"/>
        <v>0</v>
      </c>
      <c r="AG85" s="9"/>
      <c r="AH85" s="30">
        <f t="shared" si="267"/>
        <v>0</v>
      </c>
      <c r="AI85" s="9">
        <f>46293/100</f>
        <v>462.93</v>
      </c>
      <c r="AJ85" s="30">
        <v>111103</v>
      </c>
      <c r="AK85" s="9"/>
      <c r="AL85" s="30">
        <f t="shared" ref="AL85" si="335">AK85*$L85</f>
        <v>0</v>
      </c>
      <c r="AM85" s="9"/>
      <c r="AN85" s="30">
        <f t="shared" si="269"/>
        <v>0</v>
      </c>
      <c r="AO85" s="9"/>
      <c r="AP85" s="30">
        <f t="shared" si="282"/>
        <v>0</v>
      </c>
      <c r="AQ85" s="9"/>
      <c r="AR85" s="30">
        <f t="shared" si="270"/>
        <v>0</v>
      </c>
      <c r="AS85" s="9"/>
      <c r="AT85" s="30">
        <f t="shared" si="271"/>
        <v>0</v>
      </c>
      <c r="AU85" s="9"/>
      <c r="AV85" s="30">
        <f t="shared" si="272"/>
        <v>0</v>
      </c>
      <c r="AW85" s="9"/>
      <c r="AX85" s="30">
        <f t="shared" si="273"/>
        <v>0</v>
      </c>
      <c r="AY85" s="9"/>
      <c r="AZ85" s="30">
        <f t="shared" si="274"/>
        <v>0</v>
      </c>
      <c r="BA85" s="10">
        <f>46293/100</f>
        <v>462.93</v>
      </c>
      <c r="BB85" s="31">
        <v>111103</v>
      </c>
      <c r="BC85" s="15">
        <f t="shared" si="287"/>
        <v>111103</v>
      </c>
      <c r="BD85" s="9">
        <f t="shared" si="288"/>
        <v>0</v>
      </c>
      <c r="BE85" s="28">
        <f t="shared" si="289"/>
        <v>462.93</v>
      </c>
      <c r="BF85" s="8">
        <f t="shared" si="290"/>
        <v>0</v>
      </c>
      <c r="BG85" s="29">
        <f t="shared" si="283"/>
        <v>111103.2</v>
      </c>
      <c r="BH85" s="13">
        <f t="shared" si="291"/>
        <v>-0.19999999999708962</v>
      </c>
      <c r="BI85" s="2" t="str">
        <f t="shared" si="284"/>
        <v>erreur de calcul</v>
      </c>
      <c r="BJ85" s="2"/>
    </row>
    <row r="86" spans="1:62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49</v>
      </c>
      <c r="G86" s="31">
        <v>21</v>
      </c>
      <c r="H86" s="31" t="s">
        <v>158</v>
      </c>
      <c r="I86" s="5">
        <v>70</v>
      </c>
      <c r="J86" s="5"/>
      <c r="K86" s="6"/>
      <c r="L86" s="11">
        <f t="shared" si="292"/>
        <v>70</v>
      </c>
      <c r="M86" s="7" t="s">
        <v>14</v>
      </c>
      <c r="N86" s="31"/>
      <c r="O86" s="9"/>
      <c r="P86" s="9" t="str">
        <f t="shared" si="293"/>
        <v/>
      </c>
      <c r="Q86" s="9"/>
      <c r="R86" s="30">
        <f t="shared" ref="R86" si="336">Q86*$L86</f>
        <v>0</v>
      </c>
      <c r="S86" s="9"/>
      <c r="T86" s="30">
        <f t="shared" ref="T86" si="337">S86*$L86</f>
        <v>0</v>
      </c>
      <c r="U86" s="9"/>
      <c r="V86" s="30">
        <f t="shared" si="277"/>
        <v>0</v>
      </c>
      <c r="W86" s="9"/>
      <c r="X86" s="30">
        <f t="shared" si="278"/>
        <v>0</v>
      </c>
      <c r="Y86" s="9"/>
      <c r="Z86" s="30">
        <f t="shared" si="279"/>
        <v>0</v>
      </c>
      <c r="AA86" s="9"/>
      <c r="AB86" s="30">
        <f t="shared" si="265"/>
        <v>0</v>
      </c>
      <c r="AC86" s="9"/>
      <c r="AD86" s="30">
        <f t="shared" si="280"/>
        <v>0</v>
      </c>
      <c r="AE86" s="9"/>
      <c r="AF86" s="30">
        <f t="shared" si="266"/>
        <v>0</v>
      </c>
      <c r="AG86" s="9">
        <f>125849/100</f>
        <v>1258.49</v>
      </c>
      <c r="AH86" s="30">
        <v>88094</v>
      </c>
      <c r="AI86" s="9"/>
      <c r="AJ86" s="30">
        <f t="shared" ref="AJ86" si="338">AI86*$L86</f>
        <v>0</v>
      </c>
      <c r="AK86" s="9"/>
      <c r="AL86" s="30">
        <f t="shared" ref="AL86" si="339">AK86*$L86</f>
        <v>0</v>
      </c>
      <c r="AM86" s="9"/>
      <c r="AN86" s="30">
        <f t="shared" si="269"/>
        <v>0</v>
      </c>
      <c r="AO86" s="9"/>
      <c r="AP86" s="30">
        <f t="shared" si="282"/>
        <v>0</v>
      </c>
      <c r="AQ86" s="9"/>
      <c r="AR86" s="30">
        <f t="shared" si="270"/>
        <v>0</v>
      </c>
      <c r="AS86" s="9"/>
      <c r="AT86" s="30">
        <f t="shared" si="271"/>
        <v>0</v>
      </c>
      <c r="AU86" s="9"/>
      <c r="AV86" s="30">
        <f t="shared" si="272"/>
        <v>0</v>
      </c>
      <c r="AW86" s="9"/>
      <c r="AX86" s="30">
        <f t="shared" si="273"/>
        <v>0</v>
      </c>
      <c r="AY86" s="9"/>
      <c r="AZ86" s="30">
        <f t="shared" si="274"/>
        <v>0</v>
      </c>
      <c r="BA86" s="10">
        <f>125849/100</f>
        <v>1258.49</v>
      </c>
      <c r="BB86" s="31">
        <v>88094</v>
      </c>
      <c r="BC86" s="15">
        <f t="shared" si="287"/>
        <v>88094</v>
      </c>
      <c r="BD86" s="9">
        <f t="shared" si="288"/>
        <v>0</v>
      </c>
      <c r="BE86" s="28">
        <f t="shared" si="289"/>
        <v>1258.49</v>
      </c>
      <c r="BF86" s="8">
        <f t="shared" si="290"/>
        <v>0</v>
      </c>
      <c r="BG86" s="29">
        <f t="shared" si="283"/>
        <v>88094.3</v>
      </c>
      <c r="BH86" s="13">
        <f t="shared" si="291"/>
        <v>-0.30000000000291038</v>
      </c>
      <c r="BI86" s="2" t="str">
        <f t="shared" si="284"/>
        <v>erreur de calcul</v>
      </c>
      <c r="BJ86" s="2"/>
    </row>
    <row r="87" spans="1:62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49</v>
      </c>
      <c r="G87" s="31">
        <v>21</v>
      </c>
      <c r="H87" s="31" t="s">
        <v>159</v>
      </c>
      <c r="I87" s="5">
        <v>50</v>
      </c>
      <c r="J87" s="5"/>
      <c r="K87" s="6"/>
      <c r="L87" s="11">
        <f t="shared" si="292"/>
        <v>50</v>
      </c>
      <c r="M87" s="7" t="s">
        <v>14</v>
      </c>
      <c r="N87" s="31"/>
      <c r="O87" s="9"/>
      <c r="P87" s="9" t="str">
        <f t="shared" si="293"/>
        <v/>
      </c>
      <c r="Q87" s="9"/>
      <c r="R87" s="30">
        <f t="shared" ref="R87" si="340">Q87*$L87</f>
        <v>0</v>
      </c>
      <c r="S87" s="9"/>
      <c r="T87" s="30">
        <f t="shared" ref="T87" si="341">S87*$L87</f>
        <v>0</v>
      </c>
      <c r="U87" s="9"/>
      <c r="V87" s="30">
        <f t="shared" si="277"/>
        <v>0</v>
      </c>
      <c r="W87" s="9">
        <f>18055/100</f>
        <v>180.55</v>
      </c>
      <c r="X87" s="30">
        <v>9027</v>
      </c>
      <c r="Y87" s="9">
        <f>17880/100</f>
        <v>178.8</v>
      </c>
      <c r="Z87" s="30">
        <v>8940</v>
      </c>
      <c r="AA87" s="9"/>
      <c r="AB87" s="30">
        <f t="shared" si="265"/>
        <v>0</v>
      </c>
      <c r="AC87" s="9">
        <f>104483/100</f>
        <v>1044.83</v>
      </c>
      <c r="AD87" s="30">
        <v>52241</v>
      </c>
      <c r="AE87" s="9"/>
      <c r="AF87" s="30">
        <f t="shared" si="266"/>
        <v>0</v>
      </c>
      <c r="AG87" s="9"/>
      <c r="AH87" s="30">
        <f t="shared" si="267"/>
        <v>0</v>
      </c>
      <c r="AI87" s="9"/>
      <c r="AJ87" s="30">
        <f t="shared" ref="AJ87" si="342">AI87*$L87</f>
        <v>0</v>
      </c>
      <c r="AK87" s="9"/>
      <c r="AL87" s="30">
        <f t="shared" ref="AL87" si="343">AK87*$L87</f>
        <v>0</v>
      </c>
      <c r="AM87" s="9"/>
      <c r="AN87" s="30">
        <f t="shared" si="269"/>
        <v>0</v>
      </c>
      <c r="AO87" s="9"/>
      <c r="AP87" s="30">
        <f t="shared" si="282"/>
        <v>0</v>
      </c>
      <c r="AQ87" s="9"/>
      <c r="AR87" s="30">
        <f t="shared" si="270"/>
        <v>0</v>
      </c>
      <c r="AS87" s="9"/>
      <c r="AT87" s="30">
        <f t="shared" si="271"/>
        <v>0</v>
      </c>
      <c r="AU87" s="9"/>
      <c r="AV87" s="30">
        <f t="shared" si="272"/>
        <v>0</v>
      </c>
      <c r="AW87" s="9"/>
      <c r="AX87" s="30">
        <f t="shared" si="273"/>
        <v>0</v>
      </c>
      <c r="AY87" s="9"/>
      <c r="AZ87" s="30">
        <f t="shared" si="274"/>
        <v>0</v>
      </c>
      <c r="BA87" s="10">
        <f>140418/100</f>
        <v>1404.18</v>
      </c>
      <c r="BB87" s="31">
        <v>70208</v>
      </c>
      <c r="BC87" s="15">
        <f t="shared" si="287"/>
        <v>70208</v>
      </c>
      <c r="BD87" s="9">
        <f t="shared" si="288"/>
        <v>0</v>
      </c>
      <c r="BE87" s="28">
        <f t="shared" si="289"/>
        <v>1404.1799999999998</v>
      </c>
      <c r="BF87" s="8">
        <f t="shared" si="290"/>
        <v>0</v>
      </c>
      <c r="BG87" s="29">
        <f t="shared" si="283"/>
        <v>70208.999999999985</v>
      </c>
      <c r="BH87" s="13">
        <f t="shared" si="291"/>
        <v>-0.99999999998544808</v>
      </c>
      <c r="BI87" s="2" t="str">
        <f t="shared" si="284"/>
        <v>erreur de calcul</v>
      </c>
      <c r="BJ87" s="2"/>
    </row>
    <row r="88" spans="1:62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49</v>
      </c>
      <c r="G88" s="31">
        <v>21</v>
      </c>
      <c r="H88" s="31" t="s">
        <v>160</v>
      </c>
      <c r="I88" s="5">
        <v>250</v>
      </c>
      <c r="J88" s="5"/>
      <c r="K88" s="6"/>
      <c r="L88" s="11">
        <f t="shared" si="292"/>
        <v>250</v>
      </c>
      <c r="M88" s="7" t="s">
        <v>14</v>
      </c>
      <c r="N88" s="31"/>
      <c r="O88" s="9"/>
      <c r="P88" s="9" t="str">
        <f t="shared" si="293"/>
        <v/>
      </c>
      <c r="Q88" s="9"/>
      <c r="R88" s="30">
        <f t="shared" ref="R88" si="344">Q88*$L88</f>
        <v>0</v>
      </c>
      <c r="S88" s="9"/>
      <c r="T88" s="30">
        <f t="shared" ref="T88" si="345">S88*$L88</f>
        <v>0</v>
      </c>
      <c r="U88" s="9"/>
      <c r="V88" s="30">
        <f t="shared" si="277"/>
        <v>0</v>
      </c>
      <c r="W88" s="9"/>
      <c r="X88" s="30">
        <f t="shared" si="278"/>
        <v>0</v>
      </c>
      <c r="Y88" s="9"/>
      <c r="Z88" s="30">
        <f t="shared" si="279"/>
        <v>0</v>
      </c>
      <c r="AA88" s="9"/>
      <c r="AB88" s="30">
        <f t="shared" si="265"/>
        <v>0</v>
      </c>
      <c r="AC88" s="9"/>
      <c r="AD88" s="30">
        <f t="shared" si="280"/>
        <v>0</v>
      </c>
      <c r="AE88" s="9"/>
      <c r="AF88" s="30">
        <f t="shared" si="266"/>
        <v>0</v>
      </c>
      <c r="AG88" s="9"/>
      <c r="AH88" s="30">
        <f t="shared" si="267"/>
        <v>0</v>
      </c>
      <c r="AI88" s="9">
        <f>2306/100</f>
        <v>23.06</v>
      </c>
      <c r="AJ88" s="32">
        <v>5073</v>
      </c>
      <c r="AK88" s="9"/>
      <c r="AL88" s="30">
        <f t="shared" ref="AL88" si="346">AK88*$L88</f>
        <v>0</v>
      </c>
      <c r="AM88" s="9"/>
      <c r="AN88" s="30">
        <f t="shared" si="269"/>
        <v>0</v>
      </c>
      <c r="AO88" s="9"/>
      <c r="AP88" s="30">
        <f t="shared" si="282"/>
        <v>0</v>
      </c>
      <c r="AQ88" s="9"/>
      <c r="AR88" s="30">
        <f t="shared" si="270"/>
        <v>0</v>
      </c>
      <c r="AS88" s="9"/>
      <c r="AT88" s="30">
        <f t="shared" si="271"/>
        <v>0</v>
      </c>
      <c r="AU88" s="9"/>
      <c r="AV88" s="30">
        <f t="shared" si="272"/>
        <v>0</v>
      </c>
      <c r="AW88" s="9"/>
      <c r="AX88" s="30">
        <f t="shared" si="273"/>
        <v>0</v>
      </c>
      <c r="AY88" s="9"/>
      <c r="AZ88" s="30">
        <f t="shared" si="274"/>
        <v>0</v>
      </c>
      <c r="BA88" s="10">
        <f>2306/100</f>
        <v>23.06</v>
      </c>
      <c r="BB88" s="31">
        <v>5073</v>
      </c>
      <c r="BC88" s="15">
        <f t="shared" si="287"/>
        <v>5073</v>
      </c>
      <c r="BD88" s="9">
        <f t="shared" si="288"/>
        <v>0</v>
      </c>
      <c r="BE88" s="28">
        <f t="shared" si="289"/>
        <v>23.06</v>
      </c>
      <c r="BF88" s="8">
        <f t="shared" si="290"/>
        <v>0</v>
      </c>
      <c r="BG88" s="29">
        <f t="shared" si="283"/>
        <v>5765</v>
      </c>
      <c r="BH88" s="13">
        <f t="shared" si="291"/>
        <v>-692</v>
      </c>
      <c r="BI88" s="2" t="str">
        <f t="shared" si="284"/>
        <v>erreur de calcul</v>
      </c>
      <c r="BJ88" s="2"/>
    </row>
    <row r="89" spans="1:62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49</v>
      </c>
      <c r="G89" s="31">
        <v>21</v>
      </c>
      <c r="H89" s="31" t="s">
        <v>161</v>
      </c>
      <c r="I89" s="5"/>
      <c r="J89" s="5"/>
      <c r="K89" s="6"/>
      <c r="L89" s="11">
        <f t="shared" si="292"/>
        <v>0</v>
      </c>
      <c r="M89" s="7"/>
      <c r="N89" s="31"/>
      <c r="O89" s="9"/>
      <c r="P89" s="9" t="str">
        <f t="shared" si="293"/>
        <v/>
      </c>
      <c r="Q89" s="9"/>
      <c r="R89" s="30">
        <v>1571</v>
      </c>
      <c r="S89" s="9"/>
      <c r="T89" s="30">
        <f t="shared" ref="T89" si="347">S89*$L89</f>
        <v>0</v>
      </c>
      <c r="U89" s="9"/>
      <c r="V89" s="30">
        <v>182</v>
      </c>
      <c r="W89" s="9"/>
      <c r="X89" s="30">
        <v>1801</v>
      </c>
      <c r="Y89" s="9"/>
      <c r="Z89" s="30">
        <v>214</v>
      </c>
      <c r="AA89" s="9"/>
      <c r="AB89" s="30">
        <f t="shared" si="265"/>
        <v>0</v>
      </c>
      <c r="AC89" s="9"/>
      <c r="AD89" s="30">
        <v>401</v>
      </c>
      <c r="AE89" s="9"/>
      <c r="AF89" s="30">
        <f t="shared" si="266"/>
        <v>0</v>
      </c>
      <c r="AG89" s="9"/>
      <c r="AH89" s="30">
        <f t="shared" si="267"/>
        <v>0</v>
      </c>
      <c r="AI89" s="9"/>
      <c r="AJ89" s="30">
        <f t="shared" ref="AJ89" si="348">AI89*$L89</f>
        <v>0</v>
      </c>
      <c r="AK89" s="9"/>
      <c r="AL89" s="30">
        <v>760</v>
      </c>
      <c r="AM89" s="9"/>
      <c r="AN89" s="30">
        <f t="shared" si="269"/>
        <v>0</v>
      </c>
      <c r="AO89" s="9"/>
      <c r="AP89" s="30">
        <f t="shared" si="282"/>
        <v>0</v>
      </c>
      <c r="AQ89" s="9"/>
      <c r="AR89" s="30">
        <f t="shared" si="270"/>
        <v>0</v>
      </c>
      <c r="AS89" s="9"/>
      <c r="AT89" s="30">
        <f t="shared" si="271"/>
        <v>0</v>
      </c>
      <c r="AU89" s="9"/>
      <c r="AV89" s="30">
        <f t="shared" si="272"/>
        <v>0</v>
      </c>
      <c r="AW89" s="9"/>
      <c r="AX89" s="30">
        <f t="shared" si="273"/>
        <v>0</v>
      </c>
      <c r="AY89" s="9"/>
      <c r="AZ89" s="30">
        <f t="shared" si="274"/>
        <v>0</v>
      </c>
      <c r="BA89" s="10"/>
      <c r="BB89" s="31">
        <v>4929</v>
      </c>
      <c r="BC89" s="15">
        <f t="shared" si="287"/>
        <v>4929</v>
      </c>
      <c r="BD89" s="9">
        <f t="shared" si="288"/>
        <v>0</v>
      </c>
      <c r="BE89" s="28">
        <f t="shared" si="289"/>
        <v>0</v>
      </c>
      <c r="BF89" s="8">
        <f t="shared" si="290"/>
        <v>0</v>
      </c>
      <c r="BG89" s="29">
        <f t="shared" si="283"/>
        <v>0</v>
      </c>
      <c r="BH89" s="13">
        <f t="shared" si="291"/>
        <v>4929</v>
      </c>
      <c r="BI89" s="2" t="str">
        <f t="shared" si="284"/>
        <v>pas de prix, ni de quantité</v>
      </c>
      <c r="BJ89" s="2"/>
    </row>
    <row r="90" spans="1:62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49</v>
      </c>
      <c r="G90" s="31">
        <v>21</v>
      </c>
      <c r="H90" s="31" t="s">
        <v>162</v>
      </c>
      <c r="I90" s="5">
        <v>580</v>
      </c>
      <c r="J90" s="5"/>
      <c r="K90" s="6"/>
      <c r="L90" s="11">
        <f t="shared" si="292"/>
        <v>580</v>
      </c>
      <c r="M90" s="7" t="s">
        <v>14</v>
      </c>
      <c r="N90" s="31"/>
      <c r="O90" s="9"/>
      <c r="P90" s="9" t="str">
        <f t="shared" si="293"/>
        <v/>
      </c>
      <c r="Q90" s="9">
        <f>294/100</f>
        <v>2.94</v>
      </c>
      <c r="R90" s="30">
        <v>1705</v>
      </c>
      <c r="S90" s="9"/>
      <c r="T90" s="30">
        <f t="shared" ref="T90" si="349">S90*$L90</f>
        <v>0</v>
      </c>
      <c r="U90" s="9"/>
      <c r="V90" s="30">
        <f t="shared" si="277"/>
        <v>0</v>
      </c>
      <c r="W90" s="9"/>
      <c r="X90" s="30">
        <f t="shared" si="278"/>
        <v>0</v>
      </c>
      <c r="Y90" s="9"/>
      <c r="Z90" s="30">
        <f t="shared" si="279"/>
        <v>0</v>
      </c>
      <c r="AA90" s="9"/>
      <c r="AB90" s="30">
        <f t="shared" si="265"/>
        <v>0</v>
      </c>
      <c r="AC90" s="9"/>
      <c r="AD90" s="30">
        <f t="shared" si="280"/>
        <v>0</v>
      </c>
      <c r="AE90" s="9"/>
      <c r="AF90" s="30">
        <f t="shared" si="266"/>
        <v>0</v>
      </c>
      <c r="AG90" s="9"/>
      <c r="AH90" s="30">
        <f t="shared" si="267"/>
        <v>0</v>
      </c>
      <c r="AI90" s="9"/>
      <c r="AJ90" s="30">
        <f t="shared" ref="AJ90" si="350">AI90*$L90</f>
        <v>0</v>
      </c>
      <c r="AK90" s="9"/>
      <c r="AL90" s="30">
        <f t="shared" ref="AL90" si="351">AK90*$L90</f>
        <v>0</v>
      </c>
      <c r="AM90" s="9"/>
      <c r="AN90" s="30">
        <f t="shared" si="269"/>
        <v>0</v>
      </c>
      <c r="AO90" s="9"/>
      <c r="AP90" s="30">
        <f t="shared" si="282"/>
        <v>0</v>
      </c>
      <c r="AQ90" s="9"/>
      <c r="AR90" s="30">
        <f t="shared" si="270"/>
        <v>0</v>
      </c>
      <c r="AS90" s="9"/>
      <c r="AT90" s="30">
        <f t="shared" si="271"/>
        <v>0</v>
      </c>
      <c r="AU90" s="9"/>
      <c r="AV90" s="30">
        <f t="shared" si="272"/>
        <v>0</v>
      </c>
      <c r="AW90" s="9"/>
      <c r="AX90" s="30">
        <f t="shared" si="273"/>
        <v>0</v>
      </c>
      <c r="AY90" s="9"/>
      <c r="AZ90" s="30">
        <f t="shared" si="274"/>
        <v>0</v>
      </c>
      <c r="BA90" s="10">
        <f>294/100</f>
        <v>2.94</v>
      </c>
      <c r="BB90" s="31">
        <v>1705</v>
      </c>
      <c r="BC90" s="15">
        <f t="shared" si="287"/>
        <v>1705</v>
      </c>
      <c r="BD90" s="9">
        <f t="shared" si="288"/>
        <v>0</v>
      </c>
      <c r="BE90" s="28">
        <f t="shared" si="289"/>
        <v>2.94</v>
      </c>
      <c r="BF90" s="8">
        <f t="shared" si="290"/>
        <v>0</v>
      </c>
      <c r="BG90" s="29">
        <f t="shared" si="283"/>
        <v>1705.2</v>
      </c>
      <c r="BH90" s="13">
        <f t="shared" si="291"/>
        <v>-0.20000000000004547</v>
      </c>
      <c r="BI90" s="2" t="str">
        <f t="shared" si="284"/>
        <v>erreur de calcul</v>
      </c>
      <c r="BJ90" s="2"/>
    </row>
    <row r="91" spans="1:62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49</v>
      </c>
      <c r="G91" s="31">
        <v>21</v>
      </c>
      <c r="H91" s="31" t="s">
        <v>163</v>
      </c>
      <c r="I91" s="5">
        <v>180</v>
      </c>
      <c r="J91" s="5"/>
      <c r="K91" s="6"/>
      <c r="L91" s="11">
        <f t="shared" si="292"/>
        <v>180</v>
      </c>
      <c r="M91" s="7" t="s">
        <v>14</v>
      </c>
      <c r="N91" s="31"/>
      <c r="O91" s="9"/>
      <c r="P91" s="9" t="str">
        <f t="shared" si="293"/>
        <v/>
      </c>
      <c r="Q91" s="9"/>
      <c r="R91" s="30">
        <f t="shared" ref="R91" si="352">Q91*$L91</f>
        <v>0</v>
      </c>
      <c r="S91" s="9"/>
      <c r="T91" s="30">
        <f t="shared" ref="T91" si="353">S91*$L91</f>
        <v>0</v>
      </c>
      <c r="U91" s="9"/>
      <c r="V91" s="30">
        <f t="shared" si="277"/>
        <v>0</v>
      </c>
      <c r="W91" s="9"/>
      <c r="X91" s="30">
        <f t="shared" si="278"/>
        <v>0</v>
      </c>
      <c r="Y91" s="9"/>
      <c r="Z91" s="30">
        <f t="shared" si="279"/>
        <v>0</v>
      </c>
      <c r="AA91" s="9"/>
      <c r="AB91" s="30">
        <f t="shared" si="265"/>
        <v>0</v>
      </c>
      <c r="AC91" s="9"/>
      <c r="AD91" s="30">
        <f t="shared" si="280"/>
        <v>0</v>
      </c>
      <c r="AE91" s="9"/>
      <c r="AF91" s="30">
        <f t="shared" si="266"/>
        <v>0</v>
      </c>
      <c r="AG91" s="9"/>
      <c r="AH91" s="30">
        <f t="shared" si="267"/>
        <v>0</v>
      </c>
      <c r="AI91" s="9"/>
      <c r="AJ91" s="30">
        <f t="shared" ref="AJ91" si="354">AI91*$L91</f>
        <v>0</v>
      </c>
      <c r="AK91" s="9"/>
      <c r="AL91" s="30">
        <f t="shared" ref="AL91" si="355">AK91*$L91</f>
        <v>0</v>
      </c>
      <c r="AM91" s="9"/>
      <c r="AN91" s="30">
        <f t="shared" si="269"/>
        <v>0</v>
      </c>
      <c r="AO91" s="9">
        <f>13754/100</f>
        <v>137.54</v>
      </c>
      <c r="AP91" s="30">
        <v>24757</v>
      </c>
      <c r="AQ91" s="9"/>
      <c r="AR91" s="30">
        <f t="shared" si="270"/>
        <v>0</v>
      </c>
      <c r="AS91" s="9"/>
      <c r="AT91" s="30">
        <f t="shared" si="271"/>
        <v>0</v>
      </c>
      <c r="AU91" s="9"/>
      <c r="AV91" s="30">
        <f t="shared" si="272"/>
        <v>0</v>
      </c>
      <c r="AW91" s="9"/>
      <c r="AX91" s="30">
        <f t="shared" si="273"/>
        <v>0</v>
      </c>
      <c r="AY91" s="9"/>
      <c r="AZ91" s="30">
        <f t="shared" si="274"/>
        <v>0</v>
      </c>
      <c r="BA91" s="10">
        <f>17360/100</f>
        <v>173.6</v>
      </c>
      <c r="BB91" s="31">
        <v>24757</v>
      </c>
      <c r="BC91" s="15">
        <f t="shared" si="287"/>
        <v>24757</v>
      </c>
      <c r="BD91" s="9">
        <f t="shared" si="288"/>
        <v>0</v>
      </c>
      <c r="BE91" s="28">
        <f t="shared" si="289"/>
        <v>137.54</v>
      </c>
      <c r="BF91" s="8">
        <f t="shared" si="290"/>
        <v>36.06</v>
      </c>
      <c r="BG91" s="29">
        <f t="shared" si="283"/>
        <v>24757.199999999997</v>
      </c>
      <c r="BH91" s="13">
        <f t="shared" si="291"/>
        <v>-0.19999999999708962</v>
      </c>
      <c r="BI91" s="2" t="str">
        <f t="shared" si="284"/>
        <v>erreur de calcul</v>
      </c>
      <c r="BJ91" s="2"/>
    </row>
    <row r="92" spans="1:62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49</v>
      </c>
      <c r="G92" s="31">
        <v>21</v>
      </c>
      <c r="H92" s="31" t="s">
        <v>164</v>
      </c>
      <c r="I92" s="5">
        <v>90</v>
      </c>
      <c r="J92" s="5"/>
      <c r="K92" s="6"/>
      <c r="L92" s="11">
        <f t="shared" si="292"/>
        <v>90</v>
      </c>
      <c r="M92" s="7" t="s">
        <v>14</v>
      </c>
      <c r="N92" s="31"/>
      <c r="O92" s="9"/>
      <c r="P92" s="9" t="str">
        <f t="shared" si="293"/>
        <v/>
      </c>
      <c r="Q92" s="9">
        <f>3606/100</f>
        <v>36.06</v>
      </c>
      <c r="R92" s="30">
        <v>3245</v>
      </c>
      <c r="S92" s="9"/>
      <c r="T92" s="30">
        <f t="shared" ref="T92" si="356">S92*$L92</f>
        <v>0</v>
      </c>
      <c r="U92" s="9"/>
      <c r="V92" s="30">
        <f t="shared" si="277"/>
        <v>0</v>
      </c>
      <c r="W92" s="9"/>
      <c r="X92" s="30">
        <f t="shared" si="278"/>
        <v>0</v>
      </c>
      <c r="Y92" s="9"/>
      <c r="Z92" s="30">
        <f t="shared" si="279"/>
        <v>0</v>
      </c>
      <c r="AA92" s="9"/>
      <c r="AB92" s="30">
        <f t="shared" si="265"/>
        <v>0</v>
      </c>
      <c r="AC92" s="9"/>
      <c r="AD92" s="30">
        <f t="shared" si="280"/>
        <v>0</v>
      </c>
      <c r="AE92" s="9"/>
      <c r="AF92" s="30">
        <f t="shared" si="266"/>
        <v>0</v>
      </c>
      <c r="AG92" s="9"/>
      <c r="AH92" s="30">
        <f t="shared" si="267"/>
        <v>0</v>
      </c>
      <c r="AI92" s="9"/>
      <c r="AJ92" s="30">
        <f t="shared" ref="AJ92" si="357">AI92*$L92</f>
        <v>0</v>
      </c>
      <c r="AK92" s="9"/>
      <c r="AL92" s="30">
        <f t="shared" ref="AL92" si="358">AK92*$L92</f>
        <v>0</v>
      </c>
      <c r="AM92" s="9"/>
      <c r="AN92" s="30">
        <f t="shared" si="269"/>
        <v>0</v>
      </c>
      <c r="AO92" s="9"/>
      <c r="AP92" s="30">
        <f t="shared" si="282"/>
        <v>0</v>
      </c>
      <c r="AQ92" s="9"/>
      <c r="AR92" s="30">
        <f t="shared" si="270"/>
        <v>0</v>
      </c>
      <c r="AS92" s="9"/>
      <c r="AT92" s="30">
        <f t="shared" si="271"/>
        <v>0</v>
      </c>
      <c r="AU92" s="9"/>
      <c r="AV92" s="30">
        <f t="shared" si="272"/>
        <v>0</v>
      </c>
      <c r="AW92" s="9"/>
      <c r="AX92" s="30">
        <f t="shared" si="273"/>
        <v>0</v>
      </c>
      <c r="AY92" s="9"/>
      <c r="AZ92" s="30">
        <f t="shared" si="274"/>
        <v>0</v>
      </c>
      <c r="BA92" s="10">
        <f>3606/100</f>
        <v>36.06</v>
      </c>
      <c r="BB92" s="31">
        <v>3245</v>
      </c>
      <c r="BC92" s="15">
        <f t="shared" si="287"/>
        <v>3245</v>
      </c>
      <c r="BD92" s="9">
        <f t="shared" si="288"/>
        <v>0</v>
      </c>
      <c r="BE92" s="28">
        <f t="shared" si="289"/>
        <v>36.06</v>
      </c>
      <c r="BF92" s="8">
        <f t="shared" si="290"/>
        <v>0</v>
      </c>
      <c r="BG92" s="29">
        <f t="shared" si="283"/>
        <v>3245.4</v>
      </c>
      <c r="BH92" s="13">
        <f t="shared" si="291"/>
        <v>-0.40000000000009095</v>
      </c>
      <c r="BI92" s="2" t="str">
        <f t="shared" si="284"/>
        <v>erreur de calcul</v>
      </c>
      <c r="BJ92" s="2"/>
    </row>
    <row r="93" spans="1:62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49</v>
      </c>
      <c r="G93" s="31">
        <v>21</v>
      </c>
      <c r="H93" s="31" t="s">
        <v>165</v>
      </c>
      <c r="I93" s="5">
        <v>60</v>
      </c>
      <c r="J93" s="5"/>
      <c r="K93" s="6"/>
      <c r="L93" s="11">
        <f t="shared" si="292"/>
        <v>60</v>
      </c>
      <c r="M93" s="7" t="s">
        <v>14</v>
      </c>
      <c r="N93" s="31"/>
      <c r="O93" s="9"/>
      <c r="P93" s="9" t="str">
        <f t="shared" si="293"/>
        <v/>
      </c>
      <c r="Q93" s="9">
        <f>19377/100</f>
        <v>193.77</v>
      </c>
      <c r="R93" s="30">
        <v>11626</v>
      </c>
      <c r="S93" s="9"/>
      <c r="T93" s="30">
        <f t="shared" ref="T93" si="359">S93*$L93</f>
        <v>0</v>
      </c>
      <c r="U93" s="9"/>
      <c r="V93" s="30">
        <f t="shared" si="277"/>
        <v>0</v>
      </c>
      <c r="W93" s="9"/>
      <c r="X93" s="30">
        <f t="shared" si="278"/>
        <v>0</v>
      </c>
      <c r="Y93" s="9"/>
      <c r="Z93" s="30">
        <f t="shared" si="279"/>
        <v>0</v>
      </c>
      <c r="AA93" s="9"/>
      <c r="AB93" s="30">
        <f t="shared" si="265"/>
        <v>0</v>
      </c>
      <c r="AC93" s="9"/>
      <c r="AD93" s="30">
        <f t="shared" si="280"/>
        <v>0</v>
      </c>
      <c r="AE93" s="9"/>
      <c r="AF93" s="30">
        <f t="shared" si="266"/>
        <v>0</v>
      </c>
      <c r="AG93" s="9"/>
      <c r="AH93" s="30">
        <f t="shared" si="267"/>
        <v>0</v>
      </c>
      <c r="AI93" s="9"/>
      <c r="AJ93" s="30">
        <f t="shared" ref="AJ93" si="360">AI93*$L93</f>
        <v>0</v>
      </c>
      <c r="AK93" s="9"/>
      <c r="AL93" s="30">
        <f t="shared" ref="AL93" si="361">AK93*$L93</f>
        <v>0</v>
      </c>
      <c r="AM93" s="9"/>
      <c r="AN93" s="30">
        <f t="shared" si="269"/>
        <v>0</v>
      </c>
      <c r="AO93" s="9"/>
      <c r="AP93" s="30">
        <f t="shared" si="282"/>
        <v>0</v>
      </c>
      <c r="AQ93" s="9"/>
      <c r="AR93" s="30">
        <f t="shared" si="270"/>
        <v>0</v>
      </c>
      <c r="AS93" s="9"/>
      <c r="AT93" s="30">
        <f t="shared" si="271"/>
        <v>0</v>
      </c>
      <c r="AU93" s="9"/>
      <c r="AV93" s="30">
        <f t="shared" si="272"/>
        <v>0</v>
      </c>
      <c r="AW93" s="9"/>
      <c r="AX93" s="30">
        <f t="shared" si="273"/>
        <v>0</v>
      </c>
      <c r="AY93" s="9"/>
      <c r="AZ93" s="30">
        <f t="shared" si="274"/>
        <v>0</v>
      </c>
      <c r="BA93" s="10">
        <f>19377/100</f>
        <v>193.77</v>
      </c>
      <c r="BB93" s="31">
        <v>11626</v>
      </c>
      <c r="BC93" s="15">
        <f t="shared" si="287"/>
        <v>11626</v>
      </c>
      <c r="BD93" s="9">
        <f t="shared" si="288"/>
        <v>0</v>
      </c>
      <c r="BE93" s="28">
        <f t="shared" si="289"/>
        <v>193.77</v>
      </c>
      <c r="BF93" s="8">
        <f t="shared" si="290"/>
        <v>0</v>
      </c>
      <c r="BG93" s="29">
        <f t="shared" si="283"/>
        <v>11626.2</v>
      </c>
      <c r="BH93" s="13">
        <f t="shared" si="291"/>
        <v>-0.2000000000007276</v>
      </c>
      <c r="BI93" s="2" t="str">
        <f t="shared" si="284"/>
        <v>erreur de calcul</v>
      </c>
      <c r="BJ93" s="2"/>
    </row>
    <row r="94" spans="1:62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49</v>
      </c>
      <c r="G94" s="31">
        <v>21</v>
      </c>
      <c r="H94" s="31" t="s">
        <v>166</v>
      </c>
      <c r="I94" s="5">
        <v>345</v>
      </c>
      <c r="J94" s="5"/>
      <c r="K94" s="6"/>
      <c r="L94" s="11">
        <f t="shared" si="292"/>
        <v>345</v>
      </c>
      <c r="M94" s="7" t="s">
        <v>14</v>
      </c>
      <c r="N94" s="31"/>
      <c r="O94" s="9"/>
      <c r="P94" s="9" t="str">
        <f t="shared" si="293"/>
        <v/>
      </c>
      <c r="Q94" s="9">
        <f>617/100</f>
        <v>6.17</v>
      </c>
      <c r="R94" s="30">
        <v>2129</v>
      </c>
      <c r="S94" s="9"/>
      <c r="T94" s="30">
        <f t="shared" ref="T94" si="362">S94*$L94</f>
        <v>0</v>
      </c>
      <c r="U94" s="9"/>
      <c r="V94" s="30">
        <f t="shared" si="277"/>
        <v>0</v>
      </c>
      <c r="W94" s="9"/>
      <c r="X94" s="30">
        <f t="shared" si="278"/>
        <v>0</v>
      </c>
      <c r="Y94" s="9"/>
      <c r="Z94" s="30">
        <f t="shared" si="279"/>
        <v>0</v>
      </c>
      <c r="AA94" s="9"/>
      <c r="AB94" s="30">
        <f t="shared" si="265"/>
        <v>0</v>
      </c>
      <c r="AC94" s="9">
        <f>1270/100</f>
        <v>12.7</v>
      </c>
      <c r="AD94" s="30">
        <v>4381</v>
      </c>
      <c r="AE94" s="9"/>
      <c r="AF94" s="30">
        <f t="shared" si="266"/>
        <v>0</v>
      </c>
      <c r="AG94" s="9"/>
      <c r="AH94" s="30">
        <f t="shared" si="267"/>
        <v>0</v>
      </c>
      <c r="AI94" s="9"/>
      <c r="AJ94" s="30">
        <f t="shared" ref="AJ94" si="363">AI94*$L94</f>
        <v>0</v>
      </c>
      <c r="AK94" s="9"/>
      <c r="AL94" s="30">
        <f t="shared" ref="AL94" si="364">AK94*$L94</f>
        <v>0</v>
      </c>
      <c r="AM94" s="9"/>
      <c r="AN94" s="30">
        <f t="shared" si="269"/>
        <v>0</v>
      </c>
      <c r="AO94" s="9"/>
      <c r="AP94" s="30">
        <f t="shared" si="282"/>
        <v>0</v>
      </c>
      <c r="AQ94" s="9"/>
      <c r="AR94" s="30">
        <f t="shared" si="270"/>
        <v>0</v>
      </c>
      <c r="AS94" s="9"/>
      <c r="AT94" s="30">
        <f t="shared" si="271"/>
        <v>0</v>
      </c>
      <c r="AU94" s="9"/>
      <c r="AV94" s="30">
        <f t="shared" si="272"/>
        <v>0</v>
      </c>
      <c r="AW94" s="9"/>
      <c r="AX94" s="30">
        <f t="shared" si="273"/>
        <v>0</v>
      </c>
      <c r="AY94" s="9"/>
      <c r="AZ94" s="30">
        <f t="shared" si="274"/>
        <v>0</v>
      </c>
      <c r="BA94" s="10">
        <f>1887/100</f>
        <v>18.87</v>
      </c>
      <c r="BB94" s="31">
        <v>6510</v>
      </c>
      <c r="BC94" s="15">
        <f t="shared" si="287"/>
        <v>6510</v>
      </c>
      <c r="BD94" s="9">
        <f t="shared" si="288"/>
        <v>0</v>
      </c>
      <c r="BE94" s="28">
        <f t="shared" si="289"/>
        <v>18.869999999999997</v>
      </c>
      <c r="BF94" s="8">
        <f t="shared" si="290"/>
        <v>0</v>
      </c>
      <c r="BG94" s="29">
        <f t="shared" si="283"/>
        <v>6510.1499999999987</v>
      </c>
      <c r="BH94" s="13">
        <f t="shared" si="291"/>
        <v>-0.14999999999872671</v>
      </c>
      <c r="BI94" s="2" t="str">
        <f t="shared" si="284"/>
        <v>erreur de calcul</v>
      </c>
      <c r="BJ94" s="2"/>
    </row>
    <row r="95" spans="1:62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49</v>
      </c>
      <c r="G95" s="31">
        <v>21</v>
      </c>
      <c r="H95" s="31" t="s">
        <v>167</v>
      </c>
      <c r="I95" s="5">
        <v>6</v>
      </c>
      <c r="J95" s="5"/>
      <c r="K95" s="6"/>
      <c r="L95" s="11">
        <f t="shared" si="292"/>
        <v>6</v>
      </c>
      <c r="M95" s="7" t="s">
        <v>14</v>
      </c>
      <c r="N95" s="31"/>
      <c r="O95" s="9"/>
      <c r="P95" s="9" t="str">
        <f t="shared" si="293"/>
        <v/>
      </c>
      <c r="Q95" s="9"/>
      <c r="R95" s="30">
        <f t="shared" ref="R95" si="365">Q95*$L95</f>
        <v>0</v>
      </c>
      <c r="S95" s="9"/>
      <c r="T95" s="30">
        <f t="shared" ref="T95" si="366">S95*$L95</f>
        <v>0</v>
      </c>
      <c r="U95" s="9"/>
      <c r="V95" s="30">
        <f t="shared" si="277"/>
        <v>0</v>
      </c>
      <c r="W95" s="9">
        <f>39752/100</f>
        <v>397.52</v>
      </c>
      <c r="X95" s="30">
        <v>2385</v>
      </c>
      <c r="Y95" s="9"/>
      <c r="Z95" s="30">
        <f t="shared" si="279"/>
        <v>0</v>
      </c>
      <c r="AA95" s="9"/>
      <c r="AB95" s="30">
        <f t="shared" si="265"/>
        <v>0</v>
      </c>
      <c r="AC95" s="9"/>
      <c r="AD95" s="30">
        <f t="shared" si="280"/>
        <v>0</v>
      </c>
      <c r="AE95" s="9"/>
      <c r="AF95" s="30">
        <f t="shared" si="266"/>
        <v>0</v>
      </c>
      <c r="AG95" s="9"/>
      <c r="AH95" s="30">
        <f t="shared" si="267"/>
        <v>0</v>
      </c>
      <c r="AI95" s="9"/>
      <c r="AJ95" s="30">
        <f t="shared" ref="AJ95" si="367">AI95*$L95</f>
        <v>0</v>
      </c>
      <c r="AK95" s="9"/>
      <c r="AL95" s="30">
        <f t="shared" ref="AL95" si="368">AK95*$L95</f>
        <v>0</v>
      </c>
      <c r="AM95" s="9"/>
      <c r="AN95" s="30">
        <f t="shared" si="269"/>
        <v>0</v>
      </c>
      <c r="AO95" s="9"/>
      <c r="AP95" s="30">
        <f t="shared" si="282"/>
        <v>0</v>
      </c>
      <c r="AQ95" s="9"/>
      <c r="AR95" s="30">
        <f t="shared" si="270"/>
        <v>0</v>
      </c>
      <c r="AS95" s="9"/>
      <c r="AT95" s="30">
        <f t="shared" si="271"/>
        <v>0</v>
      </c>
      <c r="AU95" s="9"/>
      <c r="AV95" s="30">
        <f t="shared" si="272"/>
        <v>0</v>
      </c>
      <c r="AW95" s="9"/>
      <c r="AX95" s="30">
        <f t="shared" si="273"/>
        <v>0</v>
      </c>
      <c r="AY95" s="9"/>
      <c r="AZ95" s="30">
        <f t="shared" si="274"/>
        <v>0</v>
      </c>
      <c r="BA95" s="10">
        <f>39752/100</f>
        <v>397.52</v>
      </c>
      <c r="BB95" s="31">
        <v>2385</v>
      </c>
      <c r="BC95" s="15">
        <f t="shared" si="287"/>
        <v>2385</v>
      </c>
      <c r="BD95" s="9">
        <f t="shared" si="288"/>
        <v>0</v>
      </c>
      <c r="BE95" s="28">
        <f t="shared" si="289"/>
        <v>397.52</v>
      </c>
      <c r="BF95" s="8">
        <f t="shared" si="290"/>
        <v>0</v>
      </c>
      <c r="BG95" s="29">
        <f t="shared" si="283"/>
        <v>2385.12</v>
      </c>
      <c r="BH95" s="13">
        <f t="shared" si="291"/>
        <v>-0.11999999999989086</v>
      </c>
      <c r="BI95" s="2" t="str">
        <f t="shared" si="284"/>
        <v>erreur de calcul</v>
      </c>
      <c r="BJ95" s="2"/>
    </row>
    <row r="96" spans="1:62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49</v>
      </c>
      <c r="G96" s="31">
        <v>21</v>
      </c>
      <c r="H96" s="31" t="s">
        <v>168</v>
      </c>
      <c r="I96" s="5">
        <v>90</v>
      </c>
      <c r="J96" s="5"/>
      <c r="K96" s="6"/>
      <c r="L96" s="11">
        <f t="shared" si="292"/>
        <v>90</v>
      </c>
      <c r="M96" s="7" t="s">
        <v>14</v>
      </c>
      <c r="N96" s="31"/>
      <c r="O96" s="9"/>
      <c r="P96" s="9" t="str">
        <f t="shared" si="293"/>
        <v/>
      </c>
      <c r="Q96" s="9"/>
      <c r="R96" s="30">
        <f t="shared" ref="R96" si="369">Q96*$L96</f>
        <v>0</v>
      </c>
      <c r="S96" s="9"/>
      <c r="T96" s="30">
        <f t="shared" ref="T96" si="370">S96*$L96</f>
        <v>0</v>
      </c>
      <c r="U96" s="9"/>
      <c r="V96" s="30">
        <f t="shared" si="277"/>
        <v>0</v>
      </c>
      <c r="W96" s="9"/>
      <c r="X96" s="30">
        <f t="shared" si="278"/>
        <v>0</v>
      </c>
      <c r="Y96" s="9">
        <f>3136/100</f>
        <v>31.36</v>
      </c>
      <c r="Z96" s="30">
        <v>2822</v>
      </c>
      <c r="AA96" s="9"/>
      <c r="AB96" s="30">
        <f t="shared" si="265"/>
        <v>0</v>
      </c>
      <c r="AC96" s="9"/>
      <c r="AD96" s="30">
        <f t="shared" si="280"/>
        <v>0</v>
      </c>
      <c r="AE96" s="9"/>
      <c r="AF96" s="30">
        <f t="shared" si="266"/>
        <v>0</v>
      </c>
      <c r="AG96" s="9"/>
      <c r="AH96" s="30">
        <f t="shared" si="267"/>
        <v>0</v>
      </c>
      <c r="AI96" s="9"/>
      <c r="AJ96" s="30">
        <f t="shared" ref="AJ96" si="371">AI96*$L96</f>
        <v>0</v>
      </c>
      <c r="AK96" s="9"/>
      <c r="AL96" s="30">
        <f t="shared" ref="AL96" si="372">AK96*$L96</f>
        <v>0</v>
      </c>
      <c r="AM96" s="9"/>
      <c r="AN96" s="30">
        <f t="shared" si="269"/>
        <v>0</v>
      </c>
      <c r="AO96" s="9"/>
      <c r="AP96" s="30">
        <f t="shared" si="282"/>
        <v>0</v>
      </c>
      <c r="AQ96" s="9"/>
      <c r="AR96" s="30">
        <f t="shared" si="270"/>
        <v>0</v>
      </c>
      <c r="AS96" s="9"/>
      <c r="AT96" s="30">
        <f t="shared" si="271"/>
        <v>0</v>
      </c>
      <c r="AU96" s="9"/>
      <c r="AV96" s="30">
        <f t="shared" si="272"/>
        <v>0</v>
      </c>
      <c r="AW96" s="9"/>
      <c r="AX96" s="30">
        <f t="shared" si="273"/>
        <v>0</v>
      </c>
      <c r="AY96" s="9"/>
      <c r="AZ96" s="30">
        <f t="shared" si="274"/>
        <v>0</v>
      </c>
      <c r="BA96" s="10">
        <f>3136/100</f>
        <v>31.36</v>
      </c>
      <c r="BB96" s="31">
        <v>2822</v>
      </c>
      <c r="BC96" s="15">
        <f t="shared" si="287"/>
        <v>2822</v>
      </c>
      <c r="BD96" s="9">
        <f t="shared" si="288"/>
        <v>0</v>
      </c>
      <c r="BE96" s="28">
        <f t="shared" si="289"/>
        <v>31.36</v>
      </c>
      <c r="BF96" s="8">
        <f t="shared" si="290"/>
        <v>0</v>
      </c>
      <c r="BG96" s="29">
        <f t="shared" si="283"/>
        <v>2822.4</v>
      </c>
      <c r="BH96" s="13">
        <f t="shared" si="291"/>
        <v>-0.40000000000009095</v>
      </c>
      <c r="BI96" s="2" t="str">
        <f t="shared" si="284"/>
        <v>erreur de calcul</v>
      </c>
      <c r="BJ96" s="2"/>
    </row>
    <row r="97" spans="1:62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49</v>
      </c>
      <c r="G97" s="31">
        <v>21</v>
      </c>
      <c r="H97" s="31" t="s">
        <v>169</v>
      </c>
      <c r="I97" s="5">
        <v>90</v>
      </c>
      <c r="J97" s="5"/>
      <c r="K97" s="6"/>
      <c r="L97" s="11">
        <f t="shared" si="292"/>
        <v>90</v>
      </c>
      <c r="M97" s="7" t="s">
        <v>14</v>
      </c>
      <c r="N97" s="31"/>
      <c r="O97" s="9"/>
      <c r="P97" s="9" t="str">
        <f t="shared" si="293"/>
        <v/>
      </c>
      <c r="Q97" s="9"/>
      <c r="R97" s="30">
        <f t="shared" ref="R97" si="373">Q97*$L97</f>
        <v>0</v>
      </c>
      <c r="S97" s="9"/>
      <c r="T97" s="30">
        <f t="shared" ref="T97" si="374">S97*$L97</f>
        <v>0</v>
      </c>
      <c r="U97" s="9"/>
      <c r="V97" s="30">
        <f t="shared" si="277"/>
        <v>0</v>
      </c>
      <c r="W97" s="9"/>
      <c r="X97" s="30">
        <f t="shared" si="278"/>
        <v>0</v>
      </c>
      <c r="Y97" s="9"/>
      <c r="Z97" s="30">
        <f t="shared" si="279"/>
        <v>0</v>
      </c>
      <c r="AA97" s="9"/>
      <c r="AB97" s="30">
        <f t="shared" si="265"/>
        <v>0</v>
      </c>
      <c r="AC97" s="9"/>
      <c r="AD97" s="30">
        <f t="shared" si="280"/>
        <v>0</v>
      </c>
      <c r="AE97" s="9"/>
      <c r="AF97" s="30">
        <f t="shared" si="266"/>
        <v>0</v>
      </c>
      <c r="AG97" s="9"/>
      <c r="AH97" s="30">
        <f t="shared" si="267"/>
        <v>0</v>
      </c>
      <c r="AI97" s="9">
        <f>5337/100</f>
        <v>53.37</v>
      </c>
      <c r="AJ97" s="30">
        <v>4803</v>
      </c>
      <c r="AK97" s="9"/>
      <c r="AL97" s="30">
        <f t="shared" ref="AL97" si="375">AK97*$L97</f>
        <v>0</v>
      </c>
      <c r="AM97" s="9"/>
      <c r="AN97" s="30">
        <f t="shared" si="269"/>
        <v>0</v>
      </c>
      <c r="AO97" s="9"/>
      <c r="AP97" s="30">
        <f t="shared" si="282"/>
        <v>0</v>
      </c>
      <c r="AQ97" s="9"/>
      <c r="AR97" s="30">
        <f t="shared" si="270"/>
        <v>0</v>
      </c>
      <c r="AS97" s="9"/>
      <c r="AT97" s="30">
        <f t="shared" si="271"/>
        <v>0</v>
      </c>
      <c r="AU97" s="9"/>
      <c r="AV97" s="30">
        <f t="shared" si="272"/>
        <v>0</v>
      </c>
      <c r="AW97" s="9"/>
      <c r="AX97" s="30">
        <f t="shared" si="273"/>
        <v>0</v>
      </c>
      <c r="AY97" s="9"/>
      <c r="AZ97" s="30">
        <f t="shared" si="274"/>
        <v>0</v>
      </c>
      <c r="BA97" s="10">
        <f>5337/100</f>
        <v>53.37</v>
      </c>
      <c r="BB97" s="31">
        <v>4803</v>
      </c>
      <c r="BC97" s="15">
        <f t="shared" si="287"/>
        <v>4803</v>
      </c>
      <c r="BD97" s="9">
        <f t="shared" si="288"/>
        <v>0</v>
      </c>
      <c r="BE97" s="28">
        <f t="shared" si="289"/>
        <v>53.37</v>
      </c>
      <c r="BF97" s="8">
        <f t="shared" si="290"/>
        <v>0</v>
      </c>
      <c r="BG97" s="29">
        <f t="shared" si="283"/>
        <v>4803.3</v>
      </c>
      <c r="BH97" s="13">
        <f t="shared" si="291"/>
        <v>-0.3000000000001819</v>
      </c>
      <c r="BI97" s="2" t="str">
        <f t="shared" si="284"/>
        <v>erreur de calcul</v>
      </c>
      <c r="BJ97" s="2"/>
    </row>
    <row r="98" spans="1:62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49</v>
      </c>
      <c r="G98" s="31">
        <v>21</v>
      </c>
      <c r="H98" s="31" t="s">
        <v>170</v>
      </c>
      <c r="I98" s="5">
        <v>15</v>
      </c>
      <c r="J98" s="5"/>
      <c r="K98" s="6"/>
      <c r="L98" s="11">
        <f t="shared" si="292"/>
        <v>15</v>
      </c>
      <c r="M98" s="7" t="s">
        <v>14</v>
      </c>
      <c r="N98" s="31" t="s">
        <v>84</v>
      </c>
      <c r="O98" s="9">
        <f>12406/100</f>
        <v>124.06</v>
      </c>
      <c r="P98" s="9">
        <v>1861</v>
      </c>
      <c r="Q98" s="9"/>
      <c r="R98" s="30">
        <f t="shared" ref="R98" si="376">Q98*$L98</f>
        <v>0</v>
      </c>
      <c r="S98" s="9"/>
      <c r="T98" s="30">
        <f t="shared" ref="T98" si="377">S98*$L98</f>
        <v>0</v>
      </c>
      <c r="U98" s="9"/>
      <c r="V98" s="30">
        <f t="shared" si="277"/>
        <v>0</v>
      </c>
      <c r="W98" s="9"/>
      <c r="X98" s="30">
        <f t="shared" si="278"/>
        <v>0</v>
      </c>
      <c r="Y98" s="9"/>
      <c r="Z98" s="30">
        <f t="shared" si="279"/>
        <v>0</v>
      </c>
      <c r="AA98" s="9"/>
      <c r="AB98" s="30">
        <f t="shared" si="265"/>
        <v>0</v>
      </c>
      <c r="AC98" s="9"/>
      <c r="AD98" s="30">
        <f t="shared" si="280"/>
        <v>0</v>
      </c>
      <c r="AE98" s="9"/>
      <c r="AF98" s="30">
        <f t="shared" si="266"/>
        <v>0</v>
      </c>
      <c r="AG98" s="9"/>
      <c r="AH98" s="30">
        <f t="shared" si="267"/>
        <v>0</v>
      </c>
      <c r="AI98" s="9"/>
      <c r="AJ98" s="30">
        <f t="shared" ref="AJ98" si="378">AI98*$L98</f>
        <v>0</v>
      </c>
      <c r="AK98" s="9"/>
      <c r="AL98" s="30">
        <f t="shared" ref="AL98" si="379">AK98*$L98</f>
        <v>0</v>
      </c>
      <c r="AM98" s="9"/>
      <c r="AN98" s="30">
        <f t="shared" si="269"/>
        <v>0</v>
      </c>
      <c r="AO98" s="9"/>
      <c r="AP98" s="30">
        <f t="shared" si="282"/>
        <v>0</v>
      </c>
      <c r="AQ98" s="9"/>
      <c r="AR98" s="30">
        <f t="shared" si="270"/>
        <v>0</v>
      </c>
      <c r="AS98" s="9"/>
      <c r="AT98" s="30">
        <f t="shared" si="271"/>
        <v>0</v>
      </c>
      <c r="AU98" s="9"/>
      <c r="AV98" s="30">
        <f t="shared" si="272"/>
        <v>0</v>
      </c>
      <c r="AW98" s="9"/>
      <c r="AX98" s="30">
        <f t="shared" si="273"/>
        <v>0</v>
      </c>
      <c r="AY98" s="9"/>
      <c r="AZ98" s="30">
        <f t="shared" si="274"/>
        <v>0</v>
      </c>
      <c r="BA98" s="10"/>
      <c r="BB98" s="31"/>
      <c r="BC98" s="15">
        <f t="shared" si="287"/>
        <v>0</v>
      </c>
      <c r="BD98" s="9">
        <f t="shared" si="288"/>
        <v>0</v>
      </c>
      <c r="BE98" s="28">
        <f t="shared" si="289"/>
        <v>0</v>
      </c>
      <c r="BF98" s="8">
        <f t="shared" si="290"/>
        <v>0</v>
      </c>
      <c r="BG98" s="29">
        <f t="shared" si="283"/>
        <v>0</v>
      </c>
      <c r="BH98" s="13">
        <f t="shared" si="291"/>
        <v>0</v>
      </c>
      <c r="BI98" s="2" t="str">
        <f t="shared" si="284"/>
        <v/>
      </c>
      <c r="BJ98" s="2"/>
    </row>
    <row r="99" spans="1:62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49</v>
      </c>
      <c r="G99" s="31">
        <v>21</v>
      </c>
      <c r="H99" s="31" t="s">
        <v>171</v>
      </c>
      <c r="I99" s="5">
        <v>36</v>
      </c>
      <c r="J99" s="5"/>
      <c r="K99" s="6"/>
      <c r="L99" s="11">
        <f t="shared" si="292"/>
        <v>36</v>
      </c>
      <c r="M99" s="7" t="s">
        <v>14</v>
      </c>
      <c r="N99" s="31"/>
      <c r="O99" s="9"/>
      <c r="P99" s="9" t="str">
        <f t="shared" si="293"/>
        <v/>
      </c>
      <c r="Q99" s="9"/>
      <c r="R99" s="30">
        <f t="shared" ref="R99" si="380">Q99*$L99</f>
        <v>0</v>
      </c>
      <c r="S99" s="9"/>
      <c r="T99" s="30">
        <f t="shared" ref="T99" si="381">S99*$L99</f>
        <v>0</v>
      </c>
      <c r="U99" s="9"/>
      <c r="V99" s="30">
        <f t="shared" si="277"/>
        <v>0</v>
      </c>
      <c r="W99" s="9"/>
      <c r="X99" s="30">
        <f t="shared" si="278"/>
        <v>0</v>
      </c>
      <c r="Y99" s="9"/>
      <c r="Z99" s="30">
        <f t="shared" si="279"/>
        <v>0</v>
      </c>
      <c r="AA99" s="9"/>
      <c r="AB99" s="30">
        <f t="shared" si="265"/>
        <v>0</v>
      </c>
      <c r="AC99" s="9">
        <f>80722/100</f>
        <v>807.22</v>
      </c>
      <c r="AD99" s="30">
        <v>29060</v>
      </c>
      <c r="AE99" s="9"/>
      <c r="AF99" s="30">
        <f t="shared" si="266"/>
        <v>0</v>
      </c>
      <c r="AG99" s="9"/>
      <c r="AH99" s="30">
        <f t="shared" si="267"/>
        <v>0</v>
      </c>
      <c r="AI99" s="9"/>
      <c r="AJ99" s="30">
        <f t="shared" ref="AJ99" si="382">AI99*$L99</f>
        <v>0</v>
      </c>
      <c r="AK99" s="9"/>
      <c r="AL99" s="30">
        <f t="shared" ref="AL99" si="383">AK99*$L99</f>
        <v>0</v>
      </c>
      <c r="AM99" s="9"/>
      <c r="AN99" s="30">
        <f t="shared" si="269"/>
        <v>0</v>
      </c>
      <c r="AO99" s="9"/>
      <c r="AP99" s="30">
        <f t="shared" si="282"/>
        <v>0</v>
      </c>
      <c r="AQ99" s="9"/>
      <c r="AR99" s="30">
        <f t="shared" si="270"/>
        <v>0</v>
      </c>
      <c r="AS99" s="9"/>
      <c r="AT99" s="30">
        <f t="shared" si="271"/>
        <v>0</v>
      </c>
      <c r="AU99" s="9"/>
      <c r="AV99" s="30">
        <f t="shared" si="272"/>
        <v>0</v>
      </c>
      <c r="AW99" s="9"/>
      <c r="AX99" s="30">
        <f t="shared" si="273"/>
        <v>0</v>
      </c>
      <c r="AY99" s="9"/>
      <c r="AZ99" s="30">
        <f t="shared" si="274"/>
        <v>0</v>
      </c>
      <c r="BA99" s="10">
        <f>80722/100</f>
        <v>807.22</v>
      </c>
      <c r="BB99" s="31">
        <v>29060</v>
      </c>
      <c r="BC99" s="15">
        <f t="shared" si="287"/>
        <v>29060</v>
      </c>
      <c r="BD99" s="9">
        <f t="shared" si="288"/>
        <v>0</v>
      </c>
      <c r="BE99" s="28">
        <f t="shared" si="289"/>
        <v>807.22</v>
      </c>
      <c r="BF99" s="8">
        <f t="shared" si="290"/>
        <v>0</v>
      </c>
      <c r="BG99" s="29">
        <f t="shared" si="283"/>
        <v>29059.920000000002</v>
      </c>
      <c r="BH99" s="13">
        <f t="shared" si="291"/>
        <v>7.9999999998108251E-2</v>
      </c>
      <c r="BI99" s="2" t="str">
        <f t="shared" si="284"/>
        <v>erreur de calcul</v>
      </c>
      <c r="BJ99" s="2"/>
    </row>
    <row r="100" spans="1:62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49</v>
      </c>
      <c r="G100" s="31">
        <v>21</v>
      </c>
      <c r="H100" s="31" t="s">
        <v>172</v>
      </c>
      <c r="I100" s="5">
        <v>31</v>
      </c>
      <c r="J100" s="5"/>
      <c r="K100" s="6"/>
      <c r="L100" s="11">
        <f t="shared" si="292"/>
        <v>31</v>
      </c>
      <c r="M100" s="7" t="s">
        <v>14</v>
      </c>
      <c r="N100" s="31"/>
      <c r="O100" s="9"/>
      <c r="P100" s="9" t="str">
        <f t="shared" si="293"/>
        <v/>
      </c>
      <c r="Q100" s="9"/>
      <c r="R100" s="30">
        <f t="shared" ref="R100" si="384">Q100*$L100</f>
        <v>0</v>
      </c>
      <c r="S100" s="9"/>
      <c r="T100" s="30">
        <f t="shared" ref="T100" si="385">S100*$L100</f>
        <v>0</v>
      </c>
      <c r="U100" s="9"/>
      <c r="V100" s="30">
        <f t="shared" si="277"/>
        <v>0</v>
      </c>
      <c r="W100" s="9"/>
      <c r="X100" s="30">
        <f t="shared" si="278"/>
        <v>0</v>
      </c>
      <c r="Y100" s="9"/>
      <c r="Z100" s="30">
        <f t="shared" si="279"/>
        <v>0</v>
      </c>
      <c r="AA100" s="9"/>
      <c r="AB100" s="30">
        <f t="shared" si="265"/>
        <v>0</v>
      </c>
      <c r="AC100" s="9"/>
      <c r="AD100" s="30">
        <f t="shared" si="280"/>
        <v>0</v>
      </c>
      <c r="AE100" s="9"/>
      <c r="AF100" s="30">
        <f t="shared" si="266"/>
        <v>0</v>
      </c>
      <c r="AG100" s="9">
        <f>4599/100</f>
        <v>45.99</v>
      </c>
      <c r="AH100" s="30">
        <v>1426</v>
      </c>
      <c r="AI100" s="9">
        <f>12691/100</f>
        <v>126.91</v>
      </c>
      <c r="AJ100" s="30">
        <v>3934</v>
      </c>
      <c r="AK100" s="9"/>
      <c r="AL100" s="30">
        <f t="shared" ref="AL100" si="386">AK100*$L100</f>
        <v>0</v>
      </c>
      <c r="AM100" s="9"/>
      <c r="AN100" s="30">
        <f t="shared" si="269"/>
        <v>0</v>
      </c>
      <c r="AO100" s="9"/>
      <c r="AP100" s="30">
        <f t="shared" si="282"/>
        <v>0</v>
      </c>
      <c r="AQ100" s="9"/>
      <c r="AR100" s="30">
        <f t="shared" si="270"/>
        <v>0</v>
      </c>
      <c r="AS100" s="9"/>
      <c r="AT100" s="30">
        <f t="shared" si="271"/>
        <v>0</v>
      </c>
      <c r="AU100" s="9"/>
      <c r="AV100" s="30">
        <f t="shared" si="272"/>
        <v>0</v>
      </c>
      <c r="AW100" s="9"/>
      <c r="AX100" s="30">
        <f t="shared" si="273"/>
        <v>0</v>
      </c>
      <c r="AY100" s="9"/>
      <c r="AZ100" s="30">
        <f t="shared" si="274"/>
        <v>0</v>
      </c>
      <c r="BA100" s="10">
        <f>17290/100</f>
        <v>172.9</v>
      </c>
      <c r="BB100" s="31">
        <v>5360</v>
      </c>
      <c r="BC100" s="15">
        <f t="shared" si="287"/>
        <v>5360</v>
      </c>
      <c r="BD100" s="9">
        <f t="shared" si="288"/>
        <v>0</v>
      </c>
      <c r="BE100" s="28">
        <f t="shared" si="289"/>
        <v>172.9</v>
      </c>
      <c r="BF100" s="8">
        <f t="shared" si="290"/>
        <v>0</v>
      </c>
      <c r="BG100" s="29">
        <f t="shared" si="283"/>
        <v>5359.9000000000005</v>
      </c>
      <c r="BH100" s="13">
        <f t="shared" si="291"/>
        <v>9.9999999999454303E-2</v>
      </c>
      <c r="BI100" s="2" t="str">
        <f t="shared" si="284"/>
        <v>erreur de calcul</v>
      </c>
      <c r="BJ100" s="2"/>
    </row>
    <row r="101" spans="1:62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49</v>
      </c>
      <c r="G101" s="31">
        <v>21</v>
      </c>
      <c r="H101" s="31" t="s">
        <v>173</v>
      </c>
      <c r="I101" s="5">
        <v>120</v>
      </c>
      <c r="J101" s="5"/>
      <c r="K101" s="6"/>
      <c r="L101" s="11">
        <f t="shared" si="292"/>
        <v>120</v>
      </c>
      <c r="M101" s="7" t="s">
        <v>14</v>
      </c>
      <c r="N101" s="31"/>
      <c r="O101" s="9"/>
      <c r="P101" s="9" t="str">
        <f t="shared" si="293"/>
        <v/>
      </c>
      <c r="Q101" s="9"/>
      <c r="R101" s="30">
        <f t="shared" ref="R101" si="387">Q101*$L101</f>
        <v>0</v>
      </c>
      <c r="S101" s="9"/>
      <c r="T101" s="30">
        <f t="shared" ref="T101" si="388">S101*$L101</f>
        <v>0</v>
      </c>
      <c r="U101" s="9"/>
      <c r="V101" s="30">
        <f t="shared" si="277"/>
        <v>0</v>
      </c>
      <c r="W101" s="9">
        <f>2364/100</f>
        <v>23.64</v>
      </c>
      <c r="X101" s="30">
        <v>2837</v>
      </c>
      <c r="Y101" s="9"/>
      <c r="Z101" s="30">
        <f t="shared" si="279"/>
        <v>0</v>
      </c>
      <c r="AA101" s="9"/>
      <c r="AB101" s="30">
        <f t="shared" si="265"/>
        <v>0</v>
      </c>
      <c r="AC101" s="9"/>
      <c r="AD101" s="30">
        <f t="shared" si="280"/>
        <v>0</v>
      </c>
      <c r="AE101" s="9"/>
      <c r="AF101" s="30">
        <f t="shared" si="266"/>
        <v>0</v>
      </c>
      <c r="AG101" s="9"/>
      <c r="AH101" s="30">
        <f t="shared" si="267"/>
        <v>0</v>
      </c>
      <c r="AI101" s="9"/>
      <c r="AJ101" s="30">
        <f t="shared" ref="AJ101" si="389">AI101*$L101</f>
        <v>0</v>
      </c>
      <c r="AK101" s="9"/>
      <c r="AL101" s="30">
        <f t="shared" ref="AL101" si="390">AK101*$L101</f>
        <v>0</v>
      </c>
      <c r="AM101" s="9"/>
      <c r="AN101" s="30">
        <f t="shared" si="269"/>
        <v>0</v>
      </c>
      <c r="AO101" s="9"/>
      <c r="AP101" s="30">
        <f t="shared" si="282"/>
        <v>0</v>
      </c>
      <c r="AQ101" s="9"/>
      <c r="AR101" s="30">
        <f t="shared" si="270"/>
        <v>0</v>
      </c>
      <c r="AS101" s="9"/>
      <c r="AT101" s="30">
        <f t="shared" si="271"/>
        <v>0</v>
      </c>
      <c r="AU101" s="9"/>
      <c r="AV101" s="30">
        <f t="shared" si="272"/>
        <v>0</v>
      </c>
      <c r="AW101" s="9"/>
      <c r="AX101" s="30">
        <f t="shared" si="273"/>
        <v>0</v>
      </c>
      <c r="AY101" s="9"/>
      <c r="AZ101" s="30">
        <f t="shared" si="274"/>
        <v>0</v>
      </c>
      <c r="BA101" s="10">
        <f>2364/100</f>
        <v>23.64</v>
      </c>
      <c r="BB101" s="31">
        <v>2837</v>
      </c>
      <c r="BC101" s="15">
        <f t="shared" si="287"/>
        <v>2837</v>
      </c>
      <c r="BD101" s="9">
        <f t="shared" si="288"/>
        <v>0</v>
      </c>
      <c r="BE101" s="28">
        <f t="shared" si="289"/>
        <v>23.64</v>
      </c>
      <c r="BF101" s="8">
        <f t="shared" si="290"/>
        <v>0</v>
      </c>
      <c r="BG101" s="29">
        <f t="shared" si="283"/>
        <v>2836.8</v>
      </c>
      <c r="BH101" s="13">
        <f t="shared" si="291"/>
        <v>0.1999999999998181</v>
      </c>
      <c r="BI101" s="2" t="str">
        <f t="shared" si="284"/>
        <v>erreur de calcul</v>
      </c>
      <c r="BJ101" s="2"/>
    </row>
    <row r="102" spans="1:62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49</v>
      </c>
      <c r="G102" s="31">
        <v>21</v>
      </c>
      <c r="H102" s="31" t="s">
        <v>174</v>
      </c>
      <c r="I102" s="5">
        <v>170</v>
      </c>
      <c r="J102" s="5"/>
      <c r="K102" s="6"/>
      <c r="L102" s="11">
        <f t="shared" si="292"/>
        <v>170</v>
      </c>
      <c r="M102" s="7" t="s">
        <v>14</v>
      </c>
      <c r="N102" s="31"/>
      <c r="O102" s="9"/>
      <c r="P102" s="9" t="str">
        <f t="shared" si="293"/>
        <v/>
      </c>
      <c r="Q102" s="9">
        <f>9760/100</f>
        <v>97.6</v>
      </c>
      <c r="R102" s="30">
        <v>16592</v>
      </c>
      <c r="S102" s="9"/>
      <c r="T102" s="30">
        <f t="shared" ref="T102" si="391">S102*$L102</f>
        <v>0</v>
      </c>
      <c r="U102" s="9"/>
      <c r="V102" s="30">
        <f t="shared" si="277"/>
        <v>0</v>
      </c>
      <c r="W102" s="9"/>
      <c r="X102" s="30">
        <f t="shared" si="278"/>
        <v>0</v>
      </c>
      <c r="Y102" s="9">
        <f>1589/100</f>
        <v>15.89</v>
      </c>
      <c r="Z102" s="30">
        <v>2701</v>
      </c>
      <c r="AA102" s="9"/>
      <c r="AB102" s="30">
        <f t="shared" si="265"/>
        <v>0</v>
      </c>
      <c r="AC102" s="9"/>
      <c r="AD102" s="30">
        <f t="shared" si="280"/>
        <v>0</v>
      </c>
      <c r="AE102" s="9"/>
      <c r="AF102" s="30">
        <f t="shared" si="266"/>
        <v>0</v>
      </c>
      <c r="AG102" s="9"/>
      <c r="AH102" s="30">
        <f t="shared" si="267"/>
        <v>0</v>
      </c>
      <c r="AI102" s="9"/>
      <c r="AJ102" s="30">
        <f t="shared" ref="AJ102" si="392">AI102*$L102</f>
        <v>0</v>
      </c>
      <c r="AK102" s="9"/>
      <c r="AL102" s="30">
        <f t="shared" ref="AL102" si="393">AK102*$L102</f>
        <v>0</v>
      </c>
      <c r="AM102" s="9"/>
      <c r="AN102" s="30">
        <f t="shared" si="269"/>
        <v>0</v>
      </c>
      <c r="AO102" s="9"/>
      <c r="AP102" s="30">
        <f t="shared" si="282"/>
        <v>0</v>
      </c>
      <c r="AQ102" s="9"/>
      <c r="AR102" s="30">
        <f t="shared" si="270"/>
        <v>0</v>
      </c>
      <c r="AS102" s="9"/>
      <c r="AT102" s="30">
        <f t="shared" si="271"/>
        <v>0</v>
      </c>
      <c r="AU102" s="9"/>
      <c r="AV102" s="30">
        <f t="shared" si="272"/>
        <v>0</v>
      </c>
      <c r="AW102" s="9"/>
      <c r="AX102" s="30">
        <f t="shared" si="273"/>
        <v>0</v>
      </c>
      <c r="AY102" s="9"/>
      <c r="AZ102" s="30">
        <f t="shared" si="274"/>
        <v>0</v>
      </c>
      <c r="BA102" s="10">
        <f>11349/100</f>
        <v>113.49</v>
      </c>
      <c r="BB102" s="31">
        <v>19293</v>
      </c>
      <c r="BC102" s="15">
        <f t="shared" si="287"/>
        <v>19293</v>
      </c>
      <c r="BD102" s="9">
        <f t="shared" si="288"/>
        <v>0</v>
      </c>
      <c r="BE102" s="28">
        <f t="shared" si="289"/>
        <v>113.49</v>
      </c>
      <c r="BF102" s="8">
        <f t="shared" si="290"/>
        <v>0</v>
      </c>
      <c r="BG102" s="29">
        <f t="shared" si="283"/>
        <v>19293.3</v>
      </c>
      <c r="BH102" s="13">
        <f t="shared" si="291"/>
        <v>-0.2999999999992724</v>
      </c>
      <c r="BI102" s="2" t="str">
        <f t="shared" si="284"/>
        <v>erreur de calcul</v>
      </c>
      <c r="BJ102" s="2"/>
    </row>
    <row r="103" spans="1:62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49</v>
      </c>
      <c r="G103" s="31">
        <v>21</v>
      </c>
      <c r="H103" s="31" t="s">
        <v>175</v>
      </c>
      <c r="I103" s="5">
        <v>9</v>
      </c>
      <c r="J103" s="5"/>
      <c r="K103" s="6"/>
      <c r="L103" s="11">
        <f t="shared" si="292"/>
        <v>9</v>
      </c>
      <c r="M103" s="7" t="s">
        <v>15</v>
      </c>
      <c r="N103" s="31"/>
      <c r="O103" s="9"/>
      <c r="P103" s="9" t="str">
        <f t="shared" si="293"/>
        <v/>
      </c>
      <c r="Q103" s="9"/>
      <c r="R103" s="30">
        <f t="shared" ref="R103" si="394">Q103*$L103</f>
        <v>0</v>
      </c>
      <c r="S103" s="9">
        <v>349</v>
      </c>
      <c r="T103" s="30">
        <v>3141</v>
      </c>
      <c r="U103" s="9"/>
      <c r="V103" s="30">
        <f t="shared" si="277"/>
        <v>0</v>
      </c>
      <c r="W103" s="9">
        <v>315</v>
      </c>
      <c r="X103" s="30">
        <v>2835</v>
      </c>
      <c r="Y103" s="9">
        <v>733</v>
      </c>
      <c r="Z103" s="30">
        <v>6597</v>
      </c>
      <c r="AA103" s="9"/>
      <c r="AB103" s="30">
        <f t="shared" si="265"/>
        <v>0</v>
      </c>
      <c r="AC103" s="9">
        <v>162</v>
      </c>
      <c r="AD103" s="30">
        <v>1458</v>
      </c>
      <c r="AE103" s="9"/>
      <c r="AF103" s="30">
        <f t="shared" si="266"/>
        <v>0</v>
      </c>
      <c r="AG103" s="9"/>
      <c r="AH103" s="30">
        <f t="shared" si="267"/>
        <v>0</v>
      </c>
      <c r="AI103" s="9"/>
      <c r="AJ103" s="30">
        <f t="shared" ref="AJ103" si="395">AI103*$L103</f>
        <v>0</v>
      </c>
      <c r="AK103" s="9"/>
      <c r="AL103" s="30">
        <f t="shared" ref="AL103" si="396">AK103*$L103</f>
        <v>0</v>
      </c>
      <c r="AM103" s="9"/>
      <c r="AN103" s="30">
        <f t="shared" si="269"/>
        <v>0</v>
      </c>
      <c r="AO103" s="9"/>
      <c r="AP103" s="30">
        <f t="shared" si="282"/>
        <v>0</v>
      </c>
      <c r="AQ103" s="9"/>
      <c r="AR103" s="30">
        <f t="shared" si="270"/>
        <v>0</v>
      </c>
      <c r="AS103" s="9"/>
      <c r="AT103" s="30">
        <f t="shared" si="271"/>
        <v>0</v>
      </c>
      <c r="AU103" s="9"/>
      <c r="AV103" s="30">
        <f t="shared" si="272"/>
        <v>0</v>
      </c>
      <c r="AW103" s="9"/>
      <c r="AX103" s="30">
        <f t="shared" si="273"/>
        <v>0</v>
      </c>
      <c r="AY103" s="9"/>
      <c r="AZ103" s="30">
        <f t="shared" si="274"/>
        <v>0</v>
      </c>
      <c r="BA103" s="10">
        <f>1559</f>
        <v>1559</v>
      </c>
      <c r="BB103" s="31">
        <v>14031</v>
      </c>
      <c r="BC103" s="15">
        <f t="shared" si="287"/>
        <v>14031</v>
      </c>
      <c r="BD103" s="9">
        <f t="shared" si="288"/>
        <v>0</v>
      </c>
      <c r="BE103" s="28">
        <f t="shared" si="289"/>
        <v>1559</v>
      </c>
      <c r="BF103" s="8">
        <f t="shared" si="290"/>
        <v>0</v>
      </c>
      <c r="BG103" s="29">
        <f t="shared" si="283"/>
        <v>14031</v>
      </c>
      <c r="BH103" s="13">
        <f t="shared" si="291"/>
        <v>0</v>
      </c>
      <c r="BI103" s="2" t="str">
        <f t="shared" si="284"/>
        <v/>
      </c>
      <c r="BJ103" s="2"/>
    </row>
    <row r="104" spans="1:62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49</v>
      </c>
      <c r="G104" s="31">
        <v>21</v>
      </c>
      <c r="H104" s="31" t="s">
        <v>176</v>
      </c>
      <c r="I104" s="5">
        <v>125</v>
      </c>
      <c r="J104" s="5"/>
      <c r="K104" s="6"/>
      <c r="L104" s="11">
        <f t="shared" si="292"/>
        <v>125</v>
      </c>
      <c r="M104" s="7" t="s">
        <v>14</v>
      </c>
      <c r="N104" s="31"/>
      <c r="O104" s="9"/>
      <c r="P104" s="9" t="str">
        <f t="shared" si="293"/>
        <v/>
      </c>
      <c r="Q104" s="9"/>
      <c r="R104" s="30">
        <f t="shared" ref="R104" si="397">Q104*$L104</f>
        <v>0</v>
      </c>
      <c r="S104" s="9"/>
      <c r="T104" s="30">
        <f t="shared" ref="T104" si="398">S104*$L104</f>
        <v>0</v>
      </c>
      <c r="U104" s="9"/>
      <c r="V104" s="30">
        <f t="shared" si="277"/>
        <v>0</v>
      </c>
      <c r="W104" s="9">
        <f>10764/100</f>
        <v>107.64</v>
      </c>
      <c r="X104" s="30">
        <v>13455</v>
      </c>
      <c r="Y104" s="9">
        <f>13215/100</f>
        <v>132.15</v>
      </c>
      <c r="Z104" s="30">
        <v>16519</v>
      </c>
      <c r="AA104" s="9"/>
      <c r="AB104" s="30">
        <f t="shared" si="265"/>
        <v>0</v>
      </c>
      <c r="AC104" s="9">
        <f>188461/100</f>
        <v>1884.61</v>
      </c>
      <c r="AD104" s="30">
        <v>235576</v>
      </c>
      <c r="AE104" s="9"/>
      <c r="AF104" s="30">
        <f t="shared" si="266"/>
        <v>0</v>
      </c>
      <c r="AG104" s="9"/>
      <c r="AH104" s="30">
        <f t="shared" si="267"/>
        <v>0</v>
      </c>
      <c r="AI104" s="9"/>
      <c r="AJ104" s="30">
        <f t="shared" ref="AJ104" si="399">AI104*$L104</f>
        <v>0</v>
      </c>
      <c r="AK104" s="9"/>
      <c r="AL104" s="30">
        <f t="shared" ref="AL104" si="400">AK104*$L104</f>
        <v>0</v>
      </c>
      <c r="AM104" s="9"/>
      <c r="AN104" s="30">
        <f t="shared" si="269"/>
        <v>0</v>
      </c>
      <c r="AO104" s="9"/>
      <c r="AP104" s="30">
        <f t="shared" si="282"/>
        <v>0</v>
      </c>
      <c r="AQ104" s="9"/>
      <c r="AR104" s="30">
        <f t="shared" si="270"/>
        <v>0</v>
      </c>
      <c r="AS104" s="9"/>
      <c r="AT104" s="30">
        <f t="shared" si="271"/>
        <v>0</v>
      </c>
      <c r="AU104" s="9"/>
      <c r="AV104" s="30">
        <f t="shared" si="272"/>
        <v>0</v>
      </c>
      <c r="AW104" s="9"/>
      <c r="AX104" s="30">
        <f t="shared" si="273"/>
        <v>0</v>
      </c>
      <c r="AY104" s="9"/>
      <c r="AZ104" s="30">
        <f t="shared" si="274"/>
        <v>0</v>
      </c>
      <c r="BA104" s="10">
        <f>212440/100</f>
        <v>2124.4</v>
      </c>
      <c r="BB104" s="31">
        <v>265550</v>
      </c>
      <c r="BC104" s="15">
        <f t="shared" si="287"/>
        <v>265550</v>
      </c>
      <c r="BD104" s="9">
        <f t="shared" si="288"/>
        <v>0</v>
      </c>
      <c r="BE104" s="28">
        <f t="shared" si="289"/>
        <v>2124.4</v>
      </c>
      <c r="BF104" s="8">
        <f t="shared" si="290"/>
        <v>0</v>
      </c>
      <c r="BG104" s="29">
        <f t="shared" si="283"/>
        <v>265550</v>
      </c>
      <c r="BH104" s="13">
        <f t="shared" si="291"/>
        <v>0</v>
      </c>
      <c r="BI104" s="2" t="str">
        <f t="shared" si="284"/>
        <v/>
      </c>
      <c r="BJ104" s="2"/>
    </row>
    <row r="105" spans="1:62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49</v>
      </c>
      <c r="G105" s="31">
        <v>21</v>
      </c>
      <c r="H105" s="31" t="s">
        <v>177</v>
      </c>
      <c r="I105" s="5">
        <v>7</v>
      </c>
      <c r="J105" s="5"/>
      <c r="K105" s="6"/>
      <c r="L105" s="11">
        <f t="shared" si="292"/>
        <v>7</v>
      </c>
      <c r="M105" s="7" t="s">
        <v>15</v>
      </c>
      <c r="N105" s="31"/>
      <c r="O105" s="9"/>
      <c r="P105" s="9" t="str">
        <f t="shared" si="293"/>
        <v/>
      </c>
      <c r="Q105" s="9">
        <v>8441</v>
      </c>
      <c r="R105" s="30">
        <v>59087</v>
      </c>
      <c r="S105" s="9"/>
      <c r="T105" s="30">
        <f t="shared" ref="T105" si="401">S105*$L105</f>
        <v>0</v>
      </c>
      <c r="U105" s="9"/>
      <c r="V105" s="30">
        <f t="shared" si="277"/>
        <v>0</v>
      </c>
      <c r="W105" s="9"/>
      <c r="X105" s="30">
        <f t="shared" si="278"/>
        <v>0</v>
      </c>
      <c r="Y105" s="9"/>
      <c r="Z105" s="30">
        <f t="shared" si="279"/>
        <v>0</v>
      </c>
      <c r="AA105" s="9">
        <v>357</v>
      </c>
      <c r="AB105" s="30">
        <v>2499</v>
      </c>
      <c r="AC105" s="9"/>
      <c r="AD105" s="30">
        <f t="shared" si="280"/>
        <v>0</v>
      </c>
      <c r="AE105" s="9"/>
      <c r="AF105" s="30">
        <f t="shared" si="266"/>
        <v>0</v>
      </c>
      <c r="AG105" s="9"/>
      <c r="AH105" s="30">
        <f t="shared" si="267"/>
        <v>0</v>
      </c>
      <c r="AI105" s="9"/>
      <c r="AJ105" s="30">
        <f t="shared" ref="AJ105" si="402">AI105*$L105</f>
        <v>0</v>
      </c>
      <c r="AK105" s="9"/>
      <c r="AL105" s="30">
        <f t="shared" ref="AL105" si="403">AK105*$L105</f>
        <v>0</v>
      </c>
      <c r="AM105" s="9"/>
      <c r="AN105" s="30">
        <f t="shared" si="269"/>
        <v>0</v>
      </c>
      <c r="AO105" s="9"/>
      <c r="AP105" s="30">
        <f t="shared" si="282"/>
        <v>0</v>
      </c>
      <c r="AQ105" s="9"/>
      <c r="AR105" s="30">
        <f t="shared" si="270"/>
        <v>0</v>
      </c>
      <c r="AS105" s="9"/>
      <c r="AT105" s="30">
        <f t="shared" si="271"/>
        <v>0</v>
      </c>
      <c r="AU105" s="9"/>
      <c r="AV105" s="30">
        <f t="shared" si="272"/>
        <v>0</v>
      </c>
      <c r="AW105" s="9"/>
      <c r="AX105" s="30">
        <f t="shared" si="273"/>
        <v>0</v>
      </c>
      <c r="AY105" s="9"/>
      <c r="AZ105" s="30">
        <f t="shared" si="274"/>
        <v>0</v>
      </c>
      <c r="BA105" s="10">
        <v>8798</v>
      </c>
      <c r="BB105" s="31">
        <v>61586</v>
      </c>
      <c r="BC105" s="15">
        <f t="shared" si="287"/>
        <v>61586</v>
      </c>
      <c r="BD105" s="9">
        <f t="shared" si="288"/>
        <v>0</v>
      </c>
      <c r="BE105" s="28">
        <f t="shared" si="289"/>
        <v>8798</v>
      </c>
      <c r="BF105" s="8">
        <f t="shared" si="290"/>
        <v>0</v>
      </c>
      <c r="BG105" s="29">
        <f t="shared" si="283"/>
        <v>61586</v>
      </c>
      <c r="BH105" s="13">
        <f t="shared" si="291"/>
        <v>0</v>
      </c>
      <c r="BI105" s="2" t="str">
        <f t="shared" si="284"/>
        <v/>
      </c>
      <c r="BJ105" s="2"/>
    </row>
    <row r="106" spans="1:62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49</v>
      </c>
      <c r="G106" s="31">
        <v>21</v>
      </c>
      <c r="H106" s="31" t="s">
        <v>178</v>
      </c>
      <c r="I106" s="5">
        <v>9</v>
      </c>
      <c r="J106" s="5"/>
      <c r="K106" s="6"/>
      <c r="L106" s="11">
        <f t="shared" si="292"/>
        <v>9</v>
      </c>
      <c r="M106" s="7" t="s">
        <v>14</v>
      </c>
      <c r="N106" s="31"/>
      <c r="O106" s="9"/>
      <c r="P106" s="9" t="str">
        <f t="shared" si="293"/>
        <v/>
      </c>
      <c r="Q106" s="9">
        <f>22662/100</f>
        <v>226.62</v>
      </c>
      <c r="R106" s="30">
        <v>2039</v>
      </c>
      <c r="S106" s="9"/>
      <c r="T106" s="30">
        <f t="shared" ref="T106" si="404">S106*$L106</f>
        <v>0</v>
      </c>
      <c r="U106" s="9"/>
      <c r="V106" s="30">
        <f t="shared" si="277"/>
        <v>0</v>
      </c>
      <c r="W106" s="9"/>
      <c r="X106" s="30">
        <f t="shared" si="278"/>
        <v>0</v>
      </c>
      <c r="Y106" s="9"/>
      <c r="Z106" s="30">
        <f t="shared" si="279"/>
        <v>0</v>
      </c>
      <c r="AA106" s="9"/>
      <c r="AB106" s="30">
        <f t="shared" si="265"/>
        <v>0</v>
      </c>
      <c r="AC106" s="9"/>
      <c r="AD106" s="30">
        <f t="shared" si="280"/>
        <v>0</v>
      </c>
      <c r="AE106" s="9"/>
      <c r="AF106" s="30">
        <f t="shared" si="266"/>
        <v>0</v>
      </c>
      <c r="AG106" s="9"/>
      <c r="AH106" s="30">
        <f t="shared" si="267"/>
        <v>0</v>
      </c>
      <c r="AI106" s="9"/>
      <c r="AJ106" s="30">
        <f t="shared" ref="AJ106" si="405">AI106*$L106</f>
        <v>0</v>
      </c>
      <c r="AK106" s="9"/>
      <c r="AL106" s="30">
        <f t="shared" ref="AL106" si="406">AK106*$L106</f>
        <v>0</v>
      </c>
      <c r="AM106" s="9"/>
      <c r="AN106" s="30">
        <f t="shared" si="269"/>
        <v>0</v>
      </c>
      <c r="AO106" s="9"/>
      <c r="AP106" s="30">
        <f t="shared" si="282"/>
        <v>0</v>
      </c>
      <c r="AQ106" s="9"/>
      <c r="AR106" s="30">
        <f t="shared" si="270"/>
        <v>0</v>
      </c>
      <c r="AS106" s="9"/>
      <c r="AT106" s="30">
        <f t="shared" si="271"/>
        <v>0</v>
      </c>
      <c r="AU106" s="9"/>
      <c r="AV106" s="30">
        <f t="shared" si="272"/>
        <v>0</v>
      </c>
      <c r="AW106" s="9"/>
      <c r="AX106" s="30">
        <f t="shared" si="273"/>
        <v>0</v>
      </c>
      <c r="AY106" s="9"/>
      <c r="AZ106" s="30">
        <f t="shared" si="274"/>
        <v>0</v>
      </c>
      <c r="BA106" s="10">
        <f>22662/100</f>
        <v>226.62</v>
      </c>
      <c r="BB106" s="31">
        <v>2039</v>
      </c>
      <c r="BC106" s="15">
        <f t="shared" si="287"/>
        <v>2039</v>
      </c>
      <c r="BD106" s="9">
        <f t="shared" si="288"/>
        <v>0</v>
      </c>
      <c r="BE106" s="28">
        <f t="shared" si="289"/>
        <v>226.62</v>
      </c>
      <c r="BF106" s="8">
        <f t="shared" si="290"/>
        <v>0</v>
      </c>
      <c r="BG106" s="29">
        <f t="shared" si="283"/>
        <v>2039.58</v>
      </c>
      <c r="BH106" s="13">
        <f t="shared" si="291"/>
        <v>-0.57999999999992724</v>
      </c>
      <c r="BI106" s="2" t="str">
        <f t="shared" si="284"/>
        <v>erreur de calcul</v>
      </c>
      <c r="BJ106" s="2"/>
    </row>
    <row r="107" spans="1:62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49</v>
      </c>
      <c r="G107" s="31">
        <v>21</v>
      </c>
      <c r="H107" s="31" t="s">
        <v>179</v>
      </c>
      <c r="I107" s="5">
        <v>8</v>
      </c>
      <c r="J107" s="5">
        <v>10</v>
      </c>
      <c r="K107" s="6"/>
      <c r="L107" s="11">
        <f t="shared" si="292"/>
        <v>8.5</v>
      </c>
      <c r="M107" s="7" t="s">
        <v>15</v>
      </c>
      <c r="N107" s="31"/>
      <c r="O107" s="9"/>
      <c r="P107" s="9" t="str">
        <f t="shared" si="293"/>
        <v/>
      </c>
      <c r="Q107" s="9">
        <v>1770</v>
      </c>
      <c r="R107" s="30">
        <v>15045</v>
      </c>
      <c r="S107" s="9"/>
      <c r="T107" s="30">
        <f t="shared" ref="T107" si="407">S107*$L107</f>
        <v>0</v>
      </c>
      <c r="U107" s="9"/>
      <c r="V107" s="30">
        <f t="shared" si="277"/>
        <v>0</v>
      </c>
      <c r="W107" s="9"/>
      <c r="X107" s="30">
        <f t="shared" si="278"/>
        <v>0</v>
      </c>
      <c r="Y107" s="9"/>
      <c r="Z107" s="30">
        <f t="shared" si="279"/>
        <v>0</v>
      </c>
      <c r="AA107" s="9"/>
      <c r="AB107" s="30">
        <f t="shared" si="265"/>
        <v>0</v>
      </c>
      <c r="AC107" s="9"/>
      <c r="AD107" s="30">
        <f t="shared" si="280"/>
        <v>0</v>
      </c>
      <c r="AE107" s="9"/>
      <c r="AF107" s="30">
        <f t="shared" si="266"/>
        <v>0</v>
      </c>
      <c r="AG107" s="9"/>
      <c r="AH107" s="30">
        <f t="shared" si="267"/>
        <v>0</v>
      </c>
      <c r="AI107" s="9">
        <v>323</v>
      </c>
      <c r="AJ107" s="30">
        <v>2745</v>
      </c>
      <c r="AK107" s="9"/>
      <c r="AL107" s="30">
        <f t="shared" ref="AL107" si="408">AK107*$L107</f>
        <v>0</v>
      </c>
      <c r="AM107" s="9"/>
      <c r="AN107" s="30">
        <f t="shared" si="269"/>
        <v>0</v>
      </c>
      <c r="AO107" s="9"/>
      <c r="AP107" s="30">
        <f t="shared" si="282"/>
        <v>0</v>
      </c>
      <c r="AQ107" s="9"/>
      <c r="AR107" s="30">
        <f t="shared" si="270"/>
        <v>0</v>
      </c>
      <c r="AS107" s="9"/>
      <c r="AT107" s="30">
        <f t="shared" si="271"/>
        <v>0</v>
      </c>
      <c r="AU107" s="9"/>
      <c r="AV107" s="30">
        <f t="shared" si="272"/>
        <v>0</v>
      </c>
      <c r="AW107" s="9"/>
      <c r="AX107" s="30">
        <f t="shared" si="273"/>
        <v>0</v>
      </c>
      <c r="AY107" s="9"/>
      <c r="AZ107" s="30">
        <f t="shared" si="274"/>
        <v>0</v>
      </c>
      <c r="BA107" s="10">
        <v>2093</v>
      </c>
      <c r="BB107" s="31">
        <v>17790</v>
      </c>
      <c r="BC107" s="15">
        <f t="shared" si="287"/>
        <v>17790</v>
      </c>
      <c r="BD107" s="9">
        <f t="shared" si="288"/>
        <v>0</v>
      </c>
      <c r="BE107" s="28">
        <f t="shared" si="289"/>
        <v>2093</v>
      </c>
      <c r="BF107" s="8">
        <f t="shared" si="290"/>
        <v>0</v>
      </c>
      <c r="BG107" s="29">
        <f t="shared" si="283"/>
        <v>17790.5</v>
      </c>
      <c r="BH107" s="13">
        <f t="shared" si="291"/>
        <v>-0.5</v>
      </c>
      <c r="BI107" s="2" t="str">
        <f t="shared" si="284"/>
        <v>erreur de calcul</v>
      </c>
      <c r="BJ107" s="2"/>
    </row>
    <row r="108" spans="1:62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49</v>
      </c>
      <c r="G108" s="31">
        <v>21</v>
      </c>
      <c r="H108" s="31" t="s">
        <v>180</v>
      </c>
      <c r="I108" s="5">
        <v>24</v>
      </c>
      <c r="J108" s="5"/>
      <c r="K108" s="6"/>
      <c r="L108" s="11">
        <f t="shared" si="292"/>
        <v>24</v>
      </c>
      <c r="M108" s="7" t="s">
        <v>15</v>
      </c>
      <c r="N108" s="31"/>
      <c r="O108" s="9"/>
      <c r="P108" s="9" t="str">
        <f t="shared" si="293"/>
        <v/>
      </c>
      <c r="Q108" s="9">
        <v>478</v>
      </c>
      <c r="R108" s="30">
        <v>11472</v>
      </c>
      <c r="S108" s="9"/>
      <c r="T108" s="30">
        <f t="shared" ref="T108" si="409">S108*$L108</f>
        <v>0</v>
      </c>
      <c r="U108" s="9">
        <v>38</v>
      </c>
      <c r="V108" s="30">
        <v>912</v>
      </c>
      <c r="W108" s="9"/>
      <c r="X108" s="30">
        <f t="shared" si="278"/>
        <v>0</v>
      </c>
      <c r="Y108" s="9"/>
      <c r="Z108" s="30">
        <f t="shared" si="279"/>
        <v>0</v>
      </c>
      <c r="AA108" s="9"/>
      <c r="AB108" s="30">
        <f t="shared" si="265"/>
        <v>0</v>
      </c>
      <c r="AC108" s="9"/>
      <c r="AD108" s="30">
        <f t="shared" si="280"/>
        <v>0</v>
      </c>
      <c r="AE108" s="9"/>
      <c r="AF108" s="30">
        <f t="shared" si="266"/>
        <v>0</v>
      </c>
      <c r="AG108" s="9"/>
      <c r="AH108" s="30">
        <f t="shared" si="267"/>
        <v>0</v>
      </c>
      <c r="AI108" s="9"/>
      <c r="AJ108" s="30">
        <f t="shared" ref="AJ108" si="410">AI108*$L108</f>
        <v>0</v>
      </c>
      <c r="AK108" s="9"/>
      <c r="AL108" s="30">
        <f t="shared" ref="AL108" si="411">AK108*$L108</f>
        <v>0</v>
      </c>
      <c r="AM108" s="9"/>
      <c r="AN108" s="30">
        <f t="shared" si="269"/>
        <v>0</v>
      </c>
      <c r="AO108" s="9"/>
      <c r="AP108" s="30">
        <f t="shared" si="282"/>
        <v>0</v>
      </c>
      <c r="AQ108" s="9"/>
      <c r="AR108" s="30">
        <f t="shared" si="270"/>
        <v>0</v>
      </c>
      <c r="AS108" s="9"/>
      <c r="AT108" s="30">
        <f t="shared" si="271"/>
        <v>0</v>
      </c>
      <c r="AU108" s="9"/>
      <c r="AV108" s="30">
        <f t="shared" si="272"/>
        <v>0</v>
      </c>
      <c r="AW108" s="9"/>
      <c r="AX108" s="30">
        <f t="shared" si="273"/>
        <v>0</v>
      </c>
      <c r="AY108" s="9"/>
      <c r="AZ108" s="30">
        <f t="shared" si="274"/>
        <v>0</v>
      </c>
      <c r="BA108" s="10">
        <v>516</v>
      </c>
      <c r="BB108" s="31">
        <v>12384</v>
      </c>
      <c r="BC108" s="15">
        <f t="shared" si="287"/>
        <v>12384</v>
      </c>
      <c r="BD108" s="9">
        <f t="shared" si="288"/>
        <v>0</v>
      </c>
      <c r="BE108" s="28">
        <f t="shared" si="289"/>
        <v>516</v>
      </c>
      <c r="BF108" s="8">
        <f t="shared" si="290"/>
        <v>0</v>
      </c>
      <c r="BG108" s="29">
        <f t="shared" si="283"/>
        <v>12384</v>
      </c>
      <c r="BH108" s="13">
        <f t="shared" si="291"/>
        <v>0</v>
      </c>
      <c r="BI108" s="2" t="str">
        <f t="shared" si="284"/>
        <v/>
      </c>
      <c r="BJ108" s="2"/>
    </row>
    <row r="109" spans="1:62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49</v>
      </c>
      <c r="G109" s="31">
        <v>21</v>
      </c>
      <c r="H109" s="31" t="s">
        <v>181</v>
      </c>
      <c r="I109" s="5">
        <v>240</v>
      </c>
      <c r="J109" s="5"/>
      <c r="K109" s="6"/>
      <c r="L109" s="11">
        <f t="shared" si="292"/>
        <v>240</v>
      </c>
      <c r="M109" s="7" t="s">
        <v>14</v>
      </c>
      <c r="N109" s="31"/>
      <c r="O109" s="9"/>
      <c r="P109" s="9" t="str">
        <f t="shared" si="293"/>
        <v/>
      </c>
      <c r="Q109" s="9">
        <f>52196/100</f>
        <v>521.96</v>
      </c>
      <c r="R109" s="30">
        <v>125270</v>
      </c>
      <c r="S109" s="9">
        <f>29767/100</f>
        <v>297.67</v>
      </c>
      <c r="T109" s="30">
        <v>71441</v>
      </c>
      <c r="U109" s="9"/>
      <c r="V109" s="30">
        <f t="shared" si="277"/>
        <v>0</v>
      </c>
      <c r="W109" s="9"/>
      <c r="X109" s="30">
        <f t="shared" si="278"/>
        <v>0</v>
      </c>
      <c r="Y109" s="9"/>
      <c r="Z109" s="30">
        <f t="shared" si="279"/>
        <v>0</v>
      </c>
      <c r="AA109" s="9"/>
      <c r="AB109" s="30">
        <f t="shared" si="265"/>
        <v>0</v>
      </c>
      <c r="AC109" s="9"/>
      <c r="AD109" s="30">
        <f t="shared" si="280"/>
        <v>0</v>
      </c>
      <c r="AE109" s="9"/>
      <c r="AF109" s="30">
        <f t="shared" si="266"/>
        <v>0</v>
      </c>
      <c r="AG109" s="9"/>
      <c r="AH109" s="30">
        <f t="shared" si="267"/>
        <v>0</v>
      </c>
      <c r="AI109" s="9"/>
      <c r="AJ109" s="30">
        <f t="shared" ref="AJ109" si="412">AI109*$L109</f>
        <v>0</v>
      </c>
      <c r="AK109" s="9"/>
      <c r="AL109" s="30">
        <f t="shared" ref="AL109" si="413">AK109*$L109</f>
        <v>0</v>
      </c>
      <c r="AM109" s="9"/>
      <c r="AN109" s="30">
        <f t="shared" si="269"/>
        <v>0</v>
      </c>
      <c r="AO109" s="9"/>
      <c r="AP109" s="30">
        <f t="shared" si="282"/>
        <v>0</v>
      </c>
      <c r="AQ109" s="9"/>
      <c r="AR109" s="30">
        <f t="shared" si="270"/>
        <v>0</v>
      </c>
      <c r="AS109" s="9"/>
      <c r="AT109" s="30">
        <f t="shared" si="271"/>
        <v>0</v>
      </c>
      <c r="AU109" s="9"/>
      <c r="AV109" s="30">
        <f t="shared" si="272"/>
        <v>0</v>
      </c>
      <c r="AW109" s="9"/>
      <c r="AX109" s="30">
        <f t="shared" si="273"/>
        <v>0</v>
      </c>
      <c r="AY109" s="9"/>
      <c r="AZ109" s="30">
        <f t="shared" si="274"/>
        <v>0</v>
      </c>
      <c r="BA109" s="10">
        <f>81963/100</f>
        <v>819.63</v>
      </c>
      <c r="BB109" s="31">
        <v>196711</v>
      </c>
      <c r="BC109" s="15">
        <f t="shared" si="287"/>
        <v>196711</v>
      </c>
      <c r="BD109" s="9">
        <f t="shared" si="288"/>
        <v>0</v>
      </c>
      <c r="BE109" s="28">
        <f t="shared" si="289"/>
        <v>819.63000000000011</v>
      </c>
      <c r="BF109" s="8">
        <f t="shared" si="290"/>
        <v>0</v>
      </c>
      <c r="BG109" s="29">
        <f t="shared" si="283"/>
        <v>196711.2</v>
      </c>
      <c r="BH109" s="13">
        <f t="shared" si="291"/>
        <v>-0.20000000001164153</v>
      </c>
      <c r="BI109" s="2" t="str">
        <f t="shared" si="284"/>
        <v>erreur de calcul</v>
      </c>
      <c r="BJ109" s="2"/>
    </row>
    <row r="110" spans="1:62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49</v>
      </c>
      <c r="G110" s="31">
        <v>21</v>
      </c>
      <c r="H110" s="31" t="s">
        <v>182</v>
      </c>
      <c r="I110" s="5">
        <v>13</v>
      </c>
      <c r="J110" s="5"/>
      <c r="K110" s="6"/>
      <c r="L110" s="11">
        <f t="shared" si="292"/>
        <v>13</v>
      </c>
      <c r="M110" s="7" t="s">
        <v>15</v>
      </c>
      <c r="N110" s="31"/>
      <c r="O110" s="9"/>
      <c r="P110" s="9" t="str">
        <f t="shared" si="293"/>
        <v/>
      </c>
      <c r="Q110" s="9"/>
      <c r="R110" s="30">
        <f t="shared" ref="R110" si="414">Q110*$L110</f>
        <v>0</v>
      </c>
      <c r="S110" s="9"/>
      <c r="T110" s="30">
        <f t="shared" ref="T110" si="415">S110*$L110</f>
        <v>0</v>
      </c>
      <c r="U110" s="9"/>
      <c r="V110" s="30">
        <f t="shared" si="277"/>
        <v>0</v>
      </c>
      <c r="W110" s="9"/>
      <c r="X110" s="30">
        <f t="shared" si="278"/>
        <v>0</v>
      </c>
      <c r="Y110" s="9"/>
      <c r="Z110" s="30">
        <f t="shared" si="279"/>
        <v>0</v>
      </c>
      <c r="AA110" s="9"/>
      <c r="AB110" s="30">
        <f t="shared" si="265"/>
        <v>0</v>
      </c>
      <c r="AC110" s="9"/>
      <c r="AD110" s="30">
        <f t="shared" si="280"/>
        <v>0</v>
      </c>
      <c r="AE110" s="9"/>
      <c r="AF110" s="30">
        <f t="shared" si="266"/>
        <v>0</v>
      </c>
      <c r="AG110" s="9"/>
      <c r="AH110" s="30">
        <f t="shared" si="267"/>
        <v>0</v>
      </c>
      <c r="AI110" s="9">
        <v>354</v>
      </c>
      <c r="AJ110" s="30">
        <v>4602</v>
      </c>
      <c r="AK110" s="9"/>
      <c r="AL110" s="30">
        <f t="shared" ref="AL110" si="416">AK110*$L110</f>
        <v>0</v>
      </c>
      <c r="AM110" s="9"/>
      <c r="AN110" s="30">
        <f t="shared" si="269"/>
        <v>0</v>
      </c>
      <c r="AO110" s="9"/>
      <c r="AP110" s="30">
        <f t="shared" si="282"/>
        <v>0</v>
      </c>
      <c r="AQ110" s="9"/>
      <c r="AR110" s="30">
        <f t="shared" si="270"/>
        <v>0</v>
      </c>
      <c r="AS110" s="9"/>
      <c r="AT110" s="30">
        <f t="shared" si="271"/>
        <v>0</v>
      </c>
      <c r="AU110" s="9"/>
      <c r="AV110" s="30">
        <f t="shared" si="272"/>
        <v>0</v>
      </c>
      <c r="AW110" s="9"/>
      <c r="AX110" s="30">
        <f t="shared" si="273"/>
        <v>0</v>
      </c>
      <c r="AY110" s="9"/>
      <c r="AZ110" s="30">
        <f t="shared" si="274"/>
        <v>0</v>
      </c>
      <c r="BA110" s="10">
        <v>354</v>
      </c>
      <c r="BB110" s="31">
        <v>4602</v>
      </c>
      <c r="BC110" s="15">
        <f t="shared" si="287"/>
        <v>4602</v>
      </c>
      <c r="BD110" s="9">
        <f t="shared" si="288"/>
        <v>0</v>
      </c>
      <c r="BE110" s="28">
        <f t="shared" si="289"/>
        <v>354</v>
      </c>
      <c r="BF110" s="8">
        <f t="shared" si="290"/>
        <v>0</v>
      </c>
      <c r="BG110" s="29">
        <f t="shared" si="283"/>
        <v>4602</v>
      </c>
      <c r="BH110" s="13">
        <f t="shared" si="291"/>
        <v>0</v>
      </c>
      <c r="BI110" s="2" t="str">
        <f t="shared" si="284"/>
        <v/>
      </c>
      <c r="BJ110" s="2"/>
    </row>
    <row r="111" spans="1:62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49</v>
      </c>
      <c r="G111" s="31">
        <v>21</v>
      </c>
      <c r="H111" s="31" t="s">
        <v>183</v>
      </c>
      <c r="I111" s="5">
        <v>245</v>
      </c>
      <c r="J111" s="5"/>
      <c r="K111" s="6"/>
      <c r="L111" s="11">
        <f t="shared" si="292"/>
        <v>245</v>
      </c>
      <c r="M111" s="7" t="s">
        <v>14</v>
      </c>
      <c r="N111" s="31"/>
      <c r="O111" s="9"/>
      <c r="P111" s="9" t="str">
        <f t="shared" si="293"/>
        <v/>
      </c>
      <c r="Q111" s="9"/>
      <c r="R111" s="30">
        <f t="shared" ref="R111" si="417">Q111*$L111</f>
        <v>0</v>
      </c>
      <c r="S111" s="9"/>
      <c r="T111" s="30">
        <f t="shared" ref="T111" si="418">S111*$L111</f>
        <v>0</v>
      </c>
      <c r="U111" s="9"/>
      <c r="V111" s="30">
        <f t="shared" si="277"/>
        <v>0</v>
      </c>
      <c r="W111" s="9">
        <f>720/100</f>
        <v>7.2</v>
      </c>
      <c r="X111" s="30">
        <v>1764</v>
      </c>
      <c r="Y111" s="9">
        <f>40366/100</f>
        <v>403.66</v>
      </c>
      <c r="Z111" s="30">
        <v>98897</v>
      </c>
      <c r="AA111" s="9"/>
      <c r="AB111" s="30">
        <f t="shared" si="265"/>
        <v>0</v>
      </c>
      <c r="AC111" s="9"/>
      <c r="AD111" s="30">
        <f t="shared" si="280"/>
        <v>0</v>
      </c>
      <c r="AE111" s="9"/>
      <c r="AF111" s="30">
        <f t="shared" si="266"/>
        <v>0</v>
      </c>
      <c r="AG111" s="9"/>
      <c r="AH111" s="30">
        <f t="shared" si="267"/>
        <v>0</v>
      </c>
      <c r="AI111" s="9">
        <f>83243/100</f>
        <v>832.43</v>
      </c>
      <c r="AJ111" s="30">
        <v>203945</v>
      </c>
      <c r="AK111" s="9"/>
      <c r="AL111" s="30">
        <f t="shared" ref="AL111" si="419">AK111*$L111</f>
        <v>0</v>
      </c>
      <c r="AM111" s="9"/>
      <c r="AN111" s="30">
        <f t="shared" si="269"/>
        <v>0</v>
      </c>
      <c r="AO111" s="9"/>
      <c r="AP111" s="30">
        <f t="shared" si="282"/>
        <v>0</v>
      </c>
      <c r="AQ111" s="9"/>
      <c r="AR111" s="30">
        <f t="shared" si="270"/>
        <v>0</v>
      </c>
      <c r="AS111" s="9"/>
      <c r="AT111" s="30">
        <f t="shared" si="271"/>
        <v>0</v>
      </c>
      <c r="AU111" s="9"/>
      <c r="AV111" s="30">
        <f t="shared" si="272"/>
        <v>0</v>
      </c>
      <c r="AW111" s="9"/>
      <c r="AX111" s="30">
        <f t="shared" si="273"/>
        <v>0</v>
      </c>
      <c r="AY111" s="9"/>
      <c r="AZ111" s="30">
        <f t="shared" si="274"/>
        <v>0</v>
      </c>
      <c r="BA111" s="10">
        <f>124329/100</f>
        <v>1243.29</v>
      </c>
      <c r="BB111" s="31">
        <v>304606</v>
      </c>
      <c r="BC111" s="15">
        <f t="shared" si="287"/>
        <v>304606</v>
      </c>
      <c r="BD111" s="9">
        <f t="shared" si="288"/>
        <v>0</v>
      </c>
      <c r="BE111" s="28">
        <f t="shared" si="289"/>
        <v>1243.29</v>
      </c>
      <c r="BF111" s="8">
        <f t="shared" si="290"/>
        <v>0</v>
      </c>
      <c r="BG111" s="29">
        <f t="shared" si="283"/>
        <v>304606.05</v>
      </c>
      <c r="BH111" s="13">
        <f t="shared" si="291"/>
        <v>-4.9999999988358468E-2</v>
      </c>
      <c r="BI111" s="2" t="str">
        <f t="shared" si="284"/>
        <v>erreur de calcul</v>
      </c>
      <c r="BJ111" s="2"/>
    </row>
    <row r="112" spans="1:62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49</v>
      </c>
      <c r="G112" s="31">
        <v>21</v>
      </c>
      <c r="H112" s="31" t="s">
        <v>184</v>
      </c>
      <c r="I112" s="5">
        <v>240</v>
      </c>
      <c r="J112" s="5"/>
      <c r="K112" s="6"/>
      <c r="L112" s="11">
        <f t="shared" si="292"/>
        <v>240</v>
      </c>
      <c r="M112" s="7" t="s">
        <v>14</v>
      </c>
      <c r="N112" s="31"/>
      <c r="O112" s="9"/>
      <c r="P112" s="9" t="str">
        <f t="shared" si="293"/>
        <v/>
      </c>
      <c r="Q112" s="9"/>
      <c r="R112" s="30">
        <f t="shared" ref="R112" si="420">Q112*$L112</f>
        <v>0</v>
      </c>
      <c r="S112" s="9"/>
      <c r="T112" s="30">
        <f t="shared" ref="T112" si="421">S112*$L112</f>
        <v>0</v>
      </c>
      <c r="U112" s="9"/>
      <c r="V112" s="30">
        <f t="shared" si="277"/>
        <v>0</v>
      </c>
      <c r="W112" s="9"/>
      <c r="X112" s="30">
        <f t="shared" si="278"/>
        <v>0</v>
      </c>
      <c r="Y112" s="9"/>
      <c r="Z112" s="30">
        <f t="shared" si="279"/>
        <v>0</v>
      </c>
      <c r="AA112" s="9"/>
      <c r="AB112" s="30">
        <f t="shared" si="265"/>
        <v>0</v>
      </c>
      <c r="AC112" s="9"/>
      <c r="AD112" s="30">
        <f t="shared" si="280"/>
        <v>0</v>
      </c>
      <c r="AE112" s="9"/>
      <c r="AF112" s="30">
        <f t="shared" si="266"/>
        <v>0</v>
      </c>
      <c r="AG112" s="9"/>
      <c r="AH112" s="30">
        <f t="shared" si="267"/>
        <v>0</v>
      </c>
      <c r="AI112" s="9">
        <f>803/100</f>
        <v>8.0299999999999994</v>
      </c>
      <c r="AJ112" s="30">
        <v>1927</v>
      </c>
      <c r="AK112" s="9"/>
      <c r="AL112" s="30">
        <f t="shared" ref="AL112" si="422">AK112*$L112</f>
        <v>0</v>
      </c>
      <c r="AM112" s="9"/>
      <c r="AN112" s="30">
        <f t="shared" si="269"/>
        <v>0</v>
      </c>
      <c r="AO112" s="9"/>
      <c r="AP112" s="30">
        <f t="shared" si="282"/>
        <v>0</v>
      </c>
      <c r="AQ112" s="9"/>
      <c r="AR112" s="30">
        <f t="shared" si="270"/>
        <v>0</v>
      </c>
      <c r="AS112" s="9"/>
      <c r="AT112" s="30">
        <f t="shared" si="271"/>
        <v>0</v>
      </c>
      <c r="AU112" s="9"/>
      <c r="AV112" s="30">
        <f t="shared" si="272"/>
        <v>0</v>
      </c>
      <c r="AW112" s="9"/>
      <c r="AX112" s="30">
        <f t="shared" si="273"/>
        <v>0</v>
      </c>
      <c r="AY112" s="9"/>
      <c r="AZ112" s="30">
        <f t="shared" si="274"/>
        <v>0</v>
      </c>
      <c r="BA112" s="10">
        <f>803/100</f>
        <v>8.0299999999999994</v>
      </c>
      <c r="BB112" s="31">
        <v>1927</v>
      </c>
      <c r="BC112" s="15">
        <f t="shared" si="287"/>
        <v>1927</v>
      </c>
      <c r="BD112" s="9">
        <f t="shared" si="288"/>
        <v>0</v>
      </c>
      <c r="BE112" s="28">
        <f t="shared" si="289"/>
        <v>8.0299999999999994</v>
      </c>
      <c r="BF112" s="8">
        <f t="shared" si="290"/>
        <v>0</v>
      </c>
      <c r="BG112" s="29">
        <f t="shared" si="283"/>
        <v>1927.1999999999998</v>
      </c>
      <c r="BH112" s="13">
        <f t="shared" si="291"/>
        <v>-0.1999999999998181</v>
      </c>
      <c r="BI112" s="2" t="str">
        <f t="shared" si="284"/>
        <v>erreur de calcul</v>
      </c>
      <c r="BJ112" s="2"/>
    </row>
    <row r="113" spans="1:62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49</v>
      </c>
      <c r="G113" s="31">
        <v>21</v>
      </c>
      <c r="H113" s="31" t="s">
        <v>185</v>
      </c>
      <c r="I113" s="5">
        <v>45</v>
      </c>
      <c r="J113" s="5"/>
      <c r="K113" s="6"/>
      <c r="L113" s="11">
        <f t="shared" si="292"/>
        <v>45</v>
      </c>
      <c r="M113" s="7" t="s">
        <v>14</v>
      </c>
      <c r="N113" s="31"/>
      <c r="O113" s="9"/>
      <c r="P113" s="9" t="str">
        <f t="shared" si="293"/>
        <v/>
      </c>
      <c r="Q113" s="9">
        <f>8827/100</f>
        <v>88.27</v>
      </c>
      <c r="R113" s="30">
        <v>3972</v>
      </c>
      <c r="S113" s="9"/>
      <c r="T113" s="30">
        <f t="shared" ref="T113" si="423">S113*$L113</f>
        <v>0</v>
      </c>
      <c r="U113" s="9"/>
      <c r="V113" s="30">
        <f t="shared" si="277"/>
        <v>0</v>
      </c>
      <c r="W113" s="9">
        <f>8951/100</f>
        <v>89.51</v>
      </c>
      <c r="X113" s="30">
        <v>4028</v>
      </c>
      <c r="Y113" s="9">
        <f>49106/100</f>
        <v>491.06</v>
      </c>
      <c r="Z113" s="30">
        <v>22098</v>
      </c>
      <c r="AA113" s="9"/>
      <c r="AB113" s="30">
        <f t="shared" si="265"/>
        <v>0</v>
      </c>
      <c r="AC113" s="9">
        <f>313412/100</f>
        <v>3134.12</v>
      </c>
      <c r="AD113" s="30">
        <v>141035</v>
      </c>
      <c r="AE113" s="9"/>
      <c r="AF113" s="30">
        <f t="shared" si="266"/>
        <v>0</v>
      </c>
      <c r="AG113" s="9"/>
      <c r="AH113" s="30">
        <f t="shared" si="267"/>
        <v>0</v>
      </c>
      <c r="AI113" s="9"/>
      <c r="AJ113" s="30">
        <f t="shared" ref="AJ113" si="424">AI113*$L113</f>
        <v>0</v>
      </c>
      <c r="AK113" s="9"/>
      <c r="AL113" s="30">
        <f t="shared" ref="AL113" si="425">AK113*$L113</f>
        <v>0</v>
      </c>
      <c r="AM113" s="9"/>
      <c r="AN113" s="30">
        <f t="shared" si="269"/>
        <v>0</v>
      </c>
      <c r="AO113" s="9"/>
      <c r="AP113" s="30">
        <f t="shared" si="282"/>
        <v>0</v>
      </c>
      <c r="AQ113" s="9"/>
      <c r="AR113" s="30">
        <f t="shared" si="270"/>
        <v>0</v>
      </c>
      <c r="AS113" s="9"/>
      <c r="AT113" s="30">
        <f t="shared" si="271"/>
        <v>0</v>
      </c>
      <c r="AU113" s="9"/>
      <c r="AV113" s="30">
        <f t="shared" si="272"/>
        <v>0</v>
      </c>
      <c r="AW113" s="9"/>
      <c r="AX113" s="30">
        <f t="shared" si="273"/>
        <v>0</v>
      </c>
      <c r="AY113" s="9"/>
      <c r="AZ113" s="30">
        <f t="shared" si="274"/>
        <v>0</v>
      </c>
      <c r="BA113" s="10">
        <f>380296/100</f>
        <v>3802.96</v>
      </c>
      <c r="BB113" s="31">
        <v>171133</v>
      </c>
      <c r="BC113" s="15">
        <f t="shared" si="287"/>
        <v>171133</v>
      </c>
      <c r="BD113" s="9">
        <f t="shared" si="288"/>
        <v>0</v>
      </c>
      <c r="BE113" s="28">
        <f t="shared" si="289"/>
        <v>3802.96</v>
      </c>
      <c r="BF113" s="8">
        <f t="shared" si="290"/>
        <v>0</v>
      </c>
      <c r="BG113" s="29">
        <f t="shared" si="283"/>
        <v>171133.2</v>
      </c>
      <c r="BH113" s="13">
        <f t="shared" si="291"/>
        <v>-0.20000000001164153</v>
      </c>
      <c r="BI113" s="2" t="str">
        <f t="shared" si="284"/>
        <v>erreur de calcul</v>
      </c>
      <c r="BJ113" s="2"/>
    </row>
    <row r="114" spans="1:62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49</v>
      </c>
      <c r="G114" s="31">
        <v>21</v>
      </c>
      <c r="H114" s="31" t="s">
        <v>186</v>
      </c>
      <c r="I114" s="5">
        <v>60</v>
      </c>
      <c r="J114" s="5"/>
      <c r="K114" s="6"/>
      <c r="L114" s="11">
        <f t="shared" si="292"/>
        <v>60</v>
      </c>
      <c r="M114" s="7" t="s">
        <v>14</v>
      </c>
      <c r="N114" s="31"/>
      <c r="O114" s="9"/>
      <c r="P114" s="9" t="str">
        <f t="shared" si="293"/>
        <v/>
      </c>
      <c r="Q114" s="9"/>
      <c r="R114" s="30">
        <f t="shared" ref="R114" si="426">Q114*$L114</f>
        <v>0</v>
      </c>
      <c r="S114" s="9"/>
      <c r="T114" s="30">
        <f t="shared" ref="T114" si="427">S114*$L114</f>
        <v>0</v>
      </c>
      <c r="U114" s="9"/>
      <c r="V114" s="30">
        <f t="shared" si="277"/>
        <v>0</v>
      </c>
      <c r="W114" s="9"/>
      <c r="X114" s="30">
        <f t="shared" si="278"/>
        <v>0</v>
      </c>
      <c r="Y114" s="9"/>
      <c r="Z114" s="30">
        <f t="shared" si="279"/>
        <v>0</v>
      </c>
      <c r="AA114" s="9"/>
      <c r="AB114" s="30">
        <f t="shared" si="265"/>
        <v>0</v>
      </c>
      <c r="AC114" s="9"/>
      <c r="AD114" s="30">
        <f t="shared" si="280"/>
        <v>0</v>
      </c>
      <c r="AE114" s="9"/>
      <c r="AF114" s="30">
        <f t="shared" si="266"/>
        <v>0</v>
      </c>
      <c r="AG114" s="9"/>
      <c r="AH114" s="30">
        <f t="shared" si="267"/>
        <v>0</v>
      </c>
      <c r="AI114" s="9">
        <f>6391/100</f>
        <v>63.91</v>
      </c>
      <c r="AJ114" s="30">
        <v>3835</v>
      </c>
      <c r="AK114" s="9"/>
      <c r="AL114" s="30">
        <f t="shared" ref="AL114" si="428">AK114*$L114</f>
        <v>0</v>
      </c>
      <c r="AM114" s="9"/>
      <c r="AN114" s="30">
        <f t="shared" si="269"/>
        <v>0</v>
      </c>
      <c r="AO114" s="9"/>
      <c r="AP114" s="30">
        <f t="shared" si="282"/>
        <v>0</v>
      </c>
      <c r="AQ114" s="9"/>
      <c r="AR114" s="30">
        <f t="shared" si="270"/>
        <v>0</v>
      </c>
      <c r="AS114" s="9"/>
      <c r="AT114" s="30">
        <f t="shared" si="271"/>
        <v>0</v>
      </c>
      <c r="AU114" s="9"/>
      <c r="AV114" s="30">
        <f t="shared" si="272"/>
        <v>0</v>
      </c>
      <c r="AW114" s="9"/>
      <c r="AX114" s="30">
        <f t="shared" si="273"/>
        <v>0</v>
      </c>
      <c r="AY114" s="9"/>
      <c r="AZ114" s="30">
        <f t="shared" si="274"/>
        <v>0</v>
      </c>
      <c r="BA114" s="10">
        <f>6391/100</f>
        <v>63.91</v>
      </c>
      <c r="BB114" s="31">
        <v>3835</v>
      </c>
      <c r="BC114" s="15">
        <f t="shared" si="287"/>
        <v>3835</v>
      </c>
      <c r="BD114" s="9">
        <f t="shared" si="288"/>
        <v>0</v>
      </c>
      <c r="BE114" s="28">
        <f t="shared" si="289"/>
        <v>63.91</v>
      </c>
      <c r="BF114" s="8">
        <f t="shared" si="290"/>
        <v>0</v>
      </c>
      <c r="BG114" s="29">
        <f t="shared" si="283"/>
        <v>3834.6</v>
      </c>
      <c r="BH114" s="13">
        <f t="shared" si="291"/>
        <v>0.40000000000009095</v>
      </c>
      <c r="BI114" s="2" t="str">
        <f t="shared" si="284"/>
        <v>erreur de calcul</v>
      </c>
      <c r="BJ114" s="2"/>
    </row>
    <row r="115" spans="1:62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49</v>
      </c>
      <c r="G115" s="31">
        <v>21</v>
      </c>
      <c r="H115" s="31" t="s">
        <v>187</v>
      </c>
      <c r="I115" s="5">
        <v>30</v>
      </c>
      <c r="J115" s="5"/>
      <c r="K115" s="6"/>
      <c r="L115" s="11">
        <f t="shared" si="292"/>
        <v>30</v>
      </c>
      <c r="M115" s="7" t="s">
        <v>15</v>
      </c>
      <c r="N115" s="31"/>
      <c r="O115" s="9"/>
      <c r="P115" s="9" t="str">
        <f t="shared" si="293"/>
        <v/>
      </c>
      <c r="Q115" s="9"/>
      <c r="R115" s="30">
        <f t="shared" ref="R115" si="429">Q115*$L115</f>
        <v>0</v>
      </c>
      <c r="S115" s="9"/>
      <c r="T115" s="30">
        <f t="shared" ref="T115" si="430">S115*$L115</f>
        <v>0</v>
      </c>
      <c r="U115" s="9"/>
      <c r="V115" s="30">
        <f t="shared" si="277"/>
        <v>0</v>
      </c>
      <c r="W115" s="9">
        <v>146</v>
      </c>
      <c r="X115" s="30">
        <v>4380</v>
      </c>
      <c r="Y115" s="9"/>
      <c r="Z115" s="30">
        <f t="shared" si="279"/>
        <v>0</v>
      </c>
      <c r="AA115" s="9"/>
      <c r="AB115" s="30">
        <f t="shared" si="265"/>
        <v>0</v>
      </c>
      <c r="AC115" s="9"/>
      <c r="AD115" s="30">
        <f t="shared" si="280"/>
        <v>0</v>
      </c>
      <c r="AE115" s="9"/>
      <c r="AF115" s="30">
        <f t="shared" si="266"/>
        <v>0</v>
      </c>
      <c r="AG115" s="9"/>
      <c r="AH115" s="30">
        <f t="shared" si="267"/>
        <v>0</v>
      </c>
      <c r="AI115" s="9"/>
      <c r="AJ115" s="30">
        <f t="shared" ref="AJ115" si="431">AI115*$L115</f>
        <v>0</v>
      </c>
      <c r="AK115" s="9"/>
      <c r="AL115" s="30">
        <f t="shared" ref="AL115" si="432">AK115*$L115</f>
        <v>0</v>
      </c>
      <c r="AM115" s="9"/>
      <c r="AN115" s="30">
        <f t="shared" si="269"/>
        <v>0</v>
      </c>
      <c r="AO115" s="9"/>
      <c r="AP115" s="30">
        <f t="shared" si="282"/>
        <v>0</v>
      </c>
      <c r="AQ115" s="9"/>
      <c r="AR115" s="30">
        <f t="shared" si="270"/>
        <v>0</v>
      </c>
      <c r="AS115" s="9"/>
      <c r="AT115" s="30">
        <f t="shared" si="271"/>
        <v>0</v>
      </c>
      <c r="AU115" s="9"/>
      <c r="AV115" s="30">
        <f t="shared" si="272"/>
        <v>0</v>
      </c>
      <c r="AW115" s="9"/>
      <c r="AX115" s="30">
        <f t="shared" si="273"/>
        <v>0</v>
      </c>
      <c r="AY115" s="9"/>
      <c r="AZ115" s="30">
        <f t="shared" si="274"/>
        <v>0</v>
      </c>
      <c r="BA115" s="10">
        <v>146</v>
      </c>
      <c r="BB115" s="31">
        <v>4380</v>
      </c>
      <c r="BC115" s="15">
        <f t="shared" si="287"/>
        <v>4380</v>
      </c>
      <c r="BD115" s="9">
        <f t="shared" si="288"/>
        <v>0</v>
      </c>
      <c r="BE115" s="28">
        <f t="shared" si="289"/>
        <v>146</v>
      </c>
      <c r="BF115" s="8">
        <f t="shared" si="290"/>
        <v>0</v>
      </c>
      <c r="BG115" s="29">
        <f t="shared" si="283"/>
        <v>4380</v>
      </c>
      <c r="BH115" s="13">
        <f t="shared" si="291"/>
        <v>0</v>
      </c>
      <c r="BI115" s="2" t="str">
        <f t="shared" si="284"/>
        <v/>
      </c>
      <c r="BJ115" s="2"/>
    </row>
    <row r="116" spans="1:62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49</v>
      </c>
      <c r="G116" s="31">
        <v>21</v>
      </c>
      <c r="H116" s="31" t="s">
        <v>188</v>
      </c>
      <c r="I116" s="5">
        <v>3</v>
      </c>
      <c r="J116" s="5"/>
      <c r="K116" s="6"/>
      <c r="L116" s="11">
        <f t="shared" si="292"/>
        <v>3</v>
      </c>
      <c r="M116" s="7" t="s">
        <v>15</v>
      </c>
      <c r="N116" s="31"/>
      <c r="O116" s="9"/>
      <c r="P116" s="9" t="str">
        <f t="shared" si="293"/>
        <v/>
      </c>
      <c r="Q116" s="9"/>
      <c r="R116" s="30">
        <f t="shared" ref="R116" si="433">Q116*$L116</f>
        <v>0</v>
      </c>
      <c r="S116" s="9"/>
      <c r="T116" s="30">
        <f t="shared" ref="T116" si="434">S116*$L116</f>
        <v>0</v>
      </c>
      <c r="U116" s="9"/>
      <c r="V116" s="30">
        <f t="shared" si="277"/>
        <v>0</v>
      </c>
      <c r="W116" s="9">
        <v>284</v>
      </c>
      <c r="X116" s="30">
        <v>852</v>
      </c>
      <c r="Y116" s="9">
        <v>8028</v>
      </c>
      <c r="Z116" s="30">
        <v>24084</v>
      </c>
      <c r="AA116" s="9"/>
      <c r="AB116" s="30">
        <f t="shared" si="265"/>
        <v>0</v>
      </c>
      <c r="AC116" s="9"/>
      <c r="AD116" s="30">
        <f t="shared" si="280"/>
        <v>0</v>
      </c>
      <c r="AE116" s="9"/>
      <c r="AF116" s="30">
        <f t="shared" si="266"/>
        <v>0</v>
      </c>
      <c r="AG116" s="9"/>
      <c r="AH116" s="30">
        <f t="shared" si="267"/>
        <v>0</v>
      </c>
      <c r="AI116" s="9"/>
      <c r="AJ116" s="30">
        <f t="shared" ref="AJ116" si="435">AI116*$L116</f>
        <v>0</v>
      </c>
      <c r="AK116" s="9"/>
      <c r="AL116" s="30">
        <f t="shared" ref="AL116" si="436">AK116*$L116</f>
        <v>0</v>
      </c>
      <c r="AM116" s="9">
        <v>2127</v>
      </c>
      <c r="AN116" s="30">
        <v>6381</v>
      </c>
      <c r="AO116" s="9"/>
      <c r="AP116" s="30">
        <f t="shared" si="282"/>
        <v>0</v>
      </c>
      <c r="AQ116" s="9"/>
      <c r="AR116" s="30">
        <f t="shared" si="270"/>
        <v>0</v>
      </c>
      <c r="AS116" s="9"/>
      <c r="AT116" s="30">
        <f t="shared" si="271"/>
        <v>0</v>
      </c>
      <c r="AU116" s="9"/>
      <c r="AV116" s="30">
        <f t="shared" si="272"/>
        <v>0</v>
      </c>
      <c r="AW116" s="9"/>
      <c r="AX116" s="30">
        <f t="shared" si="273"/>
        <v>0</v>
      </c>
      <c r="AY116" s="9"/>
      <c r="AZ116" s="30">
        <f t="shared" si="274"/>
        <v>0</v>
      </c>
      <c r="BA116" s="10">
        <v>10439</v>
      </c>
      <c r="BB116" s="31">
        <v>31317</v>
      </c>
      <c r="BC116" s="15">
        <f t="shared" si="287"/>
        <v>31317</v>
      </c>
      <c r="BD116" s="9">
        <f t="shared" si="288"/>
        <v>0</v>
      </c>
      <c r="BE116" s="28">
        <f t="shared" si="289"/>
        <v>10439</v>
      </c>
      <c r="BF116" s="8">
        <f t="shared" si="290"/>
        <v>0</v>
      </c>
      <c r="BG116" s="29">
        <f t="shared" si="283"/>
        <v>31317</v>
      </c>
      <c r="BH116" s="13">
        <f t="shared" si="291"/>
        <v>0</v>
      </c>
      <c r="BI116" s="2" t="str">
        <f t="shared" si="284"/>
        <v/>
      </c>
      <c r="BJ116" s="2"/>
    </row>
    <row r="117" spans="1:62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49</v>
      </c>
      <c r="G117" s="31">
        <v>21</v>
      </c>
      <c r="H117" s="31" t="s">
        <v>189</v>
      </c>
      <c r="I117" s="5">
        <v>25</v>
      </c>
      <c r="J117" s="5"/>
      <c r="K117" s="6"/>
      <c r="L117" s="11">
        <f t="shared" si="292"/>
        <v>25</v>
      </c>
      <c r="M117" s="7" t="s">
        <v>14</v>
      </c>
      <c r="N117" s="31"/>
      <c r="O117" s="9"/>
      <c r="P117" s="9" t="str">
        <f t="shared" si="293"/>
        <v/>
      </c>
      <c r="Q117" s="9"/>
      <c r="R117" s="30">
        <f t="shared" ref="R117" si="437">Q117*$L117</f>
        <v>0</v>
      </c>
      <c r="S117" s="9"/>
      <c r="T117" s="30">
        <f t="shared" ref="T117" si="438">S117*$L117</f>
        <v>0</v>
      </c>
      <c r="U117" s="9"/>
      <c r="V117" s="30">
        <f t="shared" si="277"/>
        <v>0</v>
      </c>
      <c r="W117" s="9"/>
      <c r="X117" s="30">
        <f t="shared" si="278"/>
        <v>0</v>
      </c>
      <c r="Y117" s="9">
        <f>5034/100</f>
        <v>50.34</v>
      </c>
      <c r="Z117" s="30">
        <v>1258</v>
      </c>
      <c r="AA117" s="9"/>
      <c r="AB117" s="30">
        <f t="shared" si="265"/>
        <v>0</v>
      </c>
      <c r="AC117" s="9"/>
      <c r="AD117" s="30">
        <f t="shared" si="280"/>
        <v>0</v>
      </c>
      <c r="AE117" s="9"/>
      <c r="AF117" s="30">
        <f t="shared" si="266"/>
        <v>0</v>
      </c>
      <c r="AG117" s="9"/>
      <c r="AH117" s="30">
        <f t="shared" si="267"/>
        <v>0</v>
      </c>
      <c r="AI117" s="9"/>
      <c r="AJ117" s="30">
        <f t="shared" ref="AJ117" si="439">AI117*$L117</f>
        <v>0</v>
      </c>
      <c r="AK117" s="9">
        <f>1375/100</f>
        <v>13.75</v>
      </c>
      <c r="AL117" s="30">
        <v>344</v>
      </c>
      <c r="AM117" s="9">
        <f>6710/100</f>
        <v>67.099999999999994</v>
      </c>
      <c r="AN117" s="30">
        <v>1677</v>
      </c>
      <c r="AO117" s="9"/>
      <c r="AP117" s="30">
        <f t="shared" si="282"/>
        <v>0</v>
      </c>
      <c r="AQ117" s="9"/>
      <c r="AR117" s="30">
        <f t="shared" si="270"/>
        <v>0</v>
      </c>
      <c r="AS117" s="9"/>
      <c r="AT117" s="30">
        <f t="shared" si="271"/>
        <v>0</v>
      </c>
      <c r="AU117" s="9"/>
      <c r="AV117" s="30">
        <f t="shared" si="272"/>
        <v>0</v>
      </c>
      <c r="AW117" s="9"/>
      <c r="AX117" s="30">
        <f t="shared" si="273"/>
        <v>0</v>
      </c>
      <c r="AY117" s="9"/>
      <c r="AZ117" s="30">
        <f t="shared" si="274"/>
        <v>0</v>
      </c>
      <c r="BA117" s="10">
        <f>13119/100</f>
        <v>131.19</v>
      </c>
      <c r="BB117" s="31">
        <v>3279</v>
      </c>
      <c r="BC117" s="15">
        <f t="shared" si="287"/>
        <v>3279</v>
      </c>
      <c r="BD117" s="9">
        <f t="shared" si="288"/>
        <v>0</v>
      </c>
      <c r="BE117" s="28">
        <f t="shared" si="289"/>
        <v>131.19</v>
      </c>
      <c r="BF117" s="8">
        <f t="shared" si="290"/>
        <v>0</v>
      </c>
      <c r="BG117" s="29">
        <f t="shared" si="283"/>
        <v>3279.75</v>
      </c>
      <c r="BH117" s="13">
        <f t="shared" si="291"/>
        <v>-0.75</v>
      </c>
      <c r="BI117" s="2" t="str">
        <f t="shared" si="284"/>
        <v>erreur de calcul</v>
      </c>
      <c r="BJ117" s="2"/>
    </row>
    <row r="118" spans="1:62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49</v>
      </c>
      <c r="G118" s="31">
        <v>21</v>
      </c>
      <c r="H118" s="31" t="s">
        <v>190</v>
      </c>
      <c r="I118" s="5">
        <v>25</v>
      </c>
      <c r="J118" s="5"/>
      <c r="K118" s="6"/>
      <c r="L118" s="11">
        <f t="shared" si="292"/>
        <v>25</v>
      </c>
      <c r="M118" s="7" t="s">
        <v>14</v>
      </c>
      <c r="N118" s="31"/>
      <c r="O118" s="9"/>
      <c r="P118" s="9" t="str">
        <f t="shared" si="293"/>
        <v/>
      </c>
      <c r="Q118" s="9"/>
      <c r="R118" s="30">
        <f t="shared" ref="R118" si="440">Q118*$L118</f>
        <v>0</v>
      </c>
      <c r="S118" s="9"/>
      <c r="T118" s="30">
        <f t="shared" ref="T118" si="441">S118*$L118</f>
        <v>0</v>
      </c>
      <c r="U118" s="9"/>
      <c r="V118" s="30">
        <f t="shared" si="277"/>
        <v>0</v>
      </c>
      <c r="W118" s="9"/>
      <c r="X118" s="30">
        <f t="shared" si="278"/>
        <v>0</v>
      </c>
      <c r="Y118" s="9">
        <f>5561/100</f>
        <v>55.61</v>
      </c>
      <c r="Z118" s="30">
        <v>1390</v>
      </c>
      <c r="AA118" s="9"/>
      <c r="AB118" s="30">
        <f t="shared" si="265"/>
        <v>0</v>
      </c>
      <c r="AC118" s="9"/>
      <c r="AD118" s="30">
        <f t="shared" si="280"/>
        <v>0</v>
      </c>
      <c r="AE118" s="9"/>
      <c r="AF118" s="30">
        <f t="shared" si="266"/>
        <v>0</v>
      </c>
      <c r="AG118" s="9"/>
      <c r="AH118" s="30">
        <f t="shared" si="267"/>
        <v>0</v>
      </c>
      <c r="AI118" s="9"/>
      <c r="AJ118" s="30">
        <f t="shared" ref="AJ118" si="442">AI118*$L118</f>
        <v>0</v>
      </c>
      <c r="AK118" s="9"/>
      <c r="AL118" s="30">
        <f t="shared" ref="AL118" si="443">AK118*$L118</f>
        <v>0</v>
      </c>
      <c r="AM118" s="9"/>
      <c r="AN118" s="30">
        <f t="shared" si="269"/>
        <v>0</v>
      </c>
      <c r="AO118" s="9"/>
      <c r="AP118" s="30">
        <f t="shared" si="282"/>
        <v>0</v>
      </c>
      <c r="AQ118" s="9"/>
      <c r="AR118" s="30">
        <f t="shared" si="270"/>
        <v>0</v>
      </c>
      <c r="AS118" s="9"/>
      <c r="AT118" s="30">
        <f t="shared" si="271"/>
        <v>0</v>
      </c>
      <c r="AU118" s="9"/>
      <c r="AV118" s="30">
        <f t="shared" si="272"/>
        <v>0</v>
      </c>
      <c r="AW118" s="9"/>
      <c r="AX118" s="30">
        <f t="shared" si="273"/>
        <v>0</v>
      </c>
      <c r="AY118" s="9"/>
      <c r="AZ118" s="30">
        <f t="shared" si="274"/>
        <v>0</v>
      </c>
      <c r="BA118" s="10">
        <f>5561/100</f>
        <v>55.61</v>
      </c>
      <c r="BB118" s="31">
        <v>1390</v>
      </c>
      <c r="BC118" s="15">
        <f t="shared" si="287"/>
        <v>1390</v>
      </c>
      <c r="BD118" s="9">
        <f t="shared" si="288"/>
        <v>0</v>
      </c>
      <c r="BE118" s="28">
        <f t="shared" si="289"/>
        <v>55.61</v>
      </c>
      <c r="BF118" s="8">
        <f t="shared" si="290"/>
        <v>0</v>
      </c>
      <c r="BG118" s="29">
        <f t="shared" si="283"/>
        <v>1390.25</v>
      </c>
      <c r="BH118" s="13">
        <f t="shared" si="291"/>
        <v>-0.25</v>
      </c>
      <c r="BI118" s="2" t="str">
        <f t="shared" si="284"/>
        <v>erreur de calcul</v>
      </c>
      <c r="BJ118" s="2"/>
    </row>
    <row r="119" spans="1:62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49</v>
      </c>
      <c r="G119" s="31">
        <v>21</v>
      </c>
      <c r="H119" s="31" t="s">
        <v>191</v>
      </c>
      <c r="I119" s="5">
        <v>168</v>
      </c>
      <c r="J119" s="5"/>
      <c r="K119" s="6"/>
      <c r="L119" s="11">
        <f t="shared" si="292"/>
        <v>168</v>
      </c>
      <c r="M119" s="7" t="s">
        <v>14</v>
      </c>
      <c r="N119" s="31"/>
      <c r="O119" s="9"/>
      <c r="P119" s="9" t="str">
        <f t="shared" si="293"/>
        <v/>
      </c>
      <c r="Q119" s="9"/>
      <c r="R119" s="30">
        <f t="shared" ref="R119" si="444">Q119*$L119</f>
        <v>0</v>
      </c>
      <c r="S119" s="9"/>
      <c r="T119" s="30">
        <f t="shared" ref="T119" si="445">S119*$L119</f>
        <v>0</v>
      </c>
      <c r="U119" s="9"/>
      <c r="V119" s="30">
        <f t="shared" si="277"/>
        <v>0</v>
      </c>
      <c r="W119" s="9"/>
      <c r="X119" s="30">
        <f t="shared" si="278"/>
        <v>0</v>
      </c>
      <c r="Y119" s="9"/>
      <c r="Z119" s="30">
        <f t="shared" si="279"/>
        <v>0</v>
      </c>
      <c r="AA119" s="9"/>
      <c r="AB119" s="30">
        <f t="shared" si="265"/>
        <v>0</v>
      </c>
      <c r="AC119" s="9"/>
      <c r="AD119" s="30">
        <f t="shared" si="280"/>
        <v>0</v>
      </c>
      <c r="AE119" s="9"/>
      <c r="AF119" s="30">
        <f t="shared" si="266"/>
        <v>0</v>
      </c>
      <c r="AG119" s="9"/>
      <c r="AH119" s="30">
        <f t="shared" si="267"/>
        <v>0</v>
      </c>
      <c r="AI119" s="9">
        <f>14590/100</f>
        <v>145.9</v>
      </c>
      <c r="AJ119" s="30">
        <v>24511</v>
      </c>
      <c r="AK119" s="9"/>
      <c r="AL119" s="30">
        <f t="shared" ref="AL119" si="446">AK119*$L119</f>
        <v>0</v>
      </c>
      <c r="AM119" s="9"/>
      <c r="AN119" s="30">
        <f t="shared" si="269"/>
        <v>0</v>
      </c>
      <c r="AO119" s="9"/>
      <c r="AP119" s="30">
        <f t="shared" si="282"/>
        <v>0</v>
      </c>
      <c r="AQ119" s="9"/>
      <c r="AR119" s="30">
        <f t="shared" si="270"/>
        <v>0</v>
      </c>
      <c r="AS119" s="9"/>
      <c r="AT119" s="30">
        <f t="shared" si="271"/>
        <v>0</v>
      </c>
      <c r="AU119" s="9"/>
      <c r="AV119" s="30">
        <f t="shared" si="272"/>
        <v>0</v>
      </c>
      <c r="AW119" s="9"/>
      <c r="AX119" s="30">
        <f t="shared" si="273"/>
        <v>0</v>
      </c>
      <c r="AY119" s="9"/>
      <c r="AZ119" s="30">
        <f t="shared" si="274"/>
        <v>0</v>
      </c>
      <c r="BA119" s="10">
        <f>14590/100</f>
        <v>145.9</v>
      </c>
      <c r="BB119" s="31">
        <v>24511</v>
      </c>
      <c r="BC119" s="15">
        <f t="shared" si="287"/>
        <v>24511</v>
      </c>
      <c r="BD119" s="9">
        <f t="shared" si="288"/>
        <v>0</v>
      </c>
      <c r="BE119" s="28">
        <f t="shared" si="289"/>
        <v>145.9</v>
      </c>
      <c r="BF119" s="8">
        <f t="shared" si="290"/>
        <v>0</v>
      </c>
      <c r="BG119" s="29">
        <f t="shared" si="283"/>
        <v>24511.200000000001</v>
      </c>
      <c r="BH119" s="13">
        <f t="shared" si="291"/>
        <v>-0.2000000000007276</v>
      </c>
      <c r="BI119" s="2" t="str">
        <f t="shared" si="284"/>
        <v>erreur de calcul</v>
      </c>
      <c r="BJ119" s="2"/>
    </row>
    <row r="120" spans="1:62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49</v>
      </c>
      <c r="G120" s="31">
        <v>21</v>
      </c>
      <c r="H120" s="31" t="s">
        <v>192</v>
      </c>
      <c r="I120" s="5">
        <v>120</v>
      </c>
      <c r="J120" s="5"/>
      <c r="K120" s="6"/>
      <c r="L120" s="11">
        <f t="shared" si="292"/>
        <v>120</v>
      </c>
      <c r="M120" s="7" t="s">
        <v>14</v>
      </c>
      <c r="N120" s="31"/>
      <c r="O120" s="9"/>
      <c r="P120" s="9" t="str">
        <f t="shared" si="293"/>
        <v/>
      </c>
      <c r="Q120" s="9"/>
      <c r="R120" s="30">
        <f t="shared" ref="R120" si="447">Q120*$L120</f>
        <v>0</v>
      </c>
      <c r="S120" s="9"/>
      <c r="T120" s="30">
        <f t="shared" ref="T120" si="448">S120*$L120</f>
        <v>0</v>
      </c>
      <c r="U120" s="9"/>
      <c r="V120" s="30">
        <f t="shared" si="277"/>
        <v>0</v>
      </c>
      <c r="W120" s="9"/>
      <c r="X120" s="30">
        <f t="shared" si="278"/>
        <v>0</v>
      </c>
      <c r="Y120" s="9"/>
      <c r="Z120" s="30">
        <f t="shared" si="279"/>
        <v>0</v>
      </c>
      <c r="AA120" s="9"/>
      <c r="AB120" s="30">
        <f t="shared" si="265"/>
        <v>0</v>
      </c>
      <c r="AC120" s="9">
        <f>6930/100</f>
        <v>69.3</v>
      </c>
      <c r="AD120" s="30">
        <v>8316</v>
      </c>
      <c r="AE120" s="9"/>
      <c r="AF120" s="30">
        <f t="shared" si="266"/>
        <v>0</v>
      </c>
      <c r="AG120" s="9"/>
      <c r="AH120" s="30">
        <f t="shared" si="267"/>
        <v>0</v>
      </c>
      <c r="AI120" s="9"/>
      <c r="AJ120" s="30">
        <f t="shared" ref="AJ120" si="449">AI120*$L120</f>
        <v>0</v>
      </c>
      <c r="AK120" s="9"/>
      <c r="AL120" s="30">
        <f t="shared" ref="AL120" si="450">AK120*$L120</f>
        <v>0</v>
      </c>
      <c r="AM120" s="9"/>
      <c r="AN120" s="30">
        <f t="shared" si="269"/>
        <v>0</v>
      </c>
      <c r="AO120" s="9"/>
      <c r="AP120" s="30">
        <f t="shared" si="282"/>
        <v>0</v>
      </c>
      <c r="AQ120" s="9"/>
      <c r="AR120" s="30">
        <f t="shared" si="270"/>
        <v>0</v>
      </c>
      <c r="AS120" s="9"/>
      <c r="AT120" s="30">
        <f t="shared" si="271"/>
        <v>0</v>
      </c>
      <c r="AU120" s="9"/>
      <c r="AV120" s="30">
        <f t="shared" si="272"/>
        <v>0</v>
      </c>
      <c r="AW120" s="9"/>
      <c r="AX120" s="30">
        <f t="shared" si="273"/>
        <v>0</v>
      </c>
      <c r="AY120" s="9"/>
      <c r="AZ120" s="30">
        <f t="shared" si="274"/>
        <v>0</v>
      </c>
      <c r="BA120" s="10">
        <f>6930/100</f>
        <v>69.3</v>
      </c>
      <c r="BB120" s="31">
        <v>8316</v>
      </c>
      <c r="BC120" s="15">
        <f t="shared" si="287"/>
        <v>8316</v>
      </c>
      <c r="BD120" s="9">
        <f t="shared" si="288"/>
        <v>0</v>
      </c>
      <c r="BE120" s="28">
        <f t="shared" si="289"/>
        <v>69.3</v>
      </c>
      <c r="BF120" s="8">
        <f t="shared" si="290"/>
        <v>0</v>
      </c>
      <c r="BG120" s="29">
        <f t="shared" si="283"/>
        <v>8316</v>
      </c>
      <c r="BH120" s="13">
        <f t="shared" si="291"/>
        <v>0</v>
      </c>
      <c r="BI120" s="2" t="str">
        <f t="shared" si="284"/>
        <v/>
      </c>
      <c r="BJ120" s="2"/>
    </row>
    <row r="121" spans="1:62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49</v>
      </c>
      <c r="G121" s="31">
        <v>21</v>
      </c>
      <c r="H121" s="31" t="s">
        <v>193</v>
      </c>
      <c r="I121" s="5">
        <v>70</v>
      </c>
      <c r="J121" s="5"/>
      <c r="K121" s="6"/>
      <c r="L121" s="11">
        <f t="shared" si="292"/>
        <v>70</v>
      </c>
      <c r="M121" s="7" t="s">
        <v>14</v>
      </c>
      <c r="N121" s="31"/>
      <c r="O121" s="9"/>
      <c r="P121" s="9" t="str">
        <f t="shared" si="293"/>
        <v/>
      </c>
      <c r="Q121" s="9"/>
      <c r="R121" s="30">
        <f t="shared" ref="R121" si="451">Q121*$L121</f>
        <v>0</v>
      </c>
      <c r="S121" s="9"/>
      <c r="T121" s="30">
        <f t="shared" ref="T121" si="452">S121*$L121</f>
        <v>0</v>
      </c>
      <c r="U121" s="9"/>
      <c r="V121" s="30">
        <f t="shared" si="277"/>
        <v>0</v>
      </c>
      <c r="W121" s="9"/>
      <c r="X121" s="30">
        <f t="shared" si="278"/>
        <v>0</v>
      </c>
      <c r="Y121" s="9"/>
      <c r="Z121" s="30">
        <f t="shared" si="279"/>
        <v>0</v>
      </c>
      <c r="AA121" s="9"/>
      <c r="AB121" s="30">
        <f t="shared" si="265"/>
        <v>0</v>
      </c>
      <c r="AC121" s="9"/>
      <c r="AD121" s="30">
        <f t="shared" si="280"/>
        <v>0</v>
      </c>
      <c r="AE121" s="9"/>
      <c r="AF121" s="30">
        <f t="shared" si="266"/>
        <v>0</v>
      </c>
      <c r="AG121" s="9"/>
      <c r="AH121" s="30">
        <f t="shared" si="267"/>
        <v>0</v>
      </c>
      <c r="AI121" s="9"/>
      <c r="AJ121" s="30">
        <f t="shared" ref="AJ121" si="453">AI121*$L121</f>
        <v>0</v>
      </c>
      <c r="AK121" s="9"/>
      <c r="AL121" s="30">
        <f t="shared" ref="AL121" si="454">AK121*$L121</f>
        <v>0</v>
      </c>
      <c r="AM121" s="9"/>
      <c r="AN121" s="30">
        <f t="shared" si="269"/>
        <v>0</v>
      </c>
      <c r="AO121" s="9">
        <f>13200/100</f>
        <v>132</v>
      </c>
      <c r="AP121" s="30">
        <v>9240</v>
      </c>
      <c r="AQ121" s="9"/>
      <c r="AR121" s="30">
        <f t="shared" si="270"/>
        <v>0</v>
      </c>
      <c r="AS121" s="9"/>
      <c r="AT121" s="30">
        <f t="shared" si="271"/>
        <v>0</v>
      </c>
      <c r="AU121" s="9"/>
      <c r="AV121" s="30">
        <f t="shared" si="272"/>
        <v>0</v>
      </c>
      <c r="AW121" s="9"/>
      <c r="AX121" s="30">
        <f t="shared" si="273"/>
        <v>0</v>
      </c>
      <c r="AY121" s="9"/>
      <c r="AZ121" s="30">
        <f t="shared" si="274"/>
        <v>0</v>
      </c>
      <c r="BA121" s="10">
        <f>13200/100</f>
        <v>132</v>
      </c>
      <c r="BB121" s="31">
        <v>9240</v>
      </c>
      <c r="BC121" s="15">
        <f t="shared" si="287"/>
        <v>9240</v>
      </c>
      <c r="BD121" s="9">
        <f t="shared" si="288"/>
        <v>0</v>
      </c>
      <c r="BE121" s="28">
        <f t="shared" si="289"/>
        <v>132</v>
      </c>
      <c r="BF121" s="8">
        <f t="shared" si="290"/>
        <v>0</v>
      </c>
      <c r="BG121" s="29">
        <f t="shared" si="283"/>
        <v>9240</v>
      </c>
      <c r="BH121" s="13">
        <f t="shared" si="291"/>
        <v>0</v>
      </c>
      <c r="BI121" s="2" t="str">
        <f t="shared" si="284"/>
        <v/>
      </c>
      <c r="BJ121" s="2"/>
    </row>
    <row r="122" spans="1:62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49</v>
      </c>
      <c r="G122" s="31">
        <v>21</v>
      </c>
      <c r="H122" s="31" t="s">
        <v>194</v>
      </c>
      <c r="I122" s="5">
        <v>65</v>
      </c>
      <c r="J122" s="5"/>
      <c r="K122" s="6"/>
      <c r="L122" s="11">
        <f t="shared" si="292"/>
        <v>65</v>
      </c>
      <c r="M122" s="7" t="s">
        <v>14</v>
      </c>
      <c r="N122" s="31"/>
      <c r="O122" s="9"/>
      <c r="P122" s="9" t="str">
        <f t="shared" si="293"/>
        <v/>
      </c>
      <c r="Q122" s="9"/>
      <c r="R122" s="30">
        <f t="shared" ref="R122" si="455">Q122*$L122</f>
        <v>0</v>
      </c>
      <c r="S122" s="9"/>
      <c r="T122" s="30">
        <f t="shared" ref="T122" si="456">S122*$L122</f>
        <v>0</v>
      </c>
      <c r="U122" s="9"/>
      <c r="V122" s="30">
        <f t="shared" si="277"/>
        <v>0</v>
      </c>
      <c r="W122" s="9"/>
      <c r="X122" s="30">
        <f t="shared" si="278"/>
        <v>0</v>
      </c>
      <c r="Y122" s="9">
        <f>44247/100</f>
        <v>442.47</v>
      </c>
      <c r="Z122" s="30">
        <v>28760</v>
      </c>
      <c r="AA122" s="9">
        <f>1906/100</f>
        <v>19.059999999999999</v>
      </c>
      <c r="AB122" s="30">
        <v>1239</v>
      </c>
      <c r="AC122" s="9"/>
      <c r="AD122" s="30">
        <f t="shared" si="280"/>
        <v>0</v>
      </c>
      <c r="AE122" s="9"/>
      <c r="AF122" s="30">
        <f t="shared" si="266"/>
        <v>0</v>
      </c>
      <c r="AG122" s="9"/>
      <c r="AH122" s="30">
        <f t="shared" si="267"/>
        <v>0</v>
      </c>
      <c r="AI122" s="9"/>
      <c r="AJ122" s="30">
        <f t="shared" ref="AJ122" si="457">AI122*$L122</f>
        <v>0</v>
      </c>
      <c r="AK122" s="9">
        <f>625/100</f>
        <v>6.25</v>
      </c>
      <c r="AL122" s="30">
        <v>406</v>
      </c>
      <c r="AM122" s="9"/>
      <c r="AN122" s="30">
        <f t="shared" si="269"/>
        <v>0</v>
      </c>
      <c r="AO122" s="9"/>
      <c r="AP122" s="30">
        <f t="shared" si="282"/>
        <v>0</v>
      </c>
      <c r="AQ122" s="9"/>
      <c r="AR122" s="30">
        <f t="shared" si="270"/>
        <v>0</v>
      </c>
      <c r="AS122" s="9"/>
      <c r="AT122" s="30">
        <f t="shared" si="271"/>
        <v>0</v>
      </c>
      <c r="AU122" s="9"/>
      <c r="AV122" s="30">
        <f t="shared" si="272"/>
        <v>0</v>
      </c>
      <c r="AW122" s="9"/>
      <c r="AX122" s="30">
        <f t="shared" si="273"/>
        <v>0</v>
      </c>
      <c r="AY122" s="9"/>
      <c r="AZ122" s="30">
        <f t="shared" si="274"/>
        <v>0</v>
      </c>
      <c r="BA122" s="10">
        <f>46778/100</f>
        <v>467.78</v>
      </c>
      <c r="BB122" s="31">
        <v>30405</v>
      </c>
      <c r="BC122" s="15">
        <f t="shared" si="287"/>
        <v>30405</v>
      </c>
      <c r="BD122" s="9">
        <f t="shared" si="288"/>
        <v>0</v>
      </c>
      <c r="BE122" s="28">
        <f t="shared" si="289"/>
        <v>467.78000000000003</v>
      </c>
      <c r="BF122" s="8">
        <f t="shared" si="290"/>
        <v>0</v>
      </c>
      <c r="BG122" s="29">
        <f t="shared" si="283"/>
        <v>30405.7</v>
      </c>
      <c r="BH122" s="13">
        <f t="shared" si="291"/>
        <v>-0.7000000000007276</v>
      </c>
      <c r="BI122" s="2" t="str">
        <f t="shared" si="284"/>
        <v>erreur de calcul</v>
      </c>
      <c r="BJ122" s="2"/>
    </row>
    <row r="123" spans="1:62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49</v>
      </c>
      <c r="G123" s="31">
        <v>21</v>
      </c>
      <c r="H123" s="31" t="s">
        <v>195</v>
      </c>
      <c r="I123" s="5">
        <v>70</v>
      </c>
      <c r="J123" s="5"/>
      <c r="K123" s="6"/>
      <c r="L123" s="11">
        <f t="shared" si="292"/>
        <v>70</v>
      </c>
      <c r="M123" s="7" t="s">
        <v>14</v>
      </c>
      <c r="N123" s="31"/>
      <c r="O123" s="9"/>
      <c r="P123" s="9" t="str">
        <f t="shared" si="293"/>
        <v/>
      </c>
      <c r="Q123" s="9"/>
      <c r="R123" s="30">
        <f t="shared" ref="R123" si="458">Q123*$L123</f>
        <v>0</v>
      </c>
      <c r="S123" s="9"/>
      <c r="T123" s="30">
        <f t="shared" ref="T123" si="459">S123*$L123</f>
        <v>0</v>
      </c>
      <c r="U123" s="9"/>
      <c r="V123" s="30">
        <f t="shared" si="277"/>
        <v>0</v>
      </c>
      <c r="W123" s="9"/>
      <c r="X123" s="30">
        <f t="shared" si="278"/>
        <v>0</v>
      </c>
      <c r="Y123" s="9"/>
      <c r="Z123" s="30">
        <f t="shared" si="279"/>
        <v>0</v>
      </c>
      <c r="AA123" s="9"/>
      <c r="AB123" s="30">
        <f t="shared" si="265"/>
        <v>0</v>
      </c>
      <c r="AC123" s="9"/>
      <c r="AD123" s="30">
        <f t="shared" si="280"/>
        <v>0</v>
      </c>
      <c r="AE123" s="9"/>
      <c r="AF123" s="30">
        <f t="shared" si="266"/>
        <v>0</v>
      </c>
      <c r="AG123" s="9"/>
      <c r="AH123" s="30">
        <f t="shared" si="267"/>
        <v>0</v>
      </c>
      <c r="AI123" s="9">
        <f>156436/100</f>
        <v>1564.36</v>
      </c>
      <c r="AJ123" s="30">
        <v>109505</v>
      </c>
      <c r="AK123" s="9"/>
      <c r="AL123" s="30">
        <f t="shared" ref="AL123" si="460">AK123*$L123</f>
        <v>0</v>
      </c>
      <c r="AM123" s="9"/>
      <c r="AN123" s="30">
        <f t="shared" si="269"/>
        <v>0</v>
      </c>
      <c r="AO123" s="9"/>
      <c r="AP123" s="30">
        <f t="shared" si="282"/>
        <v>0</v>
      </c>
      <c r="AQ123" s="9"/>
      <c r="AR123" s="30">
        <f t="shared" si="270"/>
        <v>0</v>
      </c>
      <c r="AS123" s="9"/>
      <c r="AT123" s="30">
        <f t="shared" si="271"/>
        <v>0</v>
      </c>
      <c r="AU123" s="9"/>
      <c r="AV123" s="30">
        <f t="shared" si="272"/>
        <v>0</v>
      </c>
      <c r="AW123" s="9"/>
      <c r="AX123" s="30">
        <f t="shared" si="273"/>
        <v>0</v>
      </c>
      <c r="AY123" s="9"/>
      <c r="AZ123" s="30">
        <f t="shared" si="274"/>
        <v>0</v>
      </c>
      <c r="BA123" s="10">
        <f>156436/100</f>
        <v>1564.36</v>
      </c>
      <c r="BB123" s="31">
        <v>109505</v>
      </c>
      <c r="BC123" s="15">
        <f t="shared" si="287"/>
        <v>109505</v>
      </c>
      <c r="BD123" s="9">
        <f t="shared" si="288"/>
        <v>0</v>
      </c>
      <c r="BE123" s="28">
        <f t="shared" si="289"/>
        <v>1564.36</v>
      </c>
      <c r="BF123" s="8">
        <f t="shared" si="290"/>
        <v>0</v>
      </c>
      <c r="BG123" s="29">
        <f t="shared" si="283"/>
        <v>109505.2</v>
      </c>
      <c r="BH123" s="13">
        <f t="shared" si="291"/>
        <v>-0.19999999999708962</v>
      </c>
      <c r="BI123" s="2" t="str">
        <f t="shared" si="284"/>
        <v>erreur de calcul</v>
      </c>
      <c r="BJ123" s="2"/>
    </row>
    <row r="124" spans="1:62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49</v>
      </c>
      <c r="G124" s="31">
        <v>21</v>
      </c>
      <c r="H124" s="31" t="s">
        <v>196</v>
      </c>
      <c r="I124" s="5"/>
      <c r="J124" s="5"/>
      <c r="K124" s="6"/>
      <c r="L124" s="11">
        <f t="shared" si="292"/>
        <v>0</v>
      </c>
      <c r="M124" s="7"/>
      <c r="N124" s="31" t="s">
        <v>18</v>
      </c>
      <c r="O124" s="9"/>
      <c r="P124" s="9">
        <v>306</v>
      </c>
      <c r="Q124" s="9"/>
      <c r="R124" s="30">
        <v>387</v>
      </c>
      <c r="S124" s="9"/>
      <c r="T124" s="30">
        <f t="shared" ref="T124" si="461">S124*$L124</f>
        <v>0</v>
      </c>
      <c r="U124" s="9"/>
      <c r="V124" s="30">
        <v>2349</v>
      </c>
      <c r="W124" s="9"/>
      <c r="X124" s="30">
        <v>978</v>
      </c>
      <c r="Y124" s="9"/>
      <c r="Z124" s="30">
        <f t="shared" si="279"/>
        <v>0</v>
      </c>
      <c r="AA124" s="9"/>
      <c r="AB124" s="30">
        <f t="shared" si="265"/>
        <v>0</v>
      </c>
      <c r="AC124" s="9"/>
      <c r="AD124" s="30">
        <v>328</v>
      </c>
      <c r="AE124" s="9"/>
      <c r="AF124" s="30">
        <f t="shared" si="266"/>
        <v>0</v>
      </c>
      <c r="AG124" s="9"/>
      <c r="AH124" s="30">
        <f t="shared" si="267"/>
        <v>0</v>
      </c>
      <c r="AI124" s="9"/>
      <c r="AJ124" s="30">
        <v>878</v>
      </c>
      <c r="AK124" s="9"/>
      <c r="AL124" s="30">
        <v>1546</v>
      </c>
      <c r="AM124" s="9"/>
      <c r="AN124" s="30">
        <f t="shared" si="269"/>
        <v>0</v>
      </c>
      <c r="AO124" s="9"/>
      <c r="AP124" s="30">
        <f t="shared" si="282"/>
        <v>0</v>
      </c>
      <c r="AQ124" s="9"/>
      <c r="AR124" s="30">
        <f t="shared" si="270"/>
        <v>0</v>
      </c>
      <c r="AS124" s="9"/>
      <c r="AT124" s="30">
        <f t="shared" si="271"/>
        <v>0</v>
      </c>
      <c r="AU124" s="9"/>
      <c r="AV124" s="30">
        <f t="shared" si="272"/>
        <v>0</v>
      </c>
      <c r="AW124" s="9"/>
      <c r="AX124" s="30">
        <f t="shared" si="273"/>
        <v>0</v>
      </c>
      <c r="AY124" s="9"/>
      <c r="AZ124" s="30">
        <f t="shared" si="274"/>
        <v>0</v>
      </c>
      <c r="BA124" s="10"/>
      <c r="BB124" s="31">
        <v>6466</v>
      </c>
      <c r="BC124" s="15">
        <f t="shared" si="287"/>
        <v>6466</v>
      </c>
      <c r="BD124" s="9">
        <f t="shared" si="288"/>
        <v>0</v>
      </c>
      <c r="BE124" s="28">
        <f t="shared" si="289"/>
        <v>0</v>
      </c>
      <c r="BF124" s="8">
        <f t="shared" si="290"/>
        <v>0</v>
      </c>
      <c r="BG124" s="29">
        <f t="shared" si="283"/>
        <v>0</v>
      </c>
      <c r="BH124" s="13">
        <f t="shared" si="291"/>
        <v>6466</v>
      </c>
      <c r="BI124" s="2" t="str">
        <f t="shared" si="284"/>
        <v>pas de prix, ni de quantité</v>
      </c>
      <c r="BJ124" s="2"/>
    </row>
    <row r="125" spans="1:62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49</v>
      </c>
      <c r="G125" s="31">
        <v>21</v>
      </c>
      <c r="H125" s="31" t="s">
        <v>197</v>
      </c>
      <c r="I125" s="5">
        <v>27</v>
      </c>
      <c r="J125" s="5"/>
      <c r="K125" s="6"/>
      <c r="L125" s="11">
        <f t="shared" si="292"/>
        <v>27</v>
      </c>
      <c r="M125" s="7" t="s">
        <v>14</v>
      </c>
      <c r="N125" s="31"/>
      <c r="O125" s="9"/>
      <c r="P125" s="9" t="str">
        <f t="shared" si="293"/>
        <v/>
      </c>
      <c r="Q125" s="9">
        <f>108627/100</f>
        <v>1086.27</v>
      </c>
      <c r="R125" s="30">
        <v>29329</v>
      </c>
      <c r="S125" s="9"/>
      <c r="T125" s="30">
        <f t="shared" ref="T125" si="462">S125*$L125</f>
        <v>0</v>
      </c>
      <c r="U125" s="9"/>
      <c r="V125" s="30">
        <f t="shared" si="277"/>
        <v>0</v>
      </c>
      <c r="W125" s="9"/>
      <c r="X125" s="30">
        <f t="shared" si="278"/>
        <v>0</v>
      </c>
      <c r="Y125" s="9"/>
      <c r="Z125" s="30">
        <f t="shared" si="279"/>
        <v>0</v>
      </c>
      <c r="AA125" s="9">
        <f>535243/100</f>
        <v>5352.43</v>
      </c>
      <c r="AB125" s="30">
        <v>144516</v>
      </c>
      <c r="AC125" s="9"/>
      <c r="AD125" s="30">
        <f t="shared" si="280"/>
        <v>0</v>
      </c>
      <c r="AE125" s="9">
        <f>75759/100</f>
        <v>757.59</v>
      </c>
      <c r="AF125" s="30">
        <v>20455</v>
      </c>
      <c r="AG125" s="9"/>
      <c r="AH125" s="30">
        <f t="shared" si="267"/>
        <v>0</v>
      </c>
      <c r="AI125" s="9">
        <f>77800/100</f>
        <v>778</v>
      </c>
      <c r="AJ125" s="32">
        <v>21016</v>
      </c>
      <c r="AK125" s="9">
        <f>28078/100</f>
        <v>280.77999999999997</v>
      </c>
      <c r="AL125" s="30">
        <v>7581</v>
      </c>
      <c r="AM125" s="9">
        <f>15417/100</f>
        <v>154.16999999999999</v>
      </c>
      <c r="AN125" s="30">
        <v>4162</v>
      </c>
      <c r="AO125" s="9"/>
      <c r="AP125" s="30">
        <f t="shared" si="282"/>
        <v>0</v>
      </c>
      <c r="AQ125" s="9"/>
      <c r="AR125" s="30">
        <f t="shared" si="270"/>
        <v>0</v>
      </c>
      <c r="AS125" s="9"/>
      <c r="AT125" s="30">
        <f t="shared" si="271"/>
        <v>0</v>
      </c>
      <c r="AU125" s="9"/>
      <c r="AV125" s="30">
        <f t="shared" si="272"/>
        <v>0</v>
      </c>
      <c r="AW125" s="9"/>
      <c r="AX125" s="30">
        <f t="shared" si="273"/>
        <v>0</v>
      </c>
      <c r="AY125" s="9"/>
      <c r="AZ125" s="30">
        <f t="shared" si="274"/>
        <v>0</v>
      </c>
      <c r="BA125" s="10">
        <f>840924/100</f>
        <v>8409.24</v>
      </c>
      <c r="BB125" s="31">
        <v>227059</v>
      </c>
      <c r="BC125" s="15">
        <f t="shared" si="287"/>
        <v>227059</v>
      </c>
      <c r="BD125" s="9">
        <f t="shared" si="288"/>
        <v>0</v>
      </c>
      <c r="BE125" s="28">
        <f t="shared" si="289"/>
        <v>8409.2400000000016</v>
      </c>
      <c r="BF125" s="8">
        <f t="shared" si="290"/>
        <v>0</v>
      </c>
      <c r="BG125" s="29">
        <f t="shared" si="283"/>
        <v>227049.48000000004</v>
      </c>
      <c r="BH125" s="13">
        <f t="shared" si="291"/>
        <v>9.5199999999604188</v>
      </c>
      <c r="BI125" s="2" t="str">
        <f t="shared" si="284"/>
        <v>erreur de calcul</v>
      </c>
      <c r="BJ125" s="2"/>
    </row>
    <row r="126" spans="1:62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49</v>
      </c>
      <c r="G126" s="31">
        <v>21</v>
      </c>
      <c r="H126" s="31" t="s">
        <v>198</v>
      </c>
      <c r="I126" s="5">
        <v>25</v>
      </c>
      <c r="J126" s="5"/>
      <c r="K126" s="6"/>
      <c r="L126" s="11">
        <f t="shared" si="292"/>
        <v>25</v>
      </c>
      <c r="M126" s="7" t="s">
        <v>14</v>
      </c>
      <c r="N126" s="31"/>
      <c r="O126" s="9"/>
      <c r="P126" s="9" t="str">
        <f t="shared" si="293"/>
        <v/>
      </c>
      <c r="Q126" s="9"/>
      <c r="R126" s="30">
        <f t="shared" ref="R126" si="463">Q126*$L126</f>
        <v>0</v>
      </c>
      <c r="S126" s="9"/>
      <c r="T126" s="30">
        <f t="shared" ref="T126" si="464">S126*$L126</f>
        <v>0</v>
      </c>
      <c r="U126" s="9">
        <f>56427/100</f>
        <v>564.27</v>
      </c>
      <c r="V126" s="30">
        <v>14107</v>
      </c>
      <c r="W126" s="9"/>
      <c r="X126" s="30">
        <f t="shared" si="278"/>
        <v>0</v>
      </c>
      <c r="Y126" s="9">
        <f>98758/100</f>
        <v>987.58</v>
      </c>
      <c r="Z126" s="30">
        <v>24689</v>
      </c>
      <c r="AA126" s="9"/>
      <c r="AB126" s="30">
        <f t="shared" si="265"/>
        <v>0</v>
      </c>
      <c r="AC126" s="9"/>
      <c r="AD126" s="30">
        <f t="shared" si="280"/>
        <v>0</v>
      </c>
      <c r="AE126" s="9"/>
      <c r="AF126" s="30">
        <f t="shared" si="266"/>
        <v>0</v>
      </c>
      <c r="AG126" s="9"/>
      <c r="AH126" s="30">
        <f t="shared" si="267"/>
        <v>0</v>
      </c>
      <c r="AI126" s="9"/>
      <c r="AJ126" s="30">
        <f t="shared" ref="AJ126" si="465">AI126*$L126</f>
        <v>0</v>
      </c>
      <c r="AK126" s="9"/>
      <c r="AL126" s="30">
        <f t="shared" ref="AL126" si="466">AK126*$L126</f>
        <v>0</v>
      </c>
      <c r="AM126" s="9"/>
      <c r="AN126" s="30">
        <f t="shared" si="269"/>
        <v>0</v>
      </c>
      <c r="AO126" s="9"/>
      <c r="AP126" s="30">
        <f t="shared" si="282"/>
        <v>0</v>
      </c>
      <c r="AQ126" s="9"/>
      <c r="AR126" s="30">
        <f t="shared" si="270"/>
        <v>0</v>
      </c>
      <c r="AS126" s="9"/>
      <c r="AT126" s="30">
        <f t="shared" si="271"/>
        <v>0</v>
      </c>
      <c r="AU126" s="9"/>
      <c r="AV126" s="30">
        <f t="shared" si="272"/>
        <v>0</v>
      </c>
      <c r="AW126" s="9"/>
      <c r="AX126" s="30">
        <f t="shared" si="273"/>
        <v>0</v>
      </c>
      <c r="AY126" s="9"/>
      <c r="AZ126" s="30">
        <f t="shared" si="274"/>
        <v>0</v>
      </c>
      <c r="BA126" s="10">
        <f>155115/100</f>
        <v>1551.15</v>
      </c>
      <c r="BB126" s="31">
        <v>38796</v>
      </c>
      <c r="BC126" s="15">
        <f t="shared" si="287"/>
        <v>38796</v>
      </c>
      <c r="BD126" s="9">
        <f t="shared" si="288"/>
        <v>0</v>
      </c>
      <c r="BE126" s="28">
        <f t="shared" si="289"/>
        <v>1551.85</v>
      </c>
      <c r="BF126" s="8">
        <f t="shared" si="290"/>
        <v>-0.6999999999998181</v>
      </c>
      <c r="BG126" s="29">
        <f t="shared" si="283"/>
        <v>38796.25</v>
      </c>
      <c r="BH126" s="13">
        <f t="shared" si="291"/>
        <v>-0.25</v>
      </c>
      <c r="BI126" s="2" t="str">
        <f t="shared" si="284"/>
        <v>erreur de calcul</v>
      </c>
      <c r="BJ126" s="2"/>
    </row>
    <row r="127" spans="1:62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49</v>
      </c>
      <c r="G127" s="31">
        <v>21</v>
      </c>
      <c r="H127" s="31" t="s">
        <v>199</v>
      </c>
      <c r="I127" s="5"/>
      <c r="J127" s="5">
        <v>15</v>
      </c>
      <c r="K127" s="6"/>
      <c r="L127" s="11">
        <f t="shared" si="292"/>
        <v>0.75</v>
      </c>
      <c r="M127" s="7" t="s">
        <v>15</v>
      </c>
      <c r="N127" s="31"/>
      <c r="O127" s="9"/>
      <c r="P127" s="9" t="str">
        <f t="shared" si="293"/>
        <v/>
      </c>
      <c r="Q127" s="9"/>
      <c r="R127" s="30">
        <f t="shared" ref="R127" si="467">Q127*$L127</f>
        <v>0</v>
      </c>
      <c r="S127" s="9"/>
      <c r="T127" s="30">
        <f t="shared" ref="T127" si="468">S127*$L127</f>
        <v>0</v>
      </c>
      <c r="U127" s="9"/>
      <c r="V127" s="30">
        <f t="shared" si="277"/>
        <v>0</v>
      </c>
      <c r="W127" s="9"/>
      <c r="X127" s="30">
        <f t="shared" si="278"/>
        <v>0</v>
      </c>
      <c r="Y127" s="9"/>
      <c r="Z127" s="30">
        <f t="shared" si="279"/>
        <v>0</v>
      </c>
      <c r="AA127" s="9"/>
      <c r="AB127" s="30">
        <f t="shared" si="265"/>
        <v>0</v>
      </c>
      <c r="AC127" s="9"/>
      <c r="AD127" s="30">
        <f t="shared" si="280"/>
        <v>0</v>
      </c>
      <c r="AE127" s="9"/>
      <c r="AF127" s="30">
        <f t="shared" si="266"/>
        <v>0</v>
      </c>
      <c r="AG127" s="9"/>
      <c r="AH127" s="30">
        <f t="shared" si="267"/>
        <v>0</v>
      </c>
      <c r="AI127" s="9"/>
      <c r="AJ127" s="30">
        <f t="shared" ref="AJ127" si="469">AI127*$L127</f>
        <v>0</v>
      </c>
      <c r="AK127" s="9">
        <v>6171</v>
      </c>
      <c r="AL127" s="30">
        <v>4628</v>
      </c>
      <c r="AM127" s="9"/>
      <c r="AN127" s="30">
        <f t="shared" si="269"/>
        <v>0</v>
      </c>
      <c r="AO127" s="9"/>
      <c r="AP127" s="30">
        <f t="shared" si="282"/>
        <v>0</v>
      </c>
      <c r="AQ127" s="9"/>
      <c r="AR127" s="30">
        <f t="shared" si="270"/>
        <v>0</v>
      </c>
      <c r="AS127" s="9"/>
      <c r="AT127" s="30">
        <f t="shared" si="271"/>
        <v>0</v>
      </c>
      <c r="AU127" s="9"/>
      <c r="AV127" s="30">
        <f t="shared" si="272"/>
        <v>0</v>
      </c>
      <c r="AW127" s="9"/>
      <c r="AX127" s="30">
        <f t="shared" si="273"/>
        <v>0</v>
      </c>
      <c r="AY127" s="9"/>
      <c r="AZ127" s="30">
        <f t="shared" si="274"/>
        <v>0</v>
      </c>
      <c r="BA127" s="10">
        <v>6171</v>
      </c>
      <c r="BB127" s="31">
        <v>4628</v>
      </c>
      <c r="BC127" s="15">
        <f t="shared" si="287"/>
        <v>4628</v>
      </c>
      <c r="BD127" s="9">
        <f t="shared" si="288"/>
        <v>0</v>
      </c>
      <c r="BE127" s="28">
        <f t="shared" si="289"/>
        <v>6171</v>
      </c>
      <c r="BF127" s="8">
        <f t="shared" si="290"/>
        <v>0</v>
      </c>
      <c r="BG127" s="29">
        <f t="shared" si="283"/>
        <v>4628.25</v>
      </c>
      <c r="BH127" s="13">
        <f t="shared" si="291"/>
        <v>-0.25</v>
      </c>
      <c r="BI127" s="2" t="str">
        <f t="shared" si="284"/>
        <v>erreur de calcul</v>
      </c>
      <c r="BJ127" s="2"/>
    </row>
    <row r="128" spans="1:62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49</v>
      </c>
      <c r="G128" s="31">
        <v>22</v>
      </c>
      <c r="H128" s="31" t="s">
        <v>200</v>
      </c>
      <c r="I128" s="5">
        <v>10</v>
      </c>
      <c r="J128" s="5"/>
      <c r="K128" s="6"/>
      <c r="L128" s="11">
        <f t="shared" si="292"/>
        <v>10</v>
      </c>
      <c r="M128" s="7" t="s">
        <v>14</v>
      </c>
      <c r="N128" s="31"/>
      <c r="O128" s="9"/>
      <c r="P128" s="9" t="str">
        <f t="shared" si="293"/>
        <v/>
      </c>
      <c r="Q128" s="9">
        <f>36147/100</f>
        <v>361.47</v>
      </c>
      <c r="R128" s="30">
        <v>3615</v>
      </c>
      <c r="S128" s="9"/>
      <c r="T128" s="30">
        <f t="shared" ref="T128" si="470">S128*$L128</f>
        <v>0</v>
      </c>
      <c r="U128" s="9"/>
      <c r="V128" s="30">
        <f t="shared" si="277"/>
        <v>0</v>
      </c>
      <c r="W128" s="9"/>
      <c r="X128" s="30">
        <f t="shared" si="278"/>
        <v>0</v>
      </c>
      <c r="Y128" s="9"/>
      <c r="Z128" s="30">
        <f t="shared" si="279"/>
        <v>0</v>
      </c>
      <c r="AA128" s="9"/>
      <c r="AB128" s="30">
        <f t="shared" si="265"/>
        <v>0</v>
      </c>
      <c r="AC128" s="9">
        <f>14437/100</f>
        <v>144.37</v>
      </c>
      <c r="AD128" s="30">
        <v>1444</v>
      </c>
      <c r="AE128" s="9"/>
      <c r="AF128" s="30">
        <f t="shared" si="266"/>
        <v>0</v>
      </c>
      <c r="AG128" s="9"/>
      <c r="AH128" s="30">
        <f t="shared" si="267"/>
        <v>0</v>
      </c>
      <c r="AI128" s="9"/>
      <c r="AJ128" s="30">
        <f t="shared" ref="AJ128" si="471">AI128*$L128</f>
        <v>0</v>
      </c>
      <c r="AK128" s="9">
        <f>36351/100</f>
        <v>363.51</v>
      </c>
      <c r="AL128" s="30">
        <v>3635</v>
      </c>
      <c r="AM128" s="9"/>
      <c r="AN128" s="30">
        <f t="shared" si="269"/>
        <v>0</v>
      </c>
      <c r="AO128" s="9"/>
      <c r="AP128" s="30">
        <f t="shared" si="282"/>
        <v>0</v>
      </c>
      <c r="AQ128" s="9"/>
      <c r="AR128" s="30">
        <f t="shared" si="270"/>
        <v>0</v>
      </c>
      <c r="AS128" s="9">
        <f>25120/100</f>
        <v>251.2</v>
      </c>
      <c r="AT128" s="30">
        <v>2512</v>
      </c>
      <c r="AU128" s="9"/>
      <c r="AV128" s="30">
        <f t="shared" si="272"/>
        <v>0</v>
      </c>
      <c r="AW128" s="9"/>
      <c r="AX128" s="30">
        <f t="shared" si="273"/>
        <v>0</v>
      </c>
      <c r="AY128" s="9"/>
      <c r="AZ128" s="30">
        <f t="shared" si="274"/>
        <v>0</v>
      </c>
      <c r="BA128" s="10">
        <f>112055/100</f>
        <v>1120.55</v>
      </c>
      <c r="BB128" s="31">
        <v>11206</v>
      </c>
      <c r="BC128" s="15">
        <f t="shared" si="287"/>
        <v>11206</v>
      </c>
      <c r="BD128" s="9">
        <f t="shared" si="288"/>
        <v>0</v>
      </c>
      <c r="BE128" s="28">
        <f t="shared" si="289"/>
        <v>1120.55</v>
      </c>
      <c r="BF128" s="8">
        <f t="shared" si="290"/>
        <v>0</v>
      </c>
      <c r="BG128" s="29">
        <f t="shared" si="283"/>
        <v>11205.5</v>
      </c>
      <c r="BH128" s="13">
        <f t="shared" si="291"/>
        <v>0.5</v>
      </c>
      <c r="BI128" s="2" t="str">
        <f t="shared" si="284"/>
        <v>erreur de calcul</v>
      </c>
      <c r="BJ128" s="2"/>
    </row>
    <row r="129" spans="1:62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49</v>
      </c>
      <c r="G129" s="31">
        <v>22</v>
      </c>
      <c r="H129" s="31" t="s">
        <v>201</v>
      </c>
      <c r="I129" s="5">
        <v>20</v>
      </c>
      <c r="J129" s="5"/>
      <c r="K129" s="6"/>
      <c r="L129" s="11">
        <f t="shared" si="292"/>
        <v>20</v>
      </c>
      <c r="M129" s="7" t="s">
        <v>14</v>
      </c>
      <c r="N129" s="31"/>
      <c r="O129" s="9"/>
      <c r="P129" s="9" t="str">
        <f t="shared" si="293"/>
        <v/>
      </c>
      <c r="Q129" s="9"/>
      <c r="R129" s="30">
        <f t="shared" ref="R129" si="472">Q129*$L129</f>
        <v>0</v>
      </c>
      <c r="S129" s="9"/>
      <c r="T129" s="30">
        <f t="shared" ref="T129" si="473">S129*$L129</f>
        <v>0</v>
      </c>
      <c r="U129" s="9"/>
      <c r="V129" s="30">
        <f t="shared" si="277"/>
        <v>0</v>
      </c>
      <c r="W129" s="9"/>
      <c r="X129" s="30">
        <f t="shared" si="278"/>
        <v>0</v>
      </c>
      <c r="Y129" s="9"/>
      <c r="Z129" s="30">
        <f t="shared" si="279"/>
        <v>0</v>
      </c>
      <c r="AA129" s="9"/>
      <c r="AB129" s="30">
        <f t="shared" si="265"/>
        <v>0</v>
      </c>
      <c r="AC129" s="9"/>
      <c r="AD129" s="30">
        <f t="shared" si="280"/>
        <v>0</v>
      </c>
      <c r="AE129" s="9"/>
      <c r="AF129" s="30">
        <f t="shared" si="266"/>
        <v>0</v>
      </c>
      <c r="AG129" s="9"/>
      <c r="AH129" s="30">
        <f t="shared" si="267"/>
        <v>0</v>
      </c>
      <c r="AI129" s="9"/>
      <c r="AJ129" s="30">
        <f t="shared" ref="AJ129" si="474">AI129*$L129</f>
        <v>0</v>
      </c>
      <c r="AK129" s="9">
        <f>109254/100</f>
        <v>1092.54</v>
      </c>
      <c r="AL129" s="30">
        <v>21851</v>
      </c>
      <c r="AM129" s="9"/>
      <c r="AN129" s="30">
        <f t="shared" si="269"/>
        <v>0</v>
      </c>
      <c r="AO129" s="9"/>
      <c r="AP129" s="30">
        <f t="shared" si="282"/>
        <v>0</v>
      </c>
      <c r="AQ129" s="9"/>
      <c r="AR129" s="30">
        <f t="shared" si="270"/>
        <v>0</v>
      </c>
      <c r="AS129" s="9"/>
      <c r="AT129" s="30">
        <f t="shared" si="271"/>
        <v>0</v>
      </c>
      <c r="AU129" s="9"/>
      <c r="AV129" s="30">
        <f t="shared" si="272"/>
        <v>0</v>
      </c>
      <c r="AW129" s="9"/>
      <c r="AX129" s="30">
        <f t="shared" si="273"/>
        <v>0</v>
      </c>
      <c r="AY129" s="9"/>
      <c r="AZ129" s="30">
        <f t="shared" si="274"/>
        <v>0</v>
      </c>
      <c r="BA129" s="10">
        <f>109254/100</f>
        <v>1092.54</v>
      </c>
      <c r="BB129" s="31">
        <v>21851</v>
      </c>
      <c r="BC129" s="15">
        <f t="shared" si="287"/>
        <v>21851</v>
      </c>
      <c r="BD129" s="9">
        <f t="shared" si="288"/>
        <v>0</v>
      </c>
      <c r="BE129" s="28">
        <f t="shared" si="289"/>
        <v>1092.54</v>
      </c>
      <c r="BF129" s="8">
        <f t="shared" si="290"/>
        <v>0</v>
      </c>
      <c r="BG129" s="29">
        <f t="shared" si="283"/>
        <v>21850.799999999999</v>
      </c>
      <c r="BH129" s="13">
        <f t="shared" si="291"/>
        <v>0.2000000000007276</v>
      </c>
      <c r="BI129" s="2" t="str">
        <f t="shared" si="284"/>
        <v>erreur de calcul</v>
      </c>
      <c r="BJ129" s="2"/>
    </row>
    <row r="130" spans="1:62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49</v>
      </c>
      <c r="G130" s="31">
        <v>22</v>
      </c>
      <c r="H130" s="31" t="s">
        <v>202</v>
      </c>
      <c r="I130" s="5">
        <v>20</v>
      </c>
      <c r="J130" s="5"/>
      <c r="K130" s="6"/>
      <c r="L130" s="11">
        <f t="shared" si="292"/>
        <v>20</v>
      </c>
      <c r="M130" s="7" t="s">
        <v>15</v>
      </c>
      <c r="N130" s="31"/>
      <c r="O130" s="9"/>
      <c r="P130" s="9" t="str">
        <f t="shared" si="293"/>
        <v/>
      </c>
      <c r="Q130" s="9">
        <v>106125</v>
      </c>
      <c r="R130" s="32">
        <v>2162500</v>
      </c>
      <c r="S130" s="9"/>
      <c r="T130" s="30">
        <f t="shared" ref="T130" si="475">S130*$L130</f>
        <v>0</v>
      </c>
      <c r="U130" s="9"/>
      <c r="V130" s="30">
        <f t="shared" si="277"/>
        <v>0</v>
      </c>
      <c r="W130" s="9"/>
      <c r="X130" s="30">
        <f t="shared" si="278"/>
        <v>0</v>
      </c>
      <c r="Y130" s="9"/>
      <c r="Z130" s="30">
        <f t="shared" si="279"/>
        <v>0</v>
      </c>
      <c r="AA130" s="9"/>
      <c r="AB130" s="30">
        <f t="shared" si="265"/>
        <v>0</v>
      </c>
      <c r="AC130" s="9"/>
      <c r="AD130" s="30">
        <f t="shared" si="280"/>
        <v>0</v>
      </c>
      <c r="AE130" s="9"/>
      <c r="AF130" s="30">
        <f t="shared" si="266"/>
        <v>0</v>
      </c>
      <c r="AG130" s="9"/>
      <c r="AH130" s="30">
        <f t="shared" si="267"/>
        <v>0</v>
      </c>
      <c r="AI130" s="9"/>
      <c r="AJ130" s="30">
        <f t="shared" ref="AJ130" si="476">AI130*$L130</f>
        <v>0</v>
      </c>
      <c r="AK130" s="9"/>
      <c r="AL130" s="30">
        <f t="shared" ref="AL130" si="477">AK130*$L130</f>
        <v>0</v>
      </c>
      <c r="AM130" s="9"/>
      <c r="AN130" s="30">
        <f t="shared" si="269"/>
        <v>0</v>
      </c>
      <c r="AO130" s="9"/>
      <c r="AP130" s="30">
        <f t="shared" si="282"/>
        <v>0</v>
      </c>
      <c r="AQ130" s="9"/>
      <c r="AR130" s="30">
        <f t="shared" si="270"/>
        <v>0</v>
      </c>
      <c r="AS130" s="9"/>
      <c r="AT130" s="30">
        <f t="shared" si="271"/>
        <v>0</v>
      </c>
      <c r="AU130" s="9"/>
      <c r="AV130" s="30">
        <f t="shared" si="272"/>
        <v>0</v>
      </c>
      <c r="AW130" s="9"/>
      <c r="AX130" s="30">
        <f t="shared" si="273"/>
        <v>0</v>
      </c>
      <c r="AY130" s="9"/>
      <c r="AZ130" s="30">
        <f t="shared" si="274"/>
        <v>0</v>
      </c>
      <c r="BA130" s="10">
        <v>108125</v>
      </c>
      <c r="BB130" s="31">
        <v>2162500</v>
      </c>
      <c r="BC130" s="15">
        <f t="shared" si="287"/>
        <v>2162500</v>
      </c>
      <c r="BD130" s="9">
        <f t="shared" si="288"/>
        <v>0</v>
      </c>
      <c r="BE130" s="28">
        <f t="shared" si="289"/>
        <v>106125</v>
      </c>
      <c r="BF130" s="8">
        <f t="shared" si="290"/>
        <v>2000</v>
      </c>
      <c r="BG130" s="29">
        <f t="shared" si="283"/>
        <v>2122500</v>
      </c>
      <c r="BH130" s="13">
        <f t="shared" si="291"/>
        <v>40000</v>
      </c>
      <c r="BI130" s="2" t="str">
        <f t="shared" si="284"/>
        <v>erreur de calcul</v>
      </c>
      <c r="BJ130" s="2"/>
    </row>
    <row r="131" spans="1:62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49</v>
      </c>
      <c r="G131" s="31">
        <v>22</v>
      </c>
      <c r="H131" s="31" t="s">
        <v>203</v>
      </c>
      <c r="I131" s="5">
        <v>15</v>
      </c>
      <c r="J131" s="5"/>
      <c r="K131" s="6"/>
      <c r="L131" s="11">
        <f t="shared" si="292"/>
        <v>15</v>
      </c>
      <c r="M131" s="7" t="s">
        <v>14</v>
      </c>
      <c r="N131" s="31"/>
      <c r="O131" s="9"/>
      <c r="P131" s="9" t="str">
        <f t="shared" si="293"/>
        <v/>
      </c>
      <c r="Q131" s="9"/>
      <c r="R131" s="30">
        <f t="shared" ref="R131" si="478">Q131*$L131</f>
        <v>0</v>
      </c>
      <c r="S131" s="9"/>
      <c r="T131" s="30">
        <f t="shared" ref="T131" si="479">S131*$L131</f>
        <v>0</v>
      </c>
      <c r="U131" s="9"/>
      <c r="V131" s="30">
        <f t="shared" si="277"/>
        <v>0</v>
      </c>
      <c r="W131" s="9"/>
      <c r="X131" s="30">
        <f t="shared" si="278"/>
        <v>0</v>
      </c>
      <c r="Y131" s="9">
        <f>27897/100</f>
        <v>278.97000000000003</v>
      </c>
      <c r="Z131" s="30">
        <v>4184</v>
      </c>
      <c r="AA131" s="9"/>
      <c r="AB131" s="30">
        <f t="shared" si="265"/>
        <v>0</v>
      </c>
      <c r="AC131" s="9"/>
      <c r="AD131" s="30">
        <f t="shared" si="280"/>
        <v>0</v>
      </c>
      <c r="AE131" s="9"/>
      <c r="AF131" s="30">
        <f t="shared" si="266"/>
        <v>0</v>
      </c>
      <c r="AG131" s="9"/>
      <c r="AH131" s="30">
        <f t="shared" si="267"/>
        <v>0</v>
      </c>
      <c r="AI131" s="9"/>
      <c r="AJ131" s="30">
        <f t="shared" ref="AJ131" si="480">AI131*$L131</f>
        <v>0</v>
      </c>
      <c r="AK131" s="9">
        <f>63734/100</f>
        <v>637.34</v>
      </c>
      <c r="AL131" s="30">
        <v>9560</v>
      </c>
      <c r="AM131" s="9"/>
      <c r="AN131" s="30">
        <f t="shared" si="269"/>
        <v>0</v>
      </c>
      <c r="AO131" s="9"/>
      <c r="AP131" s="30">
        <f t="shared" si="282"/>
        <v>0</v>
      </c>
      <c r="AQ131" s="9"/>
      <c r="AR131" s="30">
        <f t="shared" si="270"/>
        <v>0</v>
      </c>
      <c r="AS131" s="9"/>
      <c r="AT131" s="30">
        <f t="shared" si="271"/>
        <v>0</v>
      </c>
      <c r="AU131" s="9"/>
      <c r="AV131" s="30">
        <f t="shared" si="272"/>
        <v>0</v>
      </c>
      <c r="AW131" s="9"/>
      <c r="AX131" s="30">
        <f t="shared" si="273"/>
        <v>0</v>
      </c>
      <c r="AY131" s="9"/>
      <c r="AZ131" s="30">
        <f t="shared" si="274"/>
        <v>0</v>
      </c>
      <c r="BA131" s="10">
        <f>91631/100</f>
        <v>916.31</v>
      </c>
      <c r="BB131" s="31">
        <v>13744</v>
      </c>
      <c r="BC131" s="15">
        <f t="shared" si="287"/>
        <v>13744</v>
      </c>
      <c r="BD131" s="9">
        <f t="shared" si="288"/>
        <v>0</v>
      </c>
      <c r="BE131" s="28">
        <f t="shared" si="289"/>
        <v>916.31000000000006</v>
      </c>
      <c r="BF131" s="8">
        <f t="shared" si="290"/>
        <v>0</v>
      </c>
      <c r="BG131" s="29">
        <f t="shared" si="283"/>
        <v>13744.650000000001</v>
      </c>
      <c r="BH131" s="13">
        <f t="shared" si="291"/>
        <v>-0.65000000000145519</v>
      </c>
      <c r="BI131" s="2" t="str">
        <f t="shared" si="284"/>
        <v>erreur de calcul</v>
      </c>
      <c r="BJ131" s="2"/>
    </row>
    <row r="132" spans="1:62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49</v>
      </c>
      <c r="G132" s="31">
        <v>22</v>
      </c>
      <c r="H132" s="31" t="s">
        <v>204</v>
      </c>
      <c r="I132" s="5">
        <v>30</v>
      </c>
      <c r="J132" s="5"/>
      <c r="K132" s="6"/>
      <c r="L132" s="11">
        <f t="shared" si="292"/>
        <v>30</v>
      </c>
      <c r="M132" s="7" t="s">
        <v>14</v>
      </c>
      <c r="N132" s="31"/>
      <c r="O132" s="9"/>
      <c r="P132" s="9" t="str">
        <f t="shared" si="293"/>
        <v/>
      </c>
      <c r="Q132" s="9">
        <f>8334/100</f>
        <v>83.34</v>
      </c>
      <c r="R132" s="30">
        <v>2500</v>
      </c>
      <c r="S132" s="9"/>
      <c r="T132" s="30">
        <f t="shared" ref="T132" si="481">S132*$L132</f>
        <v>0</v>
      </c>
      <c r="U132" s="9"/>
      <c r="V132" s="30">
        <f t="shared" si="277"/>
        <v>0</v>
      </c>
      <c r="W132" s="9"/>
      <c r="X132" s="30">
        <f t="shared" si="278"/>
        <v>0</v>
      </c>
      <c r="Y132" s="9"/>
      <c r="Z132" s="30">
        <f t="shared" si="279"/>
        <v>0</v>
      </c>
      <c r="AA132" s="9"/>
      <c r="AB132" s="30">
        <f t="shared" si="265"/>
        <v>0</v>
      </c>
      <c r="AC132" s="9"/>
      <c r="AD132" s="30">
        <f t="shared" si="280"/>
        <v>0</v>
      </c>
      <c r="AE132" s="9"/>
      <c r="AF132" s="30">
        <f t="shared" si="266"/>
        <v>0</v>
      </c>
      <c r="AG132" s="9"/>
      <c r="AH132" s="30">
        <f t="shared" si="267"/>
        <v>0</v>
      </c>
      <c r="AI132" s="9"/>
      <c r="AJ132" s="30">
        <f t="shared" ref="AJ132" si="482">AI132*$L132</f>
        <v>0</v>
      </c>
      <c r="AK132" s="9"/>
      <c r="AL132" s="30">
        <f t="shared" ref="AL132" si="483">AK132*$L132</f>
        <v>0</v>
      </c>
      <c r="AM132" s="9"/>
      <c r="AN132" s="30">
        <f t="shared" si="269"/>
        <v>0</v>
      </c>
      <c r="AO132" s="9"/>
      <c r="AP132" s="30">
        <f t="shared" si="282"/>
        <v>0</v>
      </c>
      <c r="AQ132" s="9"/>
      <c r="AR132" s="30">
        <f t="shared" si="270"/>
        <v>0</v>
      </c>
      <c r="AS132" s="9"/>
      <c r="AT132" s="30">
        <f t="shared" si="271"/>
        <v>0</v>
      </c>
      <c r="AU132" s="9"/>
      <c r="AV132" s="30">
        <f t="shared" si="272"/>
        <v>0</v>
      </c>
      <c r="AW132" s="9"/>
      <c r="AX132" s="30">
        <f t="shared" si="273"/>
        <v>0</v>
      </c>
      <c r="AY132" s="9"/>
      <c r="AZ132" s="30">
        <f t="shared" si="274"/>
        <v>0</v>
      </c>
      <c r="BA132" s="10">
        <f>8334/100</f>
        <v>83.34</v>
      </c>
      <c r="BB132" s="31">
        <v>2500</v>
      </c>
      <c r="BC132" s="15">
        <f t="shared" si="287"/>
        <v>2500</v>
      </c>
      <c r="BD132" s="9">
        <f t="shared" si="288"/>
        <v>0</v>
      </c>
      <c r="BE132" s="28">
        <f t="shared" si="289"/>
        <v>83.34</v>
      </c>
      <c r="BF132" s="8">
        <f t="shared" si="290"/>
        <v>0</v>
      </c>
      <c r="BG132" s="29">
        <f t="shared" si="283"/>
        <v>2500.2000000000003</v>
      </c>
      <c r="BH132" s="13">
        <f t="shared" si="291"/>
        <v>-0.20000000000027285</v>
      </c>
      <c r="BI132" s="2" t="str">
        <f t="shared" si="284"/>
        <v>erreur de calcul</v>
      </c>
      <c r="BJ132" s="2"/>
    </row>
    <row r="133" spans="1:62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49</v>
      </c>
      <c r="G133" s="31">
        <v>22</v>
      </c>
      <c r="H133" s="31" t="s">
        <v>205</v>
      </c>
      <c r="I133" s="5"/>
      <c r="J133" s="5">
        <v>20</v>
      </c>
      <c r="K133" s="6"/>
      <c r="L133" s="11">
        <f t="shared" si="292"/>
        <v>1</v>
      </c>
      <c r="M133" s="7" t="s">
        <v>15</v>
      </c>
      <c r="N133" s="31"/>
      <c r="O133" s="9"/>
      <c r="P133" s="9" t="str">
        <f t="shared" si="293"/>
        <v/>
      </c>
      <c r="Q133" s="9"/>
      <c r="R133" s="30">
        <f t="shared" ref="R133" si="484">Q133*$L133</f>
        <v>0</v>
      </c>
      <c r="S133" s="9"/>
      <c r="T133" s="30">
        <f t="shared" ref="T133" si="485">S133*$L133</f>
        <v>0</v>
      </c>
      <c r="U133" s="9"/>
      <c r="V133" s="30">
        <f t="shared" ref="V133:V195" si="486">U133*$L133</f>
        <v>0</v>
      </c>
      <c r="W133" s="9">
        <v>33010</v>
      </c>
      <c r="X133" s="30">
        <v>33010</v>
      </c>
      <c r="Y133" s="9">
        <v>292003</v>
      </c>
      <c r="Z133" s="30">
        <v>292003</v>
      </c>
      <c r="AA133" s="9">
        <v>15558</v>
      </c>
      <c r="AB133" s="30">
        <v>15558</v>
      </c>
      <c r="AC133" s="9">
        <v>80515</v>
      </c>
      <c r="AD133" s="30">
        <v>80515</v>
      </c>
      <c r="AE133" s="9"/>
      <c r="AF133" s="30">
        <f t="shared" ref="AF133:AF196" si="487">AE133*$L133</f>
        <v>0</v>
      </c>
      <c r="AG133" s="9"/>
      <c r="AH133" s="30">
        <f t="shared" ref="AH133:AH196" si="488">AG133*$L133</f>
        <v>0</v>
      </c>
      <c r="AI133" s="9">
        <v>515373</v>
      </c>
      <c r="AJ133" s="30">
        <v>515373</v>
      </c>
      <c r="AK133" s="9"/>
      <c r="AL133" s="30">
        <f t="shared" ref="AL133" si="489">AK133*$L133</f>
        <v>0</v>
      </c>
      <c r="AM133" s="9">
        <v>3480</v>
      </c>
      <c r="AN133" s="30">
        <v>3480</v>
      </c>
      <c r="AO133" s="9"/>
      <c r="AP133" s="30">
        <f t="shared" ref="AP133:AP196" si="490">AO133*$L133</f>
        <v>0</v>
      </c>
      <c r="AQ133" s="9"/>
      <c r="AR133" s="30">
        <f t="shared" ref="AR133:AR196" si="491">AQ133*$L133</f>
        <v>0</v>
      </c>
      <c r="AS133" s="9"/>
      <c r="AT133" s="30">
        <f t="shared" ref="AT133:AT196" si="492">AS133*$L133</f>
        <v>0</v>
      </c>
      <c r="AU133" s="9"/>
      <c r="AV133" s="30">
        <f t="shared" ref="AV133:AV196" si="493">AU133*$L133</f>
        <v>0</v>
      </c>
      <c r="AW133" s="9"/>
      <c r="AX133" s="30">
        <f t="shared" ref="AX133:AX196" si="494">AW133*$L133</f>
        <v>0</v>
      </c>
      <c r="AY133" s="9"/>
      <c r="AZ133" s="30">
        <f t="shared" ref="AZ133:AZ196" si="495">AY133*$L133</f>
        <v>0</v>
      </c>
      <c r="BA133" s="10">
        <v>939939</v>
      </c>
      <c r="BB133" s="31">
        <v>939939</v>
      </c>
      <c r="BC133" s="15">
        <f t="shared" si="287"/>
        <v>939939</v>
      </c>
      <c r="BD133" s="9">
        <f t="shared" si="288"/>
        <v>0</v>
      </c>
      <c r="BE133" s="28">
        <f t="shared" si="289"/>
        <v>939939</v>
      </c>
      <c r="BF133" s="8">
        <f t="shared" si="290"/>
        <v>0</v>
      </c>
      <c r="BG133" s="29">
        <f t="shared" si="283"/>
        <v>939939</v>
      </c>
      <c r="BH133" s="13">
        <f t="shared" si="291"/>
        <v>0</v>
      </c>
      <c r="BI133" s="2" t="str">
        <f t="shared" si="284"/>
        <v/>
      </c>
      <c r="BJ133" s="2"/>
    </row>
    <row r="134" spans="1:62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49</v>
      </c>
      <c r="G134" s="31">
        <v>22</v>
      </c>
      <c r="H134" s="31" t="s">
        <v>206</v>
      </c>
      <c r="I134" s="5">
        <v>60</v>
      </c>
      <c r="J134" s="5"/>
      <c r="K134" s="6"/>
      <c r="L134" s="11">
        <f t="shared" si="292"/>
        <v>60</v>
      </c>
      <c r="M134" s="7" t="s">
        <v>14</v>
      </c>
      <c r="N134" s="31"/>
      <c r="O134" s="9"/>
      <c r="P134" s="9" t="str">
        <f t="shared" si="293"/>
        <v/>
      </c>
      <c r="Q134" s="9"/>
      <c r="R134" s="30">
        <f t="shared" ref="R134" si="496">Q134*$L134</f>
        <v>0</v>
      </c>
      <c r="S134" s="9"/>
      <c r="T134" s="30">
        <f t="shared" ref="T134" si="497">S134*$L134</f>
        <v>0</v>
      </c>
      <c r="U134" s="9"/>
      <c r="V134" s="30">
        <f t="shared" si="486"/>
        <v>0</v>
      </c>
      <c r="W134" s="9"/>
      <c r="X134" s="30">
        <f t="shared" ref="X134:X191" si="498">W134*$L134</f>
        <v>0</v>
      </c>
      <c r="Y134" s="9"/>
      <c r="Z134" s="30">
        <f t="shared" ref="Z134:Z195" si="499">Y134*$L134</f>
        <v>0</v>
      </c>
      <c r="AA134" s="9"/>
      <c r="AB134" s="30">
        <f t="shared" ref="AB134:AB196" si="500">AA134*$L134</f>
        <v>0</v>
      </c>
      <c r="AC134" s="9"/>
      <c r="AD134" s="30">
        <f t="shared" ref="AD134:AD196" si="501">AC134*$L134</f>
        <v>0</v>
      </c>
      <c r="AE134" s="9"/>
      <c r="AF134" s="30">
        <f t="shared" si="487"/>
        <v>0</v>
      </c>
      <c r="AG134" s="9"/>
      <c r="AH134" s="30">
        <f t="shared" si="488"/>
        <v>0</v>
      </c>
      <c r="AI134" s="9"/>
      <c r="AJ134" s="30">
        <f t="shared" ref="AJ134" si="502">AI134*$L134</f>
        <v>0</v>
      </c>
      <c r="AK134" s="9">
        <f>28692/100</f>
        <v>286.92</v>
      </c>
      <c r="AL134" s="30">
        <v>17215</v>
      </c>
      <c r="AM134" s="9"/>
      <c r="AN134" s="30">
        <f t="shared" ref="AN134:AN196" si="503">AM134*$L134</f>
        <v>0</v>
      </c>
      <c r="AO134" s="9"/>
      <c r="AP134" s="30">
        <f t="shared" si="490"/>
        <v>0</v>
      </c>
      <c r="AQ134" s="9"/>
      <c r="AR134" s="30">
        <f t="shared" si="491"/>
        <v>0</v>
      </c>
      <c r="AS134" s="9"/>
      <c r="AT134" s="30">
        <f t="shared" si="492"/>
        <v>0</v>
      </c>
      <c r="AU134" s="9"/>
      <c r="AV134" s="30">
        <f t="shared" si="493"/>
        <v>0</v>
      </c>
      <c r="AW134" s="9"/>
      <c r="AX134" s="30">
        <f t="shared" si="494"/>
        <v>0</v>
      </c>
      <c r="AY134" s="9"/>
      <c r="AZ134" s="30">
        <f t="shared" si="495"/>
        <v>0</v>
      </c>
      <c r="BA134" s="10">
        <f>28692/100</f>
        <v>286.92</v>
      </c>
      <c r="BB134" s="31">
        <v>17215</v>
      </c>
      <c r="BC134" s="15">
        <f t="shared" si="287"/>
        <v>17215</v>
      </c>
      <c r="BD134" s="9">
        <f t="shared" si="288"/>
        <v>0</v>
      </c>
      <c r="BE134" s="28">
        <f t="shared" si="289"/>
        <v>286.92</v>
      </c>
      <c r="BF134" s="8">
        <f t="shared" si="290"/>
        <v>0</v>
      </c>
      <c r="BG134" s="29">
        <f t="shared" ref="BG134:BG197" si="504">BE134*L134</f>
        <v>17215.2</v>
      </c>
      <c r="BH134" s="13">
        <f t="shared" si="291"/>
        <v>-0.2000000000007276</v>
      </c>
      <c r="BI134" s="2" t="str">
        <f t="shared" ref="BI134:BI197" si="505">IF(BH134=0,"",IF(BH134&lt;&gt;BB134,"erreur de calcul",IF(BE134&lt;&gt;0,"pas de prix",IF(L134&lt;&gt; 0,"pas de quantité","pas de prix, ni de quantité"))))</f>
        <v>erreur de calcul</v>
      </c>
      <c r="BJ134" s="2"/>
    </row>
    <row r="135" spans="1:62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49</v>
      </c>
      <c r="G135" s="31">
        <v>22</v>
      </c>
      <c r="H135" s="31" t="s">
        <v>207</v>
      </c>
      <c r="I135" s="5">
        <v>26</v>
      </c>
      <c r="J135" s="5"/>
      <c r="K135" s="6"/>
      <c r="L135" s="11">
        <f t="shared" ref="L135:L198" si="506">I135+(J135/20)+(K135/240)</f>
        <v>26</v>
      </c>
      <c r="M135" s="7" t="s">
        <v>14</v>
      </c>
      <c r="N135" s="31"/>
      <c r="O135" s="9"/>
      <c r="P135" s="9" t="str">
        <f t="shared" ref="P135:P198" si="507">IF(N135&lt;&gt;"",O135*L135,"")</f>
        <v/>
      </c>
      <c r="Q135" s="9">
        <f>9675/100</f>
        <v>96.75</v>
      </c>
      <c r="R135" s="30">
        <v>2515</v>
      </c>
      <c r="S135" s="9"/>
      <c r="T135" s="30">
        <f t="shared" ref="T135" si="508">S135*$L135</f>
        <v>0</v>
      </c>
      <c r="U135" s="9"/>
      <c r="V135" s="30">
        <f t="shared" si="486"/>
        <v>0</v>
      </c>
      <c r="W135" s="9"/>
      <c r="X135" s="30">
        <f t="shared" si="498"/>
        <v>0</v>
      </c>
      <c r="Y135" s="9"/>
      <c r="Z135" s="30">
        <f t="shared" si="499"/>
        <v>0</v>
      </c>
      <c r="AA135" s="9"/>
      <c r="AB135" s="30">
        <f t="shared" si="500"/>
        <v>0</v>
      </c>
      <c r="AC135" s="9"/>
      <c r="AD135" s="30">
        <f t="shared" si="501"/>
        <v>0</v>
      </c>
      <c r="AE135" s="9"/>
      <c r="AF135" s="30">
        <f t="shared" si="487"/>
        <v>0</v>
      </c>
      <c r="AG135" s="9"/>
      <c r="AH135" s="30">
        <f t="shared" si="488"/>
        <v>0</v>
      </c>
      <c r="AI135" s="9"/>
      <c r="AJ135" s="30">
        <f t="shared" ref="AJ135" si="509">AI135*$L135</f>
        <v>0</v>
      </c>
      <c r="AK135" s="9"/>
      <c r="AL135" s="30">
        <f t="shared" ref="AL135" si="510">AK135*$L135</f>
        <v>0</v>
      </c>
      <c r="AM135" s="9"/>
      <c r="AN135" s="30">
        <f t="shared" si="503"/>
        <v>0</v>
      </c>
      <c r="AO135" s="9"/>
      <c r="AP135" s="30">
        <f t="shared" si="490"/>
        <v>0</v>
      </c>
      <c r="AQ135" s="9"/>
      <c r="AR135" s="30">
        <f t="shared" si="491"/>
        <v>0</v>
      </c>
      <c r="AS135" s="9"/>
      <c r="AT135" s="30">
        <f t="shared" si="492"/>
        <v>0</v>
      </c>
      <c r="AU135" s="9"/>
      <c r="AV135" s="30">
        <f t="shared" si="493"/>
        <v>0</v>
      </c>
      <c r="AW135" s="9"/>
      <c r="AX135" s="30">
        <f t="shared" si="494"/>
        <v>0</v>
      </c>
      <c r="AY135" s="9"/>
      <c r="AZ135" s="30">
        <f t="shared" si="495"/>
        <v>0</v>
      </c>
      <c r="BA135" s="10">
        <f>9675/100</f>
        <v>96.75</v>
      </c>
      <c r="BB135" s="31">
        <v>2515</v>
      </c>
      <c r="BC135" s="15">
        <f t="shared" ref="BC135:BC198" si="511">SUM(R135,T135,V135,X135,Z135,AB135,AD135,AF135,AH135,AJ135,AL135,AN135,AP135,AR135,AT135,AV135,AX135,AZ135)</f>
        <v>2515</v>
      </c>
      <c r="BD135" s="9">
        <f t="shared" ref="BD135:BD198" si="512">BB135-BC135</f>
        <v>0</v>
      </c>
      <c r="BE135" s="28">
        <f t="shared" ref="BE135:BE198" si="513">SUM(Q135,S135,U135,W135,Y135,AA135,AC135,AE135,AG135,AI135,AK135,AM135,AO135,AQ135,AS135,AU135,AW135,AY135)</f>
        <v>96.75</v>
      </c>
      <c r="BF135" s="8">
        <f t="shared" ref="BF135:BF198" si="514">BA135-BE135</f>
        <v>0</v>
      </c>
      <c r="BG135" s="29">
        <f t="shared" si="504"/>
        <v>2515.5</v>
      </c>
      <c r="BH135" s="13">
        <f t="shared" ref="BH135:BH198" si="515">BB135-BG135</f>
        <v>-0.5</v>
      </c>
      <c r="BI135" s="2" t="str">
        <f t="shared" si="505"/>
        <v>erreur de calcul</v>
      </c>
      <c r="BJ135" s="2"/>
    </row>
    <row r="136" spans="1:62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49</v>
      </c>
      <c r="G136" s="31">
        <v>22</v>
      </c>
      <c r="H136" s="31" t="s">
        <v>208</v>
      </c>
      <c r="I136" s="5">
        <v>8</v>
      </c>
      <c r="J136" s="5">
        <v>15</v>
      </c>
      <c r="K136" s="6"/>
      <c r="L136" s="11">
        <f t="shared" si="506"/>
        <v>8.75</v>
      </c>
      <c r="M136" s="7" t="s">
        <v>15</v>
      </c>
      <c r="N136" s="31"/>
      <c r="O136" s="9"/>
      <c r="P136" s="9" t="str">
        <f t="shared" si="507"/>
        <v/>
      </c>
      <c r="Q136" s="9"/>
      <c r="R136" s="30">
        <f t="shared" ref="R136" si="516">Q136*$L136</f>
        <v>0</v>
      </c>
      <c r="S136" s="9"/>
      <c r="T136" s="30">
        <f t="shared" ref="T136" si="517">S136*$L136</f>
        <v>0</v>
      </c>
      <c r="U136" s="9">
        <v>2562</v>
      </c>
      <c r="V136" s="32">
        <v>21777</v>
      </c>
      <c r="W136" s="9">
        <v>127</v>
      </c>
      <c r="X136" s="30">
        <v>1111</v>
      </c>
      <c r="Y136" s="9">
        <v>1945</v>
      </c>
      <c r="Z136" s="30">
        <v>17018</v>
      </c>
      <c r="AA136" s="9"/>
      <c r="AB136" s="30">
        <f t="shared" si="500"/>
        <v>0</v>
      </c>
      <c r="AC136" s="9"/>
      <c r="AD136" s="30">
        <f t="shared" si="501"/>
        <v>0</v>
      </c>
      <c r="AE136" s="9"/>
      <c r="AF136" s="30">
        <f t="shared" si="487"/>
        <v>0</v>
      </c>
      <c r="AG136" s="9"/>
      <c r="AH136" s="30">
        <f t="shared" si="488"/>
        <v>0</v>
      </c>
      <c r="AI136" s="9"/>
      <c r="AJ136" s="30">
        <f t="shared" ref="AJ136" si="518">AI136*$L136</f>
        <v>0</v>
      </c>
      <c r="AK136" s="9">
        <v>3538</v>
      </c>
      <c r="AL136" s="32">
        <v>30073</v>
      </c>
      <c r="AM136" s="9"/>
      <c r="AN136" s="30">
        <f t="shared" si="503"/>
        <v>0</v>
      </c>
      <c r="AO136" s="9"/>
      <c r="AP136" s="30">
        <f t="shared" si="490"/>
        <v>0</v>
      </c>
      <c r="AQ136" s="9"/>
      <c r="AR136" s="30">
        <f t="shared" si="491"/>
        <v>0</v>
      </c>
      <c r="AS136" s="9"/>
      <c r="AT136" s="30">
        <f t="shared" si="492"/>
        <v>0</v>
      </c>
      <c r="AU136" s="9"/>
      <c r="AV136" s="30">
        <f t="shared" si="493"/>
        <v>0</v>
      </c>
      <c r="AW136" s="9"/>
      <c r="AX136" s="30">
        <f t="shared" si="494"/>
        <v>0</v>
      </c>
      <c r="AY136" s="9">
        <v>11559</v>
      </c>
      <c r="AZ136" s="30">
        <v>101141</v>
      </c>
      <c r="BA136" s="10">
        <v>19731</v>
      </c>
      <c r="BB136" s="31">
        <v>171120</v>
      </c>
      <c r="BC136" s="15">
        <f t="shared" si="511"/>
        <v>171120</v>
      </c>
      <c r="BD136" s="9">
        <f t="shared" si="512"/>
        <v>0</v>
      </c>
      <c r="BE136" s="28">
        <f t="shared" si="513"/>
        <v>19731</v>
      </c>
      <c r="BF136" s="8">
        <f t="shared" si="514"/>
        <v>0</v>
      </c>
      <c r="BG136" s="29">
        <f t="shared" si="504"/>
        <v>172646.25</v>
      </c>
      <c r="BH136" s="13">
        <f t="shared" si="515"/>
        <v>-1526.25</v>
      </c>
      <c r="BI136" s="2" t="str">
        <f t="shared" si="505"/>
        <v>erreur de calcul</v>
      </c>
      <c r="BJ136" s="2"/>
    </row>
    <row r="137" spans="1:62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49</v>
      </c>
      <c r="G137" s="31">
        <v>22</v>
      </c>
      <c r="H137" s="31" t="s">
        <v>209</v>
      </c>
      <c r="I137" s="5">
        <v>11</v>
      </c>
      <c r="J137" s="5"/>
      <c r="K137" s="6"/>
      <c r="L137" s="11">
        <f t="shared" si="506"/>
        <v>11</v>
      </c>
      <c r="M137" s="7" t="s">
        <v>15</v>
      </c>
      <c r="N137" s="31"/>
      <c r="O137" s="9"/>
      <c r="P137" s="9" t="str">
        <f t="shared" si="507"/>
        <v/>
      </c>
      <c r="Q137" s="9">
        <v>95190</v>
      </c>
      <c r="R137" s="30">
        <v>1047090</v>
      </c>
      <c r="S137" s="9"/>
      <c r="T137" s="30">
        <f t="shared" ref="T137" si="519">S137*$L137</f>
        <v>0</v>
      </c>
      <c r="U137" s="9"/>
      <c r="V137" s="30">
        <f t="shared" si="486"/>
        <v>0</v>
      </c>
      <c r="W137" s="9"/>
      <c r="X137" s="30">
        <f t="shared" si="498"/>
        <v>0</v>
      </c>
      <c r="Y137" s="9"/>
      <c r="Z137" s="30">
        <f t="shared" si="499"/>
        <v>0</v>
      </c>
      <c r="AA137" s="9"/>
      <c r="AB137" s="30">
        <f t="shared" si="500"/>
        <v>0</v>
      </c>
      <c r="AC137" s="9"/>
      <c r="AD137" s="30">
        <f t="shared" si="501"/>
        <v>0</v>
      </c>
      <c r="AE137" s="9"/>
      <c r="AF137" s="30">
        <f t="shared" si="487"/>
        <v>0</v>
      </c>
      <c r="AG137" s="9"/>
      <c r="AH137" s="30">
        <f t="shared" si="488"/>
        <v>0</v>
      </c>
      <c r="AI137" s="9"/>
      <c r="AJ137" s="30">
        <f t="shared" ref="AJ137" si="520">AI137*$L137</f>
        <v>0</v>
      </c>
      <c r="AK137" s="9"/>
      <c r="AL137" s="30">
        <f t="shared" ref="AL137" si="521">AK137*$L137</f>
        <v>0</v>
      </c>
      <c r="AM137" s="9"/>
      <c r="AN137" s="30">
        <f t="shared" si="503"/>
        <v>0</v>
      </c>
      <c r="AO137" s="9"/>
      <c r="AP137" s="30">
        <f t="shared" si="490"/>
        <v>0</v>
      </c>
      <c r="AQ137" s="9"/>
      <c r="AR137" s="30">
        <f t="shared" si="491"/>
        <v>0</v>
      </c>
      <c r="AS137" s="9"/>
      <c r="AT137" s="30">
        <f t="shared" si="492"/>
        <v>0</v>
      </c>
      <c r="AU137" s="9"/>
      <c r="AV137" s="30">
        <f t="shared" si="493"/>
        <v>0</v>
      </c>
      <c r="AW137" s="9"/>
      <c r="AX137" s="30">
        <f t="shared" si="494"/>
        <v>0</v>
      </c>
      <c r="AY137" s="9"/>
      <c r="AZ137" s="30">
        <f t="shared" si="495"/>
        <v>0</v>
      </c>
      <c r="BA137" s="10">
        <v>95190</v>
      </c>
      <c r="BB137" s="31">
        <v>1047090</v>
      </c>
      <c r="BC137" s="15">
        <f t="shared" si="511"/>
        <v>1047090</v>
      </c>
      <c r="BD137" s="9">
        <f t="shared" si="512"/>
        <v>0</v>
      </c>
      <c r="BE137" s="28">
        <f t="shared" si="513"/>
        <v>95190</v>
      </c>
      <c r="BF137" s="8">
        <f t="shared" si="514"/>
        <v>0</v>
      </c>
      <c r="BG137" s="29">
        <f t="shared" si="504"/>
        <v>1047090</v>
      </c>
      <c r="BH137" s="13">
        <f t="shared" si="515"/>
        <v>0</v>
      </c>
      <c r="BI137" s="2" t="str">
        <f t="shared" si="505"/>
        <v/>
      </c>
      <c r="BJ137" s="2"/>
    </row>
    <row r="138" spans="1:62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49</v>
      </c>
      <c r="G138" s="31">
        <v>22</v>
      </c>
      <c r="H138" s="39" t="s">
        <v>210</v>
      </c>
      <c r="I138" s="5">
        <v>75</v>
      </c>
      <c r="J138" s="5"/>
      <c r="K138" s="6"/>
      <c r="L138" s="11">
        <f t="shared" si="506"/>
        <v>75</v>
      </c>
      <c r="M138" s="7" t="s">
        <v>14</v>
      </c>
      <c r="N138" s="31"/>
      <c r="O138" s="9"/>
      <c r="P138" s="9" t="str">
        <f t="shared" si="507"/>
        <v/>
      </c>
      <c r="Q138" s="9"/>
      <c r="R138" s="30">
        <f t="shared" ref="R138" si="522">Q138*$L138</f>
        <v>0</v>
      </c>
      <c r="S138" s="9"/>
      <c r="T138" s="30">
        <f t="shared" ref="T138" si="523">S138*$L138</f>
        <v>0</v>
      </c>
      <c r="U138" s="9"/>
      <c r="V138" s="30">
        <f t="shared" si="486"/>
        <v>0</v>
      </c>
      <c r="W138" s="9"/>
      <c r="X138" s="30">
        <f t="shared" si="498"/>
        <v>0</v>
      </c>
      <c r="Y138" s="9"/>
      <c r="Z138" s="30">
        <f t="shared" si="499"/>
        <v>0</v>
      </c>
      <c r="AA138" s="9"/>
      <c r="AB138" s="30">
        <f t="shared" si="500"/>
        <v>0</v>
      </c>
      <c r="AC138" s="9"/>
      <c r="AD138" s="30">
        <f t="shared" si="501"/>
        <v>0</v>
      </c>
      <c r="AE138" s="9"/>
      <c r="AF138" s="30">
        <f t="shared" si="487"/>
        <v>0</v>
      </c>
      <c r="AG138" s="9"/>
      <c r="AH138" s="30">
        <f t="shared" si="488"/>
        <v>0</v>
      </c>
      <c r="AI138" s="9"/>
      <c r="AJ138" s="30">
        <f t="shared" ref="AJ138" si="524">AI138*$L138</f>
        <v>0</v>
      </c>
      <c r="AK138" s="9">
        <f>2372/100</f>
        <v>23.72</v>
      </c>
      <c r="AL138" s="30">
        <v>1779</v>
      </c>
      <c r="AM138" s="9"/>
      <c r="AN138" s="30">
        <f t="shared" si="503"/>
        <v>0</v>
      </c>
      <c r="AO138" s="9"/>
      <c r="AP138" s="30">
        <f t="shared" si="490"/>
        <v>0</v>
      </c>
      <c r="AQ138" s="9"/>
      <c r="AR138" s="30">
        <f t="shared" si="491"/>
        <v>0</v>
      </c>
      <c r="AS138" s="9"/>
      <c r="AT138" s="30">
        <f t="shared" si="492"/>
        <v>0</v>
      </c>
      <c r="AU138" s="9"/>
      <c r="AV138" s="30">
        <f t="shared" si="493"/>
        <v>0</v>
      </c>
      <c r="AW138" s="9"/>
      <c r="AX138" s="30">
        <f t="shared" si="494"/>
        <v>0</v>
      </c>
      <c r="AY138" s="9"/>
      <c r="AZ138" s="30">
        <f t="shared" si="495"/>
        <v>0</v>
      </c>
      <c r="BA138" s="10">
        <f>2372/100</f>
        <v>23.72</v>
      </c>
      <c r="BB138" s="31">
        <v>1779</v>
      </c>
      <c r="BC138" s="15">
        <f t="shared" si="511"/>
        <v>1779</v>
      </c>
      <c r="BD138" s="9">
        <f t="shared" si="512"/>
        <v>0</v>
      </c>
      <c r="BE138" s="28">
        <f t="shared" si="513"/>
        <v>23.72</v>
      </c>
      <c r="BF138" s="8">
        <f t="shared" si="514"/>
        <v>0</v>
      </c>
      <c r="BG138" s="29">
        <f t="shared" si="504"/>
        <v>1779</v>
      </c>
      <c r="BH138" s="13">
        <f t="shared" si="515"/>
        <v>0</v>
      </c>
      <c r="BI138" s="2" t="str">
        <f t="shared" si="505"/>
        <v/>
      </c>
      <c r="BJ138" s="2"/>
    </row>
    <row r="139" spans="1:62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49</v>
      </c>
      <c r="G139" s="31">
        <v>22</v>
      </c>
      <c r="H139" s="31" t="s">
        <v>211</v>
      </c>
      <c r="I139" s="5">
        <v>31</v>
      </c>
      <c r="J139" s="5"/>
      <c r="K139" s="6"/>
      <c r="L139" s="11">
        <f t="shared" si="506"/>
        <v>31</v>
      </c>
      <c r="M139" s="7" t="s">
        <v>14</v>
      </c>
      <c r="N139" s="31"/>
      <c r="O139" s="9"/>
      <c r="P139" s="9" t="str">
        <f t="shared" si="507"/>
        <v/>
      </c>
      <c r="Q139" s="9"/>
      <c r="R139" s="30">
        <f t="shared" ref="R139" si="525">Q139*$L139</f>
        <v>0</v>
      </c>
      <c r="S139" s="9"/>
      <c r="T139" s="30">
        <f t="shared" ref="T139" si="526">S139*$L139</f>
        <v>0</v>
      </c>
      <c r="U139" s="9"/>
      <c r="V139" s="30">
        <f t="shared" si="486"/>
        <v>0</v>
      </c>
      <c r="W139" s="9"/>
      <c r="X139" s="30">
        <f t="shared" si="498"/>
        <v>0</v>
      </c>
      <c r="Y139" s="9">
        <f>18202/100</f>
        <v>182.02</v>
      </c>
      <c r="Z139" s="30">
        <v>5643</v>
      </c>
      <c r="AA139" s="9"/>
      <c r="AB139" s="30">
        <f t="shared" si="500"/>
        <v>0</v>
      </c>
      <c r="AC139" s="9"/>
      <c r="AD139" s="30">
        <f t="shared" si="501"/>
        <v>0</v>
      </c>
      <c r="AE139" s="9"/>
      <c r="AF139" s="30">
        <f t="shared" si="487"/>
        <v>0</v>
      </c>
      <c r="AG139" s="9"/>
      <c r="AH139" s="30">
        <f t="shared" si="488"/>
        <v>0</v>
      </c>
      <c r="AI139" s="9"/>
      <c r="AJ139" s="30">
        <f t="shared" ref="AJ139" si="527">AI139*$L139</f>
        <v>0</v>
      </c>
      <c r="AK139" s="9"/>
      <c r="AL139" s="30">
        <f t="shared" ref="AL139" si="528">AK139*$L139</f>
        <v>0</v>
      </c>
      <c r="AM139" s="9"/>
      <c r="AN139" s="30">
        <f t="shared" si="503"/>
        <v>0</v>
      </c>
      <c r="AO139" s="9"/>
      <c r="AP139" s="30">
        <f t="shared" si="490"/>
        <v>0</v>
      </c>
      <c r="AQ139" s="9"/>
      <c r="AR139" s="30">
        <f t="shared" si="491"/>
        <v>0</v>
      </c>
      <c r="AS139" s="9"/>
      <c r="AT139" s="30">
        <f t="shared" si="492"/>
        <v>0</v>
      </c>
      <c r="AU139" s="9"/>
      <c r="AV139" s="30">
        <f t="shared" si="493"/>
        <v>0</v>
      </c>
      <c r="AW139" s="9"/>
      <c r="AX139" s="30">
        <f t="shared" si="494"/>
        <v>0</v>
      </c>
      <c r="AY139" s="9"/>
      <c r="AZ139" s="30">
        <f t="shared" si="495"/>
        <v>0</v>
      </c>
      <c r="BA139" s="10">
        <f>18202/100</f>
        <v>182.02</v>
      </c>
      <c r="BB139" s="31">
        <v>5643</v>
      </c>
      <c r="BC139" s="15">
        <f t="shared" si="511"/>
        <v>5643</v>
      </c>
      <c r="BD139" s="9">
        <f t="shared" si="512"/>
        <v>0</v>
      </c>
      <c r="BE139" s="28">
        <f t="shared" si="513"/>
        <v>182.02</v>
      </c>
      <c r="BF139" s="8">
        <f t="shared" si="514"/>
        <v>0</v>
      </c>
      <c r="BG139" s="29">
        <f t="shared" si="504"/>
        <v>5642.62</v>
      </c>
      <c r="BH139" s="13">
        <f t="shared" si="515"/>
        <v>0.38000000000010914</v>
      </c>
      <c r="BI139" s="2" t="str">
        <f t="shared" si="505"/>
        <v>erreur de calcul</v>
      </c>
      <c r="BJ139" s="2"/>
    </row>
    <row r="140" spans="1:62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49</v>
      </c>
      <c r="G140" s="31">
        <v>22</v>
      </c>
      <c r="H140" s="31" t="s">
        <v>212</v>
      </c>
      <c r="I140" s="5"/>
      <c r="J140" s="5">
        <v>20</v>
      </c>
      <c r="K140" s="6"/>
      <c r="L140" s="11">
        <f t="shared" si="506"/>
        <v>1</v>
      </c>
      <c r="M140" s="7" t="s">
        <v>15</v>
      </c>
      <c r="N140" s="31"/>
      <c r="O140" s="9"/>
      <c r="P140" s="9" t="str">
        <f t="shared" si="507"/>
        <v/>
      </c>
      <c r="Q140" s="9"/>
      <c r="R140" s="30">
        <f t="shared" ref="R140" si="529">Q140*$L140</f>
        <v>0</v>
      </c>
      <c r="S140" s="9"/>
      <c r="T140" s="30">
        <f t="shared" ref="T140" si="530">S140*$L140</f>
        <v>0</v>
      </c>
      <c r="U140" s="9"/>
      <c r="V140" s="30">
        <f t="shared" si="486"/>
        <v>0</v>
      </c>
      <c r="W140" s="9"/>
      <c r="X140" s="30">
        <f t="shared" si="498"/>
        <v>0</v>
      </c>
      <c r="Y140" s="9"/>
      <c r="Z140" s="30">
        <f t="shared" si="499"/>
        <v>0</v>
      </c>
      <c r="AA140" s="9"/>
      <c r="AB140" s="30">
        <f t="shared" si="500"/>
        <v>0</v>
      </c>
      <c r="AC140" s="9"/>
      <c r="AD140" s="30">
        <f t="shared" si="501"/>
        <v>0</v>
      </c>
      <c r="AE140" s="9">
        <v>2831</v>
      </c>
      <c r="AF140" s="30">
        <v>2831</v>
      </c>
      <c r="AG140" s="9"/>
      <c r="AH140" s="30">
        <f t="shared" si="488"/>
        <v>0</v>
      </c>
      <c r="AI140" s="9"/>
      <c r="AJ140" s="30">
        <f t="shared" ref="AJ140" si="531">AI140*$L140</f>
        <v>0</v>
      </c>
      <c r="AK140" s="9"/>
      <c r="AL140" s="30">
        <f t="shared" ref="AL140" si="532">AK140*$L140</f>
        <v>0</v>
      </c>
      <c r="AM140" s="9"/>
      <c r="AN140" s="30">
        <f t="shared" si="503"/>
        <v>0</v>
      </c>
      <c r="AO140" s="9"/>
      <c r="AP140" s="30">
        <f t="shared" si="490"/>
        <v>0</v>
      </c>
      <c r="AQ140" s="9"/>
      <c r="AR140" s="30">
        <f t="shared" si="491"/>
        <v>0</v>
      </c>
      <c r="AS140" s="9"/>
      <c r="AT140" s="30">
        <f t="shared" si="492"/>
        <v>0</v>
      </c>
      <c r="AU140" s="9"/>
      <c r="AV140" s="30">
        <f t="shared" si="493"/>
        <v>0</v>
      </c>
      <c r="AW140" s="9"/>
      <c r="AX140" s="30">
        <f t="shared" si="494"/>
        <v>0</v>
      </c>
      <c r="AY140" s="9"/>
      <c r="AZ140" s="30">
        <f t="shared" si="495"/>
        <v>0</v>
      </c>
      <c r="BA140" s="10">
        <v>2831</v>
      </c>
      <c r="BB140" s="31">
        <v>2831</v>
      </c>
      <c r="BC140" s="15">
        <f t="shared" si="511"/>
        <v>2831</v>
      </c>
      <c r="BD140" s="9">
        <f t="shared" si="512"/>
        <v>0</v>
      </c>
      <c r="BE140" s="28">
        <f t="shared" si="513"/>
        <v>2831</v>
      </c>
      <c r="BF140" s="8">
        <f t="shared" si="514"/>
        <v>0</v>
      </c>
      <c r="BG140" s="29">
        <f t="shared" si="504"/>
        <v>2831</v>
      </c>
      <c r="BH140" s="13">
        <f t="shared" si="515"/>
        <v>0</v>
      </c>
      <c r="BI140" s="2" t="str">
        <f t="shared" si="505"/>
        <v/>
      </c>
      <c r="BJ140" s="2"/>
    </row>
    <row r="141" spans="1:62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49</v>
      </c>
      <c r="G141" s="31">
        <v>22</v>
      </c>
      <c r="H141" s="31" t="s">
        <v>213</v>
      </c>
      <c r="I141" s="5">
        <v>36</v>
      </c>
      <c r="J141" s="5"/>
      <c r="K141" s="6"/>
      <c r="L141" s="11">
        <f t="shared" si="506"/>
        <v>36</v>
      </c>
      <c r="M141" s="7" t="s">
        <v>14</v>
      </c>
      <c r="N141" s="31"/>
      <c r="O141" s="9"/>
      <c r="P141" s="9" t="str">
        <f t="shared" si="507"/>
        <v/>
      </c>
      <c r="Q141" s="9"/>
      <c r="R141" s="30">
        <f t="shared" ref="R141" si="533">Q141*$L141</f>
        <v>0</v>
      </c>
      <c r="S141" s="9"/>
      <c r="T141" s="30">
        <f t="shared" ref="T141" si="534">S141*$L141</f>
        <v>0</v>
      </c>
      <c r="U141" s="9"/>
      <c r="V141" s="30">
        <f t="shared" si="486"/>
        <v>0</v>
      </c>
      <c r="W141" s="9"/>
      <c r="X141" s="30">
        <f t="shared" si="498"/>
        <v>0</v>
      </c>
      <c r="Y141" s="9"/>
      <c r="Z141" s="30">
        <f t="shared" si="499"/>
        <v>0</v>
      </c>
      <c r="AA141" s="9"/>
      <c r="AB141" s="30">
        <f t="shared" si="500"/>
        <v>0</v>
      </c>
      <c r="AC141" s="9"/>
      <c r="AD141" s="30">
        <f t="shared" si="501"/>
        <v>0</v>
      </c>
      <c r="AE141" s="9"/>
      <c r="AF141" s="30">
        <f t="shared" si="487"/>
        <v>0</v>
      </c>
      <c r="AG141" s="9">
        <f>92472/100</f>
        <v>924.72</v>
      </c>
      <c r="AH141" s="30">
        <v>33290</v>
      </c>
      <c r="AI141" s="9">
        <f>490633/100</f>
        <v>4906.33</v>
      </c>
      <c r="AJ141" s="30">
        <v>176628</v>
      </c>
      <c r="AK141" s="9"/>
      <c r="AL141" s="30">
        <f t="shared" ref="AL141" si="535">AK141*$L141</f>
        <v>0</v>
      </c>
      <c r="AM141" s="9"/>
      <c r="AN141" s="30">
        <f t="shared" si="503"/>
        <v>0</v>
      </c>
      <c r="AO141" s="9"/>
      <c r="AP141" s="30">
        <f t="shared" si="490"/>
        <v>0</v>
      </c>
      <c r="AQ141" s="9"/>
      <c r="AR141" s="30">
        <f t="shared" si="491"/>
        <v>0</v>
      </c>
      <c r="AS141" s="9"/>
      <c r="AT141" s="30">
        <f t="shared" si="492"/>
        <v>0</v>
      </c>
      <c r="AU141" s="9"/>
      <c r="AV141" s="30">
        <f t="shared" si="493"/>
        <v>0</v>
      </c>
      <c r="AW141" s="9"/>
      <c r="AX141" s="30">
        <f t="shared" si="494"/>
        <v>0</v>
      </c>
      <c r="AY141" s="9"/>
      <c r="AZ141" s="30">
        <f t="shared" si="495"/>
        <v>0</v>
      </c>
      <c r="BA141" s="10">
        <f>583105/100</f>
        <v>5831.05</v>
      </c>
      <c r="BB141" s="31">
        <v>209918</v>
      </c>
      <c r="BC141" s="15">
        <f t="shared" si="511"/>
        <v>209918</v>
      </c>
      <c r="BD141" s="9">
        <f t="shared" si="512"/>
        <v>0</v>
      </c>
      <c r="BE141" s="28">
        <f t="shared" si="513"/>
        <v>5831.05</v>
      </c>
      <c r="BF141" s="8">
        <f t="shared" si="514"/>
        <v>0</v>
      </c>
      <c r="BG141" s="29">
        <f t="shared" si="504"/>
        <v>209917.80000000002</v>
      </c>
      <c r="BH141" s="13">
        <f t="shared" si="515"/>
        <v>0.1999999999825377</v>
      </c>
      <c r="BI141" s="2" t="str">
        <f t="shared" si="505"/>
        <v>erreur de calcul</v>
      </c>
      <c r="BJ141" s="2"/>
    </row>
    <row r="142" spans="1:62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49</v>
      </c>
      <c r="G142" s="31">
        <v>22</v>
      </c>
      <c r="H142" s="31" t="s">
        <v>214</v>
      </c>
      <c r="I142" s="5"/>
      <c r="J142" s="5">
        <v>22</v>
      </c>
      <c r="K142" s="6"/>
      <c r="L142" s="11">
        <f t="shared" si="506"/>
        <v>1.1000000000000001</v>
      </c>
      <c r="M142" s="7" t="s">
        <v>15</v>
      </c>
      <c r="N142" s="31"/>
      <c r="O142" s="9"/>
      <c r="P142" s="9" t="str">
        <f t="shared" si="507"/>
        <v/>
      </c>
      <c r="Q142" s="9"/>
      <c r="R142" s="30">
        <f t="shared" ref="R142" si="536">Q142*$L142</f>
        <v>0</v>
      </c>
      <c r="S142" s="9"/>
      <c r="T142" s="30">
        <f t="shared" ref="T142" si="537">S142*$L142</f>
        <v>0</v>
      </c>
      <c r="U142" s="9">
        <v>2875</v>
      </c>
      <c r="V142" s="30">
        <v>3162</v>
      </c>
      <c r="W142" s="9"/>
      <c r="X142" s="30">
        <f t="shared" si="498"/>
        <v>0</v>
      </c>
      <c r="Y142" s="9"/>
      <c r="Z142" s="30">
        <f t="shared" si="499"/>
        <v>0</v>
      </c>
      <c r="AA142" s="9"/>
      <c r="AB142" s="30">
        <f t="shared" si="500"/>
        <v>0</v>
      </c>
      <c r="AC142" s="9"/>
      <c r="AD142" s="30">
        <f t="shared" si="501"/>
        <v>0</v>
      </c>
      <c r="AE142" s="9"/>
      <c r="AF142" s="30">
        <f t="shared" si="487"/>
        <v>0</v>
      </c>
      <c r="AG142" s="9"/>
      <c r="AH142" s="30">
        <f t="shared" si="488"/>
        <v>0</v>
      </c>
      <c r="AI142" s="9"/>
      <c r="AJ142" s="30">
        <f t="shared" ref="AJ142" si="538">AI142*$L142</f>
        <v>0</v>
      </c>
      <c r="AK142" s="9"/>
      <c r="AL142" s="30">
        <f t="shared" ref="AL142" si="539">AK142*$L142</f>
        <v>0</v>
      </c>
      <c r="AM142" s="9"/>
      <c r="AN142" s="30">
        <f t="shared" si="503"/>
        <v>0</v>
      </c>
      <c r="AO142" s="9"/>
      <c r="AP142" s="30">
        <f t="shared" si="490"/>
        <v>0</v>
      </c>
      <c r="AQ142" s="9"/>
      <c r="AR142" s="30">
        <f t="shared" si="491"/>
        <v>0</v>
      </c>
      <c r="AS142" s="9"/>
      <c r="AT142" s="30">
        <f t="shared" si="492"/>
        <v>0</v>
      </c>
      <c r="AU142" s="9"/>
      <c r="AV142" s="30">
        <f t="shared" si="493"/>
        <v>0</v>
      </c>
      <c r="AW142" s="9"/>
      <c r="AX142" s="30">
        <f t="shared" si="494"/>
        <v>0</v>
      </c>
      <c r="AY142" s="9"/>
      <c r="AZ142" s="30">
        <f t="shared" si="495"/>
        <v>0</v>
      </c>
      <c r="BA142" s="10">
        <v>2875</v>
      </c>
      <c r="BB142" s="31">
        <v>3162</v>
      </c>
      <c r="BC142" s="15">
        <f t="shared" si="511"/>
        <v>3162</v>
      </c>
      <c r="BD142" s="9">
        <f t="shared" si="512"/>
        <v>0</v>
      </c>
      <c r="BE142" s="28">
        <f t="shared" si="513"/>
        <v>2875</v>
      </c>
      <c r="BF142" s="8">
        <f t="shared" si="514"/>
        <v>0</v>
      </c>
      <c r="BG142" s="29">
        <f t="shared" si="504"/>
        <v>3162.5000000000005</v>
      </c>
      <c r="BH142" s="13">
        <f t="shared" si="515"/>
        <v>-0.50000000000045475</v>
      </c>
      <c r="BI142" s="2" t="str">
        <f t="shared" si="505"/>
        <v>erreur de calcul</v>
      </c>
      <c r="BJ142" s="2"/>
    </row>
    <row r="143" spans="1:62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49</v>
      </c>
      <c r="G143" s="31">
        <v>22</v>
      </c>
      <c r="H143" s="31" t="s">
        <v>215</v>
      </c>
      <c r="I143" s="5">
        <v>90</v>
      </c>
      <c r="J143" s="5"/>
      <c r="K143" s="6"/>
      <c r="L143" s="11">
        <f t="shared" si="506"/>
        <v>90</v>
      </c>
      <c r="M143" s="7" t="s">
        <v>14</v>
      </c>
      <c r="N143" s="31"/>
      <c r="O143" s="9"/>
      <c r="P143" s="9" t="str">
        <f t="shared" si="507"/>
        <v/>
      </c>
      <c r="Q143" s="9"/>
      <c r="R143" s="30">
        <f t="shared" ref="R143" si="540">Q143*$L143</f>
        <v>0</v>
      </c>
      <c r="S143" s="9"/>
      <c r="T143" s="30">
        <f t="shared" ref="T143" si="541">S143*$L143</f>
        <v>0</v>
      </c>
      <c r="U143" s="9"/>
      <c r="V143" s="30">
        <f t="shared" si="486"/>
        <v>0</v>
      </c>
      <c r="W143" s="9"/>
      <c r="X143" s="30">
        <f t="shared" si="498"/>
        <v>0</v>
      </c>
      <c r="Y143" s="9">
        <f>2440/100</f>
        <v>24.4</v>
      </c>
      <c r="Z143" s="30">
        <v>2196</v>
      </c>
      <c r="AA143" s="9"/>
      <c r="AB143" s="30">
        <f t="shared" si="500"/>
        <v>0</v>
      </c>
      <c r="AC143" s="9"/>
      <c r="AD143" s="30">
        <f t="shared" si="501"/>
        <v>0</v>
      </c>
      <c r="AE143" s="9"/>
      <c r="AF143" s="30">
        <f t="shared" si="487"/>
        <v>0</v>
      </c>
      <c r="AG143" s="9"/>
      <c r="AH143" s="30">
        <f t="shared" si="488"/>
        <v>0</v>
      </c>
      <c r="AI143" s="9">
        <f>524577/100</f>
        <v>5245.77</v>
      </c>
      <c r="AJ143" s="30">
        <v>472116</v>
      </c>
      <c r="AK143" s="9"/>
      <c r="AL143" s="30">
        <f t="shared" ref="AL143" si="542">AK143*$L143</f>
        <v>0</v>
      </c>
      <c r="AM143" s="9"/>
      <c r="AN143" s="30">
        <f t="shared" si="503"/>
        <v>0</v>
      </c>
      <c r="AO143" s="9"/>
      <c r="AP143" s="30">
        <f t="shared" si="490"/>
        <v>0</v>
      </c>
      <c r="AQ143" s="9"/>
      <c r="AR143" s="30">
        <f t="shared" si="491"/>
        <v>0</v>
      </c>
      <c r="AS143" s="9"/>
      <c r="AT143" s="30">
        <f t="shared" si="492"/>
        <v>0</v>
      </c>
      <c r="AU143" s="9"/>
      <c r="AV143" s="30">
        <f t="shared" si="493"/>
        <v>0</v>
      </c>
      <c r="AW143" s="9"/>
      <c r="AX143" s="30">
        <f t="shared" si="494"/>
        <v>0</v>
      </c>
      <c r="AY143" s="9"/>
      <c r="AZ143" s="30">
        <f t="shared" si="495"/>
        <v>0</v>
      </c>
      <c r="BA143" s="10">
        <f>526980/100</f>
        <v>5269.8</v>
      </c>
      <c r="BB143" s="31">
        <v>474312</v>
      </c>
      <c r="BC143" s="15">
        <f t="shared" si="511"/>
        <v>474312</v>
      </c>
      <c r="BD143" s="9">
        <f t="shared" si="512"/>
        <v>0</v>
      </c>
      <c r="BE143" s="28">
        <f t="shared" si="513"/>
        <v>5270.17</v>
      </c>
      <c r="BF143" s="8">
        <f t="shared" si="514"/>
        <v>-0.36999999999989086</v>
      </c>
      <c r="BG143" s="29">
        <f t="shared" si="504"/>
        <v>474315.3</v>
      </c>
      <c r="BH143" s="13">
        <f t="shared" si="515"/>
        <v>-3.2999999999883585</v>
      </c>
      <c r="BI143" s="2" t="str">
        <f t="shared" si="505"/>
        <v>erreur de calcul</v>
      </c>
      <c r="BJ143" s="2"/>
    </row>
    <row r="144" spans="1:62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49</v>
      </c>
      <c r="G144" s="31">
        <v>22</v>
      </c>
      <c r="H144" s="31" t="s">
        <v>216</v>
      </c>
      <c r="I144" s="5">
        <v>15</v>
      </c>
      <c r="J144" s="5"/>
      <c r="K144" s="6"/>
      <c r="L144" s="11">
        <f t="shared" si="506"/>
        <v>15</v>
      </c>
      <c r="M144" s="7" t="s">
        <v>14</v>
      </c>
      <c r="N144" s="31"/>
      <c r="O144" s="9"/>
      <c r="P144" s="9" t="str">
        <f t="shared" si="507"/>
        <v/>
      </c>
      <c r="Q144" s="9">
        <f>12250/100</f>
        <v>122.5</v>
      </c>
      <c r="R144" s="30">
        <v>1837</v>
      </c>
      <c r="S144" s="9"/>
      <c r="T144" s="30">
        <f t="shared" ref="T144" si="543">S144*$L144</f>
        <v>0</v>
      </c>
      <c r="U144" s="9"/>
      <c r="V144" s="30">
        <f t="shared" si="486"/>
        <v>0</v>
      </c>
      <c r="W144" s="9">
        <f>118493/100</f>
        <v>1184.93</v>
      </c>
      <c r="X144" s="30">
        <v>17774</v>
      </c>
      <c r="Y144" s="9">
        <f>16835/100</f>
        <v>168.35</v>
      </c>
      <c r="Z144" s="30">
        <v>2525</v>
      </c>
      <c r="AA144" s="9"/>
      <c r="AB144" s="30">
        <f t="shared" si="500"/>
        <v>0</v>
      </c>
      <c r="AC144" s="9">
        <f>268622/100</f>
        <v>2686.22</v>
      </c>
      <c r="AD144" s="30">
        <v>40293</v>
      </c>
      <c r="AE144" s="9"/>
      <c r="AF144" s="30">
        <f t="shared" si="487"/>
        <v>0</v>
      </c>
      <c r="AG144" s="9"/>
      <c r="AH144" s="30">
        <f t="shared" si="488"/>
        <v>0</v>
      </c>
      <c r="AI144" s="9">
        <f>70164/100</f>
        <v>701.64</v>
      </c>
      <c r="AJ144" s="30">
        <v>10524</v>
      </c>
      <c r="AK144" s="9"/>
      <c r="AL144" s="30">
        <f t="shared" ref="AL144" si="544">AK144*$L144</f>
        <v>0</v>
      </c>
      <c r="AM144" s="9"/>
      <c r="AN144" s="30">
        <f t="shared" si="503"/>
        <v>0</v>
      </c>
      <c r="AO144" s="9"/>
      <c r="AP144" s="30">
        <f t="shared" si="490"/>
        <v>0</v>
      </c>
      <c r="AQ144" s="9"/>
      <c r="AR144" s="30">
        <f t="shared" si="491"/>
        <v>0</v>
      </c>
      <c r="AS144" s="9"/>
      <c r="AT144" s="30">
        <f t="shared" si="492"/>
        <v>0</v>
      </c>
      <c r="AU144" s="9"/>
      <c r="AV144" s="30">
        <f t="shared" si="493"/>
        <v>0</v>
      </c>
      <c r="AW144" s="9"/>
      <c r="AX144" s="30">
        <f t="shared" si="494"/>
        <v>0</v>
      </c>
      <c r="AY144" s="9"/>
      <c r="AZ144" s="30">
        <f t="shared" si="495"/>
        <v>0</v>
      </c>
      <c r="BA144" s="10">
        <f>486364/100</f>
        <v>4863.6400000000003</v>
      </c>
      <c r="BB144" s="31">
        <v>72953</v>
      </c>
      <c r="BC144" s="15">
        <f t="shared" si="511"/>
        <v>72953</v>
      </c>
      <c r="BD144" s="9">
        <f t="shared" si="512"/>
        <v>0</v>
      </c>
      <c r="BE144" s="28">
        <f t="shared" si="513"/>
        <v>4863.6400000000003</v>
      </c>
      <c r="BF144" s="8">
        <f t="shared" si="514"/>
        <v>0</v>
      </c>
      <c r="BG144" s="29">
        <f t="shared" si="504"/>
        <v>72954.600000000006</v>
      </c>
      <c r="BH144" s="13">
        <f t="shared" si="515"/>
        <v>-1.6000000000058208</v>
      </c>
      <c r="BI144" s="2" t="str">
        <f t="shared" si="505"/>
        <v>erreur de calcul</v>
      </c>
      <c r="BJ144" s="2"/>
    </row>
    <row r="145" spans="1:62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49</v>
      </c>
      <c r="G145" s="31">
        <v>22</v>
      </c>
      <c r="H145" s="31" t="s">
        <v>217</v>
      </c>
      <c r="I145" s="5">
        <v>12</v>
      </c>
      <c r="J145" s="5"/>
      <c r="K145" s="6"/>
      <c r="L145" s="11">
        <f t="shared" si="506"/>
        <v>12</v>
      </c>
      <c r="M145" s="7" t="s">
        <v>14</v>
      </c>
      <c r="N145" s="31"/>
      <c r="O145" s="9"/>
      <c r="P145" s="9" t="str">
        <f t="shared" si="507"/>
        <v/>
      </c>
      <c r="Q145" s="9"/>
      <c r="R145" s="30">
        <f t="shared" ref="R145" si="545">Q145*$L145</f>
        <v>0</v>
      </c>
      <c r="S145" s="9"/>
      <c r="T145" s="30">
        <f t="shared" ref="T145" si="546">S145*$L145</f>
        <v>0</v>
      </c>
      <c r="U145" s="9"/>
      <c r="V145" s="30">
        <f t="shared" si="486"/>
        <v>0</v>
      </c>
      <c r="W145" s="9">
        <f>26072/100</f>
        <v>260.72000000000003</v>
      </c>
      <c r="X145" s="30">
        <v>3129</v>
      </c>
      <c r="Y145" s="9">
        <f>16340/100</f>
        <v>163.4</v>
      </c>
      <c r="Z145" s="30">
        <v>1961</v>
      </c>
      <c r="AA145" s="9"/>
      <c r="AB145" s="30">
        <f t="shared" si="500"/>
        <v>0</v>
      </c>
      <c r="AC145" s="9">
        <f>76351/100</f>
        <v>763.51</v>
      </c>
      <c r="AD145" s="30">
        <v>9162</v>
      </c>
      <c r="AE145" s="9"/>
      <c r="AF145" s="30">
        <f t="shared" si="487"/>
        <v>0</v>
      </c>
      <c r="AG145" s="9"/>
      <c r="AH145" s="30">
        <f t="shared" si="488"/>
        <v>0</v>
      </c>
      <c r="AI145" s="9"/>
      <c r="AJ145" s="30">
        <f t="shared" ref="AJ145" si="547">AI145*$L145</f>
        <v>0</v>
      </c>
      <c r="AK145" s="9"/>
      <c r="AL145" s="30">
        <f t="shared" ref="AL145" si="548">AK145*$L145</f>
        <v>0</v>
      </c>
      <c r="AM145" s="9"/>
      <c r="AN145" s="30">
        <f t="shared" si="503"/>
        <v>0</v>
      </c>
      <c r="AO145" s="9"/>
      <c r="AP145" s="30">
        <f t="shared" si="490"/>
        <v>0</v>
      </c>
      <c r="AQ145" s="9"/>
      <c r="AR145" s="30">
        <f t="shared" si="491"/>
        <v>0</v>
      </c>
      <c r="AS145" s="9"/>
      <c r="AT145" s="30">
        <f t="shared" si="492"/>
        <v>0</v>
      </c>
      <c r="AU145" s="9"/>
      <c r="AV145" s="30">
        <f t="shared" si="493"/>
        <v>0</v>
      </c>
      <c r="AW145" s="9"/>
      <c r="AX145" s="30">
        <f t="shared" si="494"/>
        <v>0</v>
      </c>
      <c r="AY145" s="9"/>
      <c r="AZ145" s="30">
        <f t="shared" si="495"/>
        <v>0</v>
      </c>
      <c r="BA145" s="10">
        <f>118763/100</f>
        <v>1187.6300000000001</v>
      </c>
      <c r="BB145" s="31">
        <v>14252</v>
      </c>
      <c r="BC145" s="15">
        <f t="shared" si="511"/>
        <v>14252</v>
      </c>
      <c r="BD145" s="9">
        <f t="shared" si="512"/>
        <v>0</v>
      </c>
      <c r="BE145" s="28">
        <f t="shared" si="513"/>
        <v>1187.6300000000001</v>
      </c>
      <c r="BF145" s="8">
        <f t="shared" si="514"/>
        <v>0</v>
      </c>
      <c r="BG145" s="29">
        <f t="shared" si="504"/>
        <v>14251.560000000001</v>
      </c>
      <c r="BH145" s="13">
        <f t="shared" si="515"/>
        <v>0.43999999999869033</v>
      </c>
      <c r="BI145" s="2" t="str">
        <f t="shared" si="505"/>
        <v>erreur de calcul</v>
      </c>
      <c r="BJ145" s="2"/>
    </row>
    <row r="146" spans="1:62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49</v>
      </c>
      <c r="G146" s="31">
        <v>22</v>
      </c>
      <c r="H146" s="31" t="s">
        <v>218</v>
      </c>
      <c r="I146" s="5">
        <v>8</v>
      </c>
      <c r="J146" s="5"/>
      <c r="K146" s="6"/>
      <c r="L146" s="11">
        <f t="shared" si="506"/>
        <v>8</v>
      </c>
      <c r="M146" s="7" t="s">
        <v>15</v>
      </c>
      <c r="N146" s="31"/>
      <c r="O146" s="9"/>
      <c r="P146" s="9" t="str">
        <f t="shared" si="507"/>
        <v/>
      </c>
      <c r="Q146" s="9">
        <v>3798</v>
      </c>
      <c r="R146" s="30">
        <v>30384</v>
      </c>
      <c r="S146" s="9"/>
      <c r="T146" s="30">
        <f t="shared" ref="T146" si="549">S146*$L146</f>
        <v>0</v>
      </c>
      <c r="U146" s="9"/>
      <c r="V146" s="30">
        <f t="shared" si="486"/>
        <v>0</v>
      </c>
      <c r="W146" s="9"/>
      <c r="X146" s="30">
        <f t="shared" si="498"/>
        <v>0</v>
      </c>
      <c r="Y146" s="9"/>
      <c r="Z146" s="30">
        <f t="shared" si="499"/>
        <v>0</v>
      </c>
      <c r="AA146" s="9"/>
      <c r="AB146" s="30">
        <f t="shared" si="500"/>
        <v>0</v>
      </c>
      <c r="AC146" s="9"/>
      <c r="AD146" s="30">
        <f t="shared" si="501"/>
        <v>0</v>
      </c>
      <c r="AE146" s="9"/>
      <c r="AF146" s="30">
        <f t="shared" si="487"/>
        <v>0</v>
      </c>
      <c r="AG146" s="9"/>
      <c r="AH146" s="30">
        <f t="shared" si="488"/>
        <v>0</v>
      </c>
      <c r="AI146" s="9">
        <v>322</v>
      </c>
      <c r="AJ146" s="30">
        <v>2576</v>
      </c>
      <c r="AK146" s="9"/>
      <c r="AL146" s="30">
        <f t="shared" ref="AL146" si="550">AK146*$L146</f>
        <v>0</v>
      </c>
      <c r="AM146" s="9"/>
      <c r="AN146" s="30">
        <f t="shared" si="503"/>
        <v>0</v>
      </c>
      <c r="AO146" s="9"/>
      <c r="AP146" s="30">
        <f t="shared" si="490"/>
        <v>0</v>
      </c>
      <c r="AQ146" s="9"/>
      <c r="AR146" s="30">
        <f t="shared" si="491"/>
        <v>0</v>
      </c>
      <c r="AS146" s="9"/>
      <c r="AT146" s="30">
        <f t="shared" si="492"/>
        <v>0</v>
      </c>
      <c r="AU146" s="9"/>
      <c r="AV146" s="30">
        <f t="shared" si="493"/>
        <v>0</v>
      </c>
      <c r="AW146" s="9"/>
      <c r="AX146" s="30">
        <f t="shared" si="494"/>
        <v>0</v>
      </c>
      <c r="AY146" s="9"/>
      <c r="AZ146" s="30">
        <f t="shared" si="495"/>
        <v>0</v>
      </c>
      <c r="BA146" s="10">
        <v>4120</v>
      </c>
      <c r="BB146" s="31">
        <v>32960</v>
      </c>
      <c r="BC146" s="15">
        <f t="shared" si="511"/>
        <v>32960</v>
      </c>
      <c r="BD146" s="9">
        <f t="shared" si="512"/>
        <v>0</v>
      </c>
      <c r="BE146" s="28">
        <f t="shared" si="513"/>
        <v>4120</v>
      </c>
      <c r="BF146" s="8">
        <f t="shared" si="514"/>
        <v>0</v>
      </c>
      <c r="BG146" s="29">
        <f t="shared" si="504"/>
        <v>32960</v>
      </c>
      <c r="BH146" s="13">
        <f t="shared" si="515"/>
        <v>0</v>
      </c>
      <c r="BI146" s="2" t="str">
        <f t="shared" si="505"/>
        <v/>
      </c>
      <c r="BJ146" s="2"/>
    </row>
    <row r="147" spans="1:62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49</v>
      </c>
      <c r="G147" s="31">
        <v>22</v>
      </c>
      <c r="H147" s="31" t="s">
        <v>219</v>
      </c>
      <c r="I147" s="5"/>
      <c r="J147" s="5">
        <v>20</v>
      </c>
      <c r="K147" s="6"/>
      <c r="L147" s="11">
        <f t="shared" si="506"/>
        <v>1</v>
      </c>
      <c r="M147" s="7" t="s">
        <v>15</v>
      </c>
      <c r="N147" s="31"/>
      <c r="O147" s="9"/>
      <c r="P147" s="9" t="str">
        <f t="shared" si="507"/>
        <v/>
      </c>
      <c r="Q147" s="9">
        <v>1353</v>
      </c>
      <c r="R147" s="30">
        <v>1353</v>
      </c>
      <c r="S147" s="9"/>
      <c r="T147" s="30">
        <f t="shared" ref="T147" si="551">S147*$L147</f>
        <v>0</v>
      </c>
      <c r="U147" s="9"/>
      <c r="V147" s="30">
        <f t="shared" si="486"/>
        <v>0</v>
      </c>
      <c r="W147" s="9"/>
      <c r="X147" s="30">
        <f t="shared" si="498"/>
        <v>0</v>
      </c>
      <c r="Y147" s="9"/>
      <c r="Z147" s="30">
        <f t="shared" si="499"/>
        <v>0</v>
      </c>
      <c r="AA147" s="9"/>
      <c r="AB147" s="30">
        <f t="shared" si="500"/>
        <v>0</v>
      </c>
      <c r="AC147" s="9"/>
      <c r="AD147" s="30">
        <f t="shared" si="501"/>
        <v>0</v>
      </c>
      <c r="AE147" s="9"/>
      <c r="AF147" s="30">
        <f t="shared" si="487"/>
        <v>0</v>
      </c>
      <c r="AG147" s="9"/>
      <c r="AH147" s="30">
        <f t="shared" si="488"/>
        <v>0</v>
      </c>
      <c r="AI147" s="9"/>
      <c r="AJ147" s="30">
        <f t="shared" ref="AJ147" si="552">AI147*$L147</f>
        <v>0</v>
      </c>
      <c r="AK147" s="9"/>
      <c r="AL147" s="30">
        <f t="shared" ref="AL147" si="553">AK147*$L147</f>
        <v>0</v>
      </c>
      <c r="AM147" s="9"/>
      <c r="AN147" s="30">
        <f t="shared" si="503"/>
        <v>0</v>
      </c>
      <c r="AO147" s="9"/>
      <c r="AP147" s="30">
        <f t="shared" si="490"/>
        <v>0</v>
      </c>
      <c r="AQ147" s="9"/>
      <c r="AR147" s="30">
        <f t="shared" si="491"/>
        <v>0</v>
      </c>
      <c r="AS147" s="9"/>
      <c r="AT147" s="30">
        <f t="shared" si="492"/>
        <v>0</v>
      </c>
      <c r="AU147" s="9"/>
      <c r="AV147" s="30">
        <f t="shared" si="493"/>
        <v>0</v>
      </c>
      <c r="AW147" s="9"/>
      <c r="AX147" s="30">
        <f t="shared" si="494"/>
        <v>0</v>
      </c>
      <c r="AY147" s="9"/>
      <c r="AZ147" s="30">
        <f t="shared" si="495"/>
        <v>0</v>
      </c>
      <c r="BA147" s="10">
        <v>1353</v>
      </c>
      <c r="BB147" s="31">
        <v>1353</v>
      </c>
      <c r="BC147" s="15">
        <f t="shared" si="511"/>
        <v>1353</v>
      </c>
      <c r="BD147" s="9">
        <f t="shared" si="512"/>
        <v>0</v>
      </c>
      <c r="BE147" s="28">
        <f t="shared" si="513"/>
        <v>1353</v>
      </c>
      <c r="BF147" s="8">
        <f t="shared" si="514"/>
        <v>0</v>
      </c>
      <c r="BG147" s="29">
        <f t="shared" si="504"/>
        <v>1353</v>
      </c>
      <c r="BH147" s="13">
        <f t="shared" si="515"/>
        <v>0</v>
      </c>
      <c r="BI147" s="2" t="str">
        <f t="shared" si="505"/>
        <v/>
      </c>
      <c r="BJ147" s="2"/>
    </row>
    <row r="148" spans="1:62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49</v>
      </c>
      <c r="G148" s="31">
        <v>22</v>
      </c>
      <c r="H148" s="31" t="s">
        <v>220</v>
      </c>
      <c r="I148" s="5">
        <v>85</v>
      </c>
      <c r="J148" s="5"/>
      <c r="K148" s="6"/>
      <c r="L148" s="11">
        <f t="shared" si="506"/>
        <v>85</v>
      </c>
      <c r="M148" s="7" t="s">
        <v>14</v>
      </c>
      <c r="N148" s="31"/>
      <c r="O148" s="9"/>
      <c r="P148" s="9" t="str">
        <f t="shared" si="507"/>
        <v/>
      </c>
      <c r="Q148" s="9"/>
      <c r="R148" s="30">
        <f t="shared" ref="R148" si="554">Q148*$L148</f>
        <v>0</v>
      </c>
      <c r="S148" s="9"/>
      <c r="T148" s="30">
        <f t="shared" ref="T148" si="555">S148*$L148</f>
        <v>0</v>
      </c>
      <c r="U148" s="9">
        <f>10813/100</f>
        <v>108.13</v>
      </c>
      <c r="V148" s="30">
        <v>9191</v>
      </c>
      <c r="W148" s="9">
        <f>43400/100</f>
        <v>434</v>
      </c>
      <c r="X148" s="30">
        <v>36890</v>
      </c>
      <c r="Y148" s="9">
        <f>702/100</f>
        <v>7.02</v>
      </c>
      <c r="Z148" s="30">
        <v>597</v>
      </c>
      <c r="AA148" s="9"/>
      <c r="AB148" s="30">
        <f t="shared" si="500"/>
        <v>0</v>
      </c>
      <c r="AC148" s="9">
        <f>171/100</f>
        <v>1.71</v>
      </c>
      <c r="AD148" s="30">
        <v>145</v>
      </c>
      <c r="AE148" s="9"/>
      <c r="AF148" s="30">
        <f t="shared" si="487"/>
        <v>0</v>
      </c>
      <c r="AG148" s="9"/>
      <c r="AH148" s="30">
        <f t="shared" si="488"/>
        <v>0</v>
      </c>
      <c r="AI148" s="9">
        <f>17388/100</f>
        <v>173.88</v>
      </c>
      <c r="AJ148" s="30">
        <v>14780</v>
      </c>
      <c r="AK148" s="9"/>
      <c r="AL148" s="30">
        <f t="shared" ref="AL148" si="556">AK148*$L148</f>
        <v>0</v>
      </c>
      <c r="AM148" s="9"/>
      <c r="AN148" s="30">
        <f t="shared" si="503"/>
        <v>0</v>
      </c>
      <c r="AO148" s="9"/>
      <c r="AP148" s="30">
        <f t="shared" si="490"/>
        <v>0</v>
      </c>
      <c r="AQ148" s="9"/>
      <c r="AR148" s="30">
        <f t="shared" si="491"/>
        <v>0</v>
      </c>
      <c r="AS148" s="9"/>
      <c r="AT148" s="30">
        <f t="shared" si="492"/>
        <v>0</v>
      </c>
      <c r="AU148" s="9"/>
      <c r="AV148" s="30">
        <f t="shared" si="493"/>
        <v>0</v>
      </c>
      <c r="AW148" s="9"/>
      <c r="AX148" s="30">
        <f t="shared" si="494"/>
        <v>0</v>
      </c>
      <c r="AY148" s="9"/>
      <c r="AZ148" s="30">
        <f t="shared" si="495"/>
        <v>0</v>
      </c>
      <c r="BA148" s="10">
        <f>72474/100</f>
        <v>724.74</v>
      </c>
      <c r="BB148" s="31">
        <v>61603</v>
      </c>
      <c r="BC148" s="15">
        <f t="shared" si="511"/>
        <v>61603</v>
      </c>
      <c r="BD148" s="9">
        <f t="shared" si="512"/>
        <v>0</v>
      </c>
      <c r="BE148" s="28">
        <f t="shared" si="513"/>
        <v>724.74</v>
      </c>
      <c r="BF148" s="8">
        <f t="shared" si="514"/>
        <v>0</v>
      </c>
      <c r="BG148" s="29">
        <f t="shared" si="504"/>
        <v>61602.9</v>
      </c>
      <c r="BH148" s="13">
        <f t="shared" si="515"/>
        <v>9.9999999998544808E-2</v>
      </c>
      <c r="BI148" s="2" t="str">
        <f t="shared" si="505"/>
        <v>erreur de calcul</v>
      </c>
      <c r="BJ148" s="2"/>
    </row>
    <row r="149" spans="1:62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49</v>
      </c>
      <c r="G149" s="31">
        <v>22</v>
      </c>
      <c r="H149" s="31" t="s">
        <v>221</v>
      </c>
      <c r="I149" s="5">
        <v>150</v>
      </c>
      <c r="J149" s="5"/>
      <c r="K149" s="6"/>
      <c r="L149" s="11">
        <f t="shared" si="506"/>
        <v>150</v>
      </c>
      <c r="M149" s="7" t="s">
        <v>14</v>
      </c>
      <c r="N149" s="31"/>
      <c r="O149" s="9"/>
      <c r="P149" s="9" t="str">
        <f t="shared" si="507"/>
        <v/>
      </c>
      <c r="Q149" s="9"/>
      <c r="R149" s="30">
        <f t="shared" ref="R149" si="557">Q149*$L149</f>
        <v>0</v>
      </c>
      <c r="S149" s="9"/>
      <c r="T149" s="30">
        <f t="shared" ref="T149" si="558">S149*$L149</f>
        <v>0</v>
      </c>
      <c r="U149" s="9"/>
      <c r="V149" s="30">
        <f t="shared" si="486"/>
        <v>0</v>
      </c>
      <c r="W149" s="9">
        <f>1415/100</f>
        <v>14.15</v>
      </c>
      <c r="X149" s="30">
        <v>2122</v>
      </c>
      <c r="Y149" s="9"/>
      <c r="Z149" s="30">
        <f t="shared" si="499"/>
        <v>0</v>
      </c>
      <c r="AA149" s="9"/>
      <c r="AB149" s="30">
        <f t="shared" si="500"/>
        <v>0</v>
      </c>
      <c r="AC149" s="9">
        <f>1806/100</f>
        <v>18.059999999999999</v>
      </c>
      <c r="AD149" s="30">
        <v>2709</v>
      </c>
      <c r="AE149" s="9"/>
      <c r="AF149" s="30">
        <f t="shared" si="487"/>
        <v>0</v>
      </c>
      <c r="AG149" s="9"/>
      <c r="AH149" s="30">
        <f t="shared" si="488"/>
        <v>0</v>
      </c>
      <c r="AI149" s="9"/>
      <c r="AJ149" s="30">
        <f t="shared" ref="AJ149" si="559">AI149*$L149</f>
        <v>0</v>
      </c>
      <c r="AK149" s="9"/>
      <c r="AL149" s="30">
        <f t="shared" ref="AL149" si="560">AK149*$L149</f>
        <v>0</v>
      </c>
      <c r="AM149" s="9"/>
      <c r="AN149" s="30">
        <f t="shared" si="503"/>
        <v>0</v>
      </c>
      <c r="AO149" s="9"/>
      <c r="AP149" s="30">
        <f t="shared" si="490"/>
        <v>0</v>
      </c>
      <c r="AQ149" s="9"/>
      <c r="AR149" s="30">
        <f t="shared" si="491"/>
        <v>0</v>
      </c>
      <c r="AS149" s="9"/>
      <c r="AT149" s="30">
        <f t="shared" si="492"/>
        <v>0</v>
      </c>
      <c r="AU149" s="9"/>
      <c r="AV149" s="30">
        <f t="shared" si="493"/>
        <v>0</v>
      </c>
      <c r="AW149" s="9"/>
      <c r="AX149" s="30">
        <f t="shared" si="494"/>
        <v>0</v>
      </c>
      <c r="AY149" s="9"/>
      <c r="AZ149" s="30">
        <f t="shared" si="495"/>
        <v>0</v>
      </c>
      <c r="BA149" s="10">
        <f>3221/100</f>
        <v>32.21</v>
      </c>
      <c r="BB149" s="31">
        <v>4831</v>
      </c>
      <c r="BC149" s="15">
        <f t="shared" si="511"/>
        <v>4831</v>
      </c>
      <c r="BD149" s="9">
        <f t="shared" si="512"/>
        <v>0</v>
      </c>
      <c r="BE149" s="28">
        <f t="shared" si="513"/>
        <v>32.21</v>
      </c>
      <c r="BF149" s="8">
        <f t="shared" si="514"/>
        <v>0</v>
      </c>
      <c r="BG149" s="29">
        <f t="shared" si="504"/>
        <v>4831.5</v>
      </c>
      <c r="BH149" s="13">
        <f t="shared" si="515"/>
        <v>-0.5</v>
      </c>
      <c r="BI149" s="2" t="str">
        <f t="shared" si="505"/>
        <v>erreur de calcul</v>
      </c>
      <c r="BJ149" s="2"/>
    </row>
    <row r="150" spans="1:62">
      <c r="A150" s="1" t="s">
        <v>12</v>
      </c>
      <c r="B150" s="3" t="s">
        <v>23</v>
      </c>
      <c r="C150" s="3" t="s">
        <v>45</v>
      </c>
      <c r="D150" s="4">
        <v>1789</v>
      </c>
      <c r="E150" s="3" t="s">
        <v>49</v>
      </c>
      <c r="F150" s="3" t="s">
        <v>49</v>
      </c>
      <c r="G150" s="31">
        <v>22</v>
      </c>
      <c r="H150" s="31" t="s">
        <v>222</v>
      </c>
      <c r="I150" s="5"/>
      <c r="J150" s="5"/>
      <c r="K150" s="6"/>
      <c r="L150" s="11">
        <f t="shared" si="506"/>
        <v>0</v>
      </c>
      <c r="M150" s="7" t="s">
        <v>427</v>
      </c>
      <c r="N150" s="31"/>
      <c r="O150" s="9"/>
      <c r="P150" s="9" t="str">
        <f t="shared" si="507"/>
        <v/>
      </c>
      <c r="Q150" s="9">
        <f>2+121/288</f>
        <v>2.4201388888888888</v>
      </c>
      <c r="R150" s="30">
        <v>275</v>
      </c>
      <c r="S150" s="9"/>
      <c r="T150" s="30">
        <f t="shared" ref="T150" si="561">S150*$L150</f>
        <v>0</v>
      </c>
      <c r="U150" s="9"/>
      <c r="V150" s="30">
        <f t="shared" si="486"/>
        <v>0</v>
      </c>
      <c r="W150" s="9"/>
      <c r="X150" s="30">
        <f t="shared" si="498"/>
        <v>0</v>
      </c>
      <c r="Y150" s="9"/>
      <c r="Z150" s="30">
        <f t="shared" si="499"/>
        <v>0</v>
      </c>
      <c r="AA150" s="9"/>
      <c r="AB150" s="30">
        <f t="shared" si="500"/>
        <v>0</v>
      </c>
      <c r="AC150" s="9"/>
      <c r="AD150" s="30">
        <f t="shared" si="501"/>
        <v>0</v>
      </c>
      <c r="AE150" s="9"/>
      <c r="AF150" s="30">
        <f t="shared" si="487"/>
        <v>0</v>
      </c>
      <c r="AG150" s="9"/>
      <c r="AH150" s="30">
        <f t="shared" si="488"/>
        <v>0</v>
      </c>
      <c r="AI150" s="9"/>
      <c r="AJ150" s="30">
        <f t="shared" ref="AJ150" si="562">AI150*$L150</f>
        <v>0</v>
      </c>
      <c r="AK150" s="9"/>
      <c r="AL150" s="30">
        <f t="shared" ref="AL150" si="563">AK150*$L150</f>
        <v>0</v>
      </c>
      <c r="AM150" s="9"/>
      <c r="AN150" s="30">
        <f t="shared" si="503"/>
        <v>0</v>
      </c>
      <c r="AO150" s="9"/>
      <c r="AP150" s="30">
        <f t="shared" si="490"/>
        <v>0</v>
      </c>
      <c r="AQ150" s="9"/>
      <c r="AR150" s="30">
        <f t="shared" si="491"/>
        <v>0</v>
      </c>
      <c r="AS150" s="9"/>
      <c r="AT150" s="30">
        <f t="shared" si="492"/>
        <v>0</v>
      </c>
      <c r="AU150" s="9"/>
      <c r="AV150" s="30">
        <f t="shared" si="493"/>
        <v>0</v>
      </c>
      <c r="AW150" s="9"/>
      <c r="AX150" s="30">
        <f t="shared" si="494"/>
        <v>0</v>
      </c>
      <c r="AY150" s="9"/>
      <c r="AZ150" s="30">
        <f t="shared" si="495"/>
        <v>0</v>
      </c>
      <c r="BA150" s="10">
        <f>2+121/288</f>
        <v>2.4201388888888888</v>
      </c>
      <c r="BB150" s="31">
        <v>275</v>
      </c>
      <c r="BC150" s="15">
        <f t="shared" si="511"/>
        <v>275</v>
      </c>
      <c r="BD150" s="9">
        <f t="shared" si="512"/>
        <v>0</v>
      </c>
      <c r="BE150" s="28">
        <f t="shared" si="513"/>
        <v>2.4201388888888888</v>
      </c>
      <c r="BF150" s="8">
        <f t="shared" si="514"/>
        <v>0</v>
      </c>
      <c r="BG150" s="29">
        <f t="shared" si="504"/>
        <v>0</v>
      </c>
      <c r="BH150" s="13">
        <f t="shared" si="515"/>
        <v>275</v>
      </c>
      <c r="BI150" s="2" t="str">
        <f t="shared" si="505"/>
        <v>pas de prix</v>
      </c>
      <c r="BJ150" s="2" t="s">
        <v>481</v>
      </c>
    </row>
    <row r="151" spans="1:62">
      <c r="A151" s="1" t="s">
        <v>12</v>
      </c>
      <c r="B151" s="3" t="s">
        <v>23</v>
      </c>
      <c r="C151" s="3" t="s">
        <v>45</v>
      </c>
      <c r="D151" s="4">
        <v>1789</v>
      </c>
      <c r="E151" s="3" t="s">
        <v>49</v>
      </c>
      <c r="F151" s="3" t="s">
        <v>49</v>
      </c>
      <c r="G151" s="31">
        <v>22</v>
      </c>
      <c r="H151" s="31" t="s">
        <v>223</v>
      </c>
      <c r="I151" s="5">
        <v>8</v>
      </c>
      <c r="J151" s="5"/>
      <c r="K151" s="6"/>
      <c r="L151" s="11">
        <f t="shared" si="506"/>
        <v>8</v>
      </c>
      <c r="M151" s="7" t="s">
        <v>14</v>
      </c>
      <c r="N151" s="31" t="s">
        <v>84</v>
      </c>
      <c r="O151" s="9">
        <f>3668/100</f>
        <v>36.68</v>
      </c>
      <c r="P151" s="12">
        <v>239</v>
      </c>
      <c r="Q151" s="9">
        <f>267216/100</f>
        <v>2672.16</v>
      </c>
      <c r="R151" s="30">
        <v>21377</v>
      </c>
      <c r="S151" s="9"/>
      <c r="T151" s="30">
        <f t="shared" ref="T151" si="564">S151*$L151</f>
        <v>0</v>
      </c>
      <c r="U151" s="9"/>
      <c r="V151" s="30">
        <f t="shared" si="486"/>
        <v>0</v>
      </c>
      <c r="W151" s="9"/>
      <c r="X151" s="30">
        <f t="shared" si="498"/>
        <v>0</v>
      </c>
      <c r="Y151" s="9"/>
      <c r="Z151" s="30">
        <f t="shared" si="499"/>
        <v>0</v>
      </c>
      <c r="AA151" s="9"/>
      <c r="AB151" s="30">
        <f t="shared" si="500"/>
        <v>0</v>
      </c>
      <c r="AC151" s="9">
        <f>3334/100</f>
        <v>33.340000000000003</v>
      </c>
      <c r="AD151" s="30">
        <v>267</v>
      </c>
      <c r="AE151" s="9"/>
      <c r="AF151" s="30">
        <f t="shared" si="487"/>
        <v>0</v>
      </c>
      <c r="AG151" s="9"/>
      <c r="AH151" s="30">
        <f t="shared" si="488"/>
        <v>0</v>
      </c>
      <c r="AI151" s="9"/>
      <c r="AJ151" s="30">
        <f t="shared" ref="AJ151" si="565">AI151*$L151</f>
        <v>0</v>
      </c>
      <c r="AK151" s="9"/>
      <c r="AL151" s="30">
        <f t="shared" ref="AL151" si="566">AK151*$L151</f>
        <v>0</v>
      </c>
      <c r="AM151" s="9"/>
      <c r="AN151" s="30">
        <f t="shared" si="503"/>
        <v>0</v>
      </c>
      <c r="AO151" s="9"/>
      <c r="AP151" s="30">
        <f t="shared" si="490"/>
        <v>0</v>
      </c>
      <c r="AQ151" s="9"/>
      <c r="AR151" s="30">
        <f t="shared" si="491"/>
        <v>0</v>
      </c>
      <c r="AS151" s="9"/>
      <c r="AT151" s="30">
        <f t="shared" si="492"/>
        <v>0</v>
      </c>
      <c r="AU151" s="9"/>
      <c r="AV151" s="30">
        <f t="shared" si="493"/>
        <v>0</v>
      </c>
      <c r="AW151" s="9"/>
      <c r="AX151" s="30">
        <f t="shared" si="494"/>
        <v>0</v>
      </c>
      <c r="AY151" s="9"/>
      <c r="AZ151" s="30">
        <f t="shared" si="495"/>
        <v>0</v>
      </c>
      <c r="BA151" s="10">
        <f>270550/100</f>
        <v>2705.5</v>
      </c>
      <c r="BB151" s="31">
        <v>21644</v>
      </c>
      <c r="BC151" s="15">
        <f t="shared" si="511"/>
        <v>21644</v>
      </c>
      <c r="BD151" s="9">
        <f t="shared" si="512"/>
        <v>0</v>
      </c>
      <c r="BE151" s="28">
        <f t="shared" si="513"/>
        <v>2705.5</v>
      </c>
      <c r="BF151" s="8">
        <f t="shared" si="514"/>
        <v>0</v>
      </c>
      <c r="BG151" s="29">
        <f t="shared" si="504"/>
        <v>21644</v>
      </c>
      <c r="BH151" s="13">
        <f t="shared" si="515"/>
        <v>0</v>
      </c>
      <c r="BI151" s="2" t="str">
        <f t="shared" si="505"/>
        <v/>
      </c>
      <c r="BJ151" s="2"/>
    </row>
    <row r="152" spans="1:62">
      <c r="A152" s="1" t="s">
        <v>12</v>
      </c>
      <c r="B152" s="3" t="s">
        <v>23</v>
      </c>
      <c r="C152" s="3" t="s">
        <v>45</v>
      </c>
      <c r="D152" s="4">
        <v>1789</v>
      </c>
      <c r="E152" s="3" t="s">
        <v>49</v>
      </c>
      <c r="F152" s="3" t="s">
        <v>49</v>
      </c>
      <c r="G152" s="31">
        <v>22</v>
      </c>
      <c r="H152" s="31" t="s">
        <v>224</v>
      </c>
      <c r="I152" s="5">
        <v>11</v>
      </c>
      <c r="J152" s="5"/>
      <c r="K152" s="6"/>
      <c r="L152" s="11">
        <f t="shared" si="506"/>
        <v>11</v>
      </c>
      <c r="M152" s="7" t="s">
        <v>15</v>
      </c>
      <c r="N152" s="31"/>
      <c r="O152" s="9"/>
      <c r="P152" s="9" t="str">
        <f t="shared" si="507"/>
        <v/>
      </c>
      <c r="Q152" s="9"/>
      <c r="R152" s="30">
        <f t="shared" ref="R152" si="567">Q152*$L152</f>
        <v>0</v>
      </c>
      <c r="S152" s="9">
        <v>2017</v>
      </c>
      <c r="T152" s="30">
        <v>22187</v>
      </c>
      <c r="U152" s="9"/>
      <c r="V152" s="30">
        <f t="shared" si="486"/>
        <v>0</v>
      </c>
      <c r="W152" s="9"/>
      <c r="X152" s="30">
        <f t="shared" si="498"/>
        <v>0</v>
      </c>
      <c r="Y152" s="9">
        <v>3804</v>
      </c>
      <c r="Z152" s="30">
        <v>41844</v>
      </c>
      <c r="AA152" s="9"/>
      <c r="AB152" s="30">
        <f t="shared" si="500"/>
        <v>0</v>
      </c>
      <c r="AC152" s="9"/>
      <c r="AD152" s="30">
        <f t="shared" si="501"/>
        <v>0</v>
      </c>
      <c r="AE152" s="9"/>
      <c r="AF152" s="30">
        <f t="shared" si="487"/>
        <v>0</v>
      </c>
      <c r="AG152" s="9"/>
      <c r="AH152" s="30">
        <f t="shared" si="488"/>
        <v>0</v>
      </c>
      <c r="AI152" s="9">
        <v>117</v>
      </c>
      <c r="AJ152" s="30">
        <v>1287</v>
      </c>
      <c r="AK152" s="9">
        <v>8694</v>
      </c>
      <c r="AL152" s="30">
        <v>95634</v>
      </c>
      <c r="AM152" s="9"/>
      <c r="AN152" s="30">
        <f t="shared" si="503"/>
        <v>0</v>
      </c>
      <c r="AO152" s="9">
        <v>5697</v>
      </c>
      <c r="AP152" s="30">
        <v>62667</v>
      </c>
      <c r="AQ152" s="9"/>
      <c r="AR152" s="30">
        <f t="shared" si="491"/>
        <v>0</v>
      </c>
      <c r="AS152" s="9"/>
      <c r="AT152" s="30">
        <f t="shared" si="492"/>
        <v>0</v>
      </c>
      <c r="AU152" s="9"/>
      <c r="AV152" s="30">
        <f t="shared" si="493"/>
        <v>0</v>
      </c>
      <c r="AW152" s="9"/>
      <c r="AX152" s="30">
        <f t="shared" si="494"/>
        <v>0</v>
      </c>
      <c r="AY152" s="9"/>
      <c r="AZ152" s="30">
        <f t="shared" si="495"/>
        <v>0</v>
      </c>
      <c r="BA152" s="10">
        <v>20329</v>
      </c>
      <c r="BB152" s="31">
        <v>223619</v>
      </c>
      <c r="BC152" s="15">
        <f t="shared" si="511"/>
        <v>223619</v>
      </c>
      <c r="BD152" s="9">
        <f t="shared" si="512"/>
        <v>0</v>
      </c>
      <c r="BE152" s="28">
        <f t="shared" si="513"/>
        <v>20329</v>
      </c>
      <c r="BF152" s="8">
        <f t="shared" si="514"/>
        <v>0</v>
      </c>
      <c r="BG152" s="29">
        <f t="shared" si="504"/>
        <v>223619</v>
      </c>
      <c r="BH152" s="13">
        <f t="shared" si="515"/>
        <v>0</v>
      </c>
      <c r="BI152" s="2" t="str">
        <f t="shared" si="505"/>
        <v/>
      </c>
      <c r="BJ152" s="2"/>
    </row>
    <row r="153" spans="1:62">
      <c r="A153" s="1" t="s">
        <v>12</v>
      </c>
      <c r="B153" s="3" t="s">
        <v>23</v>
      </c>
      <c r="C153" s="3" t="s">
        <v>45</v>
      </c>
      <c r="D153" s="4">
        <v>1789</v>
      </c>
      <c r="E153" s="3" t="s">
        <v>49</v>
      </c>
      <c r="F153" s="3" t="s">
        <v>49</v>
      </c>
      <c r="G153" s="31">
        <v>22</v>
      </c>
      <c r="H153" s="31" t="s">
        <v>225</v>
      </c>
      <c r="I153" s="5">
        <v>5</v>
      </c>
      <c r="J153" s="5"/>
      <c r="K153" s="6"/>
      <c r="L153" s="11">
        <f t="shared" si="506"/>
        <v>5</v>
      </c>
      <c r="M153" s="7" t="s">
        <v>15</v>
      </c>
      <c r="N153" s="31"/>
      <c r="O153" s="9"/>
      <c r="P153" s="9" t="str">
        <f t="shared" si="507"/>
        <v/>
      </c>
      <c r="Q153" s="9"/>
      <c r="R153" s="30">
        <f t="shared" ref="R153" si="568">Q153*$L153</f>
        <v>0</v>
      </c>
      <c r="S153" s="9">
        <v>4117</v>
      </c>
      <c r="T153" s="30">
        <v>20585</v>
      </c>
      <c r="U153" s="9"/>
      <c r="V153" s="30">
        <f t="shared" si="486"/>
        <v>0</v>
      </c>
      <c r="W153" s="9"/>
      <c r="X153" s="30">
        <f t="shared" si="498"/>
        <v>0</v>
      </c>
      <c r="Y153" s="9"/>
      <c r="Z153" s="30">
        <f t="shared" si="499"/>
        <v>0</v>
      </c>
      <c r="AA153" s="9"/>
      <c r="AB153" s="30">
        <f t="shared" si="500"/>
        <v>0</v>
      </c>
      <c r="AC153" s="9"/>
      <c r="AD153" s="30">
        <f t="shared" si="501"/>
        <v>0</v>
      </c>
      <c r="AE153" s="9"/>
      <c r="AF153" s="30">
        <f t="shared" si="487"/>
        <v>0</v>
      </c>
      <c r="AG153" s="9"/>
      <c r="AH153" s="30">
        <f t="shared" si="488"/>
        <v>0</v>
      </c>
      <c r="AI153" s="9"/>
      <c r="AJ153" s="30">
        <f t="shared" ref="AJ153" si="569">AI153*$L153</f>
        <v>0</v>
      </c>
      <c r="AK153" s="9"/>
      <c r="AL153" s="30">
        <f t="shared" ref="AL153" si="570">AK153*$L153</f>
        <v>0</v>
      </c>
      <c r="AM153" s="9"/>
      <c r="AN153" s="30">
        <f t="shared" si="503"/>
        <v>0</v>
      </c>
      <c r="AO153" s="9"/>
      <c r="AP153" s="30">
        <f t="shared" si="490"/>
        <v>0</v>
      </c>
      <c r="AQ153" s="9"/>
      <c r="AR153" s="30">
        <f t="shared" si="491"/>
        <v>0</v>
      </c>
      <c r="AS153" s="9"/>
      <c r="AT153" s="30">
        <f t="shared" si="492"/>
        <v>0</v>
      </c>
      <c r="AU153" s="9"/>
      <c r="AV153" s="30">
        <f t="shared" si="493"/>
        <v>0</v>
      </c>
      <c r="AW153" s="9"/>
      <c r="AX153" s="30">
        <f t="shared" si="494"/>
        <v>0</v>
      </c>
      <c r="AY153" s="9"/>
      <c r="AZ153" s="30">
        <f t="shared" si="495"/>
        <v>0</v>
      </c>
      <c r="BA153" s="10">
        <v>4117</v>
      </c>
      <c r="BB153" s="31">
        <v>20585</v>
      </c>
      <c r="BC153" s="15">
        <f t="shared" si="511"/>
        <v>20585</v>
      </c>
      <c r="BD153" s="9">
        <f t="shared" si="512"/>
        <v>0</v>
      </c>
      <c r="BE153" s="28">
        <f t="shared" si="513"/>
        <v>4117</v>
      </c>
      <c r="BF153" s="8">
        <f t="shared" si="514"/>
        <v>0</v>
      </c>
      <c r="BG153" s="29">
        <f t="shared" si="504"/>
        <v>20585</v>
      </c>
      <c r="BH153" s="13">
        <f t="shared" si="515"/>
        <v>0</v>
      </c>
      <c r="BI153" s="2" t="str">
        <f t="shared" si="505"/>
        <v/>
      </c>
      <c r="BJ153" s="2"/>
    </row>
    <row r="154" spans="1:62">
      <c r="A154" s="1" t="s">
        <v>12</v>
      </c>
      <c r="B154" s="3" t="s">
        <v>23</v>
      </c>
      <c r="C154" s="3" t="s">
        <v>45</v>
      </c>
      <c r="D154" s="4">
        <v>1789</v>
      </c>
      <c r="E154" s="3" t="s">
        <v>49</v>
      </c>
      <c r="F154" s="3" t="s">
        <v>49</v>
      </c>
      <c r="G154" s="31">
        <v>22</v>
      </c>
      <c r="H154" s="31" t="s">
        <v>226</v>
      </c>
      <c r="I154" s="5">
        <v>11</v>
      </c>
      <c r="J154" s="5"/>
      <c r="K154" s="6"/>
      <c r="L154" s="11">
        <f t="shared" si="506"/>
        <v>11</v>
      </c>
      <c r="M154" s="7" t="s">
        <v>15</v>
      </c>
      <c r="N154" s="31"/>
      <c r="O154" s="9"/>
      <c r="P154" s="9" t="str">
        <f t="shared" si="507"/>
        <v/>
      </c>
      <c r="Q154" s="9"/>
      <c r="R154" s="30">
        <f t="shared" ref="R154" si="571">Q154*$L154</f>
        <v>0</v>
      </c>
      <c r="S154" s="9"/>
      <c r="T154" s="30">
        <f t="shared" ref="T154" si="572">S154*$L154</f>
        <v>0</v>
      </c>
      <c r="U154" s="9"/>
      <c r="V154" s="30">
        <f t="shared" si="486"/>
        <v>0</v>
      </c>
      <c r="W154" s="9"/>
      <c r="X154" s="30">
        <f t="shared" si="498"/>
        <v>0</v>
      </c>
      <c r="Y154" s="9"/>
      <c r="Z154" s="30">
        <f t="shared" si="499"/>
        <v>0</v>
      </c>
      <c r="AA154" s="9"/>
      <c r="AB154" s="30">
        <f t="shared" si="500"/>
        <v>0</v>
      </c>
      <c r="AC154" s="9"/>
      <c r="AD154" s="30">
        <f t="shared" si="501"/>
        <v>0</v>
      </c>
      <c r="AE154" s="9"/>
      <c r="AF154" s="30">
        <f t="shared" si="487"/>
        <v>0</v>
      </c>
      <c r="AG154" s="9"/>
      <c r="AH154" s="30">
        <f t="shared" si="488"/>
        <v>0</v>
      </c>
      <c r="AI154" s="9"/>
      <c r="AJ154" s="30">
        <f t="shared" ref="AJ154" si="573">AI154*$L154</f>
        <v>0</v>
      </c>
      <c r="AK154" s="9">
        <v>34854</v>
      </c>
      <c r="AL154" s="30">
        <v>383394</v>
      </c>
      <c r="AM154" s="9"/>
      <c r="AN154" s="30">
        <f t="shared" si="503"/>
        <v>0</v>
      </c>
      <c r="AO154" s="9"/>
      <c r="AP154" s="30">
        <f t="shared" si="490"/>
        <v>0</v>
      </c>
      <c r="AQ154" s="9"/>
      <c r="AR154" s="30">
        <f t="shared" si="491"/>
        <v>0</v>
      </c>
      <c r="AS154" s="9"/>
      <c r="AT154" s="30">
        <f t="shared" si="492"/>
        <v>0</v>
      </c>
      <c r="AU154" s="9"/>
      <c r="AV154" s="30">
        <f t="shared" si="493"/>
        <v>0</v>
      </c>
      <c r="AW154" s="9"/>
      <c r="AX154" s="30">
        <f t="shared" si="494"/>
        <v>0</v>
      </c>
      <c r="AY154" s="9"/>
      <c r="AZ154" s="30">
        <f t="shared" si="495"/>
        <v>0</v>
      </c>
      <c r="BA154" s="10">
        <v>34854</v>
      </c>
      <c r="BB154" s="31">
        <v>383394</v>
      </c>
      <c r="BC154" s="15">
        <f t="shared" si="511"/>
        <v>383394</v>
      </c>
      <c r="BD154" s="9">
        <f t="shared" si="512"/>
        <v>0</v>
      </c>
      <c r="BE154" s="28">
        <f t="shared" si="513"/>
        <v>34854</v>
      </c>
      <c r="BF154" s="8">
        <f t="shared" si="514"/>
        <v>0</v>
      </c>
      <c r="BG154" s="29">
        <f t="shared" si="504"/>
        <v>383394</v>
      </c>
      <c r="BH154" s="13">
        <f t="shared" si="515"/>
        <v>0</v>
      </c>
      <c r="BI154" s="2" t="str">
        <f t="shared" si="505"/>
        <v/>
      </c>
      <c r="BJ154" s="2"/>
    </row>
    <row r="155" spans="1:62">
      <c r="A155" s="1" t="s">
        <v>12</v>
      </c>
      <c r="B155" s="3" t="s">
        <v>23</v>
      </c>
      <c r="C155" s="3" t="s">
        <v>45</v>
      </c>
      <c r="D155" s="4">
        <v>1789</v>
      </c>
      <c r="E155" s="3" t="s">
        <v>49</v>
      </c>
      <c r="F155" s="3" t="s">
        <v>49</v>
      </c>
      <c r="G155" s="31">
        <v>22</v>
      </c>
      <c r="H155" s="31" t="s">
        <v>227</v>
      </c>
      <c r="I155" s="5">
        <v>18</v>
      </c>
      <c r="J155" s="5"/>
      <c r="K155" s="6"/>
      <c r="L155" s="11">
        <f t="shared" si="506"/>
        <v>18</v>
      </c>
      <c r="M155" s="7" t="s">
        <v>15</v>
      </c>
      <c r="N155" s="31"/>
      <c r="O155" s="9"/>
      <c r="P155" s="9" t="str">
        <f t="shared" si="507"/>
        <v/>
      </c>
      <c r="Q155" s="9"/>
      <c r="R155" s="30">
        <f t="shared" ref="R155" si="574">Q155*$L155</f>
        <v>0</v>
      </c>
      <c r="S155" s="9"/>
      <c r="T155" s="30">
        <f t="shared" ref="T155" si="575">S155*$L155</f>
        <v>0</v>
      </c>
      <c r="U155" s="9"/>
      <c r="V155" s="30">
        <f t="shared" si="486"/>
        <v>0</v>
      </c>
      <c r="W155" s="9"/>
      <c r="X155" s="30">
        <f t="shared" si="498"/>
        <v>0</v>
      </c>
      <c r="Y155" s="9"/>
      <c r="Z155" s="30">
        <f t="shared" si="499"/>
        <v>0</v>
      </c>
      <c r="AA155" s="9"/>
      <c r="AB155" s="30">
        <f t="shared" si="500"/>
        <v>0</v>
      </c>
      <c r="AC155" s="9"/>
      <c r="AD155" s="30">
        <f t="shared" si="501"/>
        <v>0</v>
      </c>
      <c r="AE155" s="9"/>
      <c r="AF155" s="30">
        <f t="shared" si="487"/>
        <v>0</v>
      </c>
      <c r="AG155" s="9"/>
      <c r="AH155" s="30">
        <f t="shared" si="488"/>
        <v>0</v>
      </c>
      <c r="AI155" s="9"/>
      <c r="AJ155" s="30">
        <f t="shared" ref="AJ155" si="576">AI155*$L155</f>
        <v>0</v>
      </c>
      <c r="AK155" s="9">
        <v>623</v>
      </c>
      <c r="AL155" s="30">
        <v>11214</v>
      </c>
      <c r="AM155" s="9"/>
      <c r="AN155" s="30">
        <f t="shared" si="503"/>
        <v>0</v>
      </c>
      <c r="AO155" s="9"/>
      <c r="AP155" s="30">
        <f t="shared" si="490"/>
        <v>0</v>
      </c>
      <c r="AQ155" s="9"/>
      <c r="AR155" s="30">
        <f t="shared" si="491"/>
        <v>0</v>
      </c>
      <c r="AS155" s="9"/>
      <c r="AT155" s="30">
        <f t="shared" si="492"/>
        <v>0</v>
      </c>
      <c r="AU155" s="9"/>
      <c r="AV155" s="30">
        <f t="shared" si="493"/>
        <v>0</v>
      </c>
      <c r="AW155" s="9"/>
      <c r="AX155" s="30">
        <f t="shared" si="494"/>
        <v>0</v>
      </c>
      <c r="AY155" s="9"/>
      <c r="AZ155" s="30">
        <f t="shared" si="495"/>
        <v>0</v>
      </c>
      <c r="BA155" s="10">
        <v>623</v>
      </c>
      <c r="BB155" s="31">
        <v>11214</v>
      </c>
      <c r="BC155" s="15">
        <f t="shared" si="511"/>
        <v>11214</v>
      </c>
      <c r="BD155" s="9">
        <f t="shared" si="512"/>
        <v>0</v>
      </c>
      <c r="BE155" s="28">
        <f t="shared" si="513"/>
        <v>623</v>
      </c>
      <c r="BF155" s="8">
        <f t="shared" si="514"/>
        <v>0</v>
      </c>
      <c r="BG155" s="29">
        <f t="shared" si="504"/>
        <v>11214</v>
      </c>
      <c r="BH155" s="13">
        <f t="shared" si="515"/>
        <v>0</v>
      </c>
      <c r="BI155" s="2" t="str">
        <f t="shared" si="505"/>
        <v/>
      </c>
      <c r="BJ155" s="2"/>
    </row>
    <row r="156" spans="1:62">
      <c r="A156" s="1" t="s">
        <v>12</v>
      </c>
      <c r="B156" s="3" t="s">
        <v>23</v>
      </c>
      <c r="C156" s="3" t="s">
        <v>45</v>
      </c>
      <c r="D156" s="4">
        <v>1789</v>
      </c>
      <c r="E156" s="3" t="s">
        <v>49</v>
      </c>
      <c r="F156" s="3" t="s">
        <v>49</v>
      </c>
      <c r="G156" s="31">
        <v>22</v>
      </c>
      <c r="H156" s="31" t="s">
        <v>228</v>
      </c>
      <c r="I156" s="5">
        <v>66</v>
      </c>
      <c r="J156" s="5"/>
      <c r="K156" s="6"/>
      <c r="L156" s="11">
        <f t="shared" si="506"/>
        <v>66</v>
      </c>
      <c r="M156" s="7" t="s">
        <v>14</v>
      </c>
      <c r="N156" s="31"/>
      <c r="O156" s="9"/>
      <c r="P156" s="9" t="str">
        <f t="shared" si="507"/>
        <v/>
      </c>
      <c r="Q156" s="9"/>
      <c r="R156" s="30">
        <f t="shared" ref="R156" si="577">Q156*$L156</f>
        <v>0</v>
      </c>
      <c r="S156" s="9">
        <f>4580/100</f>
        <v>45.8</v>
      </c>
      <c r="T156" s="30">
        <v>3023</v>
      </c>
      <c r="U156" s="9"/>
      <c r="V156" s="30">
        <f t="shared" si="486"/>
        <v>0</v>
      </c>
      <c r="W156" s="9"/>
      <c r="X156" s="30">
        <f t="shared" si="498"/>
        <v>0</v>
      </c>
      <c r="Y156" s="9"/>
      <c r="Z156" s="30">
        <f t="shared" si="499"/>
        <v>0</v>
      </c>
      <c r="AA156" s="9"/>
      <c r="AB156" s="30">
        <f t="shared" si="500"/>
        <v>0</v>
      </c>
      <c r="AC156" s="9"/>
      <c r="AD156" s="30">
        <f t="shared" si="501"/>
        <v>0</v>
      </c>
      <c r="AE156" s="9"/>
      <c r="AF156" s="30">
        <f t="shared" si="487"/>
        <v>0</v>
      </c>
      <c r="AG156" s="9"/>
      <c r="AH156" s="30">
        <f t="shared" si="488"/>
        <v>0</v>
      </c>
      <c r="AI156" s="9"/>
      <c r="AJ156" s="30">
        <f t="shared" ref="AJ156" si="578">AI156*$L156</f>
        <v>0</v>
      </c>
      <c r="AK156" s="9"/>
      <c r="AL156" s="30">
        <f t="shared" ref="AL156" si="579">AK156*$L156</f>
        <v>0</v>
      </c>
      <c r="AM156" s="9"/>
      <c r="AN156" s="30">
        <f t="shared" si="503"/>
        <v>0</v>
      </c>
      <c r="AO156" s="9"/>
      <c r="AP156" s="30">
        <f t="shared" si="490"/>
        <v>0</v>
      </c>
      <c r="AQ156" s="9"/>
      <c r="AR156" s="30">
        <f t="shared" si="491"/>
        <v>0</v>
      </c>
      <c r="AS156" s="9"/>
      <c r="AT156" s="30">
        <f t="shared" si="492"/>
        <v>0</v>
      </c>
      <c r="AU156" s="9"/>
      <c r="AV156" s="30">
        <f t="shared" si="493"/>
        <v>0</v>
      </c>
      <c r="AW156" s="9"/>
      <c r="AX156" s="30">
        <f t="shared" si="494"/>
        <v>0</v>
      </c>
      <c r="AY156" s="9"/>
      <c r="AZ156" s="30">
        <f t="shared" si="495"/>
        <v>0</v>
      </c>
      <c r="BA156" s="10">
        <f>4580/100</f>
        <v>45.8</v>
      </c>
      <c r="BB156" s="31">
        <v>3023</v>
      </c>
      <c r="BC156" s="15">
        <f t="shared" si="511"/>
        <v>3023</v>
      </c>
      <c r="BD156" s="9">
        <f t="shared" si="512"/>
        <v>0</v>
      </c>
      <c r="BE156" s="28">
        <f t="shared" si="513"/>
        <v>45.8</v>
      </c>
      <c r="BF156" s="8">
        <f t="shared" si="514"/>
        <v>0</v>
      </c>
      <c r="BG156" s="29">
        <f t="shared" si="504"/>
        <v>3022.7999999999997</v>
      </c>
      <c r="BH156" s="13">
        <f t="shared" si="515"/>
        <v>0.20000000000027285</v>
      </c>
      <c r="BI156" s="2" t="str">
        <f t="shared" si="505"/>
        <v>erreur de calcul</v>
      </c>
      <c r="BJ156" s="2"/>
    </row>
    <row r="157" spans="1:62">
      <c r="A157" s="1" t="s">
        <v>12</v>
      </c>
      <c r="B157" s="3" t="s">
        <v>23</v>
      </c>
      <c r="C157" s="3" t="s">
        <v>45</v>
      </c>
      <c r="D157" s="4">
        <v>1789</v>
      </c>
      <c r="E157" s="3" t="s">
        <v>49</v>
      </c>
      <c r="F157" s="3" t="s">
        <v>49</v>
      </c>
      <c r="G157" s="31">
        <v>22</v>
      </c>
      <c r="H157" s="31" t="s">
        <v>229</v>
      </c>
      <c r="I157" s="5">
        <v>155</v>
      </c>
      <c r="J157" s="5"/>
      <c r="K157" s="6"/>
      <c r="L157" s="11">
        <f t="shared" si="506"/>
        <v>155</v>
      </c>
      <c r="M157" s="7" t="s">
        <v>14</v>
      </c>
      <c r="N157" s="31"/>
      <c r="O157" s="9"/>
      <c r="P157" s="9" t="str">
        <f t="shared" si="507"/>
        <v/>
      </c>
      <c r="Q157" s="9">
        <f>27574/100</f>
        <v>275.74</v>
      </c>
      <c r="R157" s="30">
        <v>42740</v>
      </c>
      <c r="S157" s="9">
        <f>7820/100</f>
        <v>78.2</v>
      </c>
      <c r="T157" s="30">
        <v>12121</v>
      </c>
      <c r="U157" s="9"/>
      <c r="V157" s="30">
        <f t="shared" si="486"/>
        <v>0</v>
      </c>
      <c r="W157" s="9">
        <f>37316/100</f>
        <v>373.16</v>
      </c>
      <c r="X157" s="30">
        <v>57840</v>
      </c>
      <c r="Y157" s="9">
        <f>1394/100</f>
        <v>13.94</v>
      </c>
      <c r="Z157" s="30">
        <v>2161</v>
      </c>
      <c r="AA157" s="9"/>
      <c r="AB157" s="30">
        <f t="shared" si="500"/>
        <v>0</v>
      </c>
      <c r="AC157" s="9"/>
      <c r="AD157" s="30">
        <f t="shared" si="501"/>
        <v>0</v>
      </c>
      <c r="AE157" s="9"/>
      <c r="AF157" s="30">
        <f t="shared" si="487"/>
        <v>0</v>
      </c>
      <c r="AG157" s="9"/>
      <c r="AH157" s="30">
        <f t="shared" si="488"/>
        <v>0</v>
      </c>
      <c r="AI157" s="9"/>
      <c r="AJ157" s="30">
        <f t="shared" ref="AJ157" si="580">AI157*$L157</f>
        <v>0</v>
      </c>
      <c r="AK157" s="9">
        <f>158255/100</f>
        <v>1582.55</v>
      </c>
      <c r="AL157" s="30">
        <v>245295</v>
      </c>
      <c r="AM157" s="9"/>
      <c r="AN157" s="30">
        <f t="shared" si="503"/>
        <v>0</v>
      </c>
      <c r="AO157" s="9">
        <f>417945/100</f>
        <v>4179.45</v>
      </c>
      <c r="AP157" s="30">
        <v>647815</v>
      </c>
      <c r="AQ157" s="9"/>
      <c r="AR157" s="30">
        <f t="shared" si="491"/>
        <v>0</v>
      </c>
      <c r="AS157" s="9"/>
      <c r="AT157" s="30">
        <f t="shared" si="492"/>
        <v>0</v>
      </c>
      <c r="AU157" s="9"/>
      <c r="AV157" s="30">
        <f t="shared" si="493"/>
        <v>0</v>
      </c>
      <c r="AW157" s="9"/>
      <c r="AX157" s="30">
        <f t="shared" si="494"/>
        <v>0</v>
      </c>
      <c r="AY157" s="9"/>
      <c r="AZ157" s="30">
        <f t="shared" si="495"/>
        <v>0</v>
      </c>
      <c r="BA157" s="10">
        <f>650304/100</f>
        <v>6503.04</v>
      </c>
      <c r="BB157" s="31">
        <v>1007972</v>
      </c>
      <c r="BC157" s="15">
        <f t="shared" si="511"/>
        <v>1007972</v>
      </c>
      <c r="BD157" s="9">
        <f t="shared" si="512"/>
        <v>0</v>
      </c>
      <c r="BE157" s="28">
        <f t="shared" si="513"/>
        <v>6503.04</v>
      </c>
      <c r="BF157" s="8">
        <f t="shared" si="514"/>
        <v>0</v>
      </c>
      <c r="BG157" s="29">
        <f t="shared" si="504"/>
        <v>1007971.2</v>
      </c>
      <c r="BH157" s="13">
        <f t="shared" si="515"/>
        <v>0.80000000004656613</v>
      </c>
      <c r="BI157" s="2" t="str">
        <f t="shared" si="505"/>
        <v>erreur de calcul</v>
      </c>
      <c r="BJ157" s="2"/>
    </row>
    <row r="158" spans="1:62">
      <c r="A158" s="1" t="s">
        <v>12</v>
      </c>
      <c r="B158" s="3" t="s">
        <v>23</v>
      </c>
      <c r="C158" s="3" t="s">
        <v>45</v>
      </c>
      <c r="D158" s="4">
        <v>1789</v>
      </c>
      <c r="E158" s="3" t="s">
        <v>49</v>
      </c>
      <c r="F158" s="3" t="s">
        <v>49</v>
      </c>
      <c r="G158" s="31">
        <v>22</v>
      </c>
      <c r="H158" s="31" t="s">
        <v>230</v>
      </c>
      <c r="I158" s="5">
        <v>110</v>
      </c>
      <c r="J158" s="5"/>
      <c r="K158" s="6"/>
      <c r="L158" s="11">
        <f t="shared" si="506"/>
        <v>110</v>
      </c>
      <c r="M158" s="7" t="s">
        <v>14</v>
      </c>
      <c r="N158" s="31"/>
      <c r="O158" s="9"/>
      <c r="P158" s="9" t="str">
        <f t="shared" si="507"/>
        <v/>
      </c>
      <c r="Q158" s="9">
        <f>73942/100</f>
        <v>739.42</v>
      </c>
      <c r="R158" s="30">
        <v>81336</v>
      </c>
      <c r="S158" s="9"/>
      <c r="T158" s="30">
        <f t="shared" ref="T158" si="581">S158*$L158</f>
        <v>0</v>
      </c>
      <c r="U158" s="9"/>
      <c r="V158" s="30">
        <f t="shared" si="486"/>
        <v>0</v>
      </c>
      <c r="W158" s="9"/>
      <c r="X158" s="30">
        <f t="shared" si="498"/>
        <v>0</v>
      </c>
      <c r="Y158" s="9"/>
      <c r="Z158" s="30">
        <f t="shared" si="499"/>
        <v>0</v>
      </c>
      <c r="AA158" s="9"/>
      <c r="AB158" s="30">
        <f t="shared" si="500"/>
        <v>0</v>
      </c>
      <c r="AC158" s="9"/>
      <c r="AD158" s="30">
        <f t="shared" si="501"/>
        <v>0</v>
      </c>
      <c r="AE158" s="9"/>
      <c r="AF158" s="30">
        <f t="shared" si="487"/>
        <v>0</v>
      </c>
      <c r="AG158" s="9"/>
      <c r="AH158" s="30">
        <f t="shared" si="488"/>
        <v>0</v>
      </c>
      <c r="AI158" s="9"/>
      <c r="AJ158" s="30">
        <f t="shared" ref="AJ158" si="582">AI158*$L158</f>
        <v>0</v>
      </c>
      <c r="AK158" s="9"/>
      <c r="AL158" s="30">
        <f t="shared" ref="AL158" si="583">AK158*$L158</f>
        <v>0</v>
      </c>
      <c r="AM158" s="9"/>
      <c r="AN158" s="30">
        <f t="shared" si="503"/>
        <v>0</v>
      </c>
      <c r="AO158" s="9"/>
      <c r="AP158" s="30">
        <f t="shared" si="490"/>
        <v>0</v>
      </c>
      <c r="AQ158" s="9"/>
      <c r="AR158" s="30">
        <f t="shared" si="491"/>
        <v>0</v>
      </c>
      <c r="AS158" s="9"/>
      <c r="AT158" s="30">
        <f t="shared" si="492"/>
        <v>0</v>
      </c>
      <c r="AU158" s="9"/>
      <c r="AV158" s="30">
        <f t="shared" si="493"/>
        <v>0</v>
      </c>
      <c r="AW158" s="9"/>
      <c r="AX158" s="30">
        <f t="shared" si="494"/>
        <v>0</v>
      </c>
      <c r="AY158" s="9"/>
      <c r="AZ158" s="30">
        <f t="shared" si="495"/>
        <v>0</v>
      </c>
      <c r="BA158" s="10">
        <f>73942/100</f>
        <v>739.42</v>
      </c>
      <c r="BB158" s="31">
        <v>81336</v>
      </c>
      <c r="BC158" s="15">
        <f t="shared" si="511"/>
        <v>81336</v>
      </c>
      <c r="BD158" s="9">
        <f t="shared" si="512"/>
        <v>0</v>
      </c>
      <c r="BE158" s="28">
        <f t="shared" si="513"/>
        <v>739.42</v>
      </c>
      <c r="BF158" s="8">
        <f t="shared" si="514"/>
        <v>0</v>
      </c>
      <c r="BG158" s="29">
        <f t="shared" si="504"/>
        <v>81336.2</v>
      </c>
      <c r="BH158" s="13">
        <f t="shared" si="515"/>
        <v>-0.19999999999708962</v>
      </c>
      <c r="BI158" s="2" t="str">
        <f t="shared" si="505"/>
        <v>erreur de calcul</v>
      </c>
      <c r="BJ158" s="2"/>
    </row>
    <row r="159" spans="1:62">
      <c r="A159" s="1" t="s">
        <v>12</v>
      </c>
      <c r="B159" s="3" t="s">
        <v>23</v>
      </c>
      <c r="C159" s="3" t="s">
        <v>45</v>
      </c>
      <c r="D159" s="4">
        <v>1789</v>
      </c>
      <c r="E159" s="3" t="s">
        <v>49</v>
      </c>
      <c r="F159" s="3" t="s">
        <v>49</v>
      </c>
      <c r="G159" s="31">
        <v>22</v>
      </c>
      <c r="H159" s="31" t="s">
        <v>231</v>
      </c>
      <c r="I159" s="5">
        <v>60</v>
      </c>
      <c r="J159" s="5"/>
      <c r="K159" s="6"/>
      <c r="L159" s="11">
        <f t="shared" si="506"/>
        <v>60</v>
      </c>
      <c r="M159" s="7" t="s">
        <v>14</v>
      </c>
      <c r="N159" s="31"/>
      <c r="O159" s="9"/>
      <c r="P159" s="9" t="str">
        <f t="shared" si="507"/>
        <v/>
      </c>
      <c r="Q159" s="9"/>
      <c r="R159" s="30">
        <f t="shared" ref="R159" si="584">Q159*$L159</f>
        <v>0</v>
      </c>
      <c r="S159" s="9"/>
      <c r="T159" s="30">
        <f t="shared" ref="T159" si="585">S159*$L159</f>
        <v>0</v>
      </c>
      <c r="U159" s="9"/>
      <c r="V159" s="30">
        <f t="shared" si="486"/>
        <v>0</v>
      </c>
      <c r="W159" s="9">
        <f>232/100</f>
        <v>2.3199999999999998</v>
      </c>
      <c r="X159" s="30">
        <v>139</v>
      </c>
      <c r="Y159" s="9">
        <f>5603/100</f>
        <v>56.03</v>
      </c>
      <c r="Z159" s="30">
        <v>3362</v>
      </c>
      <c r="AA159" s="9"/>
      <c r="AB159" s="30">
        <f t="shared" si="500"/>
        <v>0</v>
      </c>
      <c r="AC159" s="9">
        <f>1410/100</f>
        <v>14.1</v>
      </c>
      <c r="AD159" s="30">
        <v>846</v>
      </c>
      <c r="AE159" s="9"/>
      <c r="AF159" s="30">
        <f t="shared" si="487"/>
        <v>0</v>
      </c>
      <c r="AG159" s="9">
        <f>162899/100</f>
        <v>1628.99</v>
      </c>
      <c r="AH159" s="30">
        <v>97739</v>
      </c>
      <c r="AI159" s="9">
        <f>6506/100</f>
        <v>65.06</v>
      </c>
      <c r="AJ159" s="30">
        <v>3904</v>
      </c>
      <c r="AK159" s="9"/>
      <c r="AL159" s="30">
        <f t="shared" ref="AL159" si="586">AK159*$L159</f>
        <v>0</v>
      </c>
      <c r="AM159" s="9"/>
      <c r="AN159" s="30">
        <f t="shared" si="503"/>
        <v>0</v>
      </c>
      <c r="AO159" s="9"/>
      <c r="AP159" s="30">
        <f t="shared" si="490"/>
        <v>0</v>
      </c>
      <c r="AQ159" s="9"/>
      <c r="AR159" s="30">
        <f t="shared" si="491"/>
        <v>0</v>
      </c>
      <c r="AS159" s="9"/>
      <c r="AT159" s="30">
        <f t="shared" si="492"/>
        <v>0</v>
      </c>
      <c r="AU159" s="9"/>
      <c r="AV159" s="30">
        <f t="shared" si="493"/>
        <v>0</v>
      </c>
      <c r="AW159" s="9"/>
      <c r="AX159" s="30">
        <f t="shared" si="494"/>
        <v>0</v>
      </c>
      <c r="AY159" s="9"/>
      <c r="AZ159" s="30">
        <f t="shared" si="495"/>
        <v>0</v>
      </c>
      <c r="BA159" s="10">
        <f>176650/100</f>
        <v>1766.5</v>
      </c>
      <c r="BB159" s="31">
        <v>105990</v>
      </c>
      <c r="BC159" s="15">
        <f t="shared" si="511"/>
        <v>105990</v>
      </c>
      <c r="BD159" s="9">
        <f t="shared" si="512"/>
        <v>0</v>
      </c>
      <c r="BE159" s="28">
        <f t="shared" si="513"/>
        <v>1766.5</v>
      </c>
      <c r="BF159" s="8">
        <f t="shared" si="514"/>
        <v>0</v>
      </c>
      <c r="BG159" s="29">
        <f t="shared" si="504"/>
        <v>105990</v>
      </c>
      <c r="BH159" s="13">
        <f t="shared" si="515"/>
        <v>0</v>
      </c>
      <c r="BI159" s="2" t="str">
        <f t="shared" si="505"/>
        <v/>
      </c>
      <c r="BJ159" s="2"/>
    </row>
    <row r="160" spans="1:62">
      <c r="A160" s="1" t="s">
        <v>12</v>
      </c>
      <c r="B160" s="3" t="s">
        <v>23</v>
      </c>
      <c r="C160" s="3" t="s">
        <v>45</v>
      </c>
      <c r="D160" s="4">
        <v>1789</v>
      </c>
      <c r="E160" s="3" t="s">
        <v>49</v>
      </c>
      <c r="F160" s="3" t="s">
        <v>49</v>
      </c>
      <c r="G160" s="31">
        <v>22</v>
      </c>
      <c r="H160" s="31" t="s">
        <v>232</v>
      </c>
      <c r="I160" s="5">
        <v>710</v>
      </c>
      <c r="J160" s="5"/>
      <c r="K160" s="6"/>
      <c r="L160" s="11">
        <f t="shared" si="506"/>
        <v>710</v>
      </c>
      <c r="M160" s="7" t="s">
        <v>14</v>
      </c>
      <c r="N160" s="31"/>
      <c r="O160" s="9"/>
      <c r="P160" s="9" t="str">
        <f t="shared" si="507"/>
        <v/>
      </c>
      <c r="Q160" s="9"/>
      <c r="R160" s="30">
        <f t="shared" ref="R160" si="587">Q160*$L160</f>
        <v>0</v>
      </c>
      <c r="S160" s="9"/>
      <c r="T160" s="30">
        <f t="shared" ref="T160" si="588">S160*$L160</f>
        <v>0</v>
      </c>
      <c r="U160" s="9">
        <f>108/100</f>
        <v>1.08</v>
      </c>
      <c r="V160" s="30">
        <v>767</v>
      </c>
      <c r="W160" s="9">
        <f>1190/100</f>
        <v>11.9</v>
      </c>
      <c r="X160" s="30">
        <v>8449</v>
      </c>
      <c r="Y160" s="9">
        <f>487/100</f>
        <v>4.87</v>
      </c>
      <c r="Z160" s="30">
        <v>3458</v>
      </c>
      <c r="AA160" s="9"/>
      <c r="AB160" s="30">
        <f t="shared" si="500"/>
        <v>0</v>
      </c>
      <c r="AC160" s="9">
        <f>9170/100</f>
        <v>91.7</v>
      </c>
      <c r="AD160" s="30">
        <v>65107</v>
      </c>
      <c r="AE160" s="9">
        <f>531/100</f>
        <v>5.31</v>
      </c>
      <c r="AF160" s="30">
        <v>3770</v>
      </c>
      <c r="AG160" s="9"/>
      <c r="AH160" s="30">
        <f t="shared" si="488"/>
        <v>0</v>
      </c>
      <c r="AI160" s="9"/>
      <c r="AJ160" s="30">
        <f t="shared" ref="AJ160" si="589">AI160*$L160</f>
        <v>0</v>
      </c>
      <c r="AK160" s="9"/>
      <c r="AL160" s="30">
        <f t="shared" ref="AL160" si="590">AK160*$L160</f>
        <v>0</v>
      </c>
      <c r="AM160" s="9"/>
      <c r="AN160" s="30">
        <f t="shared" si="503"/>
        <v>0</v>
      </c>
      <c r="AO160" s="9"/>
      <c r="AP160" s="30">
        <f t="shared" si="490"/>
        <v>0</v>
      </c>
      <c r="AQ160" s="9"/>
      <c r="AR160" s="30">
        <f t="shared" si="491"/>
        <v>0</v>
      </c>
      <c r="AS160" s="9"/>
      <c r="AT160" s="30">
        <f t="shared" si="492"/>
        <v>0</v>
      </c>
      <c r="AU160" s="9"/>
      <c r="AV160" s="30">
        <f t="shared" si="493"/>
        <v>0</v>
      </c>
      <c r="AW160" s="9"/>
      <c r="AX160" s="30">
        <f t="shared" si="494"/>
        <v>0</v>
      </c>
      <c r="AY160" s="9"/>
      <c r="AZ160" s="30">
        <f t="shared" si="495"/>
        <v>0</v>
      </c>
      <c r="BA160" s="10">
        <f>11486/100</f>
        <v>114.86</v>
      </c>
      <c r="BB160" s="31">
        <v>81551</v>
      </c>
      <c r="BC160" s="15">
        <f t="shared" si="511"/>
        <v>81551</v>
      </c>
      <c r="BD160" s="9">
        <f t="shared" si="512"/>
        <v>0</v>
      </c>
      <c r="BE160" s="28">
        <f t="shared" si="513"/>
        <v>114.86000000000001</v>
      </c>
      <c r="BF160" s="8">
        <f t="shared" si="514"/>
        <v>0</v>
      </c>
      <c r="BG160" s="29">
        <f t="shared" si="504"/>
        <v>81550.600000000006</v>
      </c>
      <c r="BH160" s="13">
        <f t="shared" si="515"/>
        <v>0.39999999999417923</v>
      </c>
      <c r="BI160" s="2" t="str">
        <f t="shared" si="505"/>
        <v>erreur de calcul</v>
      </c>
      <c r="BJ160" s="2"/>
    </row>
    <row r="161" spans="1:62">
      <c r="A161" s="1" t="s">
        <v>12</v>
      </c>
      <c r="B161" s="3" t="s">
        <v>23</v>
      </c>
      <c r="C161" s="3" t="s">
        <v>45</v>
      </c>
      <c r="D161" s="4">
        <v>1789</v>
      </c>
      <c r="E161" s="3" t="s">
        <v>49</v>
      </c>
      <c r="F161" s="3" t="s">
        <v>49</v>
      </c>
      <c r="G161" s="31">
        <v>22</v>
      </c>
      <c r="H161" s="31" t="s">
        <v>233</v>
      </c>
      <c r="I161" s="5">
        <v>91</v>
      </c>
      <c r="J161" s="5"/>
      <c r="K161" s="6"/>
      <c r="L161" s="11">
        <f t="shared" si="506"/>
        <v>91</v>
      </c>
      <c r="M161" s="7" t="s">
        <v>14</v>
      </c>
      <c r="N161" s="31"/>
      <c r="O161" s="9"/>
      <c r="P161" s="9" t="str">
        <f t="shared" si="507"/>
        <v/>
      </c>
      <c r="Q161" s="9"/>
      <c r="R161" s="30">
        <f t="shared" ref="R161" si="591">Q161*$L161</f>
        <v>0</v>
      </c>
      <c r="S161" s="9"/>
      <c r="T161" s="30">
        <f t="shared" ref="T161" si="592">S161*$L161</f>
        <v>0</v>
      </c>
      <c r="U161" s="9"/>
      <c r="V161" s="30">
        <f t="shared" si="486"/>
        <v>0</v>
      </c>
      <c r="W161" s="9">
        <f>3384/100</f>
        <v>33.840000000000003</v>
      </c>
      <c r="X161" s="30">
        <v>3079</v>
      </c>
      <c r="Y161" s="9">
        <f>18105/100</f>
        <v>181.05</v>
      </c>
      <c r="Z161" s="30">
        <v>16475</v>
      </c>
      <c r="AA161" s="9"/>
      <c r="AB161" s="30">
        <f t="shared" si="500"/>
        <v>0</v>
      </c>
      <c r="AC161" s="9"/>
      <c r="AD161" s="30">
        <f t="shared" si="501"/>
        <v>0</v>
      </c>
      <c r="AE161" s="9"/>
      <c r="AF161" s="30">
        <f t="shared" si="487"/>
        <v>0</v>
      </c>
      <c r="AG161" s="9"/>
      <c r="AH161" s="30">
        <f t="shared" si="488"/>
        <v>0</v>
      </c>
      <c r="AI161" s="9"/>
      <c r="AJ161" s="30">
        <f t="shared" ref="AJ161" si="593">AI161*$L161</f>
        <v>0</v>
      </c>
      <c r="AK161" s="9"/>
      <c r="AL161" s="30">
        <f t="shared" ref="AL161" si="594">AK161*$L161</f>
        <v>0</v>
      </c>
      <c r="AM161" s="9"/>
      <c r="AN161" s="30">
        <f t="shared" si="503"/>
        <v>0</v>
      </c>
      <c r="AO161" s="9"/>
      <c r="AP161" s="30">
        <f t="shared" si="490"/>
        <v>0</v>
      </c>
      <c r="AQ161" s="9"/>
      <c r="AR161" s="30">
        <f t="shared" si="491"/>
        <v>0</v>
      </c>
      <c r="AS161" s="9"/>
      <c r="AT161" s="30">
        <f t="shared" si="492"/>
        <v>0</v>
      </c>
      <c r="AU161" s="9"/>
      <c r="AV161" s="30">
        <f t="shared" si="493"/>
        <v>0</v>
      </c>
      <c r="AW161" s="9"/>
      <c r="AX161" s="30">
        <f t="shared" si="494"/>
        <v>0</v>
      </c>
      <c r="AY161" s="9"/>
      <c r="AZ161" s="30">
        <f t="shared" si="495"/>
        <v>0</v>
      </c>
      <c r="BA161" s="10">
        <f>21489/100</f>
        <v>214.89</v>
      </c>
      <c r="BB161" s="31">
        <v>19554</v>
      </c>
      <c r="BC161" s="15">
        <f t="shared" si="511"/>
        <v>19554</v>
      </c>
      <c r="BD161" s="9">
        <f t="shared" si="512"/>
        <v>0</v>
      </c>
      <c r="BE161" s="28">
        <f t="shared" si="513"/>
        <v>214.89000000000001</v>
      </c>
      <c r="BF161" s="8">
        <f t="shared" si="514"/>
        <v>0</v>
      </c>
      <c r="BG161" s="29">
        <f t="shared" si="504"/>
        <v>19554.990000000002</v>
      </c>
      <c r="BH161" s="13">
        <f t="shared" si="515"/>
        <v>-0.99000000000160071</v>
      </c>
      <c r="BI161" s="2" t="str">
        <f t="shared" si="505"/>
        <v>erreur de calcul</v>
      </c>
      <c r="BJ161" s="2"/>
    </row>
    <row r="162" spans="1:62">
      <c r="A162" s="1" t="s">
        <v>12</v>
      </c>
      <c r="B162" s="3" t="s">
        <v>23</v>
      </c>
      <c r="C162" s="3" t="s">
        <v>45</v>
      </c>
      <c r="D162" s="4">
        <v>1789</v>
      </c>
      <c r="E162" s="3" t="s">
        <v>49</v>
      </c>
      <c r="F162" s="3" t="s">
        <v>49</v>
      </c>
      <c r="G162" s="31">
        <v>22</v>
      </c>
      <c r="H162" s="31" t="s">
        <v>234</v>
      </c>
      <c r="I162" s="5">
        <v>40</v>
      </c>
      <c r="J162" s="5"/>
      <c r="K162" s="6"/>
      <c r="L162" s="11">
        <f t="shared" si="506"/>
        <v>40</v>
      </c>
      <c r="M162" s="7" t="s">
        <v>15</v>
      </c>
      <c r="N162" s="31"/>
      <c r="O162" s="9"/>
      <c r="P162" s="9" t="str">
        <f t="shared" si="507"/>
        <v/>
      </c>
      <c r="Q162" s="9">
        <v>150</v>
      </c>
      <c r="R162" s="30">
        <v>6000</v>
      </c>
      <c r="S162" s="9"/>
      <c r="T162" s="30">
        <f t="shared" ref="T162" si="595">S162*$L162</f>
        <v>0</v>
      </c>
      <c r="U162" s="9">
        <v>467</v>
      </c>
      <c r="V162" s="30">
        <v>18680</v>
      </c>
      <c r="W162" s="9">
        <v>1124</v>
      </c>
      <c r="X162" s="30">
        <v>44960</v>
      </c>
      <c r="Y162" s="9">
        <v>591</v>
      </c>
      <c r="Z162" s="30">
        <v>23640</v>
      </c>
      <c r="AA162" s="9"/>
      <c r="AB162" s="30">
        <f t="shared" si="500"/>
        <v>0</v>
      </c>
      <c r="AC162" s="9">
        <v>554</v>
      </c>
      <c r="AD162" s="30">
        <v>22160</v>
      </c>
      <c r="AE162" s="9"/>
      <c r="AF162" s="30">
        <f t="shared" si="487"/>
        <v>0</v>
      </c>
      <c r="AG162" s="9"/>
      <c r="AH162" s="30">
        <f t="shared" si="488"/>
        <v>0</v>
      </c>
      <c r="AI162" s="9">
        <v>1109</v>
      </c>
      <c r="AJ162" s="30">
        <v>44360</v>
      </c>
      <c r="AK162" s="9"/>
      <c r="AL162" s="30">
        <f t="shared" ref="AL162" si="596">AK162*$L162</f>
        <v>0</v>
      </c>
      <c r="AM162" s="9"/>
      <c r="AN162" s="30">
        <f t="shared" si="503"/>
        <v>0</v>
      </c>
      <c r="AO162" s="9"/>
      <c r="AP162" s="30">
        <f t="shared" si="490"/>
        <v>0</v>
      </c>
      <c r="AQ162" s="9"/>
      <c r="AR162" s="30">
        <f t="shared" si="491"/>
        <v>0</v>
      </c>
      <c r="AS162" s="9"/>
      <c r="AT162" s="30">
        <f t="shared" si="492"/>
        <v>0</v>
      </c>
      <c r="AU162" s="9"/>
      <c r="AV162" s="30">
        <f t="shared" si="493"/>
        <v>0</v>
      </c>
      <c r="AW162" s="9"/>
      <c r="AX162" s="30">
        <f t="shared" si="494"/>
        <v>0</v>
      </c>
      <c r="AY162" s="9"/>
      <c r="AZ162" s="30">
        <f t="shared" si="495"/>
        <v>0</v>
      </c>
      <c r="BA162" s="10">
        <v>3995</v>
      </c>
      <c r="BB162" s="31">
        <v>159800</v>
      </c>
      <c r="BC162" s="15">
        <f t="shared" si="511"/>
        <v>159800</v>
      </c>
      <c r="BD162" s="9">
        <f t="shared" si="512"/>
        <v>0</v>
      </c>
      <c r="BE162" s="28">
        <f t="shared" si="513"/>
        <v>3995</v>
      </c>
      <c r="BF162" s="8">
        <f t="shared" si="514"/>
        <v>0</v>
      </c>
      <c r="BG162" s="29">
        <f t="shared" si="504"/>
        <v>159800</v>
      </c>
      <c r="BH162" s="13">
        <f t="shared" si="515"/>
        <v>0</v>
      </c>
      <c r="BI162" s="2" t="str">
        <f t="shared" si="505"/>
        <v/>
      </c>
      <c r="BJ162" s="2"/>
    </row>
    <row r="163" spans="1:62">
      <c r="A163" s="1" t="s">
        <v>12</v>
      </c>
      <c r="B163" s="3" t="s">
        <v>23</v>
      </c>
      <c r="C163" s="3" t="s">
        <v>45</v>
      </c>
      <c r="D163" s="4">
        <v>1789</v>
      </c>
      <c r="E163" s="3" t="s">
        <v>49</v>
      </c>
      <c r="F163" s="3" t="s">
        <v>49</v>
      </c>
      <c r="G163" s="31">
        <v>22</v>
      </c>
      <c r="H163" s="31" t="s">
        <v>235</v>
      </c>
      <c r="I163" s="5">
        <v>48</v>
      </c>
      <c r="J163" s="5"/>
      <c r="K163" s="6"/>
      <c r="L163" s="11">
        <f t="shared" si="506"/>
        <v>48</v>
      </c>
      <c r="M163" s="7" t="s">
        <v>15</v>
      </c>
      <c r="N163" s="31"/>
      <c r="O163" s="9"/>
      <c r="P163" s="9" t="str">
        <f t="shared" si="507"/>
        <v/>
      </c>
      <c r="Q163" s="9"/>
      <c r="R163" s="30">
        <f t="shared" ref="R163" si="597">Q163*$L163</f>
        <v>0</v>
      </c>
      <c r="S163" s="9"/>
      <c r="T163" s="30">
        <f t="shared" ref="T163" si="598">S163*$L163</f>
        <v>0</v>
      </c>
      <c r="U163" s="9">
        <v>690</v>
      </c>
      <c r="V163" s="30">
        <v>33120</v>
      </c>
      <c r="W163" s="9">
        <v>3577</v>
      </c>
      <c r="X163" s="30">
        <v>171696</v>
      </c>
      <c r="Y163" s="9"/>
      <c r="Z163" s="30">
        <f t="shared" si="499"/>
        <v>0</v>
      </c>
      <c r="AA163" s="9"/>
      <c r="AB163" s="30">
        <f t="shared" si="500"/>
        <v>0</v>
      </c>
      <c r="AC163" s="9"/>
      <c r="AD163" s="30">
        <f t="shared" si="501"/>
        <v>0</v>
      </c>
      <c r="AE163" s="9"/>
      <c r="AF163" s="30">
        <f t="shared" si="487"/>
        <v>0</v>
      </c>
      <c r="AG163" s="9"/>
      <c r="AH163" s="30">
        <f t="shared" si="488"/>
        <v>0</v>
      </c>
      <c r="AI163" s="9"/>
      <c r="AJ163" s="30">
        <f t="shared" ref="AJ163" si="599">AI163*$L163</f>
        <v>0</v>
      </c>
      <c r="AK163" s="9"/>
      <c r="AL163" s="30">
        <f t="shared" ref="AL163" si="600">AK163*$L163</f>
        <v>0</v>
      </c>
      <c r="AM163" s="9"/>
      <c r="AN163" s="30">
        <f t="shared" si="503"/>
        <v>0</v>
      </c>
      <c r="AO163" s="9"/>
      <c r="AP163" s="30">
        <f t="shared" si="490"/>
        <v>0</v>
      </c>
      <c r="AQ163" s="9"/>
      <c r="AR163" s="30">
        <f t="shared" si="491"/>
        <v>0</v>
      </c>
      <c r="AS163" s="9"/>
      <c r="AT163" s="30">
        <f t="shared" si="492"/>
        <v>0</v>
      </c>
      <c r="AU163" s="9"/>
      <c r="AV163" s="30">
        <f t="shared" si="493"/>
        <v>0</v>
      </c>
      <c r="AW163" s="9"/>
      <c r="AX163" s="30">
        <f t="shared" si="494"/>
        <v>0</v>
      </c>
      <c r="AY163" s="9"/>
      <c r="AZ163" s="30">
        <f t="shared" si="495"/>
        <v>0</v>
      </c>
      <c r="BA163" s="10">
        <v>4267</v>
      </c>
      <c r="BB163" s="31">
        <v>204816</v>
      </c>
      <c r="BC163" s="15">
        <f t="shared" si="511"/>
        <v>204816</v>
      </c>
      <c r="BD163" s="9">
        <f t="shared" si="512"/>
        <v>0</v>
      </c>
      <c r="BE163" s="28">
        <f t="shared" si="513"/>
        <v>4267</v>
      </c>
      <c r="BF163" s="8">
        <f t="shared" si="514"/>
        <v>0</v>
      </c>
      <c r="BG163" s="29">
        <f t="shared" si="504"/>
        <v>204816</v>
      </c>
      <c r="BH163" s="13">
        <f t="shared" si="515"/>
        <v>0</v>
      </c>
      <c r="BI163" s="2" t="str">
        <f t="shared" si="505"/>
        <v/>
      </c>
      <c r="BJ163" s="2"/>
    </row>
    <row r="164" spans="1:62">
      <c r="A164" s="1" t="s">
        <v>12</v>
      </c>
      <c r="B164" s="3" t="s">
        <v>23</v>
      </c>
      <c r="C164" s="3" t="s">
        <v>45</v>
      </c>
      <c r="D164" s="4">
        <v>1789</v>
      </c>
      <c r="E164" s="3" t="s">
        <v>49</v>
      </c>
      <c r="F164" s="3" t="s">
        <v>49</v>
      </c>
      <c r="G164" s="31">
        <v>22</v>
      </c>
      <c r="H164" s="31" t="s">
        <v>236</v>
      </c>
      <c r="I164" s="5">
        <v>30</v>
      </c>
      <c r="J164" s="5"/>
      <c r="K164" s="6"/>
      <c r="L164" s="11">
        <f t="shared" si="506"/>
        <v>30</v>
      </c>
      <c r="M164" s="7" t="s">
        <v>15</v>
      </c>
      <c r="N164" s="31"/>
      <c r="O164" s="9"/>
      <c r="P164" s="9" t="str">
        <f t="shared" si="507"/>
        <v/>
      </c>
      <c r="Q164" s="9"/>
      <c r="R164" s="30">
        <f t="shared" ref="R164" si="601">Q164*$L164</f>
        <v>0</v>
      </c>
      <c r="S164" s="9"/>
      <c r="T164" s="30">
        <f t="shared" ref="T164" si="602">S164*$L164</f>
        <v>0</v>
      </c>
      <c r="U164" s="9"/>
      <c r="V164" s="30">
        <f t="shared" si="486"/>
        <v>0</v>
      </c>
      <c r="W164" s="9"/>
      <c r="X164" s="30">
        <f t="shared" si="498"/>
        <v>0</v>
      </c>
      <c r="Y164" s="9"/>
      <c r="Z164" s="30">
        <f t="shared" si="499"/>
        <v>0</v>
      </c>
      <c r="AA164" s="9"/>
      <c r="AB164" s="30">
        <f t="shared" si="500"/>
        <v>0</v>
      </c>
      <c r="AC164" s="9"/>
      <c r="AD164" s="30">
        <f t="shared" si="501"/>
        <v>0</v>
      </c>
      <c r="AE164" s="9"/>
      <c r="AF164" s="30">
        <f t="shared" si="487"/>
        <v>0</v>
      </c>
      <c r="AG164" s="9"/>
      <c r="AH164" s="30">
        <f t="shared" si="488"/>
        <v>0</v>
      </c>
      <c r="AI164" s="9">
        <v>4770</v>
      </c>
      <c r="AJ164" s="30">
        <v>143100</v>
      </c>
      <c r="AK164" s="9"/>
      <c r="AL164" s="30">
        <f t="shared" ref="AL164" si="603">AK164*$L164</f>
        <v>0</v>
      </c>
      <c r="AM164" s="9"/>
      <c r="AN164" s="30">
        <f t="shared" si="503"/>
        <v>0</v>
      </c>
      <c r="AO164" s="9"/>
      <c r="AP164" s="30">
        <f t="shared" si="490"/>
        <v>0</v>
      </c>
      <c r="AQ164" s="9"/>
      <c r="AR164" s="30">
        <f t="shared" si="491"/>
        <v>0</v>
      </c>
      <c r="AS164" s="9"/>
      <c r="AT164" s="30">
        <f t="shared" si="492"/>
        <v>0</v>
      </c>
      <c r="AU164" s="9"/>
      <c r="AV164" s="30">
        <f t="shared" si="493"/>
        <v>0</v>
      </c>
      <c r="AW164" s="9"/>
      <c r="AX164" s="30">
        <f t="shared" si="494"/>
        <v>0</v>
      </c>
      <c r="AY164" s="9"/>
      <c r="AZ164" s="30">
        <f t="shared" si="495"/>
        <v>0</v>
      </c>
      <c r="BA164" s="10">
        <v>4770</v>
      </c>
      <c r="BB164" s="31">
        <v>143100</v>
      </c>
      <c r="BC164" s="15">
        <f t="shared" si="511"/>
        <v>143100</v>
      </c>
      <c r="BD164" s="9">
        <f t="shared" si="512"/>
        <v>0</v>
      </c>
      <c r="BE164" s="28">
        <f t="shared" si="513"/>
        <v>4770</v>
      </c>
      <c r="BF164" s="8">
        <f t="shared" si="514"/>
        <v>0</v>
      </c>
      <c r="BG164" s="29">
        <f t="shared" si="504"/>
        <v>143100</v>
      </c>
      <c r="BH164" s="13">
        <f t="shared" si="515"/>
        <v>0</v>
      </c>
      <c r="BI164" s="2" t="str">
        <f t="shared" si="505"/>
        <v/>
      </c>
      <c r="BJ164" s="2"/>
    </row>
    <row r="165" spans="1:62">
      <c r="A165" s="1" t="s">
        <v>12</v>
      </c>
      <c r="B165" s="3" t="s">
        <v>23</v>
      </c>
      <c r="C165" s="3" t="s">
        <v>45</v>
      </c>
      <c r="D165" s="4">
        <v>1789</v>
      </c>
      <c r="E165" s="3" t="s">
        <v>49</v>
      </c>
      <c r="F165" s="3" t="s">
        <v>49</v>
      </c>
      <c r="G165" s="31">
        <v>22</v>
      </c>
      <c r="H165" s="31" t="s">
        <v>35</v>
      </c>
      <c r="I165" s="5">
        <v>24</v>
      </c>
      <c r="J165" s="5"/>
      <c r="K165" s="6"/>
      <c r="L165" s="11">
        <f t="shared" si="506"/>
        <v>24</v>
      </c>
      <c r="M165" s="7" t="s">
        <v>14</v>
      </c>
      <c r="N165" s="31"/>
      <c r="O165" s="9"/>
      <c r="P165" s="9" t="str">
        <f t="shared" si="507"/>
        <v/>
      </c>
      <c r="Q165" s="9">
        <f>188958/100</f>
        <v>1889.58</v>
      </c>
      <c r="R165" s="30">
        <v>45350</v>
      </c>
      <c r="S165" s="9"/>
      <c r="T165" s="30">
        <f t="shared" ref="T165" si="604">S165*$L165</f>
        <v>0</v>
      </c>
      <c r="U165" s="9"/>
      <c r="V165" s="30">
        <f t="shared" si="486"/>
        <v>0</v>
      </c>
      <c r="W165" s="9">
        <f>10567/100</f>
        <v>105.67</v>
      </c>
      <c r="X165" s="30">
        <v>2536</v>
      </c>
      <c r="Y165" s="9">
        <f>9467/100</f>
        <v>94.67</v>
      </c>
      <c r="Z165" s="30">
        <v>2272</v>
      </c>
      <c r="AA165" s="9"/>
      <c r="AB165" s="30">
        <f t="shared" si="500"/>
        <v>0</v>
      </c>
      <c r="AC165" s="9"/>
      <c r="AD165" s="30">
        <f t="shared" si="501"/>
        <v>0</v>
      </c>
      <c r="AE165" s="9"/>
      <c r="AF165" s="30">
        <f t="shared" si="487"/>
        <v>0</v>
      </c>
      <c r="AG165" s="9"/>
      <c r="AH165" s="30">
        <f t="shared" si="488"/>
        <v>0</v>
      </c>
      <c r="AI165" s="9"/>
      <c r="AJ165" s="30">
        <f t="shared" ref="AJ165" si="605">AI165*$L165</f>
        <v>0</v>
      </c>
      <c r="AK165" s="9"/>
      <c r="AL165" s="30">
        <f t="shared" ref="AL165" si="606">AK165*$L165</f>
        <v>0</v>
      </c>
      <c r="AM165" s="9"/>
      <c r="AN165" s="30">
        <f t="shared" si="503"/>
        <v>0</v>
      </c>
      <c r="AO165" s="9"/>
      <c r="AP165" s="30">
        <f t="shared" si="490"/>
        <v>0</v>
      </c>
      <c r="AQ165" s="9"/>
      <c r="AR165" s="30">
        <f t="shared" si="491"/>
        <v>0</v>
      </c>
      <c r="AS165" s="9"/>
      <c r="AT165" s="30">
        <f t="shared" si="492"/>
        <v>0</v>
      </c>
      <c r="AU165" s="9"/>
      <c r="AV165" s="30">
        <f t="shared" si="493"/>
        <v>0</v>
      </c>
      <c r="AW165" s="9"/>
      <c r="AX165" s="30">
        <f t="shared" si="494"/>
        <v>0</v>
      </c>
      <c r="AY165" s="9">
        <f>328659/100</f>
        <v>3286.59</v>
      </c>
      <c r="AZ165" s="30">
        <v>78878</v>
      </c>
      <c r="BA165" s="10">
        <f>537651/100</f>
        <v>5376.51</v>
      </c>
      <c r="BB165" s="31">
        <v>129036</v>
      </c>
      <c r="BC165" s="15">
        <f t="shared" si="511"/>
        <v>129036</v>
      </c>
      <c r="BD165" s="9">
        <f t="shared" si="512"/>
        <v>0</v>
      </c>
      <c r="BE165" s="28">
        <f t="shared" si="513"/>
        <v>5376.51</v>
      </c>
      <c r="BF165" s="8">
        <f t="shared" si="514"/>
        <v>0</v>
      </c>
      <c r="BG165" s="29">
        <f t="shared" si="504"/>
        <v>129036.24</v>
      </c>
      <c r="BH165" s="13">
        <f t="shared" si="515"/>
        <v>-0.24000000000523869</v>
      </c>
      <c r="BI165" s="2" t="str">
        <f t="shared" si="505"/>
        <v>erreur de calcul</v>
      </c>
      <c r="BJ165" s="2"/>
    </row>
    <row r="166" spans="1:62">
      <c r="A166" s="1" t="s">
        <v>12</v>
      </c>
      <c r="B166" s="3" t="s">
        <v>23</v>
      </c>
      <c r="C166" s="3" t="s">
        <v>45</v>
      </c>
      <c r="D166" s="4">
        <v>1789</v>
      </c>
      <c r="E166" s="3" t="s">
        <v>49</v>
      </c>
      <c r="F166" s="3" t="s">
        <v>49</v>
      </c>
      <c r="G166" s="31">
        <v>22</v>
      </c>
      <c r="H166" s="31" t="s">
        <v>237</v>
      </c>
      <c r="I166" s="5">
        <v>41</v>
      </c>
      <c r="J166" s="5"/>
      <c r="K166" s="6"/>
      <c r="L166" s="11">
        <f t="shared" si="506"/>
        <v>41</v>
      </c>
      <c r="M166" s="7" t="s">
        <v>14</v>
      </c>
      <c r="N166" s="31"/>
      <c r="O166" s="9"/>
      <c r="P166" s="9" t="str">
        <f t="shared" si="507"/>
        <v/>
      </c>
      <c r="Q166" s="9"/>
      <c r="R166" s="30">
        <f t="shared" ref="R166" si="607">Q166*$L166</f>
        <v>0</v>
      </c>
      <c r="S166" s="9"/>
      <c r="T166" s="30">
        <f t="shared" ref="T166" si="608">S166*$L166</f>
        <v>0</v>
      </c>
      <c r="U166" s="9">
        <f>441/100</f>
        <v>4.41</v>
      </c>
      <c r="V166" s="30">
        <v>181</v>
      </c>
      <c r="W166" s="9"/>
      <c r="X166" s="30">
        <f t="shared" si="498"/>
        <v>0</v>
      </c>
      <c r="Y166" s="9"/>
      <c r="Z166" s="30">
        <f t="shared" si="499"/>
        <v>0</v>
      </c>
      <c r="AA166" s="9"/>
      <c r="AB166" s="30">
        <f t="shared" si="500"/>
        <v>0</v>
      </c>
      <c r="AC166" s="9"/>
      <c r="AD166" s="30">
        <f t="shared" si="501"/>
        <v>0</v>
      </c>
      <c r="AE166" s="9"/>
      <c r="AF166" s="30">
        <f t="shared" si="487"/>
        <v>0</v>
      </c>
      <c r="AG166" s="9"/>
      <c r="AH166" s="30">
        <f t="shared" si="488"/>
        <v>0</v>
      </c>
      <c r="AI166" s="9"/>
      <c r="AJ166" s="30">
        <f t="shared" ref="AJ166" si="609">AI166*$L166</f>
        <v>0</v>
      </c>
      <c r="AK166" s="9"/>
      <c r="AL166" s="30">
        <f t="shared" ref="AL166" si="610">AK166*$L166</f>
        <v>0</v>
      </c>
      <c r="AM166" s="9"/>
      <c r="AN166" s="30">
        <f t="shared" si="503"/>
        <v>0</v>
      </c>
      <c r="AO166" s="9"/>
      <c r="AP166" s="30">
        <f t="shared" si="490"/>
        <v>0</v>
      </c>
      <c r="AQ166" s="9"/>
      <c r="AR166" s="30">
        <f t="shared" si="491"/>
        <v>0</v>
      </c>
      <c r="AS166" s="9"/>
      <c r="AT166" s="30">
        <f t="shared" si="492"/>
        <v>0</v>
      </c>
      <c r="AU166" s="9"/>
      <c r="AV166" s="30">
        <f t="shared" si="493"/>
        <v>0</v>
      </c>
      <c r="AW166" s="9"/>
      <c r="AX166" s="30">
        <f t="shared" si="494"/>
        <v>0</v>
      </c>
      <c r="AY166" s="9"/>
      <c r="AZ166" s="30">
        <f t="shared" si="495"/>
        <v>0</v>
      </c>
      <c r="BA166" s="10">
        <f>441/100</f>
        <v>4.41</v>
      </c>
      <c r="BB166" s="31">
        <v>181</v>
      </c>
      <c r="BC166" s="15">
        <f t="shared" si="511"/>
        <v>181</v>
      </c>
      <c r="BD166" s="9">
        <f t="shared" si="512"/>
        <v>0</v>
      </c>
      <c r="BE166" s="28">
        <f t="shared" si="513"/>
        <v>4.41</v>
      </c>
      <c r="BF166" s="8">
        <f t="shared" si="514"/>
        <v>0</v>
      </c>
      <c r="BG166" s="29">
        <f t="shared" si="504"/>
        <v>180.81</v>
      </c>
      <c r="BH166" s="13">
        <f t="shared" si="515"/>
        <v>0.18999999999999773</v>
      </c>
      <c r="BI166" s="2" t="str">
        <f t="shared" si="505"/>
        <v>erreur de calcul</v>
      </c>
      <c r="BJ166" s="2"/>
    </row>
    <row r="167" spans="1:62">
      <c r="A167" s="1" t="s">
        <v>12</v>
      </c>
      <c r="B167" s="3" t="s">
        <v>23</v>
      </c>
      <c r="C167" s="3" t="s">
        <v>45</v>
      </c>
      <c r="D167" s="4">
        <v>1789</v>
      </c>
      <c r="E167" s="3" t="s">
        <v>49</v>
      </c>
      <c r="F167" s="3" t="s">
        <v>49</v>
      </c>
      <c r="G167" s="31">
        <v>23</v>
      </c>
      <c r="H167" s="31" t="s">
        <v>238</v>
      </c>
      <c r="I167" s="5"/>
      <c r="J167" s="5"/>
      <c r="K167" s="6"/>
      <c r="L167" s="11">
        <f t="shared" si="506"/>
        <v>0</v>
      </c>
      <c r="M167" s="7"/>
      <c r="N167" s="31"/>
      <c r="O167" s="9"/>
      <c r="P167" s="9" t="str">
        <f t="shared" si="507"/>
        <v/>
      </c>
      <c r="Q167" s="9"/>
      <c r="R167" s="30">
        <f t="shared" ref="R167" si="611">Q167*$L167</f>
        <v>0</v>
      </c>
      <c r="S167" s="9"/>
      <c r="T167" s="30">
        <f t="shared" ref="T167" si="612">S167*$L167</f>
        <v>0</v>
      </c>
      <c r="U167" s="9"/>
      <c r="V167" s="30">
        <f t="shared" si="486"/>
        <v>0</v>
      </c>
      <c r="W167" s="9"/>
      <c r="X167" s="30">
        <v>100</v>
      </c>
      <c r="Y167" s="9"/>
      <c r="Z167" s="30">
        <v>563</v>
      </c>
      <c r="AA167" s="9"/>
      <c r="AB167" s="30">
        <f t="shared" si="500"/>
        <v>0</v>
      </c>
      <c r="AC167" s="9"/>
      <c r="AD167" s="30">
        <f t="shared" si="501"/>
        <v>0</v>
      </c>
      <c r="AE167" s="9"/>
      <c r="AF167" s="30">
        <f t="shared" si="487"/>
        <v>0</v>
      </c>
      <c r="AG167" s="9"/>
      <c r="AH167" s="30">
        <f t="shared" si="488"/>
        <v>0</v>
      </c>
      <c r="AI167" s="9"/>
      <c r="AJ167" s="30">
        <f t="shared" ref="AJ167" si="613">AI167*$L167</f>
        <v>0</v>
      </c>
      <c r="AK167" s="9"/>
      <c r="AL167" s="30">
        <v>1015</v>
      </c>
      <c r="AM167" s="9"/>
      <c r="AN167" s="30">
        <f t="shared" si="503"/>
        <v>0</v>
      </c>
      <c r="AO167" s="9"/>
      <c r="AP167" s="30">
        <f t="shared" si="490"/>
        <v>0</v>
      </c>
      <c r="AQ167" s="9"/>
      <c r="AR167" s="30">
        <f t="shared" si="491"/>
        <v>0</v>
      </c>
      <c r="AS167" s="9"/>
      <c r="AT167" s="30">
        <f t="shared" si="492"/>
        <v>0</v>
      </c>
      <c r="AU167" s="9"/>
      <c r="AV167" s="30">
        <f t="shared" si="493"/>
        <v>0</v>
      </c>
      <c r="AW167" s="9"/>
      <c r="AX167" s="30">
        <f t="shared" si="494"/>
        <v>0</v>
      </c>
      <c r="AY167" s="9"/>
      <c r="AZ167" s="30">
        <f t="shared" si="495"/>
        <v>0</v>
      </c>
      <c r="BA167" s="10"/>
      <c r="BB167" s="31">
        <v>1678</v>
      </c>
      <c r="BC167" s="15">
        <f t="shared" si="511"/>
        <v>1678</v>
      </c>
      <c r="BD167" s="9">
        <f t="shared" si="512"/>
        <v>0</v>
      </c>
      <c r="BE167" s="28">
        <f t="shared" si="513"/>
        <v>0</v>
      </c>
      <c r="BF167" s="8">
        <f t="shared" si="514"/>
        <v>0</v>
      </c>
      <c r="BG167" s="29">
        <f t="shared" si="504"/>
        <v>0</v>
      </c>
      <c r="BH167" s="13">
        <f t="shared" si="515"/>
        <v>1678</v>
      </c>
      <c r="BI167" s="2" t="str">
        <f t="shared" si="505"/>
        <v>pas de prix, ni de quantité</v>
      </c>
      <c r="BJ167" s="2"/>
    </row>
    <row r="168" spans="1:62">
      <c r="A168" s="1" t="s">
        <v>12</v>
      </c>
      <c r="B168" s="3" t="s">
        <v>23</v>
      </c>
      <c r="C168" s="3" t="s">
        <v>45</v>
      </c>
      <c r="D168" s="4">
        <v>1789</v>
      </c>
      <c r="E168" s="3" t="s">
        <v>49</v>
      </c>
      <c r="F168" s="3" t="s">
        <v>49</v>
      </c>
      <c r="G168" s="31">
        <v>23</v>
      </c>
      <c r="H168" s="31" t="s">
        <v>241</v>
      </c>
      <c r="I168" s="5">
        <v>22</v>
      </c>
      <c r="J168" s="5"/>
      <c r="K168" s="6"/>
      <c r="L168" s="11">
        <f t="shared" si="506"/>
        <v>22</v>
      </c>
      <c r="M168" s="7" t="s">
        <v>14</v>
      </c>
      <c r="N168" s="31"/>
      <c r="O168" s="9"/>
      <c r="P168" s="9" t="str">
        <f t="shared" si="507"/>
        <v/>
      </c>
      <c r="Q168" s="9"/>
      <c r="R168" s="30">
        <f t="shared" ref="R168" si="614">Q168*$L168</f>
        <v>0</v>
      </c>
      <c r="S168" s="9"/>
      <c r="T168" s="30">
        <f t="shared" ref="T168" si="615">S168*$L168</f>
        <v>0</v>
      </c>
      <c r="U168" s="9"/>
      <c r="V168" s="30">
        <f t="shared" si="486"/>
        <v>0</v>
      </c>
      <c r="W168" s="9">
        <f>15346/100</f>
        <v>153.46</v>
      </c>
      <c r="X168" s="30">
        <v>3376</v>
      </c>
      <c r="Y168" s="9"/>
      <c r="Z168" s="30">
        <f t="shared" si="499"/>
        <v>0</v>
      </c>
      <c r="AA168" s="9"/>
      <c r="AB168" s="30">
        <f t="shared" si="500"/>
        <v>0</v>
      </c>
      <c r="AC168" s="9"/>
      <c r="AD168" s="30">
        <f t="shared" si="501"/>
        <v>0</v>
      </c>
      <c r="AE168" s="9"/>
      <c r="AF168" s="30">
        <f t="shared" si="487"/>
        <v>0</v>
      </c>
      <c r="AG168" s="9"/>
      <c r="AH168" s="30">
        <f t="shared" si="488"/>
        <v>0</v>
      </c>
      <c r="AI168" s="9"/>
      <c r="AJ168" s="30">
        <f t="shared" ref="AJ168" si="616">AI168*$L168</f>
        <v>0</v>
      </c>
      <c r="AK168" s="9">
        <f>9084/100</f>
        <v>90.84</v>
      </c>
      <c r="AL168" s="30">
        <v>1998</v>
      </c>
      <c r="AM168" s="9">
        <f>8917/100</f>
        <v>89.17</v>
      </c>
      <c r="AN168" s="30">
        <v>1962</v>
      </c>
      <c r="AO168" s="9"/>
      <c r="AP168" s="30">
        <f t="shared" si="490"/>
        <v>0</v>
      </c>
      <c r="AQ168" s="9"/>
      <c r="AR168" s="30">
        <f t="shared" si="491"/>
        <v>0</v>
      </c>
      <c r="AS168" s="9"/>
      <c r="AT168" s="30">
        <f t="shared" si="492"/>
        <v>0</v>
      </c>
      <c r="AU168" s="9"/>
      <c r="AV168" s="30">
        <f t="shared" si="493"/>
        <v>0</v>
      </c>
      <c r="AW168" s="9"/>
      <c r="AX168" s="30">
        <f t="shared" si="494"/>
        <v>0</v>
      </c>
      <c r="AY168" s="9"/>
      <c r="AZ168" s="30">
        <f t="shared" si="495"/>
        <v>0</v>
      </c>
      <c r="BA168" s="10">
        <f>3347/100</f>
        <v>33.47</v>
      </c>
      <c r="BB168" s="31">
        <v>7336</v>
      </c>
      <c r="BC168" s="15">
        <f t="shared" si="511"/>
        <v>7336</v>
      </c>
      <c r="BD168" s="9">
        <f t="shared" si="512"/>
        <v>0</v>
      </c>
      <c r="BE168" s="28">
        <f t="shared" si="513"/>
        <v>333.47</v>
      </c>
      <c r="BF168" s="8">
        <f t="shared" si="514"/>
        <v>-300</v>
      </c>
      <c r="BG168" s="29">
        <f t="shared" si="504"/>
        <v>7336.34</v>
      </c>
      <c r="BH168" s="13">
        <f t="shared" si="515"/>
        <v>-0.34000000000014552</v>
      </c>
      <c r="BI168" s="2" t="str">
        <f t="shared" si="505"/>
        <v>erreur de calcul</v>
      </c>
      <c r="BJ168" s="2"/>
    </row>
    <row r="169" spans="1:62">
      <c r="A169" s="1" t="s">
        <v>12</v>
      </c>
      <c r="B169" s="3" t="s">
        <v>23</v>
      </c>
      <c r="C169" s="3" t="s">
        <v>45</v>
      </c>
      <c r="D169" s="4">
        <v>1789</v>
      </c>
      <c r="E169" s="3" t="s">
        <v>49</v>
      </c>
      <c r="F169" s="3" t="s">
        <v>49</v>
      </c>
      <c r="G169" s="31">
        <v>23</v>
      </c>
      <c r="H169" s="31" t="s">
        <v>240</v>
      </c>
      <c r="I169" s="5">
        <v>28</v>
      </c>
      <c r="J169" s="5"/>
      <c r="K169" s="6"/>
      <c r="L169" s="11">
        <f t="shared" si="506"/>
        <v>28</v>
      </c>
      <c r="M169" s="7" t="s">
        <v>14</v>
      </c>
      <c r="N169" s="31"/>
      <c r="O169" s="9"/>
      <c r="P169" s="9" t="str">
        <f t="shared" si="507"/>
        <v/>
      </c>
      <c r="Q169" s="9"/>
      <c r="R169" s="30">
        <f t="shared" ref="R169" si="617">Q169*$L169</f>
        <v>0</v>
      </c>
      <c r="S169" s="9"/>
      <c r="T169" s="30">
        <f t="shared" ref="T169" si="618">S169*$L169</f>
        <v>0</v>
      </c>
      <c r="U169" s="9"/>
      <c r="V169" s="30">
        <f t="shared" si="486"/>
        <v>0</v>
      </c>
      <c r="W169" s="9">
        <f>61654/100</f>
        <v>616.54</v>
      </c>
      <c r="X169" s="30">
        <v>17263</v>
      </c>
      <c r="Y169" s="9"/>
      <c r="Z169" s="30">
        <f t="shared" si="499"/>
        <v>0</v>
      </c>
      <c r="AA169" s="9"/>
      <c r="AB169" s="30">
        <f t="shared" si="500"/>
        <v>0</v>
      </c>
      <c r="AC169" s="9"/>
      <c r="AD169" s="30">
        <f t="shared" si="501"/>
        <v>0</v>
      </c>
      <c r="AE169" s="9"/>
      <c r="AF169" s="30">
        <f t="shared" si="487"/>
        <v>0</v>
      </c>
      <c r="AG169" s="9"/>
      <c r="AH169" s="30">
        <f t="shared" si="488"/>
        <v>0</v>
      </c>
      <c r="AI169" s="9"/>
      <c r="AJ169" s="30">
        <f t="shared" ref="AJ169" si="619">AI169*$L169</f>
        <v>0</v>
      </c>
      <c r="AK169" s="9"/>
      <c r="AL169" s="30">
        <f t="shared" ref="AL169" si="620">AK169*$L169</f>
        <v>0</v>
      </c>
      <c r="AM169" s="9">
        <f>6250/100</f>
        <v>62.5</v>
      </c>
      <c r="AN169" s="30">
        <v>1750</v>
      </c>
      <c r="AO169" s="9"/>
      <c r="AP169" s="30">
        <f t="shared" si="490"/>
        <v>0</v>
      </c>
      <c r="AQ169" s="9"/>
      <c r="AR169" s="30">
        <f t="shared" si="491"/>
        <v>0</v>
      </c>
      <c r="AS169" s="9"/>
      <c r="AT169" s="30">
        <f t="shared" si="492"/>
        <v>0</v>
      </c>
      <c r="AU169" s="9"/>
      <c r="AV169" s="30">
        <f t="shared" si="493"/>
        <v>0</v>
      </c>
      <c r="AW169" s="9"/>
      <c r="AX169" s="30">
        <f t="shared" si="494"/>
        <v>0</v>
      </c>
      <c r="AY169" s="9"/>
      <c r="AZ169" s="30">
        <f t="shared" si="495"/>
        <v>0</v>
      </c>
      <c r="BA169" s="10">
        <f>67904/100</f>
        <v>679.04</v>
      </c>
      <c r="BB169" s="31">
        <v>19013</v>
      </c>
      <c r="BC169" s="15">
        <f t="shared" si="511"/>
        <v>19013</v>
      </c>
      <c r="BD169" s="9">
        <f t="shared" si="512"/>
        <v>0</v>
      </c>
      <c r="BE169" s="28">
        <f t="shared" si="513"/>
        <v>679.04</v>
      </c>
      <c r="BF169" s="8">
        <f t="shared" si="514"/>
        <v>0</v>
      </c>
      <c r="BG169" s="29">
        <f t="shared" si="504"/>
        <v>19013.12</v>
      </c>
      <c r="BH169" s="13">
        <f t="shared" si="515"/>
        <v>-0.11999999999898137</v>
      </c>
      <c r="BI169" s="2" t="str">
        <f t="shared" si="505"/>
        <v>erreur de calcul</v>
      </c>
      <c r="BJ169" s="2"/>
    </row>
    <row r="170" spans="1:62">
      <c r="A170" s="1" t="s">
        <v>12</v>
      </c>
      <c r="B170" s="3" t="s">
        <v>23</v>
      </c>
      <c r="C170" s="3" t="s">
        <v>45</v>
      </c>
      <c r="D170" s="4">
        <v>1789</v>
      </c>
      <c r="E170" s="3" t="s">
        <v>49</v>
      </c>
      <c r="F170" s="3" t="s">
        <v>49</v>
      </c>
      <c r="G170" s="31">
        <v>23</v>
      </c>
      <c r="H170" s="31" t="s">
        <v>239</v>
      </c>
      <c r="I170" s="5">
        <v>17</v>
      </c>
      <c r="J170" s="5"/>
      <c r="K170" s="6"/>
      <c r="L170" s="11">
        <f t="shared" si="506"/>
        <v>17</v>
      </c>
      <c r="M170" s="7" t="s">
        <v>14</v>
      </c>
      <c r="N170" s="31"/>
      <c r="O170" s="9"/>
      <c r="P170" s="9" t="str">
        <f t="shared" si="507"/>
        <v/>
      </c>
      <c r="Q170" s="9"/>
      <c r="R170" s="30">
        <f t="shared" ref="R170" si="621">Q170*$L170</f>
        <v>0</v>
      </c>
      <c r="S170" s="9"/>
      <c r="T170" s="30">
        <f t="shared" ref="T170" si="622">S170*$L170</f>
        <v>0</v>
      </c>
      <c r="U170" s="9">
        <f>25000/100</f>
        <v>250</v>
      </c>
      <c r="V170" s="30">
        <v>4250</v>
      </c>
      <c r="W170" s="9">
        <f>78153/100</f>
        <v>781.53</v>
      </c>
      <c r="X170" s="30">
        <v>13286</v>
      </c>
      <c r="Y170" s="9"/>
      <c r="Z170" s="30">
        <f t="shared" si="499"/>
        <v>0</v>
      </c>
      <c r="AA170" s="9"/>
      <c r="AB170" s="30">
        <f t="shared" si="500"/>
        <v>0</v>
      </c>
      <c r="AC170" s="9"/>
      <c r="AD170" s="30">
        <f t="shared" si="501"/>
        <v>0</v>
      </c>
      <c r="AE170" s="9"/>
      <c r="AF170" s="30">
        <f t="shared" si="487"/>
        <v>0</v>
      </c>
      <c r="AG170" s="9"/>
      <c r="AH170" s="30">
        <f t="shared" si="488"/>
        <v>0</v>
      </c>
      <c r="AI170" s="9"/>
      <c r="AJ170" s="30">
        <f t="shared" ref="AJ170" si="623">AI170*$L170</f>
        <v>0</v>
      </c>
      <c r="AK170" s="9">
        <f>113774/100</f>
        <v>1137.74</v>
      </c>
      <c r="AL170" s="30">
        <v>19341</v>
      </c>
      <c r="AM170" s="9">
        <f>749547/100</f>
        <v>7495.47</v>
      </c>
      <c r="AN170" s="30">
        <v>127423</v>
      </c>
      <c r="AO170" s="9"/>
      <c r="AP170" s="30">
        <f t="shared" si="490"/>
        <v>0</v>
      </c>
      <c r="AQ170" s="9">
        <f>578251/100</f>
        <v>5782.51</v>
      </c>
      <c r="AR170" s="30">
        <v>98303</v>
      </c>
      <c r="AS170" s="9">
        <f>9141217/100</f>
        <v>91412.17</v>
      </c>
      <c r="AT170" s="30">
        <v>1554007</v>
      </c>
      <c r="AU170" s="9"/>
      <c r="AV170" s="30">
        <f t="shared" si="493"/>
        <v>0</v>
      </c>
      <c r="AW170" s="9">
        <f>314570/100</f>
        <v>3145.7</v>
      </c>
      <c r="AX170" s="30">
        <v>53477</v>
      </c>
      <c r="AY170" s="9"/>
      <c r="AZ170" s="30">
        <f t="shared" si="495"/>
        <v>0</v>
      </c>
      <c r="BA170" s="10">
        <f>11004767/100</f>
        <v>110047.67</v>
      </c>
      <c r="BB170" s="31">
        <v>1870087</v>
      </c>
      <c r="BC170" s="15">
        <f t="shared" si="511"/>
        <v>1870087</v>
      </c>
      <c r="BD170" s="9">
        <f t="shared" si="512"/>
        <v>0</v>
      </c>
      <c r="BE170" s="28">
        <f t="shared" si="513"/>
        <v>110005.12</v>
      </c>
      <c r="BF170" s="8">
        <f t="shared" si="514"/>
        <v>42.55000000000291</v>
      </c>
      <c r="BG170" s="29">
        <f t="shared" si="504"/>
        <v>1870087.04</v>
      </c>
      <c r="BH170" s="13">
        <f t="shared" si="515"/>
        <v>-4.0000000037252903E-2</v>
      </c>
      <c r="BI170" s="2" t="str">
        <f t="shared" si="505"/>
        <v>erreur de calcul</v>
      </c>
      <c r="BJ170" s="2"/>
    </row>
    <row r="171" spans="1:62">
      <c r="A171" s="1" t="s">
        <v>12</v>
      </c>
      <c r="B171" s="3" t="s">
        <v>23</v>
      </c>
      <c r="C171" s="3" t="s">
        <v>45</v>
      </c>
      <c r="D171" s="4">
        <v>1789</v>
      </c>
      <c r="E171" s="3" t="s">
        <v>49</v>
      </c>
      <c r="F171" s="3" t="s">
        <v>49</v>
      </c>
      <c r="G171" s="31">
        <v>23</v>
      </c>
      <c r="H171" s="31" t="s">
        <v>242</v>
      </c>
      <c r="I171" s="5">
        <v>60</v>
      </c>
      <c r="J171" s="5"/>
      <c r="K171" s="6"/>
      <c r="L171" s="11">
        <f t="shared" si="506"/>
        <v>60</v>
      </c>
      <c r="M171" s="7" t="s">
        <v>14</v>
      </c>
      <c r="N171" s="31"/>
      <c r="O171" s="9"/>
      <c r="P171" s="9" t="str">
        <f t="shared" si="507"/>
        <v/>
      </c>
      <c r="Q171" s="9">
        <f>17500/100</f>
        <v>175</v>
      </c>
      <c r="R171" s="30">
        <v>10500</v>
      </c>
      <c r="S171" s="9"/>
      <c r="T171" s="30">
        <f t="shared" ref="T171" si="624">S171*$L171</f>
        <v>0</v>
      </c>
      <c r="U171" s="9"/>
      <c r="V171" s="30">
        <f t="shared" si="486"/>
        <v>0</v>
      </c>
      <c r="W171" s="9"/>
      <c r="X171" s="30">
        <f t="shared" si="498"/>
        <v>0</v>
      </c>
      <c r="Y171" s="9"/>
      <c r="Z171" s="30">
        <f t="shared" si="499"/>
        <v>0</v>
      </c>
      <c r="AA171" s="9"/>
      <c r="AB171" s="30">
        <f t="shared" si="500"/>
        <v>0</v>
      </c>
      <c r="AC171" s="9"/>
      <c r="AD171" s="30">
        <f t="shared" si="501"/>
        <v>0</v>
      </c>
      <c r="AE171" s="9"/>
      <c r="AF171" s="30">
        <f t="shared" si="487"/>
        <v>0</v>
      </c>
      <c r="AG171" s="9"/>
      <c r="AH171" s="30">
        <f t="shared" si="488"/>
        <v>0</v>
      </c>
      <c r="AI171" s="9"/>
      <c r="AJ171" s="30">
        <f t="shared" ref="AJ171" si="625">AI171*$L171</f>
        <v>0</v>
      </c>
      <c r="AK171" s="9"/>
      <c r="AL171" s="30">
        <f t="shared" ref="AL171" si="626">AK171*$L171</f>
        <v>0</v>
      </c>
      <c r="AM171" s="9">
        <f>107571/100</f>
        <v>1075.71</v>
      </c>
      <c r="AN171" s="30">
        <v>64543</v>
      </c>
      <c r="AO171" s="9"/>
      <c r="AP171" s="30">
        <f t="shared" si="490"/>
        <v>0</v>
      </c>
      <c r="AQ171" s="9"/>
      <c r="AR171" s="30">
        <f t="shared" si="491"/>
        <v>0</v>
      </c>
      <c r="AS171" s="9"/>
      <c r="AT171" s="30">
        <f t="shared" si="492"/>
        <v>0</v>
      </c>
      <c r="AU171" s="9"/>
      <c r="AV171" s="30">
        <f t="shared" si="493"/>
        <v>0</v>
      </c>
      <c r="AW171" s="9"/>
      <c r="AX171" s="30">
        <f t="shared" si="494"/>
        <v>0</v>
      </c>
      <c r="AY171" s="9"/>
      <c r="AZ171" s="30">
        <f t="shared" si="495"/>
        <v>0</v>
      </c>
      <c r="BA171" s="10">
        <f>125071/100</f>
        <v>1250.71</v>
      </c>
      <c r="BB171" s="31">
        <v>75043</v>
      </c>
      <c r="BC171" s="15">
        <f t="shared" si="511"/>
        <v>75043</v>
      </c>
      <c r="BD171" s="9">
        <f t="shared" si="512"/>
        <v>0</v>
      </c>
      <c r="BE171" s="28">
        <f t="shared" si="513"/>
        <v>1250.71</v>
      </c>
      <c r="BF171" s="8">
        <f t="shared" si="514"/>
        <v>0</v>
      </c>
      <c r="BG171" s="29">
        <f t="shared" si="504"/>
        <v>75042.600000000006</v>
      </c>
      <c r="BH171" s="13">
        <f t="shared" si="515"/>
        <v>0.39999999999417923</v>
      </c>
      <c r="BI171" s="2" t="str">
        <f t="shared" si="505"/>
        <v>erreur de calcul</v>
      </c>
      <c r="BJ171" s="2"/>
    </row>
    <row r="172" spans="1:62">
      <c r="A172" s="1" t="s">
        <v>12</v>
      </c>
      <c r="B172" s="3" t="s">
        <v>23</v>
      </c>
      <c r="C172" s="3" t="s">
        <v>45</v>
      </c>
      <c r="D172" s="4">
        <v>1789</v>
      </c>
      <c r="E172" s="3" t="s">
        <v>49</v>
      </c>
      <c r="F172" s="3" t="s">
        <v>49</v>
      </c>
      <c r="G172" s="31">
        <v>23</v>
      </c>
      <c r="H172" s="31" t="s">
        <v>243</v>
      </c>
      <c r="I172" s="5">
        <v>30</v>
      </c>
      <c r="J172" s="5"/>
      <c r="K172" s="6"/>
      <c r="L172" s="11">
        <f t="shared" si="506"/>
        <v>30</v>
      </c>
      <c r="M172" s="7" t="s">
        <v>14</v>
      </c>
      <c r="N172" s="31"/>
      <c r="O172" s="9"/>
      <c r="P172" s="9" t="str">
        <f t="shared" si="507"/>
        <v/>
      </c>
      <c r="Q172" s="9"/>
      <c r="R172" s="30">
        <f t="shared" ref="R172" si="627">Q172*$L172</f>
        <v>0</v>
      </c>
      <c r="S172" s="9"/>
      <c r="T172" s="30">
        <f t="shared" ref="T172" si="628">S172*$L172</f>
        <v>0</v>
      </c>
      <c r="U172" s="9"/>
      <c r="V172" s="30">
        <f t="shared" si="486"/>
        <v>0</v>
      </c>
      <c r="W172" s="9">
        <f>8491/100</f>
        <v>84.91</v>
      </c>
      <c r="X172" s="30">
        <v>2547</v>
      </c>
      <c r="Y172" s="9"/>
      <c r="Z172" s="30">
        <f t="shared" si="499"/>
        <v>0</v>
      </c>
      <c r="AA172" s="9"/>
      <c r="AB172" s="30">
        <f t="shared" si="500"/>
        <v>0</v>
      </c>
      <c r="AC172" s="9"/>
      <c r="AD172" s="30">
        <f t="shared" si="501"/>
        <v>0</v>
      </c>
      <c r="AE172" s="9"/>
      <c r="AF172" s="30">
        <f t="shared" si="487"/>
        <v>0</v>
      </c>
      <c r="AG172" s="9"/>
      <c r="AH172" s="30">
        <f t="shared" si="488"/>
        <v>0</v>
      </c>
      <c r="AI172" s="9"/>
      <c r="AJ172" s="30">
        <f t="shared" ref="AJ172" si="629">AI172*$L172</f>
        <v>0</v>
      </c>
      <c r="AK172" s="9"/>
      <c r="AL172" s="30">
        <f t="shared" ref="AL172" si="630">AK172*$L172</f>
        <v>0</v>
      </c>
      <c r="AM172" s="9"/>
      <c r="AN172" s="30">
        <f t="shared" si="503"/>
        <v>0</v>
      </c>
      <c r="AO172" s="9"/>
      <c r="AP172" s="30">
        <f t="shared" si="490"/>
        <v>0</v>
      </c>
      <c r="AQ172" s="9"/>
      <c r="AR172" s="30">
        <f t="shared" si="491"/>
        <v>0</v>
      </c>
      <c r="AS172" s="9"/>
      <c r="AT172" s="30">
        <f t="shared" si="492"/>
        <v>0</v>
      </c>
      <c r="AU172" s="9"/>
      <c r="AV172" s="30">
        <f t="shared" si="493"/>
        <v>0</v>
      </c>
      <c r="AW172" s="9"/>
      <c r="AX172" s="30">
        <f t="shared" si="494"/>
        <v>0</v>
      </c>
      <c r="AY172" s="9"/>
      <c r="AZ172" s="30">
        <f t="shared" si="495"/>
        <v>0</v>
      </c>
      <c r="BA172" s="10">
        <f>8491/100</f>
        <v>84.91</v>
      </c>
      <c r="BB172" s="31">
        <v>2547</v>
      </c>
      <c r="BC172" s="15">
        <f t="shared" si="511"/>
        <v>2547</v>
      </c>
      <c r="BD172" s="9">
        <f t="shared" si="512"/>
        <v>0</v>
      </c>
      <c r="BE172" s="28">
        <f t="shared" si="513"/>
        <v>84.91</v>
      </c>
      <c r="BF172" s="8">
        <f t="shared" si="514"/>
        <v>0</v>
      </c>
      <c r="BG172" s="29">
        <f t="shared" si="504"/>
        <v>2547.2999999999997</v>
      </c>
      <c r="BH172" s="13">
        <f t="shared" si="515"/>
        <v>-0.29999999999972715</v>
      </c>
      <c r="BI172" s="2" t="str">
        <f t="shared" si="505"/>
        <v>erreur de calcul</v>
      </c>
      <c r="BJ172" s="2"/>
    </row>
    <row r="173" spans="1:62">
      <c r="A173" s="1" t="s">
        <v>12</v>
      </c>
      <c r="B173" s="3" t="s">
        <v>23</v>
      </c>
      <c r="C173" s="3" t="s">
        <v>45</v>
      </c>
      <c r="D173" s="4">
        <v>1789</v>
      </c>
      <c r="E173" s="3" t="s">
        <v>49</v>
      </c>
      <c r="F173" s="3" t="s">
        <v>49</v>
      </c>
      <c r="G173" s="31">
        <v>23</v>
      </c>
      <c r="H173" s="31" t="s">
        <v>244</v>
      </c>
      <c r="I173" s="5">
        <v>27</v>
      </c>
      <c r="J173" s="5"/>
      <c r="K173" s="6"/>
      <c r="L173" s="11">
        <f t="shared" si="506"/>
        <v>27</v>
      </c>
      <c r="M173" s="7" t="s">
        <v>14</v>
      </c>
      <c r="N173" s="31"/>
      <c r="O173" s="9"/>
      <c r="P173" s="9" t="str">
        <f t="shared" si="507"/>
        <v/>
      </c>
      <c r="Q173" s="9"/>
      <c r="R173" s="30">
        <f t="shared" ref="R173" si="631">Q173*$L173</f>
        <v>0</v>
      </c>
      <c r="S173" s="9"/>
      <c r="T173" s="30">
        <f t="shared" ref="T173" si="632">S173*$L173</f>
        <v>0</v>
      </c>
      <c r="U173" s="9"/>
      <c r="V173" s="30">
        <f t="shared" si="486"/>
        <v>0</v>
      </c>
      <c r="W173" s="9"/>
      <c r="X173" s="30">
        <f t="shared" si="498"/>
        <v>0</v>
      </c>
      <c r="Y173" s="9"/>
      <c r="Z173" s="30">
        <f t="shared" si="499"/>
        <v>0</v>
      </c>
      <c r="AA173" s="9"/>
      <c r="AB173" s="30">
        <f t="shared" si="500"/>
        <v>0</v>
      </c>
      <c r="AC173" s="9"/>
      <c r="AD173" s="30">
        <f t="shared" si="501"/>
        <v>0</v>
      </c>
      <c r="AE173" s="9"/>
      <c r="AF173" s="30">
        <f t="shared" si="487"/>
        <v>0</v>
      </c>
      <c r="AG173" s="9"/>
      <c r="AH173" s="30">
        <f t="shared" si="488"/>
        <v>0</v>
      </c>
      <c r="AI173" s="9"/>
      <c r="AJ173" s="30">
        <f t="shared" ref="AJ173" si="633">AI173*$L173</f>
        <v>0</v>
      </c>
      <c r="AK173" s="9">
        <f>168254/100</f>
        <v>1682.54</v>
      </c>
      <c r="AL173" s="30">
        <v>45428</v>
      </c>
      <c r="AM173" s="9"/>
      <c r="AN173" s="30">
        <f t="shared" si="503"/>
        <v>0</v>
      </c>
      <c r="AO173" s="9"/>
      <c r="AP173" s="30">
        <f t="shared" si="490"/>
        <v>0</v>
      </c>
      <c r="AQ173" s="9"/>
      <c r="AR173" s="30">
        <f t="shared" si="491"/>
        <v>0</v>
      </c>
      <c r="AS173" s="9"/>
      <c r="AT173" s="30">
        <f t="shared" si="492"/>
        <v>0</v>
      </c>
      <c r="AU173" s="9"/>
      <c r="AV173" s="30">
        <f t="shared" si="493"/>
        <v>0</v>
      </c>
      <c r="AW173" s="9"/>
      <c r="AX173" s="30">
        <f t="shared" si="494"/>
        <v>0</v>
      </c>
      <c r="AY173" s="9"/>
      <c r="AZ173" s="30">
        <f t="shared" si="495"/>
        <v>0</v>
      </c>
      <c r="BA173" s="10">
        <f>168254/100</f>
        <v>1682.54</v>
      </c>
      <c r="BB173" s="31">
        <v>45428</v>
      </c>
      <c r="BC173" s="15">
        <f t="shared" si="511"/>
        <v>45428</v>
      </c>
      <c r="BD173" s="9">
        <f t="shared" si="512"/>
        <v>0</v>
      </c>
      <c r="BE173" s="28">
        <f t="shared" si="513"/>
        <v>1682.54</v>
      </c>
      <c r="BF173" s="8">
        <f t="shared" si="514"/>
        <v>0</v>
      </c>
      <c r="BG173" s="29">
        <f t="shared" si="504"/>
        <v>45428.58</v>
      </c>
      <c r="BH173" s="13">
        <f t="shared" si="515"/>
        <v>-0.58000000000174623</v>
      </c>
      <c r="BI173" s="2" t="str">
        <f t="shared" si="505"/>
        <v>erreur de calcul</v>
      </c>
      <c r="BJ173" s="2"/>
    </row>
    <row r="174" spans="1:62">
      <c r="A174" s="1" t="s">
        <v>12</v>
      </c>
      <c r="B174" s="3" t="s">
        <v>23</v>
      </c>
      <c r="C174" s="3" t="s">
        <v>45</v>
      </c>
      <c r="D174" s="4">
        <v>1789</v>
      </c>
      <c r="E174" s="3" t="s">
        <v>49</v>
      </c>
      <c r="F174" s="3" t="s">
        <v>49</v>
      </c>
      <c r="G174" s="31">
        <v>23</v>
      </c>
      <c r="H174" s="31" t="s">
        <v>245</v>
      </c>
      <c r="I174" s="5">
        <v>27</v>
      </c>
      <c r="J174" s="5"/>
      <c r="K174" s="6"/>
      <c r="L174" s="11">
        <f t="shared" si="506"/>
        <v>27</v>
      </c>
      <c r="M174" s="7" t="s">
        <v>14</v>
      </c>
      <c r="N174" s="31"/>
      <c r="O174" s="9"/>
      <c r="P174" s="9" t="str">
        <f t="shared" si="507"/>
        <v/>
      </c>
      <c r="Q174" s="9"/>
      <c r="R174" s="30">
        <f t="shared" ref="R174" si="634">Q174*$L174</f>
        <v>0</v>
      </c>
      <c r="S174" s="9"/>
      <c r="T174" s="30">
        <f t="shared" ref="T174" si="635">S174*$L174</f>
        <v>0</v>
      </c>
      <c r="U174" s="9"/>
      <c r="V174" s="30">
        <f t="shared" si="486"/>
        <v>0</v>
      </c>
      <c r="W174" s="9"/>
      <c r="X174" s="30">
        <f t="shared" si="498"/>
        <v>0</v>
      </c>
      <c r="Y174" s="9"/>
      <c r="Z174" s="30">
        <f t="shared" si="499"/>
        <v>0</v>
      </c>
      <c r="AA174" s="9"/>
      <c r="AB174" s="30">
        <f t="shared" si="500"/>
        <v>0</v>
      </c>
      <c r="AC174" s="9"/>
      <c r="AD174" s="30">
        <f t="shared" si="501"/>
        <v>0</v>
      </c>
      <c r="AE174" s="9"/>
      <c r="AF174" s="30">
        <f t="shared" si="487"/>
        <v>0</v>
      </c>
      <c r="AG174" s="9"/>
      <c r="AH174" s="30">
        <f t="shared" si="488"/>
        <v>0</v>
      </c>
      <c r="AI174" s="9"/>
      <c r="AJ174" s="30">
        <f t="shared" ref="AJ174" si="636">AI174*$L174</f>
        <v>0</v>
      </c>
      <c r="AK174" s="9"/>
      <c r="AL174" s="30">
        <f t="shared" ref="AL174" si="637">AK174*$L174</f>
        <v>0</v>
      </c>
      <c r="AM174" s="9">
        <f>4108/100</f>
        <v>41.08</v>
      </c>
      <c r="AN174" s="30">
        <v>1109</v>
      </c>
      <c r="AO174" s="9"/>
      <c r="AP174" s="30">
        <f t="shared" si="490"/>
        <v>0</v>
      </c>
      <c r="AQ174" s="9"/>
      <c r="AR174" s="30">
        <f t="shared" si="491"/>
        <v>0</v>
      </c>
      <c r="AS174" s="9">
        <f>37084/100</f>
        <v>370.84</v>
      </c>
      <c r="AT174" s="32">
        <v>9963</v>
      </c>
      <c r="AU174" s="9"/>
      <c r="AV174" s="30">
        <f t="shared" si="493"/>
        <v>0</v>
      </c>
      <c r="AW174" s="9"/>
      <c r="AX174" s="30">
        <f t="shared" si="494"/>
        <v>0</v>
      </c>
      <c r="AY174" s="9"/>
      <c r="AZ174" s="30">
        <f t="shared" si="495"/>
        <v>0</v>
      </c>
      <c r="BA174" s="10">
        <f>41192/100</f>
        <v>411.92</v>
      </c>
      <c r="BB174" s="31">
        <v>11072</v>
      </c>
      <c r="BC174" s="15">
        <f t="shared" si="511"/>
        <v>11072</v>
      </c>
      <c r="BD174" s="9">
        <f t="shared" si="512"/>
        <v>0</v>
      </c>
      <c r="BE174" s="28">
        <f t="shared" si="513"/>
        <v>411.91999999999996</v>
      </c>
      <c r="BF174" s="8">
        <f t="shared" si="514"/>
        <v>0</v>
      </c>
      <c r="BG174" s="29">
        <f t="shared" si="504"/>
        <v>11121.839999999998</v>
      </c>
      <c r="BH174" s="13">
        <f t="shared" si="515"/>
        <v>-49.839999999998327</v>
      </c>
      <c r="BI174" s="2" t="str">
        <f t="shared" si="505"/>
        <v>erreur de calcul</v>
      </c>
      <c r="BJ174" s="2"/>
    </row>
    <row r="175" spans="1:62">
      <c r="A175" s="1" t="s">
        <v>12</v>
      </c>
      <c r="B175" s="3" t="s">
        <v>23</v>
      </c>
      <c r="C175" s="3" t="s">
        <v>45</v>
      </c>
      <c r="D175" s="4">
        <v>1789</v>
      </c>
      <c r="E175" s="3" t="s">
        <v>49</v>
      </c>
      <c r="F175" s="3" t="s">
        <v>49</v>
      </c>
      <c r="G175" s="31">
        <v>23</v>
      </c>
      <c r="H175" s="31" t="s">
        <v>246</v>
      </c>
      <c r="I175" s="5">
        <v>6</v>
      </c>
      <c r="J175" s="5"/>
      <c r="K175" s="6"/>
      <c r="L175" s="11">
        <f t="shared" si="506"/>
        <v>6</v>
      </c>
      <c r="M175" s="7" t="s">
        <v>14</v>
      </c>
      <c r="N175" s="31"/>
      <c r="O175" s="9"/>
      <c r="P175" s="9" t="str">
        <f t="shared" si="507"/>
        <v/>
      </c>
      <c r="Q175" s="9"/>
      <c r="R175" s="30">
        <f t="shared" ref="R175" si="638">Q175*$L175</f>
        <v>0</v>
      </c>
      <c r="S175" s="9"/>
      <c r="T175" s="30">
        <f t="shared" ref="T175" si="639">S175*$L175</f>
        <v>0</v>
      </c>
      <c r="U175" s="9"/>
      <c r="V175" s="30">
        <f t="shared" si="486"/>
        <v>0</v>
      </c>
      <c r="W175" s="9"/>
      <c r="X175" s="30">
        <f t="shared" si="498"/>
        <v>0</v>
      </c>
      <c r="Y175" s="9"/>
      <c r="Z175" s="30">
        <f t="shared" si="499"/>
        <v>0</v>
      </c>
      <c r="AA175" s="9"/>
      <c r="AB175" s="30">
        <f t="shared" si="500"/>
        <v>0</v>
      </c>
      <c r="AC175" s="9"/>
      <c r="AD175" s="30">
        <f t="shared" si="501"/>
        <v>0</v>
      </c>
      <c r="AE175" s="9"/>
      <c r="AF175" s="30">
        <f t="shared" si="487"/>
        <v>0</v>
      </c>
      <c r="AG175" s="9"/>
      <c r="AH175" s="30">
        <f t="shared" si="488"/>
        <v>0</v>
      </c>
      <c r="AI175" s="9"/>
      <c r="AJ175" s="30">
        <f t="shared" ref="AJ175" si="640">AI175*$L175</f>
        <v>0</v>
      </c>
      <c r="AK175" s="9"/>
      <c r="AL175" s="30">
        <f t="shared" ref="AL175" si="641">AK175*$L175</f>
        <v>0</v>
      </c>
      <c r="AM175" s="9"/>
      <c r="AN175" s="30">
        <f t="shared" si="503"/>
        <v>0</v>
      </c>
      <c r="AO175" s="9"/>
      <c r="AP175" s="30">
        <f t="shared" si="490"/>
        <v>0</v>
      </c>
      <c r="AQ175" s="9"/>
      <c r="AR175" s="30">
        <f t="shared" si="491"/>
        <v>0</v>
      </c>
      <c r="AS175" s="9"/>
      <c r="AT175" s="30">
        <f t="shared" si="492"/>
        <v>0</v>
      </c>
      <c r="AU175" s="9"/>
      <c r="AV175" s="30">
        <f t="shared" si="493"/>
        <v>0</v>
      </c>
      <c r="AW175" s="9"/>
      <c r="AX175" s="30">
        <f t="shared" si="494"/>
        <v>0</v>
      </c>
      <c r="AY175" s="9"/>
      <c r="AZ175" s="30">
        <f t="shared" si="495"/>
        <v>0</v>
      </c>
      <c r="BA175" s="10"/>
      <c r="BB175" s="31"/>
      <c r="BC175" s="15">
        <f t="shared" si="511"/>
        <v>0</v>
      </c>
      <c r="BD175" s="9">
        <f t="shared" si="512"/>
        <v>0</v>
      </c>
      <c r="BE175" s="28">
        <f t="shared" si="513"/>
        <v>0</v>
      </c>
      <c r="BF175" s="8">
        <f t="shared" si="514"/>
        <v>0</v>
      </c>
      <c r="BG175" s="29">
        <f t="shared" si="504"/>
        <v>0</v>
      </c>
      <c r="BH175" s="13">
        <f t="shared" si="515"/>
        <v>0</v>
      </c>
      <c r="BI175" s="2" t="str">
        <f t="shared" si="505"/>
        <v/>
      </c>
      <c r="BJ175" s="2"/>
    </row>
    <row r="176" spans="1:62">
      <c r="A176" s="1" t="s">
        <v>12</v>
      </c>
      <c r="B176" s="3" t="s">
        <v>23</v>
      </c>
      <c r="C176" s="3" t="s">
        <v>45</v>
      </c>
      <c r="D176" s="4">
        <v>1789</v>
      </c>
      <c r="E176" s="3" t="s">
        <v>49</v>
      </c>
      <c r="F176" s="3" t="s">
        <v>49</v>
      </c>
      <c r="G176" s="31">
        <v>23</v>
      </c>
      <c r="H176" s="31" t="s">
        <v>247</v>
      </c>
      <c r="I176" s="5">
        <v>240</v>
      </c>
      <c r="J176" s="5"/>
      <c r="K176" s="6"/>
      <c r="L176" s="11">
        <f t="shared" si="506"/>
        <v>240</v>
      </c>
      <c r="M176" s="7" t="s">
        <v>14</v>
      </c>
      <c r="N176" s="31"/>
      <c r="O176" s="9"/>
      <c r="P176" s="9" t="str">
        <f t="shared" si="507"/>
        <v/>
      </c>
      <c r="Q176" s="9"/>
      <c r="R176" s="30">
        <f t="shared" ref="R176" si="642">Q176*$L176</f>
        <v>0</v>
      </c>
      <c r="S176" s="9"/>
      <c r="T176" s="30">
        <f t="shared" ref="T176" si="643">S176*$L176</f>
        <v>0</v>
      </c>
      <c r="U176" s="9">
        <f>4204/100</f>
        <v>42.04</v>
      </c>
      <c r="V176" s="30">
        <v>10090</v>
      </c>
      <c r="W176" s="9">
        <f>2799/100</f>
        <v>27.99</v>
      </c>
      <c r="X176" s="30">
        <v>6718</v>
      </c>
      <c r="Y176" s="9">
        <f>2536/100</f>
        <v>25.36</v>
      </c>
      <c r="Z176" s="30">
        <v>6086</v>
      </c>
      <c r="AA176" s="9">
        <f>3393/100</f>
        <v>33.93</v>
      </c>
      <c r="AB176" s="30">
        <v>8143</v>
      </c>
      <c r="AC176" s="9">
        <f>242/100</f>
        <v>2.42</v>
      </c>
      <c r="AD176" s="30">
        <v>581</v>
      </c>
      <c r="AE176" s="9"/>
      <c r="AF176" s="30">
        <f t="shared" si="487"/>
        <v>0</v>
      </c>
      <c r="AG176" s="9"/>
      <c r="AH176" s="30">
        <f t="shared" si="488"/>
        <v>0</v>
      </c>
      <c r="AI176" s="9"/>
      <c r="AJ176" s="30">
        <f t="shared" ref="AJ176" si="644">AI176*$L176</f>
        <v>0</v>
      </c>
      <c r="AK176" s="9"/>
      <c r="AL176" s="30">
        <f t="shared" ref="AL176" si="645">AK176*$L176</f>
        <v>0</v>
      </c>
      <c r="AM176" s="9"/>
      <c r="AN176" s="30">
        <f t="shared" si="503"/>
        <v>0</v>
      </c>
      <c r="AO176" s="9"/>
      <c r="AP176" s="30">
        <f t="shared" si="490"/>
        <v>0</v>
      </c>
      <c r="AQ176" s="9"/>
      <c r="AR176" s="30">
        <f t="shared" si="491"/>
        <v>0</v>
      </c>
      <c r="AS176" s="9"/>
      <c r="AT176" s="30">
        <f t="shared" si="492"/>
        <v>0</v>
      </c>
      <c r="AU176" s="9"/>
      <c r="AV176" s="30">
        <f t="shared" si="493"/>
        <v>0</v>
      </c>
      <c r="AW176" s="9"/>
      <c r="AX176" s="30">
        <f t="shared" si="494"/>
        <v>0</v>
      </c>
      <c r="AY176" s="9"/>
      <c r="AZ176" s="30">
        <f t="shared" si="495"/>
        <v>0</v>
      </c>
      <c r="BA176" s="10">
        <f>13174/100</f>
        <v>131.74</v>
      </c>
      <c r="BB176" s="31">
        <v>31618</v>
      </c>
      <c r="BC176" s="15">
        <f t="shared" si="511"/>
        <v>31618</v>
      </c>
      <c r="BD176" s="9">
        <f t="shared" si="512"/>
        <v>0</v>
      </c>
      <c r="BE176" s="28">
        <f t="shared" si="513"/>
        <v>131.73999999999998</v>
      </c>
      <c r="BF176" s="8">
        <f t="shared" si="514"/>
        <v>0</v>
      </c>
      <c r="BG176" s="29">
        <f t="shared" si="504"/>
        <v>31617.599999999995</v>
      </c>
      <c r="BH176" s="13">
        <f t="shared" si="515"/>
        <v>0.40000000000509317</v>
      </c>
      <c r="BI176" s="2" t="str">
        <f t="shared" si="505"/>
        <v>erreur de calcul</v>
      </c>
      <c r="BJ176" s="2"/>
    </row>
    <row r="177" spans="1:62">
      <c r="A177" s="1" t="s">
        <v>12</v>
      </c>
      <c r="B177" s="3" t="s">
        <v>23</v>
      </c>
      <c r="C177" s="3" t="s">
        <v>45</v>
      </c>
      <c r="D177" s="4">
        <v>1789</v>
      </c>
      <c r="E177" s="3" t="s">
        <v>49</v>
      </c>
      <c r="F177" s="3" t="s">
        <v>49</v>
      </c>
      <c r="G177" s="31">
        <v>23</v>
      </c>
      <c r="H177" s="31" t="s">
        <v>248</v>
      </c>
      <c r="I177" s="5">
        <v>190</v>
      </c>
      <c r="J177" s="5"/>
      <c r="K177" s="6"/>
      <c r="L177" s="11">
        <f t="shared" si="506"/>
        <v>190</v>
      </c>
      <c r="M177" s="7" t="s">
        <v>14</v>
      </c>
      <c r="N177" s="31"/>
      <c r="O177" s="9"/>
      <c r="P177" s="9" t="str">
        <f t="shared" si="507"/>
        <v/>
      </c>
      <c r="Q177" s="9"/>
      <c r="R177" s="30">
        <f t="shared" ref="R177" si="646">Q177*$L177</f>
        <v>0</v>
      </c>
      <c r="S177" s="9"/>
      <c r="T177" s="30">
        <f t="shared" ref="T177" si="647">S177*$L177</f>
        <v>0</v>
      </c>
      <c r="U177" s="9"/>
      <c r="V177" s="30">
        <f t="shared" si="486"/>
        <v>0</v>
      </c>
      <c r="W177" s="9">
        <f>14963/100</f>
        <v>149.63</v>
      </c>
      <c r="X177" s="32">
        <v>28420</v>
      </c>
      <c r="Y177" s="9"/>
      <c r="Z177" s="30">
        <f t="shared" si="499"/>
        <v>0</v>
      </c>
      <c r="AA177" s="9"/>
      <c r="AB177" s="30">
        <f t="shared" si="500"/>
        <v>0</v>
      </c>
      <c r="AC177" s="9"/>
      <c r="AD177" s="30">
        <f t="shared" si="501"/>
        <v>0</v>
      </c>
      <c r="AE177" s="9"/>
      <c r="AF177" s="30">
        <f t="shared" si="487"/>
        <v>0</v>
      </c>
      <c r="AG177" s="9"/>
      <c r="AH177" s="30">
        <f t="shared" si="488"/>
        <v>0</v>
      </c>
      <c r="AI177" s="9"/>
      <c r="AJ177" s="30">
        <f t="shared" ref="AJ177" si="648">AI177*$L177</f>
        <v>0</v>
      </c>
      <c r="AK177" s="9"/>
      <c r="AL177" s="30">
        <f t="shared" ref="AL177" si="649">AK177*$L177</f>
        <v>0</v>
      </c>
      <c r="AM177" s="9"/>
      <c r="AN177" s="30">
        <f t="shared" si="503"/>
        <v>0</v>
      </c>
      <c r="AO177" s="9"/>
      <c r="AP177" s="30">
        <f t="shared" si="490"/>
        <v>0</v>
      </c>
      <c r="AQ177" s="9"/>
      <c r="AR177" s="30">
        <f t="shared" si="491"/>
        <v>0</v>
      </c>
      <c r="AS177" s="9"/>
      <c r="AT177" s="30">
        <f t="shared" si="492"/>
        <v>0</v>
      </c>
      <c r="AU177" s="9"/>
      <c r="AV177" s="30">
        <f t="shared" si="493"/>
        <v>0</v>
      </c>
      <c r="AW177" s="9"/>
      <c r="AX177" s="30">
        <f t="shared" si="494"/>
        <v>0</v>
      </c>
      <c r="AY177" s="9"/>
      <c r="AZ177" s="30">
        <f t="shared" si="495"/>
        <v>0</v>
      </c>
      <c r="BA177" s="10">
        <f>14963/100</f>
        <v>149.63</v>
      </c>
      <c r="BB177" s="31">
        <v>28420</v>
      </c>
      <c r="BC177" s="15">
        <f t="shared" si="511"/>
        <v>28420</v>
      </c>
      <c r="BD177" s="9">
        <f t="shared" si="512"/>
        <v>0</v>
      </c>
      <c r="BE177" s="28">
        <f t="shared" si="513"/>
        <v>149.63</v>
      </c>
      <c r="BF177" s="8">
        <f t="shared" si="514"/>
        <v>0</v>
      </c>
      <c r="BG177" s="29">
        <f t="shared" si="504"/>
        <v>28429.7</v>
      </c>
      <c r="BH177" s="13">
        <f t="shared" si="515"/>
        <v>-9.7000000000007276</v>
      </c>
      <c r="BI177" s="2" t="str">
        <f t="shared" si="505"/>
        <v>erreur de calcul</v>
      </c>
      <c r="BJ177" s="2"/>
    </row>
    <row r="178" spans="1:62">
      <c r="A178" s="1" t="s">
        <v>12</v>
      </c>
      <c r="B178" s="3" t="s">
        <v>23</v>
      </c>
      <c r="C178" s="3" t="s">
        <v>45</v>
      </c>
      <c r="D178" s="4">
        <v>1789</v>
      </c>
      <c r="E178" s="3" t="s">
        <v>49</v>
      </c>
      <c r="F178" s="3" t="s">
        <v>49</v>
      </c>
      <c r="G178" s="31">
        <v>23</v>
      </c>
      <c r="H178" s="31" t="s">
        <v>249</v>
      </c>
      <c r="I178" s="5">
        <v>14</v>
      </c>
      <c r="J178" s="5"/>
      <c r="K178" s="6"/>
      <c r="L178" s="11">
        <f t="shared" si="506"/>
        <v>14</v>
      </c>
      <c r="M178" s="7" t="s">
        <v>14</v>
      </c>
      <c r="N178" s="31"/>
      <c r="O178" s="9"/>
      <c r="P178" s="9" t="str">
        <f t="shared" si="507"/>
        <v/>
      </c>
      <c r="Q178" s="9"/>
      <c r="R178" s="30">
        <f t="shared" ref="R178" si="650">Q178*$L178</f>
        <v>0</v>
      </c>
      <c r="S178" s="9"/>
      <c r="T178" s="30">
        <f t="shared" ref="T178" si="651">S178*$L178</f>
        <v>0</v>
      </c>
      <c r="U178" s="9"/>
      <c r="V178" s="30">
        <f t="shared" si="486"/>
        <v>0</v>
      </c>
      <c r="W178" s="9"/>
      <c r="X178" s="30">
        <f t="shared" si="498"/>
        <v>0</v>
      </c>
      <c r="Y178" s="9">
        <f>445483/100</f>
        <v>4454.83</v>
      </c>
      <c r="Z178" s="30">
        <v>62368</v>
      </c>
      <c r="AA178" s="9"/>
      <c r="AB178" s="30">
        <f t="shared" si="500"/>
        <v>0</v>
      </c>
      <c r="AC178" s="9"/>
      <c r="AD178" s="30">
        <f t="shared" si="501"/>
        <v>0</v>
      </c>
      <c r="AE178" s="9"/>
      <c r="AF178" s="30">
        <f t="shared" si="487"/>
        <v>0</v>
      </c>
      <c r="AG178" s="9"/>
      <c r="AH178" s="30">
        <f t="shared" si="488"/>
        <v>0</v>
      </c>
      <c r="AI178" s="9"/>
      <c r="AJ178" s="30">
        <f t="shared" ref="AJ178" si="652">AI178*$L178</f>
        <v>0</v>
      </c>
      <c r="AK178" s="9"/>
      <c r="AL178" s="30">
        <f t="shared" ref="AL178" si="653">AK178*$L178</f>
        <v>0</v>
      </c>
      <c r="AM178" s="9"/>
      <c r="AN178" s="30">
        <f t="shared" si="503"/>
        <v>0</v>
      </c>
      <c r="AO178" s="9"/>
      <c r="AP178" s="30">
        <f t="shared" si="490"/>
        <v>0</v>
      </c>
      <c r="AQ178" s="9"/>
      <c r="AR178" s="30">
        <f t="shared" si="491"/>
        <v>0</v>
      </c>
      <c r="AS178" s="9"/>
      <c r="AT178" s="30">
        <f t="shared" si="492"/>
        <v>0</v>
      </c>
      <c r="AU178" s="9"/>
      <c r="AV178" s="30">
        <f t="shared" si="493"/>
        <v>0</v>
      </c>
      <c r="AW178" s="9"/>
      <c r="AX178" s="30">
        <f t="shared" si="494"/>
        <v>0</v>
      </c>
      <c r="AY178" s="9"/>
      <c r="AZ178" s="30">
        <f t="shared" si="495"/>
        <v>0</v>
      </c>
      <c r="BA178" s="10">
        <f>445483/100</f>
        <v>4454.83</v>
      </c>
      <c r="BB178" s="31">
        <v>62368</v>
      </c>
      <c r="BC178" s="15">
        <f t="shared" si="511"/>
        <v>62368</v>
      </c>
      <c r="BD178" s="9">
        <f t="shared" si="512"/>
        <v>0</v>
      </c>
      <c r="BE178" s="28">
        <f t="shared" si="513"/>
        <v>4454.83</v>
      </c>
      <c r="BF178" s="8">
        <f t="shared" si="514"/>
        <v>0</v>
      </c>
      <c r="BG178" s="29">
        <f t="shared" si="504"/>
        <v>62367.619999999995</v>
      </c>
      <c r="BH178" s="13">
        <f t="shared" si="515"/>
        <v>0.38000000000465661</v>
      </c>
      <c r="BI178" s="2" t="str">
        <f t="shared" si="505"/>
        <v>erreur de calcul</v>
      </c>
      <c r="BJ178" s="2"/>
    </row>
    <row r="179" spans="1:62">
      <c r="A179" s="1" t="s">
        <v>12</v>
      </c>
      <c r="B179" s="3" t="s">
        <v>23</v>
      </c>
      <c r="C179" s="3" t="s">
        <v>45</v>
      </c>
      <c r="D179" s="4">
        <v>1789</v>
      </c>
      <c r="E179" s="3" t="s">
        <v>49</v>
      </c>
      <c r="F179" s="3" t="s">
        <v>49</v>
      </c>
      <c r="G179" s="31">
        <v>23</v>
      </c>
      <c r="H179" s="31" t="s">
        <v>250</v>
      </c>
      <c r="I179" s="5">
        <v>6</v>
      </c>
      <c r="J179" s="5"/>
      <c r="K179" s="6"/>
      <c r="L179" s="11">
        <f t="shared" si="506"/>
        <v>6</v>
      </c>
      <c r="M179" s="7" t="s">
        <v>14</v>
      </c>
      <c r="N179" s="31"/>
      <c r="O179" s="9"/>
      <c r="P179" s="9" t="str">
        <f t="shared" si="507"/>
        <v/>
      </c>
      <c r="Q179" s="9"/>
      <c r="R179" s="30">
        <f t="shared" ref="R179" si="654">Q179*$L179</f>
        <v>0</v>
      </c>
      <c r="S179" s="9"/>
      <c r="T179" s="30">
        <f t="shared" ref="T179" si="655">S179*$L179</f>
        <v>0</v>
      </c>
      <c r="U179" s="9"/>
      <c r="V179" s="30">
        <f t="shared" si="486"/>
        <v>0</v>
      </c>
      <c r="W179" s="9">
        <f>8263/100</f>
        <v>82.63</v>
      </c>
      <c r="X179" s="30">
        <v>496</v>
      </c>
      <c r="Y179" s="9"/>
      <c r="Z179" s="30">
        <f t="shared" si="499"/>
        <v>0</v>
      </c>
      <c r="AA179" s="9">
        <f>62695/100</f>
        <v>626.95000000000005</v>
      </c>
      <c r="AB179" s="30">
        <v>3762</v>
      </c>
      <c r="AC179" s="9"/>
      <c r="AD179" s="30">
        <f t="shared" si="501"/>
        <v>0</v>
      </c>
      <c r="AE179" s="9"/>
      <c r="AF179" s="30">
        <f t="shared" si="487"/>
        <v>0</v>
      </c>
      <c r="AG179" s="9"/>
      <c r="AH179" s="30">
        <f t="shared" si="488"/>
        <v>0</v>
      </c>
      <c r="AI179" s="9"/>
      <c r="AJ179" s="30">
        <f t="shared" ref="AJ179" si="656">AI179*$L179</f>
        <v>0</v>
      </c>
      <c r="AK179" s="9"/>
      <c r="AL179" s="30">
        <f t="shared" ref="AL179" si="657">AK179*$L179</f>
        <v>0</v>
      </c>
      <c r="AM179" s="9"/>
      <c r="AN179" s="30">
        <f t="shared" si="503"/>
        <v>0</v>
      </c>
      <c r="AO179" s="9"/>
      <c r="AP179" s="30">
        <f t="shared" si="490"/>
        <v>0</v>
      </c>
      <c r="AQ179" s="9"/>
      <c r="AR179" s="30">
        <f t="shared" si="491"/>
        <v>0</v>
      </c>
      <c r="AS179" s="9"/>
      <c r="AT179" s="30">
        <f t="shared" si="492"/>
        <v>0</v>
      </c>
      <c r="AU179" s="9"/>
      <c r="AV179" s="30">
        <f t="shared" si="493"/>
        <v>0</v>
      </c>
      <c r="AW179" s="9"/>
      <c r="AX179" s="30">
        <f t="shared" si="494"/>
        <v>0</v>
      </c>
      <c r="AY179" s="9"/>
      <c r="AZ179" s="30">
        <f t="shared" si="495"/>
        <v>0</v>
      </c>
      <c r="BA179" s="10">
        <f>70958/100</f>
        <v>709.58</v>
      </c>
      <c r="BB179" s="31">
        <v>4258</v>
      </c>
      <c r="BC179" s="15">
        <f t="shared" si="511"/>
        <v>4258</v>
      </c>
      <c r="BD179" s="9">
        <f t="shared" si="512"/>
        <v>0</v>
      </c>
      <c r="BE179" s="28">
        <f t="shared" si="513"/>
        <v>709.58</v>
      </c>
      <c r="BF179" s="8">
        <f t="shared" si="514"/>
        <v>0</v>
      </c>
      <c r="BG179" s="29">
        <f t="shared" si="504"/>
        <v>4257.4800000000005</v>
      </c>
      <c r="BH179" s="13">
        <f t="shared" si="515"/>
        <v>0.51999999999952706</v>
      </c>
      <c r="BI179" s="2" t="str">
        <f t="shared" si="505"/>
        <v>erreur de calcul</v>
      </c>
      <c r="BJ179" s="2"/>
    </row>
    <row r="180" spans="1:62">
      <c r="A180" s="1" t="s">
        <v>12</v>
      </c>
      <c r="B180" s="3" t="s">
        <v>23</v>
      </c>
      <c r="C180" s="3" t="s">
        <v>45</v>
      </c>
      <c r="D180" s="4">
        <v>1789</v>
      </c>
      <c r="E180" s="3" t="s">
        <v>49</v>
      </c>
      <c r="F180" s="3" t="s">
        <v>49</v>
      </c>
      <c r="G180" s="31">
        <v>23</v>
      </c>
      <c r="H180" s="31" t="s">
        <v>251</v>
      </c>
      <c r="I180" s="5">
        <v>30</v>
      </c>
      <c r="J180" s="5"/>
      <c r="K180" s="6"/>
      <c r="L180" s="11">
        <f t="shared" si="506"/>
        <v>30</v>
      </c>
      <c r="M180" s="7" t="s">
        <v>14</v>
      </c>
      <c r="N180" s="31"/>
      <c r="O180" s="9"/>
      <c r="P180" s="9" t="str">
        <f t="shared" si="507"/>
        <v/>
      </c>
      <c r="Q180" s="9">
        <f>1584/100</f>
        <v>15.84</v>
      </c>
      <c r="R180" s="30">
        <v>475</v>
      </c>
      <c r="S180" s="9"/>
      <c r="T180" s="30">
        <f t="shared" ref="T180" si="658">S180*$L180</f>
        <v>0</v>
      </c>
      <c r="U180" s="9">
        <f>78834/100</f>
        <v>788.34</v>
      </c>
      <c r="V180" s="30">
        <v>23650</v>
      </c>
      <c r="W180" s="9"/>
      <c r="X180" s="30">
        <f t="shared" si="498"/>
        <v>0</v>
      </c>
      <c r="Y180" s="9"/>
      <c r="Z180" s="30">
        <f t="shared" si="499"/>
        <v>0</v>
      </c>
      <c r="AA180" s="9"/>
      <c r="AB180" s="30">
        <f t="shared" si="500"/>
        <v>0</v>
      </c>
      <c r="AC180" s="9"/>
      <c r="AD180" s="30">
        <f t="shared" si="501"/>
        <v>0</v>
      </c>
      <c r="AE180" s="9"/>
      <c r="AF180" s="30">
        <f t="shared" si="487"/>
        <v>0</v>
      </c>
      <c r="AG180" s="9"/>
      <c r="AH180" s="30">
        <f t="shared" si="488"/>
        <v>0</v>
      </c>
      <c r="AI180" s="9"/>
      <c r="AJ180" s="30">
        <f t="shared" ref="AJ180" si="659">AI180*$L180</f>
        <v>0</v>
      </c>
      <c r="AK180" s="9"/>
      <c r="AL180" s="30">
        <f t="shared" ref="AL180" si="660">AK180*$L180</f>
        <v>0</v>
      </c>
      <c r="AM180" s="9"/>
      <c r="AN180" s="30">
        <f t="shared" si="503"/>
        <v>0</v>
      </c>
      <c r="AO180" s="9"/>
      <c r="AP180" s="30">
        <f t="shared" si="490"/>
        <v>0</v>
      </c>
      <c r="AQ180" s="9"/>
      <c r="AR180" s="30">
        <f t="shared" si="491"/>
        <v>0</v>
      </c>
      <c r="AS180" s="9"/>
      <c r="AT180" s="30">
        <f t="shared" si="492"/>
        <v>0</v>
      </c>
      <c r="AU180" s="9"/>
      <c r="AV180" s="30">
        <f t="shared" si="493"/>
        <v>0</v>
      </c>
      <c r="AW180" s="9"/>
      <c r="AX180" s="30">
        <f t="shared" si="494"/>
        <v>0</v>
      </c>
      <c r="AY180" s="9"/>
      <c r="AZ180" s="30">
        <f t="shared" si="495"/>
        <v>0</v>
      </c>
      <c r="BA180" s="10">
        <f>80418/100</f>
        <v>804.18</v>
      </c>
      <c r="BB180" s="31">
        <v>24125</v>
      </c>
      <c r="BC180" s="15">
        <f t="shared" si="511"/>
        <v>24125</v>
      </c>
      <c r="BD180" s="9">
        <f t="shared" si="512"/>
        <v>0</v>
      </c>
      <c r="BE180" s="28">
        <f t="shared" si="513"/>
        <v>804.18000000000006</v>
      </c>
      <c r="BF180" s="8">
        <f t="shared" si="514"/>
        <v>0</v>
      </c>
      <c r="BG180" s="29">
        <f t="shared" si="504"/>
        <v>24125.4</v>
      </c>
      <c r="BH180" s="13">
        <f t="shared" si="515"/>
        <v>-0.40000000000145519</v>
      </c>
      <c r="BI180" s="2" t="str">
        <f t="shared" si="505"/>
        <v>erreur de calcul</v>
      </c>
      <c r="BJ180" s="2"/>
    </row>
    <row r="181" spans="1:62">
      <c r="A181" s="1" t="s">
        <v>12</v>
      </c>
      <c r="B181" s="3" t="s">
        <v>23</v>
      </c>
      <c r="C181" s="3" t="s">
        <v>45</v>
      </c>
      <c r="D181" s="4">
        <v>1789</v>
      </c>
      <c r="E181" s="3" t="s">
        <v>49</v>
      </c>
      <c r="F181" s="3" t="s">
        <v>49</v>
      </c>
      <c r="G181" s="31">
        <v>23</v>
      </c>
      <c r="H181" s="31" t="s">
        <v>252</v>
      </c>
      <c r="I181" s="5">
        <v>40</v>
      </c>
      <c r="J181" s="5"/>
      <c r="K181" s="6"/>
      <c r="L181" s="11">
        <f t="shared" si="506"/>
        <v>40</v>
      </c>
      <c r="M181" s="7" t="s">
        <v>14</v>
      </c>
      <c r="N181" s="31"/>
      <c r="O181" s="9"/>
      <c r="P181" s="9" t="str">
        <f t="shared" si="507"/>
        <v/>
      </c>
      <c r="Q181" s="9"/>
      <c r="R181" s="30">
        <f t="shared" ref="R181" si="661">Q181*$L181</f>
        <v>0</v>
      </c>
      <c r="S181" s="9"/>
      <c r="T181" s="30">
        <f t="shared" ref="T181" si="662">S181*$L181</f>
        <v>0</v>
      </c>
      <c r="U181" s="9"/>
      <c r="V181" s="30">
        <f t="shared" si="486"/>
        <v>0</v>
      </c>
      <c r="W181" s="9"/>
      <c r="X181" s="30">
        <f t="shared" si="498"/>
        <v>0</v>
      </c>
      <c r="Y181" s="9"/>
      <c r="Z181" s="30">
        <f t="shared" si="499"/>
        <v>0</v>
      </c>
      <c r="AA181" s="9"/>
      <c r="AB181" s="30">
        <f t="shared" si="500"/>
        <v>0</v>
      </c>
      <c r="AC181" s="9"/>
      <c r="AD181" s="30">
        <f t="shared" si="501"/>
        <v>0</v>
      </c>
      <c r="AE181" s="9"/>
      <c r="AF181" s="30">
        <f t="shared" si="487"/>
        <v>0</v>
      </c>
      <c r="AG181" s="9"/>
      <c r="AH181" s="30">
        <f t="shared" si="488"/>
        <v>0</v>
      </c>
      <c r="AI181" s="9"/>
      <c r="AJ181" s="30">
        <f t="shared" ref="AJ181" si="663">AI181*$L181</f>
        <v>0</v>
      </c>
      <c r="AK181" s="9">
        <f>784564/100</f>
        <v>7845.64</v>
      </c>
      <c r="AL181" s="30">
        <v>313826</v>
      </c>
      <c r="AM181" s="9">
        <f>33500/100</f>
        <v>335</v>
      </c>
      <c r="AN181" s="30">
        <v>13400</v>
      </c>
      <c r="AO181" s="9"/>
      <c r="AP181" s="30">
        <f t="shared" si="490"/>
        <v>0</v>
      </c>
      <c r="AQ181" s="9"/>
      <c r="AR181" s="30">
        <f t="shared" si="491"/>
        <v>0</v>
      </c>
      <c r="AS181" s="9"/>
      <c r="AT181" s="30">
        <f t="shared" si="492"/>
        <v>0</v>
      </c>
      <c r="AU181" s="9"/>
      <c r="AV181" s="30">
        <f t="shared" si="493"/>
        <v>0</v>
      </c>
      <c r="AW181" s="9"/>
      <c r="AX181" s="30">
        <f t="shared" si="494"/>
        <v>0</v>
      </c>
      <c r="AY181" s="9"/>
      <c r="AZ181" s="30">
        <f t="shared" si="495"/>
        <v>0</v>
      </c>
      <c r="BA181" s="10">
        <f>818064/100</f>
        <v>8180.64</v>
      </c>
      <c r="BB181" s="31">
        <v>327226</v>
      </c>
      <c r="BC181" s="15">
        <f t="shared" si="511"/>
        <v>327226</v>
      </c>
      <c r="BD181" s="9">
        <f t="shared" si="512"/>
        <v>0</v>
      </c>
      <c r="BE181" s="28">
        <f t="shared" si="513"/>
        <v>8180.64</v>
      </c>
      <c r="BF181" s="8">
        <f t="shared" si="514"/>
        <v>0</v>
      </c>
      <c r="BG181" s="29">
        <f t="shared" si="504"/>
        <v>327225.60000000003</v>
      </c>
      <c r="BH181" s="13">
        <f t="shared" si="515"/>
        <v>0.3999999999650754</v>
      </c>
      <c r="BI181" s="2" t="str">
        <f t="shared" si="505"/>
        <v>erreur de calcul</v>
      </c>
      <c r="BJ181" s="2"/>
    </row>
    <row r="182" spans="1:62">
      <c r="A182" s="1" t="s">
        <v>12</v>
      </c>
      <c r="B182" s="3" t="s">
        <v>23</v>
      </c>
      <c r="C182" s="3" t="s">
        <v>45</v>
      </c>
      <c r="D182" s="4">
        <v>1789</v>
      </c>
      <c r="E182" s="3" t="s">
        <v>49</v>
      </c>
      <c r="F182" s="3" t="s">
        <v>49</v>
      </c>
      <c r="G182" s="31">
        <v>23</v>
      </c>
      <c r="H182" s="31" t="s">
        <v>253</v>
      </c>
      <c r="I182" s="5">
        <v>75</v>
      </c>
      <c r="J182" s="5"/>
      <c r="K182" s="6"/>
      <c r="L182" s="11">
        <f t="shared" si="506"/>
        <v>75</v>
      </c>
      <c r="M182" s="7" t="s">
        <v>14</v>
      </c>
      <c r="N182" s="31"/>
      <c r="O182" s="9"/>
      <c r="P182" s="9" t="str">
        <f t="shared" si="507"/>
        <v/>
      </c>
      <c r="Q182" s="9"/>
      <c r="R182" s="30">
        <f t="shared" ref="R182" si="664">Q182*$L182</f>
        <v>0</v>
      </c>
      <c r="S182" s="9"/>
      <c r="T182" s="30">
        <f t="shared" ref="T182" si="665">S182*$L182</f>
        <v>0</v>
      </c>
      <c r="U182" s="9">
        <f>1000/100</f>
        <v>10</v>
      </c>
      <c r="V182" s="30">
        <v>750</v>
      </c>
      <c r="W182" s="9">
        <f>17232/100</f>
        <v>172.32</v>
      </c>
      <c r="X182" s="30">
        <v>12924</v>
      </c>
      <c r="Y182" s="9">
        <f>942/100</f>
        <v>9.42</v>
      </c>
      <c r="Z182" s="30">
        <v>706</v>
      </c>
      <c r="AA182" s="9"/>
      <c r="AB182" s="30">
        <f t="shared" si="500"/>
        <v>0</v>
      </c>
      <c r="AC182" s="9">
        <f>415/100</f>
        <v>4.1500000000000004</v>
      </c>
      <c r="AD182" s="30">
        <v>311</v>
      </c>
      <c r="AE182" s="9"/>
      <c r="AF182" s="30">
        <f t="shared" si="487"/>
        <v>0</v>
      </c>
      <c r="AG182" s="9"/>
      <c r="AH182" s="30">
        <f t="shared" si="488"/>
        <v>0</v>
      </c>
      <c r="AI182" s="9"/>
      <c r="AJ182" s="30">
        <f t="shared" ref="AJ182" si="666">AI182*$L182</f>
        <v>0</v>
      </c>
      <c r="AK182" s="9"/>
      <c r="AL182" s="30">
        <f t="shared" ref="AL182" si="667">AK182*$L182</f>
        <v>0</v>
      </c>
      <c r="AM182" s="9"/>
      <c r="AN182" s="30">
        <f t="shared" si="503"/>
        <v>0</v>
      </c>
      <c r="AO182" s="9"/>
      <c r="AP182" s="30">
        <f t="shared" si="490"/>
        <v>0</v>
      </c>
      <c r="AQ182" s="9"/>
      <c r="AR182" s="30">
        <f t="shared" si="491"/>
        <v>0</v>
      </c>
      <c r="AS182" s="9"/>
      <c r="AT182" s="30">
        <f t="shared" si="492"/>
        <v>0</v>
      </c>
      <c r="AU182" s="9"/>
      <c r="AV182" s="30">
        <f t="shared" si="493"/>
        <v>0</v>
      </c>
      <c r="AW182" s="9"/>
      <c r="AX182" s="30">
        <f t="shared" si="494"/>
        <v>0</v>
      </c>
      <c r="AY182" s="9"/>
      <c r="AZ182" s="30">
        <f t="shared" si="495"/>
        <v>0</v>
      </c>
      <c r="BA182" s="10">
        <f>19589/100</f>
        <v>195.89</v>
      </c>
      <c r="BB182" s="31">
        <v>14691</v>
      </c>
      <c r="BC182" s="15">
        <f t="shared" si="511"/>
        <v>14691</v>
      </c>
      <c r="BD182" s="9">
        <f t="shared" si="512"/>
        <v>0</v>
      </c>
      <c r="BE182" s="28">
        <f t="shared" si="513"/>
        <v>195.89</v>
      </c>
      <c r="BF182" s="8">
        <f t="shared" si="514"/>
        <v>0</v>
      </c>
      <c r="BG182" s="29">
        <f t="shared" si="504"/>
        <v>14691.749999999998</v>
      </c>
      <c r="BH182" s="13">
        <f t="shared" si="515"/>
        <v>-0.74999999999818101</v>
      </c>
      <c r="BI182" s="2" t="str">
        <f t="shared" si="505"/>
        <v>erreur de calcul</v>
      </c>
      <c r="BJ182" s="2"/>
    </row>
    <row r="183" spans="1:62">
      <c r="A183" s="1" t="s">
        <v>12</v>
      </c>
      <c r="B183" s="3" t="s">
        <v>23</v>
      </c>
      <c r="C183" s="3" t="s">
        <v>45</v>
      </c>
      <c r="D183" s="4">
        <v>1789</v>
      </c>
      <c r="E183" s="3" t="s">
        <v>49</v>
      </c>
      <c r="F183" s="3" t="s">
        <v>49</v>
      </c>
      <c r="G183" s="31">
        <v>23</v>
      </c>
      <c r="H183" s="31" t="s">
        <v>254</v>
      </c>
      <c r="I183" s="5"/>
      <c r="J183" s="5"/>
      <c r="K183" s="6"/>
      <c r="L183" s="11">
        <f t="shared" si="506"/>
        <v>0</v>
      </c>
      <c r="M183" s="7"/>
      <c r="N183" s="31"/>
      <c r="O183" s="9"/>
      <c r="P183" s="9" t="str">
        <f t="shared" si="507"/>
        <v/>
      </c>
      <c r="Q183" s="9"/>
      <c r="R183" s="30">
        <v>957</v>
      </c>
      <c r="S183" s="9"/>
      <c r="T183" s="30">
        <f t="shared" ref="T183" si="668">S183*$L183</f>
        <v>0</v>
      </c>
      <c r="U183" s="9"/>
      <c r="V183" s="30">
        <v>354</v>
      </c>
      <c r="W183" s="9"/>
      <c r="X183" s="30">
        <v>398</v>
      </c>
      <c r="Y183" s="9"/>
      <c r="Z183" s="30">
        <v>685</v>
      </c>
      <c r="AA183" s="9"/>
      <c r="AB183" s="30">
        <v>120</v>
      </c>
      <c r="AC183" s="9"/>
      <c r="AD183" s="30">
        <v>2994</v>
      </c>
      <c r="AE183" s="9"/>
      <c r="AF183" s="30">
        <f t="shared" si="487"/>
        <v>0</v>
      </c>
      <c r="AG183" s="9"/>
      <c r="AH183" s="30">
        <f t="shared" si="488"/>
        <v>0</v>
      </c>
      <c r="AI183" s="9"/>
      <c r="AJ183" s="30">
        <v>144</v>
      </c>
      <c r="AK183" s="9"/>
      <c r="AL183" s="30">
        <f t="shared" ref="AL183" si="669">AK183*$L183</f>
        <v>0</v>
      </c>
      <c r="AM183" s="9"/>
      <c r="AN183" s="30">
        <f t="shared" si="503"/>
        <v>0</v>
      </c>
      <c r="AO183" s="9"/>
      <c r="AP183" s="30">
        <f t="shared" si="490"/>
        <v>0</v>
      </c>
      <c r="AQ183" s="9"/>
      <c r="AR183" s="30">
        <f t="shared" si="491"/>
        <v>0</v>
      </c>
      <c r="AS183" s="9"/>
      <c r="AT183" s="30">
        <f t="shared" si="492"/>
        <v>0</v>
      </c>
      <c r="AU183" s="9"/>
      <c r="AV183" s="30">
        <f t="shared" si="493"/>
        <v>0</v>
      </c>
      <c r="AW183" s="9"/>
      <c r="AX183" s="30">
        <f t="shared" si="494"/>
        <v>0</v>
      </c>
      <c r="AY183" s="9"/>
      <c r="AZ183" s="30">
        <f t="shared" si="495"/>
        <v>0</v>
      </c>
      <c r="BA183" s="10"/>
      <c r="BB183" s="31">
        <v>5652</v>
      </c>
      <c r="BC183" s="15">
        <f t="shared" si="511"/>
        <v>5652</v>
      </c>
      <c r="BD183" s="9">
        <f t="shared" si="512"/>
        <v>0</v>
      </c>
      <c r="BE183" s="28">
        <f t="shared" si="513"/>
        <v>0</v>
      </c>
      <c r="BF183" s="8">
        <f t="shared" si="514"/>
        <v>0</v>
      </c>
      <c r="BG183" s="29">
        <f t="shared" si="504"/>
        <v>0</v>
      </c>
      <c r="BH183" s="13">
        <f t="shared" si="515"/>
        <v>5652</v>
      </c>
      <c r="BI183" s="2" t="str">
        <f t="shared" si="505"/>
        <v>pas de prix, ni de quantité</v>
      </c>
      <c r="BJ183" s="2"/>
    </row>
    <row r="184" spans="1:62">
      <c r="A184" s="1" t="s">
        <v>12</v>
      </c>
      <c r="B184" s="3" t="s">
        <v>23</v>
      </c>
      <c r="C184" s="3" t="s">
        <v>45</v>
      </c>
      <c r="D184" s="4">
        <v>1789</v>
      </c>
      <c r="E184" s="3" t="s">
        <v>49</v>
      </c>
      <c r="F184" s="3" t="s">
        <v>49</v>
      </c>
      <c r="G184" s="31">
        <v>23</v>
      </c>
      <c r="H184" s="31" t="s">
        <v>255</v>
      </c>
      <c r="I184" s="5">
        <v>88</v>
      </c>
      <c r="J184" s="5"/>
      <c r="K184" s="6"/>
      <c r="L184" s="11">
        <f t="shared" si="506"/>
        <v>88</v>
      </c>
      <c r="M184" s="7" t="s">
        <v>14</v>
      </c>
      <c r="N184" s="31"/>
      <c r="O184" s="9"/>
      <c r="P184" s="9" t="str">
        <f t="shared" si="507"/>
        <v/>
      </c>
      <c r="Q184" s="9"/>
      <c r="R184" s="30">
        <f t="shared" ref="R184" si="670">Q184*$L184</f>
        <v>0</v>
      </c>
      <c r="S184" s="9"/>
      <c r="T184" s="30">
        <f t="shared" ref="T184" si="671">S184*$L184</f>
        <v>0</v>
      </c>
      <c r="U184" s="9"/>
      <c r="V184" s="30">
        <f t="shared" si="486"/>
        <v>0</v>
      </c>
      <c r="W184" s="9">
        <f>21004/100</f>
        <v>210.04</v>
      </c>
      <c r="X184" s="30">
        <v>18483</v>
      </c>
      <c r="Y184" s="9"/>
      <c r="Z184" s="30">
        <f t="shared" si="499"/>
        <v>0</v>
      </c>
      <c r="AA184" s="9"/>
      <c r="AB184" s="30">
        <f t="shared" si="500"/>
        <v>0</v>
      </c>
      <c r="AC184" s="9"/>
      <c r="AD184" s="30">
        <f t="shared" si="501"/>
        <v>0</v>
      </c>
      <c r="AE184" s="9"/>
      <c r="AF184" s="30">
        <f t="shared" si="487"/>
        <v>0</v>
      </c>
      <c r="AG184" s="9"/>
      <c r="AH184" s="30">
        <f t="shared" si="488"/>
        <v>0</v>
      </c>
      <c r="AI184" s="9"/>
      <c r="AJ184" s="30">
        <f t="shared" ref="AJ184" si="672">AI184*$L184</f>
        <v>0</v>
      </c>
      <c r="AK184" s="9"/>
      <c r="AL184" s="30">
        <f t="shared" ref="AL184" si="673">AK184*$L184</f>
        <v>0</v>
      </c>
      <c r="AM184" s="9"/>
      <c r="AN184" s="30">
        <f t="shared" si="503"/>
        <v>0</v>
      </c>
      <c r="AO184" s="9"/>
      <c r="AP184" s="30">
        <f t="shared" si="490"/>
        <v>0</v>
      </c>
      <c r="AQ184" s="9"/>
      <c r="AR184" s="30">
        <f t="shared" si="491"/>
        <v>0</v>
      </c>
      <c r="AS184" s="9"/>
      <c r="AT184" s="30">
        <f t="shared" si="492"/>
        <v>0</v>
      </c>
      <c r="AU184" s="9"/>
      <c r="AV184" s="30">
        <f t="shared" si="493"/>
        <v>0</v>
      </c>
      <c r="AW184" s="9"/>
      <c r="AX184" s="30">
        <f t="shared" si="494"/>
        <v>0</v>
      </c>
      <c r="AY184" s="9"/>
      <c r="AZ184" s="30">
        <f t="shared" si="495"/>
        <v>0</v>
      </c>
      <c r="BA184" s="10">
        <f>21004/100</f>
        <v>210.04</v>
      </c>
      <c r="BB184" s="31">
        <v>18483</v>
      </c>
      <c r="BC184" s="15">
        <f t="shared" si="511"/>
        <v>18483</v>
      </c>
      <c r="BD184" s="9">
        <f t="shared" si="512"/>
        <v>0</v>
      </c>
      <c r="BE184" s="28">
        <f t="shared" si="513"/>
        <v>210.04</v>
      </c>
      <c r="BF184" s="8">
        <f t="shared" si="514"/>
        <v>0</v>
      </c>
      <c r="BG184" s="29">
        <f t="shared" si="504"/>
        <v>18483.52</v>
      </c>
      <c r="BH184" s="13">
        <f t="shared" si="515"/>
        <v>-0.52000000000043656</v>
      </c>
      <c r="BI184" s="2" t="str">
        <f t="shared" si="505"/>
        <v>erreur de calcul</v>
      </c>
      <c r="BJ184" s="2"/>
    </row>
    <row r="185" spans="1:62">
      <c r="A185" s="1" t="s">
        <v>12</v>
      </c>
      <c r="B185" s="3" t="s">
        <v>23</v>
      </c>
      <c r="C185" s="3" t="s">
        <v>45</v>
      </c>
      <c r="D185" s="4">
        <v>1789</v>
      </c>
      <c r="E185" s="3" t="s">
        <v>49</v>
      </c>
      <c r="F185" s="3" t="s">
        <v>49</v>
      </c>
      <c r="G185" s="31">
        <v>23</v>
      </c>
      <c r="H185" s="31" t="s">
        <v>256</v>
      </c>
      <c r="I185" s="5">
        <v>35</v>
      </c>
      <c r="J185" s="5"/>
      <c r="K185" s="6"/>
      <c r="L185" s="11">
        <f t="shared" si="506"/>
        <v>35</v>
      </c>
      <c r="M185" s="7" t="s">
        <v>14</v>
      </c>
      <c r="N185" s="31"/>
      <c r="O185" s="9"/>
      <c r="P185" s="9" t="str">
        <f t="shared" si="507"/>
        <v/>
      </c>
      <c r="Q185" s="9">
        <f>2877/100</f>
        <v>28.77</v>
      </c>
      <c r="R185" s="30">
        <v>1007</v>
      </c>
      <c r="S185" s="9"/>
      <c r="T185" s="30">
        <f t="shared" ref="T185" si="674">S185*$L185</f>
        <v>0</v>
      </c>
      <c r="U185" s="9"/>
      <c r="V185" s="30">
        <f t="shared" si="486"/>
        <v>0</v>
      </c>
      <c r="W185" s="9"/>
      <c r="X185" s="30">
        <f t="shared" si="498"/>
        <v>0</v>
      </c>
      <c r="Y185" s="9"/>
      <c r="Z185" s="30">
        <f t="shared" si="499"/>
        <v>0</v>
      </c>
      <c r="AA185" s="9"/>
      <c r="AB185" s="30">
        <f t="shared" si="500"/>
        <v>0</v>
      </c>
      <c r="AC185" s="9"/>
      <c r="AD185" s="30">
        <f t="shared" si="501"/>
        <v>0</v>
      </c>
      <c r="AE185" s="9"/>
      <c r="AF185" s="30">
        <f t="shared" si="487"/>
        <v>0</v>
      </c>
      <c r="AG185" s="9"/>
      <c r="AH185" s="30">
        <f t="shared" si="488"/>
        <v>0</v>
      </c>
      <c r="AI185" s="9"/>
      <c r="AJ185" s="30">
        <f t="shared" ref="AJ185" si="675">AI185*$L185</f>
        <v>0</v>
      </c>
      <c r="AK185" s="9"/>
      <c r="AL185" s="30">
        <f t="shared" ref="AL185" si="676">AK185*$L185</f>
        <v>0</v>
      </c>
      <c r="AM185" s="9"/>
      <c r="AN185" s="30">
        <f t="shared" si="503"/>
        <v>0</v>
      </c>
      <c r="AO185" s="9"/>
      <c r="AP185" s="30">
        <f t="shared" si="490"/>
        <v>0</v>
      </c>
      <c r="AQ185" s="9"/>
      <c r="AR185" s="30">
        <f t="shared" si="491"/>
        <v>0</v>
      </c>
      <c r="AS185" s="9"/>
      <c r="AT185" s="30">
        <f t="shared" si="492"/>
        <v>0</v>
      </c>
      <c r="AU185" s="9"/>
      <c r="AV185" s="30">
        <f t="shared" si="493"/>
        <v>0</v>
      </c>
      <c r="AW185" s="9"/>
      <c r="AX185" s="30">
        <f t="shared" si="494"/>
        <v>0</v>
      </c>
      <c r="AY185" s="9"/>
      <c r="AZ185" s="30">
        <f t="shared" si="495"/>
        <v>0</v>
      </c>
      <c r="BA185" s="10">
        <f>2877/100</f>
        <v>28.77</v>
      </c>
      <c r="BB185" s="31">
        <v>1007</v>
      </c>
      <c r="BC185" s="15">
        <f t="shared" si="511"/>
        <v>1007</v>
      </c>
      <c r="BD185" s="9">
        <f t="shared" si="512"/>
        <v>0</v>
      </c>
      <c r="BE185" s="28">
        <f t="shared" si="513"/>
        <v>28.77</v>
      </c>
      <c r="BF185" s="8">
        <f t="shared" si="514"/>
        <v>0</v>
      </c>
      <c r="BG185" s="29">
        <f t="shared" si="504"/>
        <v>1006.9499999999999</v>
      </c>
      <c r="BH185" s="13">
        <f t="shared" si="515"/>
        <v>5.0000000000068212E-2</v>
      </c>
      <c r="BI185" s="2" t="str">
        <f t="shared" si="505"/>
        <v>erreur de calcul</v>
      </c>
      <c r="BJ185" s="2"/>
    </row>
    <row r="186" spans="1:62">
      <c r="A186" s="1" t="s">
        <v>12</v>
      </c>
      <c r="B186" s="3" t="s">
        <v>23</v>
      </c>
      <c r="C186" s="3" t="s">
        <v>45</v>
      </c>
      <c r="D186" s="4">
        <v>1789</v>
      </c>
      <c r="E186" s="3" t="s">
        <v>49</v>
      </c>
      <c r="F186" s="3" t="s">
        <v>49</v>
      </c>
      <c r="G186" s="31">
        <v>23</v>
      </c>
      <c r="H186" s="31" t="s">
        <v>257</v>
      </c>
      <c r="I186" s="5">
        <v>40</v>
      </c>
      <c r="J186" s="5"/>
      <c r="K186" s="6"/>
      <c r="L186" s="11">
        <f t="shared" si="506"/>
        <v>40</v>
      </c>
      <c r="M186" s="7" t="s">
        <v>14</v>
      </c>
      <c r="N186" s="31"/>
      <c r="O186" s="9"/>
      <c r="P186" s="9" t="str">
        <f t="shared" si="507"/>
        <v/>
      </c>
      <c r="Q186" s="9"/>
      <c r="R186" s="30">
        <f t="shared" ref="R186" si="677">Q186*$L186</f>
        <v>0</v>
      </c>
      <c r="S186" s="9"/>
      <c r="T186" s="30">
        <f t="shared" ref="T186" si="678">S186*$L186</f>
        <v>0</v>
      </c>
      <c r="U186" s="9"/>
      <c r="V186" s="30">
        <f t="shared" si="486"/>
        <v>0</v>
      </c>
      <c r="W186" s="9"/>
      <c r="X186" s="30">
        <f t="shared" si="498"/>
        <v>0</v>
      </c>
      <c r="Y186" s="9"/>
      <c r="Z186" s="30">
        <f t="shared" si="499"/>
        <v>0</v>
      </c>
      <c r="AA186" s="9"/>
      <c r="AB186" s="30">
        <f t="shared" si="500"/>
        <v>0</v>
      </c>
      <c r="AC186" s="9"/>
      <c r="AD186" s="30">
        <f t="shared" si="501"/>
        <v>0</v>
      </c>
      <c r="AE186" s="9"/>
      <c r="AF186" s="30">
        <f t="shared" si="487"/>
        <v>0</v>
      </c>
      <c r="AG186" s="9">
        <f>108620/100</f>
        <v>1086.2</v>
      </c>
      <c r="AH186" s="30">
        <v>43448</v>
      </c>
      <c r="AI186" s="9"/>
      <c r="AJ186" s="30">
        <f t="shared" ref="AJ186" si="679">AI186*$L186</f>
        <v>0</v>
      </c>
      <c r="AK186" s="9"/>
      <c r="AL186" s="30">
        <f t="shared" ref="AL186" si="680">AK186*$L186</f>
        <v>0</v>
      </c>
      <c r="AM186" s="9"/>
      <c r="AN186" s="30">
        <f t="shared" si="503"/>
        <v>0</v>
      </c>
      <c r="AO186" s="9"/>
      <c r="AP186" s="30">
        <f t="shared" si="490"/>
        <v>0</v>
      </c>
      <c r="AQ186" s="9"/>
      <c r="AR186" s="30">
        <f t="shared" si="491"/>
        <v>0</v>
      </c>
      <c r="AS186" s="9"/>
      <c r="AT186" s="30">
        <f t="shared" si="492"/>
        <v>0</v>
      </c>
      <c r="AU186" s="9"/>
      <c r="AV186" s="30">
        <f t="shared" si="493"/>
        <v>0</v>
      </c>
      <c r="AW186" s="9"/>
      <c r="AX186" s="30">
        <f t="shared" si="494"/>
        <v>0</v>
      </c>
      <c r="AY186" s="9"/>
      <c r="AZ186" s="30">
        <f t="shared" si="495"/>
        <v>0</v>
      </c>
      <c r="BA186" s="10">
        <f>108620/100</f>
        <v>1086.2</v>
      </c>
      <c r="BB186" s="31">
        <v>43448</v>
      </c>
      <c r="BC186" s="15">
        <f t="shared" si="511"/>
        <v>43448</v>
      </c>
      <c r="BD186" s="9">
        <f t="shared" si="512"/>
        <v>0</v>
      </c>
      <c r="BE186" s="28">
        <f t="shared" si="513"/>
        <v>1086.2</v>
      </c>
      <c r="BF186" s="8">
        <f t="shared" si="514"/>
        <v>0</v>
      </c>
      <c r="BG186" s="29">
        <f t="shared" si="504"/>
        <v>43448</v>
      </c>
      <c r="BH186" s="13">
        <f t="shared" si="515"/>
        <v>0</v>
      </c>
      <c r="BI186" s="2" t="str">
        <f t="shared" si="505"/>
        <v/>
      </c>
      <c r="BJ186" s="2"/>
    </row>
    <row r="187" spans="1:62">
      <c r="A187" s="1" t="s">
        <v>12</v>
      </c>
      <c r="B187" s="3" t="s">
        <v>23</v>
      </c>
      <c r="C187" s="3" t="s">
        <v>45</v>
      </c>
      <c r="D187" s="4">
        <v>1789</v>
      </c>
      <c r="E187" s="3" t="s">
        <v>49</v>
      </c>
      <c r="F187" s="3" t="s">
        <v>49</v>
      </c>
      <c r="G187" s="31">
        <v>23</v>
      </c>
      <c r="H187" s="31" t="s">
        <v>258</v>
      </c>
      <c r="I187" s="5">
        <v>12</v>
      </c>
      <c r="J187" s="5"/>
      <c r="K187" s="6"/>
      <c r="L187" s="11">
        <f t="shared" si="506"/>
        <v>12</v>
      </c>
      <c r="M187" s="7" t="s">
        <v>14</v>
      </c>
      <c r="N187" s="31"/>
      <c r="O187" s="9"/>
      <c r="P187" s="9" t="str">
        <f t="shared" si="507"/>
        <v/>
      </c>
      <c r="Q187" s="9"/>
      <c r="R187" s="30">
        <f t="shared" ref="R187" si="681">Q187*$L187</f>
        <v>0</v>
      </c>
      <c r="S187" s="9"/>
      <c r="T187" s="30">
        <f t="shared" ref="T187" si="682">S187*$L187</f>
        <v>0</v>
      </c>
      <c r="U187" s="9"/>
      <c r="V187" s="30">
        <f t="shared" si="486"/>
        <v>0</v>
      </c>
      <c r="W187" s="9"/>
      <c r="X187" s="30">
        <f t="shared" si="498"/>
        <v>0</v>
      </c>
      <c r="Y187" s="9"/>
      <c r="Z187" s="30">
        <f t="shared" si="499"/>
        <v>0</v>
      </c>
      <c r="AA187" s="9"/>
      <c r="AB187" s="30">
        <f t="shared" si="500"/>
        <v>0</v>
      </c>
      <c r="AC187" s="9">
        <f>485726/100</f>
        <v>4857.26</v>
      </c>
      <c r="AD187" s="30">
        <v>58287</v>
      </c>
      <c r="AE187" s="9"/>
      <c r="AF187" s="30">
        <f t="shared" si="487"/>
        <v>0</v>
      </c>
      <c r="AG187" s="9"/>
      <c r="AH187" s="30">
        <f t="shared" si="488"/>
        <v>0</v>
      </c>
      <c r="AI187" s="9">
        <f>259291/100</f>
        <v>2592.91</v>
      </c>
      <c r="AJ187" s="30">
        <v>31115</v>
      </c>
      <c r="AK187" s="9"/>
      <c r="AL187" s="30">
        <f t="shared" ref="AL187" si="683">AK187*$L187</f>
        <v>0</v>
      </c>
      <c r="AM187" s="9"/>
      <c r="AN187" s="30">
        <f t="shared" si="503"/>
        <v>0</v>
      </c>
      <c r="AO187" s="9"/>
      <c r="AP187" s="30">
        <f t="shared" si="490"/>
        <v>0</v>
      </c>
      <c r="AQ187" s="9"/>
      <c r="AR187" s="30">
        <f t="shared" si="491"/>
        <v>0</v>
      </c>
      <c r="AS187" s="9"/>
      <c r="AT187" s="30">
        <f t="shared" si="492"/>
        <v>0</v>
      </c>
      <c r="AU187" s="9"/>
      <c r="AV187" s="30">
        <f t="shared" si="493"/>
        <v>0</v>
      </c>
      <c r="AW187" s="9"/>
      <c r="AX187" s="30">
        <f t="shared" si="494"/>
        <v>0</v>
      </c>
      <c r="AY187" s="9"/>
      <c r="AZ187" s="30">
        <f t="shared" si="495"/>
        <v>0</v>
      </c>
      <c r="BA187" s="10">
        <f>745017/100</f>
        <v>7450.17</v>
      </c>
      <c r="BB187" s="31">
        <v>89402</v>
      </c>
      <c r="BC187" s="15">
        <f t="shared" si="511"/>
        <v>89402</v>
      </c>
      <c r="BD187" s="9">
        <f t="shared" si="512"/>
        <v>0</v>
      </c>
      <c r="BE187" s="28">
        <f t="shared" si="513"/>
        <v>7450.17</v>
      </c>
      <c r="BF187" s="8">
        <f t="shared" si="514"/>
        <v>0</v>
      </c>
      <c r="BG187" s="29">
        <f t="shared" si="504"/>
        <v>89402.040000000008</v>
      </c>
      <c r="BH187" s="13">
        <f t="shared" si="515"/>
        <v>-4.0000000008149073E-2</v>
      </c>
      <c r="BI187" s="2" t="str">
        <f t="shared" si="505"/>
        <v>erreur de calcul</v>
      </c>
      <c r="BJ187" s="2"/>
    </row>
    <row r="188" spans="1:62">
      <c r="A188" s="1" t="s">
        <v>12</v>
      </c>
      <c r="B188" s="3" t="s">
        <v>23</v>
      </c>
      <c r="C188" s="3" t="s">
        <v>45</v>
      </c>
      <c r="D188" s="4">
        <v>1789</v>
      </c>
      <c r="E188" s="3" t="s">
        <v>49</v>
      </c>
      <c r="F188" s="3" t="s">
        <v>49</v>
      </c>
      <c r="G188" s="31">
        <v>23</v>
      </c>
      <c r="H188" s="31" t="s">
        <v>259</v>
      </c>
      <c r="I188" s="5">
        <v>15</v>
      </c>
      <c r="J188" s="5"/>
      <c r="K188" s="6"/>
      <c r="L188" s="11">
        <f t="shared" si="506"/>
        <v>15</v>
      </c>
      <c r="M188" s="7" t="s">
        <v>14</v>
      </c>
      <c r="N188" s="31"/>
      <c r="O188" s="9"/>
      <c r="P188" s="9" t="str">
        <f t="shared" si="507"/>
        <v/>
      </c>
      <c r="Q188" s="9"/>
      <c r="R188" s="30">
        <f t="shared" ref="R188" si="684">Q188*$L188</f>
        <v>0</v>
      </c>
      <c r="S188" s="9"/>
      <c r="T188" s="30">
        <f t="shared" ref="T188" si="685">S188*$L188</f>
        <v>0</v>
      </c>
      <c r="U188" s="9"/>
      <c r="V188" s="30">
        <f t="shared" si="486"/>
        <v>0</v>
      </c>
      <c r="W188" s="9"/>
      <c r="X188" s="30">
        <f t="shared" si="498"/>
        <v>0</v>
      </c>
      <c r="Y188" s="9">
        <f>65502/100</f>
        <v>655.02</v>
      </c>
      <c r="Z188" s="30">
        <v>9825</v>
      </c>
      <c r="AA188" s="9"/>
      <c r="AB188" s="30">
        <f t="shared" si="500"/>
        <v>0</v>
      </c>
      <c r="AC188" s="9">
        <f>207046/100</f>
        <v>2070.46</v>
      </c>
      <c r="AD188" s="30">
        <v>31057</v>
      </c>
      <c r="AE188" s="9"/>
      <c r="AF188" s="30">
        <f t="shared" si="487"/>
        <v>0</v>
      </c>
      <c r="AG188" s="9"/>
      <c r="AH188" s="30">
        <f t="shared" si="488"/>
        <v>0</v>
      </c>
      <c r="AI188" s="9">
        <f>11048/100</f>
        <v>110.48</v>
      </c>
      <c r="AJ188" s="30">
        <v>1657</v>
      </c>
      <c r="AK188" s="9"/>
      <c r="AL188" s="30">
        <f t="shared" ref="AL188" si="686">AK188*$L188</f>
        <v>0</v>
      </c>
      <c r="AM188" s="9"/>
      <c r="AN188" s="30">
        <f t="shared" si="503"/>
        <v>0</v>
      </c>
      <c r="AO188" s="9"/>
      <c r="AP188" s="30">
        <f t="shared" si="490"/>
        <v>0</v>
      </c>
      <c r="AQ188" s="9"/>
      <c r="AR188" s="30">
        <f t="shared" si="491"/>
        <v>0</v>
      </c>
      <c r="AS188" s="9"/>
      <c r="AT188" s="30">
        <f t="shared" si="492"/>
        <v>0</v>
      </c>
      <c r="AU188" s="9"/>
      <c r="AV188" s="30">
        <f t="shared" si="493"/>
        <v>0</v>
      </c>
      <c r="AW188" s="9"/>
      <c r="AX188" s="30">
        <f t="shared" si="494"/>
        <v>0</v>
      </c>
      <c r="AY188" s="9"/>
      <c r="AZ188" s="30">
        <f t="shared" si="495"/>
        <v>0</v>
      </c>
      <c r="BA188" s="10">
        <f>283596/100</f>
        <v>2835.96</v>
      </c>
      <c r="BB188" s="31">
        <v>42539</v>
      </c>
      <c r="BC188" s="15">
        <f t="shared" si="511"/>
        <v>42539</v>
      </c>
      <c r="BD188" s="9">
        <f t="shared" si="512"/>
        <v>0</v>
      </c>
      <c r="BE188" s="28">
        <f t="shared" si="513"/>
        <v>2835.96</v>
      </c>
      <c r="BF188" s="8">
        <f t="shared" si="514"/>
        <v>0</v>
      </c>
      <c r="BG188" s="29">
        <f t="shared" si="504"/>
        <v>42539.4</v>
      </c>
      <c r="BH188" s="13">
        <f t="shared" si="515"/>
        <v>-0.40000000000145519</v>
      </c>
      <c r="BI188" s="2" t="str">
        <f t="shared" si="505"/>
        <v>erreur de calcul</v>
      </c>
      <c r="BJ188" s="2"/>
    </row>
    <row r="189" spans="1:62">
      <c r="A189" s="1" t="s">
        <v>12</v>
      </c>
      <c r="B189" s="3" t="s">
        <v>23</v>
      </c>
      <c r="C189" s="3" t="s">
        <v>45</v>
      </c>
      <c r="D189" s="4">
        <v>1789</v>
      </c>
      <c r="E189" s="3" t="s">
        <v>49</v>
      </c>
      <c r="F189" s="3" t="s">
        <v>49</v>
      </c>
      <c r="G189" s="31">
        <v>23</v>
      </c>
      <c r="H189" s="31" t="s">
        <v>260</v>
      </c>
      <c r="I189" s="5"/>
      <c r="J189" s="5">
        <v>40</v>
      </c>
      <c r="K189" s="6"/>
      <c r="L189" s="11">
        <f t="shared" si="506"/>
        <v>2</v>
      </c>
      <c r="M189" s="7" t="s">
        <v>15</v>
      </c>
      <c r="N189" s="31"/>
      <c r="O189" s="9"/>
      <c r="P189" s="9" t="str">
        <f t="shared" si="507"/>
        <v/>
      </c>
      <c r="Q189" s="9"/>
      <c r="R189" s="30">
        <f t="shared" ref="R189" si="687">Q189*$L189</f>
        <v>0</v>
      </c>
      <c r="S189" s="9"/>
      <c r="T189" s="30">
        <f t="shared" ref="T189" si="688">S189*$L189</f>
        <v>0</v>
      </c>
      <c r="U189" s="9"/>
      <c r="V189" s="30">
        <f t="shared" si="486"/>
        <v>0</v>
      </c>
      <c r="W189" s="9">
        <v>6275</v>
      </c>
      <c r="X189" s="30">
        <v>12550</v>
      </c>
      <c r="Y189" s="9">
        <v>8662</v>
      </c>
      <c r="Z189" s="30">
        <v>17324</v>
      </c>
      <c r="AA189" s="9"/>
      <c r="AB189" s="30">
        <f t="shared" si="500"/>
        <v>0</v>
      </c>
      <c r="AC189" s="9">
        <v>2196</v>
      </c>
      <c r="AD189" s="30">
        <v>4392</v>
      </c>
      <c r="AE189" s="9"/>
      <c r="AF189" s="30">
        <f t="shared" si="487"/>
        <v>0</v>
      </c>
      <c r="AG189" s="9"/>
      <c r="AH189" s="30">
        <f t="shared" si="488"/>
        <v>0</v>
      </c>
      <c r="AI189" s="9"/>
      <c r="AJ189" s="30">
        <f t="shared" ref="AJ189" si="689">AI189*$L189</f>
        <v>0</v>
      </c>
      <c r="AK189" s="9"/>
      <c r="AL189" s="30">
        <f t="shared" ref="AL189" si="690">AK189*$L189</f>
        <v>0</v>
      </c>
      <c r="AM189" s="9"/>
      <c r="AN189" s="30">
        <f t="shared" si="503"/>
        <v>0</v>
      </c>
      <c r="AO189" s="9"/>
      <c r="AP189" s="30">
        <f t="shared" si="490"/>
        <v>0</v>
      </c>
      <c r="AQ189" s="9"/>
      <c r="AR189" s="30">
        <f t="shared" si="491"/>
        <v>0</v>
      </c>
      <c r="AS189" s="9"/>
      <c r="AT189" s="30">
        <f t="shared" si="492"/>
        <v>0</v>
      </c>
      <c r="AU189" s="9"/>
      <c r="AV189" s="30">
        <f t="shared" si="493"/>
        <v>0</v>
      </c>
      <c r="AW189" s="9"/>
      <c r="AX189" s="30">
        <f t="shared" si="494"/>
        <v>0</v>
      </c>
      <c r="AY189" s="9"/>
      <c r="AZ189" s="30">
        <f t="shared" si="495"/>
        <v>0</v>
      </c>
      <c r="BA189" s="10">
        <v>17133</v>
      </c>
      <c r="BB189" s="31">
        <v>34266</v>
      </c>
      <c r="BC189" s="15">
        <f t="shared" si="511"/>
        <v>34266</v>
      </c>
      <c r="BD189" s="9">
        <f t="shared" si="512"/>
        <v>0</v>
      </c>
      <c r="BE189" s="28">
        <f t="shared" si="513"/>
        <v>17133</v>
      </c>
      <c r="BF189" s="8">
        <f t="shared" si="514"/>
        <v>0</v>
      </c>
      <c r="BG189" s="29">
        <f t="shared" si="504"/>
        <v>34266</v>
      </c>
      <c r="BH189" s="13">
        <f t="shared" si="515"/>
        <v>0</v>
      </c>
      <c r="BI189" s="2" t="str">
        <f t="shared" si="505"/>
        <v/>
      </c>
      <c r="BJ189" s="2"/>
    </row>
    <row r="190" spans="1:62">
      <c r="A190" s="1" t="s">
        <v>12</v>
      </c>
      <c r="B190" s="3" t="s">
        <v>23</v>
      </c>
      <c r="C190" s="3" t="s">
        <v>45</v>
      </c>
      <c r="D190" s="4">
        <v>1789</v>
      </c>
      <c r="E190" s="3" t="s">
        <v>49</v>
      </c>
      <c r="F190" s="3" t="s">
        <v>49</v>
      </c>
      <c r="G190" s="31">
        <v>23</v>
      </c>
      <c r="H190" s="31" t="s">
        <v>261</v>
      </c>
      <c r="I190" s="5">
        <v>17</v>
      </c>
      <c r="J190" s="5">
        <v>10</v>
      </c>
      <c r="K190" s="6"/>
      <c r="L190" s="11">
        <f t="shared" si="506"/>
        <v>17.5</v>
      </c>
      <c r="M190" s="7" t="s">
        <v>14</v>
      </c>
      <c r="N190" s="31"/>
      <c r="O190" s="9"/>
      <c r="P190" s="9" t="str">
        <f t="shared" si="507"/>
        <v/>
      </c>
      <c r="Q190" s="9">
        <f>147621/100</f>
        <v>1476.21</v>
      </c>
      <c r="R190" s="30">
        <v>25834</v>
      </c>
      <c r="S190" s="9"/>
      <c r="T190" s="30">
        <f t="shared" ref="T190" si="691">S190*$L190</f>
        <v>0</v>
      </c>
      <c r="U190" s="9"/>
      <c r="V190" s="30">
        <f t="shared" si="486"/>
        <v>0</v>
      </c>
      <c r="W190" s="9"/>
      <c r="X190" s="30">
        <f t="shared" si="498"/>
        <v>0</v>
      </c>
      <c r="Y190" s="9">
        <f>7220/100</f>
        <v>72.2</v>
      </c>
      <c r="Z190" s="30">
        <v>1263</v>
      </c>
      <c r="AA190" s="9"/>
      <c r="AB190" s="30">
        <f t="shared" si="500"/>
        <v>0</v>
      </c>
      <c r="AC190" s="9">
        <f>524444/100</f>
        <v>5244.44</v>
      </c>
      <c r="AD190" s="32">
        <v>91767</v>
      </c>
      <c r="AE190" s="9"/>
      <c r="AF190" s="30">
        <f t="shared" si="487"/>
        <v>0</v>
      </c>
      <c r="AG190" s="9"/>
      <c r="AH190" s="30">
        <f t="shared" si="488"/>
        <v>0</v>
      </c>
      <c r="AI190" s="9">
        <f>124394/100</f>
        <v>1243.94</v>
      </c>
      <c r="AJ190" s="30">
        <v>21769</v>
      </c>
      <c r="AK190" s="9"/>
      <c r="AL190" s="30">
        <f t="shared" ref="AL190" si="692">AK190*$L190</f>
        <v>0</v>
      </c>
      <c r="AM190" s="9"/>
      <c r="AN190" s="30">
        <f t="shared" si="503"/>
        <v>0</v>
      </c>
      <c r="AO190" s="9"/>
      <c r="AP190" s="30">
        <f t="shared" si="490"/>
        <v>0</v>
      </c>
      <c r="AQ190" s="9"/>
      <c r="AR190" s="30">
        <f t="shared" si="491"/>
        <v>0</v>
      </c>
      <c r="AS190" s="9"/>
      <c r="AT190" s="30">
        <f t="shared" si="492"/>
        <v>0</v>
      </c>
      <c r="AU190" s="9"/>
      <c r="AV190" s="30">
        <f t="shared" si="493"/>
        <v>0</v>
      </c>
      <c r="AW190" s="9"/>
      <c r="AX190" s="30">
        <f t="shared" si="494"/>
        <v>0</v>
      </c>
      <c r="AY190" s="9"/>
      <c r="AZ190" s="30">
        <f t="shared" si="495"/>
        <v>0</v>
      </c>
      <c r="BA190" s="10">
        <f>803679/100</f>
        <v>8036.79</v>
      </c>
      <c r="BB190" s="31">
        <v>140633</v>
      </c>
      <c r="BC190" s="15">
        <f t="shared" si="511"/>
        <v>140633</v>
      </c>
      <c r="BD190" s="9">
        <f t="shared" si="512"/>
        <v>0</v>
      </c>
      <c r="BE190" s="28">
        <f t="shared" si="513"/>
        <v>8036.7899999999991</v>
      </c>
      <c r="BF190" s="8">
        <f t="shared" si="514"/>
        <v>0</v>
      </c>
      <c r="BG190" s="29">
        <f t="shared" si="504"/>
        <v>140643.82499999998</v>
      </c>
      <c r="BH190" s="13">
        <f t="shared" si="515"/>
        <v>-10.824999999982538</v>
      </c>
      <c r="BI190" s="2" t="str">
        <f t="shared" si="505"/>
        <v>erreur de calcul</v>
      </c>
      <c r="BJ190" s="2"/>
    </row>
    <row r="191" spans="1:62">
      <c r="A191" s="1" t="s">
        <v>12</v>
      </c>
      <c r="B191" s="3" t="s">
        <v>23</v>
      </c>
      <c r="C191" s="3" t="s">
        <v>45</v>
      </c>
      <c r="D191" s="4">
        <v>1789</v>
      </c>
      <c r="E191" s="3" t="s">
        <v>49</v>
      </c>
      <c r="F191" s="3" t="s">
        <v>49</v>
      </c>
      <c r="G191" s="31">
        <v>23</v>
      </c>
      <c r="H191" s="31" t="s">
        <v>262</v>
      </c>
      <c r="I191" s="5">
        <v>25</v>
      </c>
      <c r="J191" s="5"/>
      <c r="K191" s="6"/>
      <c r="L191" s="11">
        <f t="shared" si="506"/>
        <v>25</v>
      </c>
      <c r="M191" s="7" t="s">
        <v>14</v>
      </c>
      <c r="N191" s="31"/>
      <c r="O191" s="9"/>
      <c r="P191" s="9" t="str">
        <f t="shared" si="507"/>
        <v/>
      </c>
      <c r="Q191" s="9"/>
      <c r="R191" s="30">
        <f t="shared" ref="R191" si="693">Q191*$L191</f>
        <v>0</v>
      </c>
      <c r="S191" s="9"/>
      <c r="T191" s="30">
        <f t="shared" ref="T191" si="694">S191*$L191</f>
        <v>0</v>
      </c>
      <c r="U191" s="9"/>
      <c r="V191" s="30">
        <f t="shared" si="486"/>
        <v>0</v>
      </c>
      <c r="W191" s="9"/>
      <c r="X191" s="30">
        <f t="shared" si="498"/>
        <v>0</v>
      </c>
      <c r="Y191" s="9"/>
      <c r="Z191" s="30">
        <f t="shared" si="499"/>
        <v>0</v>
      </c>
      <c r="AA191" s="9"/>
      <c r="AB191" s="30">
        <f t="shared" si="500"/>
        <v>0</v>
      </c>
      <c r="AC191" s="9">
        <f>136004/100</f>
        <v>1360.04</v>
      </c>
      <c r="AD191" s="30">
        <v>34001</v>
      </c>
      <c r="AE191" s="9"/>
      <c r="AF191" s="30">
        <f t="shared" si="487"/>
        <v>0</v>
      </c>
      <c r="AG191" s="9"/>
      <c r="AH191" s="30">
        <f t="shared" si="488"/>
        <v>0</v>
      </c>
      <c r="AI191" s="9">
        <f>173052/100</f>
        <v>1730.52</v>
      </c>
      <c r="AJ191" s="30">
        <v>43263</v>
      </c>
      <c r="AK191" s="9"/>
      <c r="AL191" s="30">
        <f t="shared" ref="AL191" si="695">AK191*$L191</f>
        <v>0</v>
      </c>
      <c r="AM191" s="9"/>
      <c r="AN191" s="30">
        <f t="shared" si="503"/>
        <v>0</v>
      </c>
      <c r="AO191" s="9"/>
      <c r="AP191" s="30">
        <f t="shared" si="490"/>
        <v>0</v>
      </c>
      <c r="AQ191" s="9"/>
      <c r="AR191" s="30">
        <f t="shared" si="491"/>
        <v>0</v>
      </c>
      <c r="AS191" s="9"/>
      <c r="AT191" s="30">
        <f t="shared" si="492"/>
        <v>0</v>
      </c>
      <c r="AU191" s="9"/>
      <c r="AV191" s="30">
        <f t="shared" si="493"/>
        <v>0</v>
      </c>
      <c r="AW191" s="9"/>
      <c r="AX191" s="30">
        <f t="shared" si="494"/>
        <v>0</v>
      </c>
      <c r="AY191" s="9"/>
      <c r="AZ191" s="30">
        <f t="shared" si="495"/>
        <v>0</v>
      </c>
      <c r="BA191" s="10">
        <f>309056/100</f>
        <v>3090.56</v>
      </c>
      <c r="BB191" s="31">
        <v>77264</v>
      </c>
      <c r="BC191" s="15">
        <f t="shared" si="511"/>
        <v>77264</v>
      </c>
      <c r="BD191" s="9">
        <f t="shared" si="512"/>
        <v>0</v>
      </c>
      <c r="BE191" s="28">
        <f t="shared" si="513"/>
        <v>3090.56</v>
      </c>
      <c r="BF191" s="8">
        <f t="shared" si="514"/>
        <v>0</v>
      </c>
      <c r="BG191" s="29">
        <f t="shared" si="504"/>
        <v>77264</v>
      </c>
      <c r="BH191" s="13">
        <f t="shared" si="515"/>
        <v>0</v>
      </c>
      <c r="BI191" s="2" t="str">
        <f t="shared" si="505"/>
        <v/>
      </c>
      <c r="BJ191" s="2"/>
    </row>
    <row r="192" spans="1:62">
      <c r="A192" s="1" t="s">
        <v>12</v>
      </c>
      <c r="B192" s="3" t="s">
        <v>23</v>
      </c>
      <c r="C192" s="3" t="s">
        <v>45</v>
      </c>
      <c r="D192" s="4">
        <v>1789</v>
      </c>
      <c r="E192" s="3" t="s">
        <v>49</v>
      </c>
      <c r="F192" s="3" t="s">
        <v>49</v>
      </c>
      <c r="G192" s="31">
        <v>23</v>
      </c>
      <c r="H192" s="31" t="s">
        <v>263</v>
      </c>
      <c r="I192" s="5">
        <v>8</v>
      </c>
      <c r="J192" s="5"/>
      <c r="K192" s="6"/>
      <c r="L192" s="11">
        <f t="shared" si="506"/>
        <v>8</v>
      </c>
      <c r="M192" s="7" t="s">
        <v>14</v>
      </c>
      <c r="N192" s="31"/>
      <c r="O192" s="9"/>
      <c r="P192" s="9" t="str">
        <f t="shared" si="507"/>
        <v/>
      </c>
      <c r="Q192" s="9"/>
      <c r="R192" s="30">
        <f t="shared" ref="R192" si="696">Q192*$L192</f>
        <v>0</v>
      </c>
      <c r="S192" s="9"/>
      <c r="T192" s="30">
        <f t="shared" ref="T192" si="697">S192*$L192</f>
        <v>0</v>
      </c>
      <c r="U192" s="9">
        <f>260752/100</f>
        <v>2607.52</v>
      </c>
      <c r="V192" s="30">
        <v>20860</v>
      </c>
      <c r="W192" s="9">
        <f>170453/100</f>
        <v>1704.53</v>
      </c>
      <c r="X192" s="30">
        <v>13636</v>
      </c>
      <c r="Y192" s="9"/>
      <c r="Z192" s="30">
        <f t="shared" si="499"/>
        <v>0</v>
      </c>
      <c r="AA192" s="9"/>
      <c r="AB192" s="30">
        <f t="shared" si="500"/>
        <v>0</v>
      </c>
      <c r="AC192" s="9"/>
      <c r="AD192" s="30">
        <f t="shared" si="501"/>
        <v>0</v>
      </c>
      <c r="AE192" s="9"/>
      <c r="AF192" s="30">
        <f t="shared" si="487"/>
        <v>0</v>
      </c>
      <c r="AG192" s="9"/>
      <c r="AH192" s="30">
        <f t="shared" si="488"/>
        <v>0</v>
      </c>
      <c r="AI192" s="9"/>
      <c r="AJ192" s="30">
        <f t="shared" ref="AJ192" si="698">AI192*$L192</f>
        <v>0</v>
      </c>
      <c r="AK192" s="9"/>
      <c r="AL192" s="30">
        <f t="shared" ref="AL192" si="699">AK192*$L192</f>
        <v>0</v>
      </c>
      <c r="AM192" s="9"/>
      <c r="AN192" s="30">
        <f t="shared" si="503"/>
        <v>0</v>
      </c>
      <c r="AO192" s="9"/>
      <c r="AP192" s="30">
        <f t="shared" si="490"/>
        <v>0</v>
      </c>
      <c r="AQ192" s="9"/>
      <c r="AR192" s="30">
        <f t="shared" si="491"/>
        <v>0</v>
      </c>
      <c r="AS192" s="9"/>
      <c r="AT192" s="30">
        <f t="shared" si="492"/>
        <v>0</v>
      </c>
      <c r="AU192" s="9"/>
      <c r="AV192" s="30">
        <f t="shared" si="493"/>
        <v>0</v>
      </c>
      <c r="AW192" s="9"/>
      <c r="AX192" s="30">
        <f t="shared" si="494"/>
        <v>0</v>
      </c>
      <c r="AY192" s="9"/>
      <c r="AZ192" s="30">
        <f t="shared" si="495"/>
        <v>0</v>
      </c>
      <c r="BA192" s="10">
        <f>431205/100</f>
        <v>4312.05</v>
      </c>
      <c r="BB192" s="31">
        <v>34496</v>
      </c>
      <c r="BC192" s="15">
        <f t="shared" si="511"/>
        <v>34496</v>
      </c>
      <c r="BD192" s="9">
        <f t="shared" si="512"/>
        <v>0</v>
      </c>
      <c r="BE192" s="28">
        <f t="shared" si="513"/>
        <v>4312.05</v>
      </c>
      <c r="BF192" s="8">
        <f t="shared" si="514"/>
        <v>0</v>
      </c>
      <c r="BG192" s="29">
        <f t="shared" si="504"/>
        <v>34496.400000000001</v>
      </c>
      <c r="BH192" s="13">
        <f t="shared" si="515"/>
        <v>-0.40000000000145519</v>
      </c>
      <c r="BI192" s="2" t="str">
        <f t="shared" si="505"/>
        <v>erreur de calcul</v>
      </c>
      <c r="BJ192" s="2"/>
    </row>
    <row r="193" spans="1:62">
      <c r="A193" s="1" t="s">
        <v>12</v>
      </c>
      <c r="B193" s="3" t="s">
        <v>23</v>
      </c>
      <c r="C193" s="3" t="s">
        <v>45</v>
      </c>
      <c r="D193" s="4">
        <v>1789</v>
      </c>
      <c r="E193" s="3" t="s">
        <v>49</v>
      </c>
      <c r="F193" s="3" t="s">
        <v>49</v>
      </c>
      <c r="G193" s="31">
        <v>23</v>
      </c>
      <c r="H193" s="31" t="s">
        <v>264</v>
      </c>
      <c r="I193" s="5"/>
      <c r="J193" s="5">
        <v>50</v>
      </c>
      <c r="K193" s="6"/>
      <c r="L193" s="11">
        <f t="shared" si="506"/>
        <v>2.5</v>
      </c>
      <c r="M193" s="7" t="s">
        <v>46</v>
      </c>
      <c r="N193" s="31"/>
      <c r="O193" s="9"/>
      <c r="P193" s="9" t="str">
        <f t="shared" si="507"/>
        <v/>
      </c>
      <c r="Q193" s="9"/>
      <c r="R193" s="30">
        <f t="shared" ref="R193" si="700">Q193*$L193</f>
        <v>0</v>
      </c>
      <c r="S193" s="9"/>
      <c r="T193" s="30">
        <f t="shared" ref="T193" si="701">S193*$L193</f>
        <v>0</v>
      </c>
      <c r="U193" s="9">
        <f>221150/100</f>
        <v>2211.5</v>
      </c>
      <c r="V193" s="30">
        <v>5529</v>
      </c>
      <c r="W193" s="9">
        <f>3922156/100</f>
        <v>39221.56</v>
      </c>
      <c r="X193" s="30">
        <v>98054</v>
      </c>
      <c r="Y193" s="9"/>
      <c r="Z193" s="30">
        <f t="shared" si="499"/>
        <v>0</v>
      </c>
      <c r="AA193" s="9"/>
      <c r="AB193" s="30">
        <f t="shared" si="500"/>
        <v>0</v>
      </c>
      <c r="AC193" s="9">
        <f>297900/100</f>
        <v>2979</v>
      </c>
      <c r="AD193" s="30">
        <v>7447</v>
      </c>
      <c r="AE193" s="9"/>
      <c r="AF193" s="30">
        <f t="shared" si="487"/>
        <v>0</v>
      </c>
      <c r="AG193" s="9"/>
      <c r="AH193" s="30">
        <f t="shared" si="488"/>
        <v>0</v>
      </c>
      <c r="AI193" s="9"/>
      <c r="AJ193" s="30">
        <f t="shared" ref="AJ193" si="702">AI193*$L193</f>
        <v>0</v>
      </c>
      <c r="AK193" s="9"/>
      <c r="AL193" s="30">
        <f t="shared" ref="AL193" si="703">AK193*$L193</f>
        <v>0</v>
      </c>
      <c r="AM193" s="9"/>
      <c r="AN193" s="30">
        <f t="shared" si="503"/>
        <v>0</v>
      </c>
      <c r="AO193" s="9"/>
      <c r="AP193" s="30">
        <f t="shared" si="490"/>
        <v>0</v>
      </c>
      <c r="AQ193" s="9"/>
      <c r="AR193" s="30">
        <f t="shared" si="491"/>
        <v>0</v>
      </c>
      <c r="AS193" s="9"/>
      <c r="AT193" s="30">
        <f t="shared" si="492"/>
        <v>0</v>
      </c>
      <c r="AU193" s="9"/>
      <c r="AV193" s="30">
        <f t="shared" si="493"/>
        <v>0</v>
      </c>
      <c r="AW193" s="9"/>
      <c r="AX193" s="30">
        <f t="shared" si="494"/>
        <v>0</v>
      </c>
      <c r="AY193" s="9"/>
      <c r="AZ193" s="30">
        <f t="shared" si="495"/>
        <v>0</v>
      </c>
      <c r="BA193" s="10">
        <f>4441206/100</f>
        <v>44412.06</v>
      </c>
      <c r="BB193" s="31">
        <v>111030</v>
      </c>
      <c r="BC193" s="15">
        <f t="shared" si="511"/>
        <v>111030</v>
      </c>
      <c r="BD193" s="9">
        <f t="shared" si="512"/>
        <v>0</v>
      </c>
      <c r="BE193" s="28">
        <f t="shared" si="513"/>
        <v>44412.06</v>
      </c>
      <c r="BF193" s="8">
        <f t="shared" si="514"/>
        <v>0</v>
      </c>
      <c r="BG193" s="29">
        <f t="shared" si="504"/>
        <v>111030.15</v>
      </c>
      <c r="BH193" s="13">
        <f t="shared" si="515"/>
        <v>-0.14999999999417923</v>
      </c>
      <c r="BI193" s="2" t="str">
        <f t="shared" si="505"/>
        <v>erreur de calcul</v>
      </c>
      <c r="BJ193" s="2"/>
    </row>
    <row r="194" spans="1:62">
      <c r="A194" s="1" t="s">
        <v>12</v>
      </c>
      <c r="B194" s="3" t="s">
        <v>23</v>
      </c>
      <c r="C194" s="3" t="s">
        <v>45</v>
      </c>
      <c r="D194" s="4">
        <v>1789</v>
      </c>
      <c r="E194" s="3" t="s">
        <v>49</v>
      </c>
      <c r="F194" s="3" t="s">
        <v>49</v>
      </c>
      <c r="G194" s="31">
        <v>23</v>
      </c>
      <c r="H194" s="31" t="s">
        <v>265</v>
      </c>
      <c r="I194" s="5">
        <v>5</v>
      </c>
      <c r="J194" s="5"/>
      <c r="K194" s="6"/>
      <c r="L194" s="11">
        <f t="shared" si="506"/>
        <v>5</v>
      </c>
      <c r="M194" s="7" t="s">
        <v>46</v>
      </c>
      <c r="N194" s="31"/>
      <c r="O194" s="9"/>
      <c r="P194" s="9" t="str">
        <f t="shared" si="507"/>
        <v/>
      </c>
      <c r="Q194" s="9">
        <f>328200/100</f>
        <v>3282</v>
      </c>
      <c r="R194" s="30">
        <v>16410</v>
      </c>
      <c r="S194" s="9"/>
      <c r="T194" s="30">
        <f t="shared" ref="T194" si="704">S194*$L194</f>
        <v>0</v>
      </c>
      <c r="U194" s="9">
        <f>667000/100</f>
        <v>6670</v>
      </c>
      <c r="V194" s="32">
        <v>33360</v>
      </c>
      <c r="W194" s="9">
        <f>506800/100</f>
        <v>5068</v>
      </c>
      <c r="X194" s="30">
        <v>25340</v>
      </c>
      <c r="Y194" s="9"/>
      <c r="Z194" s="30">
        <f t="shared" si="499"/>
        <v>0</v>
      </c>
      <c r="AA194" s="9"/>
      <c r="AB194" s="30">
        <f t="shared" si="500"/>
        <v>0</v>
      </c>
      <c r="AC194" s="9"/>
      <c r="AD194" s="30">
        <f t="shared" si="501"/>
        <v>0</v>
      </c>
      <c r="AE194" s="9"/>
      <c r="AF194" s="30">
        <f t="shared" si="487"/>
        <v>0</v>
      </c>
      <c r="AG194" s="9"/>
      <c r="AH194" s="30">
        <f t="shared" si="488"/>
        <v>0</v>
      </c>
      <c r="AI194" s="9">
        <f>320500/100</f>
        <v>3205</v>
      </c>
      <c r="AJ194" s="30">
        <v>16025</v>
      </c>
      <c r="AK194" s="9"/>
      <c r="AL194" s="30">
        <f t="shared" ref="AL194" si="705">AK194*$L194</f>
        <v>0</v>
      </c>
      <c r="AM194" s="9"/>
      <c r="AN194" s="30">
        <f t="shared" si="503"/>
        <v>0</v>
      </c>
      <c r="AO194" s="9"/>
      <c r="AP194" s="30">
        <f t="shared" si="490"/>
        <v>0</v>
      </c>
      <c r="AQ194" s="9"/>
      <c r="AR194" s="30">
        <f t="shared" si="491"/>
        <v>0</v>
      </c>
      <c r="AS194" s="9"/>
      <c r="AT194" s="30">
        <f t="shared" si="492"/>
        <v>0</v>
      </c>
      <c r="AU194" s="9"/>
      <c r="AV194" s="30">
        <f t="shared" si="493"/>
        <v>0</v>
      </c>
      <c r="AW194" s="9"/>
      <c r="AX194" s="30">
        <f t="shared" si="494"/>
        <v>0</v>
      </c>
      <c r="AY194" s="9"/>
      <c r="AZ194" s="30">
        <f t="shared" si="495"/>
        <v>0</v>
      </c>
      <c r="BA194" s="10">
        <f>1822500/100</f>
        <v>18225</v>
      </c>
      <c r="BB194" s="31">
        <v>91135</v>
      </c>
      <c r="BC194" s="15">
        <f t="shared" si="511"/>
        <v>91135</v>
      </c>
      <c r="BD194" s="9">
        <f t="shared" si="512"/>
        <v>0</v>
      </c>
      <c r="BE194" s="28">
        <f t="shared" si="513"/>
        <v>18225</v>
      </c>
      <c r="BF194" s="8">
        <f t="shared" si="514"/>
        <v>0</v>
      </c>
      <c r="BG194" s="29">
        <f t="shared" si="504"/>
        <v>91125</v>
      </c>
      <c r="BH194" s="13">
        <f t="shared" si="515"/>
        <v>10</v>
      </c>
      <c r="BI194" s="2" t="str">
        <f t="shared" si="505"/>
        <v>erreur de calcul</v>
      </c>
      <c r="BJ194" s="2"/>
    </row>
    <row r="195" spans="1:62">
      <c r="A195" s="1" t="s">
        <v>12</v>
      </c>
      <c r="B195" s="3" t="s">
        <v>23</v>
      </c>
      <c r="C195" s="3" t="s">
        <v>45</v>
      </c>
      <c r="D195" s="4">
        <v>1789</v>
      </c>
      <c r="E195" s="3" t="s">
        <v>49</v>
      </c>
      <c r="F195" s="3" t="s">
        <v>49</v>
      </c>
      <c r="G195" s="31">
        <v>23</v>
      </c>
      <c r="H195" s="31" t="s">
        <v>266</v>
      </c>
      <c r="I195" s="5">
        <v>7</v>
      </c>
      <c r="J195" s="5">
        <v>10</v>
      </c>
      <c r="K195" s="6"/>
      <c r="L195" s="11">
        <f t="shared" si="506"/>
        <v>7.5</v>
      </c>
      <c r="M195" s="7" t="s">
        <v>14</v>
      </c>
      <c r="N195" s="31"/>
      <c r="O195" s="9"/>
      <c r="P195" s="9" t="str">
        <f t="shared" si="507"/>
        <v/>
      </c>
      <c r="Q195" s="9"/>
      <c r="R195" s="30">
        <f t="shared" ref="R195" si="706">Q195*$L195</f>
        <v>0</v>
      </c>
      <c r="S195" s="9"/>
      <c r="T195" s="30">
        <f t="shared" ref="T195" si="707">S195*$L195</f>
        <v>0</v>
      </c>
      <c r="U195" s="9"/>
      <c r="V195" s="30">
        <f t="shared" si="486"/>
        <v>0</v>
      </c>
      <c r="W195" s="9">
        <f>191888/100</f>
        <v>1918.88</v>
      </c>
      <c r="X195" s="30">
        <v>14392</v>
      </c>
      <c r="Y195" s="9"/>
      <c r="Z195" s="30">
        <f t="shared" si="499"/>
        <v>0</v>
      </c>
      <c r="AA195" s="9"/>
      <c r="AB195" s="30">
        <f t="shared" si="500"/>
        <v>0</v>
      </c>
      <c r="AC195" s="9"/>
      <c r="AD195" s="30">
        <f t="shared" si="501"/>
        <v>0</v>
      </c>
      <c r="AE195" s="9"/>
      <c r="AF195" s="30">
        <f t="shared" si="487"/>
        <v>0</v>
      </c>
      <c r="AG195" s="9"/>
      <c r="AH195" s="30">
        <f t="shared" si="488"/>
        <v>0</v>
      </c>
      <c r="AI195" s="9"/>
      <c r="AJ195" s="30">
        <f t="shared" ref="AJ195" si="708">AI195*$L195</f>
        <v>0</v>
      </c>
      <c r="AK195" s="9"/>
      <c r="AL195" s="30">
        <f t="shared" ref="AL195" si="709">AK195*$L195</f>
        <v>0</v>
      </c>
      <c r="AM195" s="9"/>
      <c r="AN195" s="30">
        <f t="shared" si="503"/>
        <v>0</v>
      </c>
      <c r="AO195" s="9"/>
      <c r="AP195" s="30">
        <f t="shared" si="490"/>
        <v>0</v>
      </c>
      <c r="AQ195" s="9"/>
      <c r="AR195" s="30">
        <f t="shared" si="491"/>
        <v>0</v>
      </c>
      <c r="AS195" s="9"/>
      <c r="AT195" s="30">
        <f t="shared" si="492"/>
        <v>0</v>
      </c>
      <c r="AU195" s="9"/>
      <c r="AV195" s="30">
        <f t="shared" si="493"/>
        <v>0</v>
      </c>
      <c r="AW195" s="9"/>
      <c r="AX195" s="30">
        <f t="shared" si="494"/>
        <v>0</v>
      </c>
      <c r="AY195" s="9"/>
      <c r="AZ195" s="30">
        <f t="shared" si="495"/>
        <v>0</v>
      </c>
      <c r="BA195" s="10">
        <f>191888/100</f>
        <v>1918.88</v>
      </c>
      <c r="BB195" s="31">
        <v>14392</v>
      </c>
      <c r="BC195" s="15">
        <f t="shared" si="511"/>
        <v>14392</v>
      </c>
      <c r="BD195" s="9">
        <f t="shared" si="512"/>
        <v>0</v>
      </c>
      <c r="BE195" s="28">
        <f t="shared" si="513"/>
        <v>1918.88</v>
      </c>
      <c r="BF195" s="8">
        <f t="shared" si="514"/>
        <v>0</v>
      </c>
      <c r="BG195" s="29">
        <f t="shared" si="504"/>
        <v>14391.6</v>
      </c>
      <c r="BH195" s="13">
        <f t="shared" si="515"/>
        <v>0.3999999999996362</v>
      </c>
      <c r="BI195" s="2" t="str">
        <f t="shared" si="505"/>
        <v>erreur de calcul</v>
      </c>
      <c r="BJ195" s="2"/>
    </row>
    <row r="196" spans="1:62">
      <c r="A196" s="1" t="s">
        <v>12</v>
      </c>
      <c r="B196" s="3" t="s">
        <v>23</v>
      </c>
      <c r="C196" s="3" t="s">
        <v>45</v>
      </c>
      <c r="D196" s="4">
        <v>1789</v>
      </c>
      <c r="E196" s="3" t="s">
        <v>49</v>
      </c>
      <c r="F196" s="3" t="s">
        <v>49</v>
      </c>
      <c r="G196" s="31">
        <v>23</v>
      </c>
      <c r="H196" s="31" t="s">
        <v>267</v>
      </c>
      <c r="I196" s="5">
        <v>6</v>
      </c>
      <c r="J196" s="5"/>
      <c r="K196" s="6"/>
      <c r="L196" s="11">
        <f t="shared" si="506"/>
        <v>6</v>
      </c>
      <c r="M196" s="7" t="s">
        <v>14</v>
      </c>
      <c r="N196" s="31"/>
      <c r="O196" s="9"/>
      <c r="P196" s="9" t="str">
        <f t="shared" si="507"/>
        <v/>
      </c>
      <c r="Q196" s="9"/>
      <c r="R196" s="30">
        <f t="shared" ref="R196" si="710">Q196*$L196</f>
        <v>0</v>
      </c>
      <c r="S196" s="9"/>
      <c r="T196" s="30">
        <f t="shared" ref="T196" si="711">S196*$L196</f>
        <v>0</v>
      </c>
      <c r="U196" s="9">
        <f>26711/100</f>
        <v>267.11</v>
      </c>
      <c r="V196" s="30">
        <v>1603</v>
      </c>
      <c r="W196" s="9">
        <f>790699/100</f>
        <v>7906.99</v>
      </c>
      <c r="X196" s="30">
        <v>47442</v>
      </c>
      <c r="Y196" s="9">
        <f>50169/100</f>
        <v>501.69</v>
      </c>
      <c r="Z196" s="30">
        <v>3010</v>
      </c>
      <c r="AA196" s="9"/>
      <c r="AB196" s="30">
        <f t="shared" si="500"/>
        <v>0</v>
      </c>
      <c r="AC196" s="9"/>
      <c r="AD196" s="30">
        <f t="shared" si="501"/>
        <v>0</v>
      </c>
      <c r="AE196" s="9"/>
      <c r="AF196" s="30">
        <f t="shared" si="487"/>
        <v>0</v>
      </c>
      <c r="AG196" s="9"/>
      <c r="AH196" s="30">
        <f t="shared" si="488"/>
        <v>0</v>
      </c>
      <c r="AI196" s="9"/>
      <c r="AJ196" s="30">
        <f t="shared" ref="AJ196" si="712">AI196*$L196</f>
        <v>0</v>
      </c>
      <c r="AK196" s="9"/>
      <c r="AL196" s="30">
        <f t="shared" ref="AL196" si="713">AK196*$L196</f>
        <v>0</v>
      </c>
      <c r="AM196" s="9"/>
      <c r="AN196" s="30">
        <f t="shared" si="503"/>
        <v>0</v>
      </c>
      <c r="AO196" s="9"/>
      <c r="AP196" s="30">
        <f t="shared" si="490"/>
        <v>0</v>
      </c>
      <c r="AQ196" s="9"/>
      <c r="AR196" s="30">
        <f t="shared" si="491"/>
        <v>0</v>
      </c>
      <c r="AS196" s="9"/>
      <c r="AT196" s="30">
        <f t="shared" si="492"/>
        <v>0</v>
      </c>
      <c r="AU196" s="9"/>
      <c r="AV196" s="30">
        <f t="shared" si="493"/>
        <v>0</v>
      </c>
      <c r="AW196" s="9"/>
      <c r="AX196" s="30">
        <f t="shared" si="494"/>
        <v>0</v>
      </c>
      <c r="AY196" s="9"/>
      <c r="AZ196" s="30">
        <f t="shared" si="495"/>
        <v>0</v>
      </c>
      <c r="BA196" s="10">
        <f>867559/100</f>
        <v>8675.59</v>
      </c>
      <c r="BB196" s="31">
        <v>52055</v>
      </c>
      <c r="BC196" s="15">
        <f t="shared" si="511"/>
        <v>52055</v>
      </c>
      <c r="BD196" s="9">
        <f t="shared" si="512"/>
        <v>0</v>
      </c>
      <c r="BE196" s="28">
        <f t="shared" si="513"/>
        <v>8675.7899999999991</v>
      </c>
      <c r="BF196" s="8">
        <f t="shared" si="514"/>
        <v>-0.19999999999890861</v>
      </c>
      <c r="BG196" s="29">
        <f t="shared" si="504"/>
        <v>52054.739999999991</v>
      </c>
      <c r="BH196" s="13">
        <f t="shared" si="515"/>
        <v>0.26000000000931323</v>
      </c>
      <c r="BI196" s="2" t="str">
        <f t="shared" si="505"/>
        <v>erreur de calcul</v>
      </c>
      <c r="BJ196" s="2"/>
    </row>
    <row r="197" spans="1:62">
      <c r="A197" s="1" t="s">
        <v>12</v>
      </c>
      <c r="B197" s="3" t="s">
        <v>23</v>
      </c>
      <c r="C197" s="3" t="s">
        <v>45</v>
      </c>
      <c r="D197" s="4">
        <v>1789</v>
      </c>
      <c r="E197" s="3" t="s">
        <v>49</v>
      </c>
      <c r="F197" s="3" t="s">
        <v>49</v>
      </c>
      <c r="G197" s="31">
        <v>23</v>
      </c>
      <c r="H197" s="31" t="s">
        <v>268</v>
      </c>
      <c r="I197" s="5">
        <v>8</v>
      </c>
      <c r="J197" s="5"/>
      <c r="K197" s="6"/>
      <c r="L197" s="11">
        <f t="shared" si="506"/>
        <v>8</v>
      </c>
      <c r="M197" s="7" t="s">
        <v>34</v>
      </c>
      <c r="N197" s="31"/>
      <c r="O197" s="9"/>
      <c r="P197" s="9" t="str">
        <f t="shared" si="507"/>
        <v/>
      </c>
      <c r="Q197" s="9">
        <v>27</v>
      </c>
      <c r="R197" s="30">
        <v>216</v>
      </c>
      <c r="S197" s="9"/>
      <c r="T197" s="30">
        <f t="shared" ref="T197" si="714">S197*$L197</f>
        <v>0</v>
      </c>
      <c r="U197" s="9"/>
      <c r="V197" s="30">
        <f t="shared" ref="V197:V260" si="715">U197*$L197</f>
        <v>0</v>
      </c>
      <c r="W197" s="9">
        <v>40</v>
      </c>
      <c r="X197" s="30">
        <v>320</v>
      </c>
      <c r="Y197" s="9"/>
      <c r="Z197" s="30">
        <f t="shared" ref="Z197:Z260" si="716">Y197*$L197</f>
        <v>0</v>
      </c>
      <c r="AA197" s="9"/>
      <c r="AB197" s="30">
        <f t="shared" ref="AB197:AB260" si="717">AA197*$L197</f>
        <v>0</v>
      </c>
      <c r="AC197" s="9">
        <v>164</v>
      </c>
      <c r="AD197" s="30">
        <v>1312</v>
      </c>
      <c r="AE197" s="9"/>
      <c r="AF197" s="30">
        <f t="shared" ref="AF197:AF260" si="718">AE197*$L197</f>
        <v>0</v>
      </c>
      <c r="AG197" s="9">
        <v>263</v>
      </c>
      <c r="AH197" s="30">
        <v>2104</v>
      </c>
      <c r="AI197" s="9"/>
      <c r="AJ197" s="30">
        <f t="shared" ref="AJ197" si="719">AI197*$L197</f>
        <v>0</v>
      </c>
      <c r="AK197" s="9"/>
      <c r="AL197" s="30">
        <f t="shared" ref="AL197" si="720">AK197*$L197</f>
        <v>0</v>
      </c>
      <c r="AM197" s="9"/>
      <c r="AN197" s="30">
        <f t="shared" ref="AN197:AN259" si="721">AM197*$L197</f>
        <v>0</v>
      </c>
      <c r="AO197" s="9"/>
      <c r="AP197" s="30">
        <f t="shared" ref="AP197:AP260" si="722">AO197*$L197</f>
        <v>0</v>
      </c>
      <c r="AQ197" s="9">
        <v>278</v>
      </c>
      <c r="AR197" s="30">
        <v>2224</v>
      </c>
      <c r="AS197" s="9"/>
      <c r="AT197" s="30">
        <f t="shared" ref="AT197:AT260" si="723">AS197*$L197</f>
        <v>0</v>
      </c>
      <c r="AU197" s="9"/>
      <c r="AV197" s="30">
        <f t="shared" ref="AV197:AV260" si="724">AU197*$L197</f>
        <v>0</v>
      </c>
      <c r="AW197" s="9"/>
      <c r="AX197" s="30">
        <f t="shared" ref="AX197:AX260" si="725">AW197*$L197</f>
        <v>0</v>
      </c>
      <c r="AY197" s="9"/>
      <c r="AZ197" s="30">
        <f t="shared" ref="AZ197:AZ260" si="726">AY197*$L197</f>
        <v>0</v>
      </c>
      <c r="BA197" s="10">
        <v>772</v>
      </c>
      <c r="BB197" s="31">
        <v>6176</v>
      </c>
      <c r="BC197" s="15">
        <f t="shared" si="511"/>
        <v>6176</v>
      </c>
      <c r="BD197" s="9">
        <f t="shared" si="512"/>
        <v>0</v>
      </c>
      <c r="BE197" s="28">
        <f t="shared" si="513"/>
        <v>772</v>
      </c>
      <c r="BF197" s="8">
        <f t="shared" si="514"/>
        <v>0</v>
      </c>
      <c r="BG197" s="29">
        <f t="shared" si="504"/>
        <v>6176</v>
      </c>
      <c r="BH197" s="13">
        <f t="shared" si="515"/>
        <v>0</v>
      </c>
      <c r="BI197" s="2" t="str">
        <f t="shared" si="505"/>
        <v/>
      </c>
      <c r="BJ197" s="2"/>
    </row>
    <row r="198" spans="1:62">
      <c r="A198" s="1" t="s">
        <v>12</v>
      </c>
      <c r="B198" s="3" t="s">
        <v>23</v>
      </c>
      <c r="C198" s="3" t="s">
        <v>45</v>
      </c>
      <c r="D198" s="4">
        <v>1789</v>
      </c>
      <c r="E198" s="3" t="s">
        <v>49</v>
      </c>
      <c r="F198" s="3" t="s">
        <v>49</v>
      </c>
      <c r="G198" s="31">
        <v>23</v>
      </c>
      <c r="H198" s="31" t="s">
        <v>269</v>
      </c>
      <c r="I198" s="5">
        <v>17</v>
      </c>
      <c r="J198" s="5"/>
      <c r="K198" s="6"/>
      <c r="L198" s="11">
        <f t="shared" si="506"/>
        <v>17</v>
      </c>
      <c r="M198" s="7" t="s">
        <v>270</v>
      </c>
      <c r="N198" s="31"/>
      <c r="O198" s="9"/>
      <c r="P198" s="9" t="str">
        <f t="shared" si="507"/>
        <v/>
      </c>
      <c r="Q198" s="9">
        <v>200</v>
      </c>
      <c r="R198" s="30">
        <v>3400</v>
      </c>
      <c r="S198" s="9"/>
      <c r="T198" s="30">
        <f t="shared" ref="T198" si="727">S198*$L198</f>
        <v>0</v>
      </c>
      <c r="U198" s="9"/>
      <c r="V198" s="30">
        <f t="shared" si="715"/>
        <v>0</v>
      </c>
      <c r="W198" s="9"/>
      <c r="X198" s="30">
        <f t="shared" ref="X198:X260" si="728">W198*$L198</f>
        <v>0</v>
      </c>
      <c r="Y198" s="9">
        <v>145</v>
      </c>
      <c r="Z198" s="30">
        <v>2465</v>
      </c>
      <c r="AA198" s="9"/>
      <c r="AB198" s="30">
        <f t="shared" si="717"/>
        <v>0</v>
      </c>
      <c r="AC198" s="9"/>
      <c r="AD198" s="30">
        <f t="shared" ref="AD198:AD260" si="729">AC198*$L198</f>
        <v>0</v>
      </c>
      <c r="AE198" s="9"/>
      <c r="AF198" s="30">
        <f t="shared" si="718"/>
        <v>0</v>
      </c>
      <c r="AG198" s="9"/>
      <c r="AH198" s="30">
        <f t="shared" ref="AH198:AH260" si="730">AG198*$L198</f>
        <v>0</v>
      </c>
      <c r="AI198" s="9"/>
      <c r="AJ198" s="30">
        <f t="shared" ref="AJ198" si="731">AI198*$L198</f>
        <v>0</v>
      </c>
      <c r="AK198" s="9"/>
      <c r="AL198" s="30">
        <f t="shared" ref="AL198" si="732">AK198*$L198</f>
        <v>0</v>
      </c>
      <c r="AM198" s="9">
        <v>12</v>
      </c>
      <c r="AN198" s="30">
        <v>204</v>
      </c>
      <c r="AO198" s="9"/>
      <c r="AP198" s="30">
        <f t="shared" si="722"/>
        <v>0</v>
      </c>
      <c r="AQ198" s="9"/>
      <c r="AR198" s="30">
        <f t="shared" ref="AR198:AR260" si="733">AQ198*$L198</f>
        <v>0</v>
      </c>
      <c r="AS198" s="9"/>
      <c r="AT198" s="30">
        <f t="shared" si="723"/>
        <v>0</v>
      </c>
      <c r="AU198" s="9"/>
      <c r="AV198" s="30">
        <f t="shared" si="724"/>
        <v>0</v>
      </c>
      <c r="AW198" s="9"/>
      <c r="AX198" s="30">
        <f t="shared" si="725"/>
        <v>0</v>
      </c>
      <c r="AY198" s="9"/>
      <c r="AZ198" s="30">
        <f t="shared" si="726"/>
        <v>0</v>
      </c>
      <c r="BA198" s="10">
        <v>357</v>
      </c>
      <c r="BB198" s="31">
        <v>6069</v>
      </c>
      <c r="BC198" s="15">
        <f t="shared" si="511"/>
        <v>6069</v>
      </c>
      <c r="BD198" s="9">
        <f t="shared" si="512"/>
        <v>0</v>
      </c>
      <c r="BE198" s="28">
        <f t="shared" si="513"/>
        <v>357</v>
      </c>
      <c r="BF198" s="8">
        <f t="shared" si="514"/>
        <v>0</v>
      </c>
      <c r="BG198" s="29">
        <f t="shared" ref="BG198:BG261" si="734">BE198*L198</f>
        <v>6069</v>
      </c>
      <c r="BH198" s="13">
        <f t="shared" si="515"/>
        <v>0</v>
      </c>
      <c r="BI198" s="2" t="str">
        <f t="shared" ref="BI198:BI261" si="735">IF(BH198=0,"",IF(BH198&lt;&gt;BB198,"erreur de calcul",IF(BE198&lt;&gt;0,"pas de prix",IF(L198&lt;&gt; 0,"pas de quantité","pas de prix, ni de quantité"))))</f>
        <v/>
      </c>
      <c r="BJ198" s="2" t="s">
        <v>270</v>
      </c>
    </row>
    <row r="199" spans="1:62">
      <c r="A199" s="1" t="s">
        <v>12</v>
      </c>
      <c r="B199" s="3" t="s">
        <v>23</v>
      </c>
      <c r="C199" s="3" t="s">
        <v>45</v>
      </c>
      <c r="D199" s="4">
        <v>1789</v>
      </c>
      <c r="E199" s="3" t="s">
        <v>49</v>
      </c>
      <c r="F199" s="3" t="s">
        <v>49</v>
      </c>
      <c r="G199" s="31">
        <v>23</v>
      </c>
      <c r="H199" s="31" t="s">
        <v>271</v>
      </c>
      <c r="I199" s="5">
        <v>36</v>
      </c>
      <c r="J199" s="5"/>
      <c r="K199" s="6"/>
      <c r="L199" s="11">
        <f t="shared" ref="L199:L262" si="736">I199+(J199/20)+(K199/240)</f>
        <v>36</v>
      </c>
      <c r="M199" s="7" t="s">
        <v>270</v>
      </c>
      <c r="N199" s="31" t="s">
        <v>16</v>
      </c>
      <c r="O199" s="9">
        <v>1860</v>
      </c>
      <c r="P199" s="9">
        <v>66960</v>
      </c>
      <c r="Q199" s="9"/>
      <c r="R199" s="30">
        <f t="shared" ref="R199" si="737">Q199*$L199</f>
        <v>0</v>
      </c>
      <c r="S199" s="9"/>
      <c r="T199" s="30">
        <f t="shared" ref="T199" si="738">S199*$L199</f>
        <v>0</v>
      </c>
      <c r="U199" s="9"/>
      <c r="V199" s="30">
        <f t="shared" si="715"/>
        <v>0</v>
      </c>
      <c r="W199" s="9"/>
      <c r="X199" s="30">
        <f t="shared" si="728"/>
        <v>0</v>
      </c>
      <c r="Y199" s="9"/>
      <c r="Z199" s="30">
        <f t="shared" si="716"/>
        <v>0</v>
      </c>
      <c r="AA199" s="9"/>
      <c r="AB199" s="30">
        <f t="shared" si="717"/>
        <v>0</v>
      </c>
      <c r="AC199" s="9"/>
      <c r="AD199" s="30">
        <f t="shared" si="729"/>
        <v>0</v>
      </c>
      <c r="AE199" s="9"/>
      <c r="AF199" s="30">
        <f t="shared" si="718"/>
        <v>0</v>
      </c>
      <c r="AG199" s="9"/>
      <c r="AH199" s="30">
        <f t="shared" si="730"/>
        <v>0</v>
      </c>
      <c r="AI199" s="9"/>
      <c r="AJ199" s="30">
        <f t="shared" ref="AJ199" si="739">AI199*$L199</f>
        <v>0</v>
      </c>
      <c r="AK199" s="9"/>
      <c r="AL199" s="30">
        <f t="shared" ref="AL199" si="740">AK199*$L199</f>
        <v>0</v>
      </c>
      <c r="AM199" s="9"/>
      <c r="AN199" s="30">
        <f t="shared" si="721"/>
        <v>0</v>
      </c>
      <c r="AO199" s="9"/>
      <c r="AP199" s="30">
        <f t="shared" si="722"/>
        <v>0</v>
      </c>
      <c r="AQ199" s="9"/>
      <c r="AR199" s="30">
        <f t="shared" si="733"/>
        <v>0</v>
      </c>
      <c r="AS199" s="9"/>
      <c r="AT199" s="30">
        <f t="shared" si="723"/>
        <v>0</v>
      </c>
      <c r="AU199" s="9"/>
      <c r="AV199" s="30">
        <f t="shared" si="724"/>
        <v>0</v>
      </c>
      <c r="AW199" s="9"/>
      <c r="AX199" s="30">
        <f t="shared" si="725"/>
        <v>0</v>
      </c>
      <c r="AY199" s="9"/>
      <c r="AZ199" s="30">
        <f t="shared" si="726"/>
        <v>0</v>
      </c>
      <c r="BA199" s="10"/>
      <c r="BB199" s="31"/>
      <c r="BC199" s="15">
        <f t="shared" ref="BC199:BC262" si="741">SUM(R199,T199,V199,X199,Z199,AB199,AD199,AF199,AH199,AJ199,AL199,AN199,AP199,AR199,AT199,AV199,AX199,AZ199)</f>
        <v>0</v>
      </c>
      <c r="BD199" s="9">
        <f t="shared" ref="BD199:BD262" si="742">BB199-BC199</f>
        <v>0</v>
      </c>
      <c r="BE199" s="28">
        <f t="shared" ref="BE199:BE262" si="743">SUM(Q199,S199,U199,W199,Y199,AA199,AC199,AE199,AG199,AI199,AK199,AM199,AO199,AQ199,AS199,AU199,AW199,AY199)</f>
        <v>0</v>
      </c>
      <c r="BF199" s="8">
        <f t="shared" ref="BF199:BF262" si="744">BA199-BE199</f>
        <v>0</v>
      </c>
      <c r="BG199" s="29">
        <f t="shared" si="734"/>
        <v>0</v>
      </c>
      <c r="BH199" s="13">
        <f t="shared" ref="BH199:BH262" si="745">BB199-BG199</f>
        <v>0</v>
      </c>
      <c r="BI199" s="2" t="str">
        <f t="shared" si="735"/>
        <v/>
      </c>
      <c r="BJ199" s="2" t="s">
        <v>270</v>
      </c>
    </row>
    <row r="200" spans="1:62">
      <c r="A200" s="1" t="s">
        <v>12</v>
      </c>
      <c r="B200" s="3" t="s">
        <v>23</v>
      </c>
      <c r="C200" s="3" t="s">
        <v>45</v>
      </c>
      <c r="D200" s="4">
        <v>1789</v>
      </c>
      <c r="E200" s="3" t="s">
        <v>49</v>
      </c>
      <c r="F200" s="3" t="s">
        <v>49</v>
      </c>
      <c r="G200" s="31">
        <v>23</v>
      </c>
      <c r="H200" s="31" t="s">
        <v>271</v>
      </c>
      <c r="I200" s="5">
        <v>36</v>
      </c>
      <c r="J200" s="5"/>
      <c r="K200" s="6"/>
      <c r="L200" s="11">
        <f t="shared" si="736"/>
        <v>36</v>
      </c>
      <c r="M200" s="7" t="s">
        <v>270</v>
      </c>
      <c r="N200" s="31" t="s">
        <v>84</v>
      </c>
      <c r="O200" s="9">
        <v>900</v>
      </c>
      <c r="P200" s="9">
        <v>32400</v>
      </c>
      <c r="Q200" s="9">
        <v>7250</v>
      </c>
      <c r="R200" s="30">
        <v>261000</v>
      </c>
      <c r="S200" s="9"/>
      <c r="T200" s="30">
        <f t="shared" ref="T200" si="746">S200*$L200</f>
        <v>0</v>
      </c>
      <c r="U200" s="9">
        <v>38389</v>
      </c>
      <c r="V200" s="30">
        <v>1382004</v>
      </c>
      <c r="W200" s="9">
        <v>19350</v>
      </c>
      <c r="X200" s="30">
        <v>696600</v>
      </c>
      <c r="Y200" s="9">
        <v>25392</v>
      </c>
      <c r="Z200" s="30">
        <v>914112</v>
      </c>
      <c r="AA200" s="9">
        <v>31863</v>
      </c>
      <c r="AB200" s="30">
        <v>1147068</v>
      </c>
      <c r="AC200" s="9">
        <v>149064</v>
      </c>
      <c r="AD200" s="30">
        <v>5366304</v>
      </c>
      <c r="AE200" s="9">
        <v>1270</v>
      </c>
      <c r="AF200" s="30">
        <v>45720</v>
      </c>
      <c r="AG200" s="9">
        <v>54784</v>
      </c>
      <c r="AH200" s="30">
        <v>1972224</v>
      </c>
      <c r="AI200" s="9">
        <v>1200</v>
      </c>
      <c r="AJ200" s="30">
        <v>43200</v>
      </c>
      <c r="AK200" s="9">
        <v>10055</v>
      </c>
      <c r="AL200" s="30">
        <v>361980</v>
      </c>
      <c r="AM200" s="9"/>
      <c r="AN200" s="30">
        <f t="shared" si="721"/>
        <v>0</v>
      </c>
      <c r="AO200" s="9"/>
      <c r="AP200" s="30">
        <f t="shared" si="722"/>
        <v>0</v>
      </c>
      <c r="AQ200" s="9">
        <v>220</v>
      </c>
      <c r="AR200" s="30">
        <f t="shared" si="733"/>
        <v>7920</v>
      </c>
      <c r="AS200" s="9"/>
      <c r="AT200" s="30">
        <f t="shared" si="723"/>
        <v>0</v>
      </c>
      <c r="AU200" s="9"/>
      <c r="AV200" s="30">
        <f t="shared" si="724"/>
        <v>0</v>
      </c>
      <c r="AW200" s="9">
        <v>100</v>
      </c>
      <c r="AX200" s="30">
        <v>3600</v>
      </c>
      <c r="AY200" s="9">
        <v>9241</v>
      </c>
      <c r="AZ200" s="30">
        <v>332676</v>
      </c>
      <c r="BA200" s="10">
        <v>348178</v>
      </c>
      <c r="BB200" s="31">
        <v>12534408</v>
      </c>
      <c r="BC200" s="15">
        <f t="shared" si="741"/>
        <v>12534408</v>
      </c>
      <c r="BD200" s="9">
        <f t="shared" si="742"/>
        <v>0</v>
      </c>
      <c r="BE200" s="28">
        <f t="shared" si="743"/>
        <v>348178</v>
      </c>
      <c r="BF200" s="8">
        <f t="shared" si="744"/>
        <v>0</v>
      </c>
      <c r="BG200" s="29">
        <f t="shared" si="734"/>
        <v>12534408</v>
      </c>
      <c r="BH200" s="13">
        <f t="shared" si="745"/>
        <v>0</v>
      </c>
      <c r="BI200" s="2" t="str">
        <f t="shared" si="735"/>
        <v/>
      </c>
      <c r="BJ200" s="2"/>
    </row>
    <row r="201" spans="1:62">
      <c r="A201" s="1" t="s">
        <v>12</v>
      </c>
      <c r="B201" s="3" t="s">
        <v>23</v>
      </c>
      <c r="C201" s="3" t="s">
        <v>45</v>
      </c>
      <c r="D201" s="4">
        <v>1789</v>
      </c>
      <c r="E201" s="3" t="s">
        <v>49</v>
      </c>
      <c r="F201" s="3" t="s">
        <v>49</v>
      </c>
      <c r="G201" s="31">
        <v>23</v>
      </c>
      <c r="H201" s="31" t="s">
        <v>272</v>
      </c>
      <c r="I201" s="5">
        <v>12</v>
      </c>
      <c r="J201" s="5"/>
      <c r="K201" s="6"/>
      <c r="L201" s="11">
        <f t="shared" si="736"/>
        <v>12</v>
      </c>
      <c r="M201" s="7" t="s">
        <v>14</v>
      </c>
      <c r="N201" s="31" t="s">
        <v>84</v>
      </c>
      <c r="O201" s="9">
        <f>10417/100</f>
        <v>104.17</v>
      </c>
      <c r="P201" s="9">
        <v>1250</v>
      </c>
      <c r="Q201" s="9">
        <f>351312/100</f>
        <v>3513.12</v>
      </c>
      <c r="R201" s="30">
        <v>42157</v>
      </c>
      <c r="S201" s="9"/>
      <c r="T201" s="30">
        <f t="shared" ref="T201" si="747">S201*$L201</f>
        <v>0</v>
      </c>
      <c r="U201" s="9">
        <f>52251/100</f>
        <v>522.51</v>
      </c>
      <c r="V201" s="30">
        <v>6270</v>
      </c>
      <c r="W201" s="9">
        <f>2393/100</f>
        <v>23.93</v>
      </c>
      <c r="X201" s="30">
        <v>287</v>
      </c>
      <c r="Y201" s="9">
        <f>44842/100</f>
        <v>448.42</v>
      </c>
      <c r="Z201" s="30">
        <v>5381</v>
      </c>
      <c r="AA201" s="9"/>
      <c r="AB201" s="30">
        <f t="shared" si="717"/>
        <v>0</v>
      </c>
      <c r="AC201" s="9"/>
      <c r="AD201" s="30">
        <f t="shared" si="729"/>
        <v>0</v>
      </c>
      <c r="AE201" s="9"/>
      <c r="AF201" s="30">
        <f t="shared" si="718"/>
        <v>0</v>
      </c>
      <c r="AG201" s="9">
        <f>164167/100</f>
        <v>1641.67</v>
      </c>
      <c r="AH201" s="30">
        <v>19700</v>
      </c>
      <c r="AI201" s="9"/>
      <c r="AJ201" s="30">
        <f t="shared" ref="AJ201" si="748">AI201*$L201</f>
        <v>0</v>
      </c>
      <c r="AK201" s="9"/>
      <c r="AL201" s="30">
        <f t="shared" ref="AL201" si="749">AK201*$L201</f>
        <v>0</v>
      </c>
      <c r="AM201" s="9"/>
      <c r="AN201" s="30">
        <f t="shared" si="721"/>
        <v>0</v>
      </c>
      <c r="AO201" s="9"/>
      <c r="AP201" s="30">
        <f t="shared" si="722"/>
        <v>0</v>
      </c>
      <c r="AQ201" s="9"/>
      <c r="AR201" s="30">
        <f t="shared" si="733"/>
        <v>0</v>
      </c>
      <c r="AS201" s="9"/>
      <c r="AT201" s="30">
        <f t="shared" si="723"/>
        <v>0</v>
      </c>
      <c r="AU201" s="9"/>
      <c r="AV201" s="30">
        <f t="shared" si="724"/>
        <v>0</v>
      </c>
      <c r="AW201" s="9"/>
      <c r="AX201" s="30">
        <f t="shared" si="725"/>
        <v>0</v>
      </c>
      <c r="AY201" s="9">
        <f>25000/100</f>
        <v>250</v>
      </c>
      <c r="AZ201" s="30">
        <v>3000</v>
      </c>
      <c r="BA201" s="10"/>
      <c r="BB201" s="31">
        <v>76795</v>
      </c>
      <c r="BC201" s="15">
        <f t="shared" si="741"/>
        <v>76795</v>
      </c>
      <c r="BD201" s="9">
        <f t="shared" si="742"/>
        <v>0</v>
      </c>
      <c r="BE201" s="28">
        <f t="shared" si="743"/>
        <v>6399.65</v>
      </c>
      <c r="BF201" s="8">
        <f t="shared" si="744"/>
        <v>-6399.65</v>
      </c>
      <c r="BG201" s="29">
        <f t="shared" si="734"/>
        <v>76795.799999999988</v>
      </c>
      <c r="BH201" s="13">
        <f t="shared" si="745"/>
        <v>-0.79999999998835847</v>
      </c>
      <c r="BI201" s="2" t="str">
        <f t="shared" si="735"/>
        <v>erreur de calcul</v>
      </c>
      <c r="BJ201" s="2"/>
    </row>
    <row r="202" spans="1:62">
      <c r="A202" s="1" t="s">
        <v>12</v>
      </c>
      <c r="B202" s="3" t="s">
        <v>23</v>
      </c>
      <c r="C202" s="3" t="s">
        <v>45</v>
      </c>
      <c r="D202" s="4">
        <v>1789</v>
      </c>
      <c r="E202" s="3" t="s">
        <v>49</v>
      </c>
      <c r="F202" s="3" t="s">
        <v>49</v>
      </c>
      <c r="G202" s="31">
        <v>23</v>
      </c>
      <c r="H202" s="31" t="s">
        <v>273</v>
      </c>
      <c r="I202" s="5">
        <v>18</v>
      </c>
      <c r="J202" s="5"/>
      <c r="K202" s="6"/>
      <c r="L202" s="11">
        <f t="shared" si="736"/>
        <v>18</v>
      </c>
      <c r="M202" s="7" t="s">
        <v>270</v>
      </c>
      <c r="N202" s="31"/>
      <c r="O202" s="9"/>
      <c r="P202" s="9" t="str">
        <f t="shared" ref="P202:P262" si="750">IF(N202&lt;&gt;"",O202*L202,"")</f>
        <v/>
      </c>
      <c r="Q202" s="9"/>
      <c r="R202" s="30">
        <f t="shared" ref="R202" si="751">Q202*$L202</f>
        <v>0</v>
      </c>
      <c r="S202" s="9"/>
      <c r="T202" s="30">
        <f t="shared" ref="T202" si="752">S202*$L202</f>
        <v>0</v>
      </c>
      <c r="U202" s="9">
        <v>100</v>
      </c>
      <c r="V202" s="30">
        <v>1800</v>
      </c>
      <c r="W202" s="9"/>
      <c r="X202" s="30">
        <f t="shared" si="728"/>
        <v>0</v>
      </c>
      <c r="Y202" s="9"/>
      <c r="Z202" s="30">
        <f t="shared" si="716"/>
        <v>0</v>
      </c>
      <c r="AA202" s="9"/>
      <c r="AB202" s="30">
        <f t="shared" si="717"/>
        <v>0</v>
      </c>
      <c r="AC202" s="9">
        <v>1936</v>
      </c>
      <c r="AD202" s="30">
        <v>34848</v>
      </c>
      <c r="AE202" s="9"/>
      <c r="AF202" s="30">
        <f t="shared" si="718"/>
        <v>0</v>
      </c>
      <c r="AG202" s="9">
        <v>600</v>
      </c>
      <c r="AH202" s="30">
        <v>10800</v>
      </c>
      <c r="AI202" s="9"/>
      <c r="AJ202" s="30">
        <f t="shared" ref="AJ202" si="753">AI202*$L202</f>
        <v>0</v>
      </c>
      <c r="AK202" s="9"/>
      <c r="AL202" s="30">
        <f t="shared" ref="AL202" si="754">AK202*$L202</f>
        <v>0</v>
      </c>
      <c r="AM202" s="9">
        <v>12</v>
      </c>
      <c r="AN202" s="30">
        <v>216</v>
      </c>
      <c r="AO202" s="9"/>
      <c r="AP202" s="30">
        <f t="shared" si="722"/>
        <v>0</v>
      </c>
      <c r="AQ202" s="9">
        <v>12</v>
      </c>
      <c r="AR202" s="30">
        <v>216</v>
      </c>
      <c r="AS202" s="9"/>
      <c r="AT202" s="30">
        <f t="shared" si="723"/>
        <v>0</v>
      </c>
      <c r="AU202" s="9"/>
      <c r="AV202" s="30">
        <f t="shared" si="724"/>
        <v>0</v>
      </c>
      <c r="AW202" s="9"/>
      <c r="AX202" s="30">
        <f t="shared" si="725"/>
        <v>0</v>
      </c>
      <c r="AY202" s="9"/>
      <c r="AZ202" s="30">
        <f t="shared" si="726"/>
        <v>0</v>
      </c>
      <c r="BA202" s="10">
        <v>2660</v>
      </c>
      <c r="BB202" s="31">
        <v>47880</v>
      </c>
      <c r="BC202" s="15">
        <f t="shared" si="741"/>
        <v>47880</v>
      </c>
      <c r="BD202" s="9">
        <f t="shared" si="742"/>
        <v>0</v>
      </c>
      <c r="BE202" s="28">
        <f t="shared" si="743"/>
        <v>2660</v>
      </c>
      <c r="BF202" s="8">
        <f t="shared" si="744"/>
        <v>0</v>
      </c>
      <c r="BG202" s="29">
        <f t="shared" si="734"/>
        <v>47880</v>
      </c>
      <c r="BH202" s="13">
        <f t="shared" si="745"/>
        <v>0</v>
      </c>
      <c r="BI202" s="2" t="str">
        <f t="shared" si="735"/>
        <v/>
      </c>
      <c r="BJ202" s="2"/>
    </row>
    <row r="203" spans="1:62">
      <c r="A203" s="1" t="s">
        <v>12</v>
      </c>
      <c r="B203" s="3" t="s">
        <v>23</v>
      </c>
      <c r="C203" s="3" t="s">
        <v>45</v>
      </c>
      <c r="D203" s="4">
        <v>1789</v>
      </c>
      <c r="E203" s="3" t="s">
        <v>49</v>
      </c>
      <c r="F203" s="3" t="s">
        <v>49</v>
      </c>
      <c r="G203" s="31">
        <v>23</v>
      </c>
      <c r="H203" s="31" t="s">
        <v>274</v>
      </c>
      <c r="I203" s="5">
        <v>25</v>
      </c>
      <c r="J203" s="5"/>
      <c r="K203" s="6"/>
      <c r="L203" s="11">
        <f t="shared" si="736"/>
        <v>25</v>
      </c>
      <c r="M203" s="7" t="s">
        <v>14</v>
      </c>
      <c r="N203" s="31"/>
      <c r="O203" s="9"/>
      <c r="P203" s="9" t="str">
        <f t="shared" si="750"/>
        <v/>
      </c>
      <c r="Q203" s="9"/>
      <c r="R203" s="30">
        <f t="shared" ref="R203" si="755">Q203*$L203</f>
        <v>0</v>
      </c>
      <c r="S203" s="9"/>
      <c r="T203" s="30">
        <f t="shared" ref="T203" si="756">S203*$L203</f>
        <v>0</v>
      </c>
      <c r="U203" s="9">
        <f>1664501/100</f>
        <v>16645.009999999998</v>
      </c>
      <c r="V203" s="30">
        <v>416125</v>
      </c>
      <c r="W203" s="9">
        <f>2171980/100</f>
        <v>21719.8</v>
      </c>
      <c r="X203" s="30">
        <v>542995</v>
      </c>
      <c r="Y203" s="9">
        <f>11567/100</f>
        <v>115.67</v>
      </c>
      <c r="Z203" s="30">
        <v>2892</v>
      </c>
      <c r="AA203" s="9">
        <f>985/100</f>
        <v>9.85</v>
      </c>
      <c r="AB203" s="30">
        <v>246</v>
      </c>
      <c r="AC203" s="9">
        <f>399494/100</f>
        <v>3994.94</v>
      </c>
      <c r="AD203" s="30">
        <v>99873</v>
      </c>
      <c r="AE203" s="9"/>
      <c r="AF203" s="30">
        <f t="shared" si="718"/>
        <v>0</v>
      </c>
      <c r="AG203" s="9"/>
      <c r="AH203" s="30">
        <f t="shared" si="730"/>
        <v>0</v>
      </c>
      <c r="AI203" s="9"/>
      <c r="AJ203" s="30">
        <f t="shared" ref="AJ203" si="757">AI203*$L203</f>
        <v>0</v>
      </c>
      <c r="AK203" s="9"/>
      <c r="AL203" s="30">
        <f t="shared" ref="AL203" si="758">AK203*$L203</f>
        <v>0</v>
      </c>
      <c r="AM203" s="9"/>
      <c r="AN203" s="30">
        <f t="shared" si="721"/>
        <v>0</v>
      </c>
      <c r="AO203" s="9"/>
      <c r="AP203" s="30">
        <f t="shared" si="722"/>
        <v>0</v>
      </c>
      <c r="AQ203" s="9"/>
      <c r="AR203" s="30">
        <f t="shared" si="733"/>
        <v>0</v>
      </c>
      <c r="AS203" s="9"/>
      <c r="AT203" s="30">
        <f t="shared" si="723"/>
        <v>0</v>
      </c>
      <c r="AU203" s="9"/>
      <c r="AV203" s="30">
        <f t="shared" si="724"/>
        <v>0</v>
      </c>
      <c r="AW203" s="9"/>
      <c r="AX203" s="30">
        <f t="shared" si="725"/>
        <v>0</v>
      </c>
      <c r="AY203" s="9">
        <f>57000/100</f>
        <v>570</v>
      </c>
      <c r="AZ203" s="30">
        <v>14250</v>
      </c>
      <c r="BA203" s="10">
        <f>4305527/100</f>
        <v>43055.27</v>
      </c>
      <c r="BB203" s="31">
        <v>1076381</v>
      </c>
      <c r="BC203" s="15">
        <f t="shared" si="741"/>
        <v>1076381</v>
      </c>
      <c r="BD203" s="9">
        <f t="shared" si="742"/>
        <v>0</v>
      </c>
      <c r="BE203" s="28">
        <f t="shared" si="743"/>
        <v>43055.27</v>
      </c>
      <c r="BF203" s="8">
        <f t="shared" si="744"/>
        <v>0</v>
      </c>
      <c r="BG203" s="29">
        <f t="shared" si="734"/>
        <v>1076381.75</v>
      </c>
      <c r="BH203" s="13">
        <f t="shared" si="745"/>
        <v>-0.75</v>
      </c>
      <c r="BI203" s="2" t="str">
        <f t="shared" si="735"/>
        <v>erreur de calcul</v>
      </c>
      <c r="BJ203" s="2"/>
    </row>
    <row r="204" spans="1:62">
      <c r="A204" s="1" t="s">
        <v>12</v>
      </c>
      <c r="B204" s="3" t="s">
        <v>23</v>
      </c>
      <c r="C204" s="3" t="s">
        <v>45</v>
      </c>
      <c r="D204" s="4">
        <v>1789</v>
      </c>
      <c r="E204" s="3" t="s">
        <v>49</v>
      </c>
      <c r="F204" s="3" t="s">
        <v>49</v>
      </c>
      <c r="G204" s="31">
        <v>23</v>
      </c>
      <c r="H204" s="31" t="s">
        <v>275</v>
      </c>
      <c r="I204" s="5">
        <v>18</v>
      </c>
      <c r="J204" s="5"/>
      <c r="K204" s="6"/>
      <c r="L204" s="11">
        <f t="shared" si="736"/>
        <v>18</v>
      </c>
      <c r="M204" s="7" t="s">
        <v>270</v>
      </c>
      <c r="N204" s="31"/>
      <c r="O204" s="9"/>
      <c r="P204" s="9" t="str">
        <f t="shared" si="750"/>
        <v/>
      </c>
      <c r="Q204" s="9"/>
      <c r="R204" s="30">
        <f t="shared" ref="R204" si="759">Q204*$L204</f>
        <v>0</v>
      </c>
      <c r="S204" s="9"/>
      <c r="T204" s="30">
        <f t="shared" ref="T204" si="760">S204*$L204</f>
        <v>0</v>
      </c>
      <c r="U204" s="9">
        <v>537</v>
      </c>
      <c r="V204" s="30">
        <v>9666</v>
      </c>
      <c r="W204" s="9"/>
      <c r="X204" s="30">
        <f t="shared" si="728"/>
        <v>0</v>
      </c>
      <c r="Y204" s="9"/>
      <c r="Z204" s="30">
        <f t="shared" si="716"/>
        <v>0</v>
      </c>
      <c r="AA204" s="9"/>
      <c r="AB204" s="30">
        <f t="shared" si="717"/>
        <v>0</v>
      </c>
      <c r="AC204" s="9"/>
      <c r="AD204" s="30">
        <f t="shared" si="729"/>
        <v>0</v>
      </c>
      <c r="AE204" s="9"/>
      <c r="AF204" s="30">
        <f t="shared" si="718"/>
        <v>0</v>
      </c>
      <c r="AG204" s="9"/>
      <c r="AH204" s="30">
        <f t="shared" si="730"/>
        <v>0</v>
      </c>
      <c r="AI204" s="9"/>
      <c r="AJ204" s="30">
        <f t="shared" ref="AJ204" si="761">AI204*$L204</f>
        <v>0</v>
      </c>
      <c r="AK204" s="9"/>
      <c r="AL204" s="30">
        <f t="shared" ref="AL204" si="762">AK204*$L204</f>
        <v>0</v>
      </c>
      <c r="AM204" s="9"/>
      <c r="AN204" s="30">
        <f t="shared" si="721"/>
        <v>0</v>
      </c>
      <c r="AO204" s="9"/>
      <c r="AP204" s="30">
        <f t="shared" si="722"/>
        <v>0</v>
      </c>
      <c r="AQ204" s="9"/>
      <c r="AR204" s="30">
        <f t="shared" si="733"/>
        <v>0</v>
      </c>
      <c r="AS204" s="9"/>
      <c r="AT204" s="30">
        <f t="shared" si="723"/>
        <v>0</v>
      </c>
      <c r="AU204" s="9"/>
      <c r="AV204" s="30">
        <f t="shared" si="724"/>
        <v>0</v>
      </c>
      <c r="AW204" s="9">
        <v>1700</v>
      </c>
      <c r="AX204" s="32">
        <v>33600</v>
      </c>
      <c r="AY204" s="9"/>
      <c r="AZ204" s="30">
        <f t="shared" si="726"/>
        <v>0</v>
      </c>
      <c r="BA204" s="10">
        <v>2237</v>
      </c>
      <c r="BB204" s="31">
        <v>43266</v>
      </c>
      <c r="BC204" s="15">
        <f t="shared" si="741"/>
        <v>43266</v>
      </c>
      <c r="BD204" s="9">
        <f t="shared" si="742"/>
        <v>0</v>
      </c>
      <c r="BE204" s="28">
        <f t="shared" si="743"/>
        <v>2237</v>
      </c>
      <c r="BF204" s="8">
        <f t="shared" si="744"/>
        <v>0</v>
      </c>
      <c r="BG204" s="29">
        <f t="shared" si="734"/>
        <v>40266</v>
      </c>
      <c r="BH204" s="13">
        <f t="shared" si="745"/>
        <v>3000</v>
      </c>
      <c r="BI204" s="2" t="str">
        <f t="shared" si="735"/>
        <v>erreur de calcul</v>
      </c>
      <c r="BJ204" s="2"/>
    </row>
    <row r="205" spans="1:62">
      <c r="A205" s="1" t="s">
        <v>12</v>
      </c>
      <c r="B205" s="3" t="s">
        <v>23</v>
      </c>
      <c r="C205" s="3" t="s">
        <v>45</v>
      </c>
      <c r="D205" s="4">
        <v>1789</v>
      </c>
      <c r="E205" s="3" t="s">
        <v>49</v>
      </c>
      <c r="F205" s="3" t="s">
        <v>49</v>
      </c>
      <c r="G205" s="31">
        <v>23</v>
      </c>
      <c r="H205" s="31" t="s">
        <v>276</v>
      </c>
      <c r="I205" s="5"/>
      <c r="J205" s="5"/>
      <c r="K205" s="6"/>
      <c r="L205" s="11">
        <f t="shared" si="736"/>
        <v>0</v>
      </c>
      <c r="M205" s="7"/>
      <c r="N205" s="31"/>
      <c r="O205" s="9"/>
      <c r="P205" s="9" t="str">
        <f t="shared" si="750"/>
        <v/>
      </c>
      <c r="Q205" s="9"/>
      <c r="R205" s="30">
        <f t="shared" ref="R205" si="763">Q205*$L205</f>
        <v>0</v>
      </c>
      <c r="S205" s="9"/>
      <c r="T205" s="30">
        <f t="shared" ref="T205" si="764">S205*$L205</f>
        <v>0</v>
      </c>
      <c r="U205" s="9"/>
      <c r="V205" s="30">
        <v>1962</v>
      </c>
      <c r="W205" s="9"/>
      <c r="X205" s="30">
        <v>148</v>
      </c>
      <c r="Y205" s="9"/>
      <c r="Z205" s="30">
        <v>221</v>
      </c>
      <c r="AA205" s="9"/>
      <c r="AB205" s="30">
        <f t="shared" si="717"/>
        <v>0</v>
      </c>
      <c r="AC205" s="9"/>
      <c r="AD205" s="30">
        <v>725</v>
      </c>
      <c r="AE205" s="9"/>
      <c r="AF205" s="30">
        <f t="shared" si="718"/>
        <v>0</v>
      </c>
      <c r="AG205" s="9"/>
      <c r="AH205" s="30">
        <v>414</v>
      </c>
      <c r="AI205" s="9"/>
      <c r="AJ205" s="30">
        <f t="shared" ref="AJ205" si="765">AI205*$L205</f>
        <v>0</v>
      </c>
      <c r="AK205" s="9"/>
      <c r="AL205" s="30">
        <f t="shared" ref="AL205" si="766">AK205*$L205</f>
        <v>0</v>
      </c>
      <c r="AM205" s="9"/>
      <c r="AN205" s="30">
        <f t="shared" si="721"/>
        <v>0</v>
      </c>
      <c r="AO205" s="9"/>
      <c r="AP205" s="30">
        <f t="shared" si="722"/>
        <v>0</v>
      </c>
      <c r="AQ205" s="9"/>
      <c r="AR205" s="30">
        <f t="shared" si="733"/>
        <v>0</v>
      </c>
      <c r="AS205" s="9"/>
      <c r="AT205" s="30">
        <f t="shared" si="723"/>
        <v>0</v>
      </c>
      <c r="AU205" s="9"/>
      <c r="AV205" s="30">
        <v>276</v>
      </c>
      <c r="AW205" s="9"/>
      <c r="AX205" s="30">
        <f t="shared" si="725"/>
        <v>0</v>
      </c>
      <c r="AY205" s="9"/>
      <c r="AZ205" s="30">
        <f t="shared" si="726"/>
        <v>0</v>
      </c>
      <c r="BA205" s="10"/>
      <c r="BB205" s="31">
        <v>3746</v>
      </c>
      <c r="BC205" s="15">
        <f t="shared" si="741"/>
        <v>3746</v>
      </c>
      <c r="BD205" s="9">
        <f t="shared" si="742"/>
        <v>0</v>
      </c>
      <c r="BE205" s="28">
        <f t="shared" si="743"/>
        <v>0</v>
      </c>
      <c r="BF205" s="8">
        <f t="shared" si="744"/>
        <v>0</v>
      </c>
      <c r="BG205" s="29">
        <f t="shared" si="734"/>
        <v>0</v>
      </c>
      <c r="BH205" s="13">
        <f t="shared" si="745"/>
        <v>3746</v>
      </c>
      <c r="BI205" s="2" t="str">
        <f t="shared" si="735"/>
        <v>pas de prix, ni de quantité</v>
      </c>
      <c r="BJ205" s="2"/>
    </row>
    <row r="206" spans="1:62">
      <c r="A206" s="1" t="s">
        <v>12</v>
      </c>
      <c r="B206" s="3" t="s">
        <v>23</v>
      </c>
      <c r="C206" s="3" t="s">
        <v>45</v>
      </c>
      <c r="D206" s="4">
        <v>1789</v>
      </c>
      <c r="E206" s="3" t="s">
        <v>49</v>
      </c>
      <c r="F206" s="3" t="s">
        <v>49</v>
      </c>
      <c r="G206" s="31">
        <v>23</v>
      </c>
      <c r="H206" s="31" t="s">
        <v>277</v>
      </c>
      <c r="I206" s="5">
        <v>25</v>
      </c>
      <c r="J206" s="5"/>
      <c r="K206" s="6"/>
      <c r="L206" s="11">
        <f t="shared" si="736"/>
        <v>25</v>
      </c>
      <c r="M206" s="7" t="s">
        <v>14</v>
      </c>
      <c r="N206" s="31"/>
      <c r="O206" s="9"/>
      <c r="P206" s="9" t="str">
        <f t="shared" si="750"/>
        <v/>
      </c>
      <c r="Q206" s="9">
        <f>12568/100</f>
        <v>125.68</v>
      </c>
      <c r="R206" s="30">
        <v>3142</v>
      </c>
      <c r="S206" s="9"/>
      <c r="T206" s="30">
        <f t="shared" ref="T206" si="767">S206*$L206</f>
        <v>0</v>
      </c>
      <c r="U206" s="9"/>
      <c r="V206" s="30">
        <f t="shared" si="715"/>
        <v>0</v>
      </c>
      <c r="W206" s="9"/>
      <c r="X206" s="30">
        <f t="shared" si="728"/>
        <v>0</v>
      </c>
      <c r="Y206" s="9"/>
      <c r="Z206" s="30">
        <f t="shared" si="716"/>
        <v>0</v>
      </c>
      <c r="AA206" s="9"/>
      <c r="AB206" s="30">
        <f t="shared" si="717"/>
        <v>0</v>
      </c>
      <c r="AC206" s="9"/>
      <c r="AD206" s="30">
        <f t="shared" si="729"/>
        <v>0</v>
      </c>
      <c r="AE206" s="9"/>
      <c r="AF206" s="30">
        <f t="shared" si="718"/>
        <v>0</v>
      </c>
      <c r="AG206" s="9"/>
      <c r="AH206" s="30">
        <f t="shared" si="730"/>
        <v>0</v>
      </c>
      <c r="AI206" s="9">
        <f>5355/100</f>
        <v>53.55</v>
      </c>
      <c r="AJ206" s="30">
        <v>1339</v>
      </c>
      <c r="AK206" s="9"/>
      <c r="AL206" s="30">
        <f t="shared" ref="AL206" si="768">AK206*$L206</f>
        <v>0</v>
      </c>
      <c r="AM206" s="9"/>
      <c r="AN206" s="30">
        <f t="shared" si="721"/>
        <v>0</v>
      </c>
      <c r="AO206" s="9"/>
      <c r="AP206" s="30">
        <f t="shared" si="722"/>
        <v>0</v>
      </c>
      <c r="AQ206" s="9"/>
      <c r="AR206" s="30">
        <f t="shared" si="733"/>
        <v>0</v>
      </c>
      <c r="AS206" s="9"/>
      <c r="AT206" s="30">
        <f t="shared" si="723"/>
        <v>0</v>
      </c>
      <c r="AU206" s="9"/>
      <c r="AV206" s="30">
        <f t="shared" si="724"/>
        <v>0</v>
      </c>
      <c r="AW206" s="9"/>
      <c r="AX206" s="30">
        <f t="shared" si="725"/>
        <v>0</v>
      </c>
      <c r="AY206" s="9"/>
      <c r="AZ206" s="30">
        <f t="shared" si="726"/>
        <v>0</v>
      </c>
      <c r="BA206" s="10">
        <f>17923/100</f>
        <v>179.23</v>
      </c>
      <c r="BB206" s="31">
        <v>4481</v>
      </c>
      <c r="BC206" s="15">
        <f t="shared" si="741"/>
        <v>4481</v>
      </c>
      <c r="BD206" s="9">
        <f t="shared" si="742"/>
        <v>0</v>
      </c>
      <c r="BE206" s="28">
        <f t="shared" si="743"/>
        <v>179.23000000000002</v>
      </c>
      <c r="BF206" s="8">
        <f t="shared" si="744"/>
        <v>0</v>
      </c>
      <c r="BG206" s="29">
        <f t="shared" si="734"/>
        <v>4480.75</v>
      </c>
      <c r="BH206" s="13">
        <f t="shared" si="745"/>
        <v>0.25</v>
      </c>
      <c r="BI206" s="2" t="str">
        <f t="shared" si="735"/>
        <v>erreur de calcul</v>
      </c>
      <c r="BJ206" s="2"/>
    </row>
    <row r="207" spans="1:62">
      <c r="A207" s="1" t="s">
        <v>12</v>
      </c>
      <c r="B207" s="3" t="s">
        <v>23</v>
      </c>
      <c r="C207" s="3" t="s">
        <v>45</v>
      </c>
      <c r="D207" s="4">
        <v>1789</v>
      </c>
      <c r="E207" s="3" t="s">
        <v>49</v>
      </c>
      <c r="F207" s="3" t="s">
        <v>49</v>
      </c>
      <c r="G207" s="31">
        <v>23</v>
      </c>
      <c r="H207" s="31" t="s">
        <v>278</v>
      </c>
      <c r="I207" s="5">
        <v>17</v>
      </c>
      <c r="J207" s="5"/>
      <c r="K207" s="6"/>
      <c r="L207" s="11">
        <f t="shared" si="736"/>
        <v>17</v>
      </c>
      <c r="M207" s="7" t="s">
        <v>14</v>
      </c>
      <c r="N207" s="31"/>
      <c r="O207" s="9"/>
      <c r="P207" s="9" t="str">
        <f t="shared" si="750"/>
        <v/>
      </c>
      <c r="Q207" s="9">
        <f>56873/100</f>
        <v>568.73</v>
      </c>
      <c r="R207" s="32">
        <v>3981</v>
      </c>
      <c r="S207" s="9"/>
      <c r="T207" s="30">
        <f t="shared" ref="T207" si="769">S207*$L207</f>
        <v>0</v>
      </c>
      <c r="U207" s="9"/>
      <c r="V207" s="30">
        <f t="shared" si="715"/>
        <v>0</v>
      </c>
      <c r="W207" s="9"/>
      <c r="X207" s="30">
        <f t="shared" si="728"/>
        <v>0</v>
      </c>
      <c r="Y207" s="9"/>
      <c r="Z207" s="30">
        <f t="shared" si="716"/>
        <v>0</v>
      </c>
      <c r="AA207" s="9"/>
      <c r="AB207" s="30">
        <f t="shared" si="717"/>
        <v>0</v>
      </c>
      <c r="AC207" s="9"/>
      <c r="AD207" s="30">
        <f t="shared" si="729"/>
        <v>0</v>
      </c>
      <c r="AE207" s="9"/>
      <c r="AF207" s="30">
        <f t="shared" si="718"/>
        <v>0</v>
      </c>
      <c r="AG207" s="9"/>
      <c r="AH207" s="30">
        <f t="shared" si="730"/>
        <v>0</v>
      </c>
      <c r="AI207" s="9"/>
      <c r="AJ207" s="30">
        <f t="shared" ref="AJ207" si="770">AI207*$L207</f>
        <v>0</v>
      </c>
      <c r="AK207" s="9">
        <f>19651/100</f>
        <v>196.51</v>
      </c>
      <c r="AL207" s="30">
        <v>3341</v>
      </c>
      <c r="AM207" s="9"/>
      <c r="AN207" s="30">
        <f t="shared" si="721"/>
        <v>0</v>
      </c>
      <c r="AO207" s="9"/>
      <c r="AP207" s="30">
        <f t="shared" si="722"/>
        <v>0</v>
      </c>
      <c r="AQ207" s="9"/>
      <c r="AR207" s="30">
        <f t="shared" si="733"/>
        <v>0</v>
      </c>
      <c r="AS207" s="9"/>
      <c r="AT207" s="30">
        <f t="shared" si="723"/>
        <v>0</v>
      </c>
      <c r="AU207" s="9"/>
      <c r="AV207" s="30">
        <f t="shared" si="724"/>
        <v>0</v>
      </c>
      <c r="AW207" s="9"/>
      <c r="AX207" s="30">
        <f t="shared" si="725"/>
        <v>0</v>
      </c>
      <c r="AY207" s="9"/>
      <c r="AZ207" s="30">
        <f t="shared" si="726"/>
        <v>0</v>
      </c>
      <c r="BA207" s="10">
        <f>76524/100</f>
        <v>765.24</v>
      </c>
      <c r="BB207" s="31">
        <v>7322</v>
      </c>
      <c r="BC207" s="15">
        <f t="shared" si="741"/>
        <v>7322</v>
      </c>
      <c r="BD207" s="9">
        <f t="shared" si="742"/>
        <v>0</v>
      </c>
      <c r="BE207" s="28">
        <f t="shared" si="743"/>
        <v>765.24</v>
      </c>
      <c r="BF207" s="8">
        <f t="shared" si="744"/>
        <v>0</v>
      </c>
      <c r="BG207" s="29">
        <f t="shared" si="734"/>
        <v>13009.08</v>
      </c>
      <c r="BH207" s="13">
        <f t="shared" si="745"/>
        <v>-5687.08</v>
      </c>
      <c r="BI207" s="2" t="str">
        <f t="shared" si="735"/>
        <v>erreur de calcul</v>
      </c>
      <c r="BJ207" s="2"/>
    </row>
    <row r="208" spans="1:62">
      <c r="A208" s="1" t="s">
        <v>12</v>
      </c>
      <c r="B208" s="3" t="s">
        <v>23</v>
      </c>
      <c r="C208" s="3" t="s">
        <v>45</v>
      </c>
      <c r="D208" s="4">
        <v>1789</v>
      </c>
      <c r="E208" s="3" t="s">
        <v>49</v>
      </c>
      <c r="F208" s="3" t="s">
        <v>49</v>
      </c>
      <c r="G208" s="31">
        <v>23</v>
      </c>
      <c r="H208" s="31" t="s">
        <v>279</v>
      </c>
      <c r="I208" s="5">
        <v>15</v>
      </c>
      <c r="J208" s="5"/>
      <c r="K208" s="6"/>
      <c r="L208" s="11">
        <f t="shared" si="736"/>
        <v>15</v>
      </c>
      <c r="M208" s="7" t="s">
        <v>14</v>
      </c>
      <c r="N208" s="31"/>
      <c r="O208" s="9"/>
      <c r="P208" s="9" t="str">
        <f t="shared" si="750"/>
        <v/>
      </c>
      <c r="Q208" s="9">
        <f>10520/100</f>
        <v>105.2</v>
      </c>
      <c r="R208" s="30">
        <v>1578</v>
      </c>
      <c r="S208" s="9"/>
      <c r="T208" s="30">
        <f t="shared" ref="T208" si="771">S208*$L208</f>
        <v>0</v>
      </c>
      <c r="U208" s="9"/>
      <c r="V208" s="30">
        <f t="shared" si="715"/>
        <v>0</v>
      </c>
      <c r="W208" s="9"/>
      <c r="X208" s="30">
        <f t="shared" si="728"/>
        <v>0</v>
      </c>
      <c r="Y208" s="9">
        <f>39052/100</f>
        <v>390.52</v>
      </c>
      <c r="Z208" s="30">
        <v>5858</v>
      </c>
      <c r="AA208" s="9"/>
      <c r="AB208" s="30">
        <f t="shared" si="717"/>
        <v>0</v>
      </c>
      <c r="AC208" s="9">
        <f>101189/100</f>
        <v>1011.89</v>
      </c>
      <c r="AD208" s="30">
        <v>15178</v>
      </c>
      <c r="AE208" s="9"/>
      <c r="AF208" s="30">
        <f t="shared" si="718"/>
        <v>0</v>
      </c>
      <c r="AG208" s="9">
        <f>48408/100</f>
        <v>484.08</v>
      </c>
      <c r="AH208" s="30">
        <v>7261</v>
      </c>
      <c r="AI208" s="9">
        <f>17847/100</f>
        <v>178.47</v>
      </c>
      <c r="AJ208" s="30">
        <v>2677</v>
      </c>
      <c r="AK208" s="9"/>
      <c r="AL208" s="30">
        <f t="shared" ref="AL208" si="772">AK208*$L208</f>
        <v>0</v>
      </c>
      <c r="AM208" s="9"/>
      <c r="AN208" s="30">
        <f t="shared" si="721"/>
        <v>0</v>
      </c>
      <c r="AO208" s="9"/>
      <c r="AP208" s="30">
        <f t="shared" si="722"/>
        <v>0</v>
      </c>
      <c r="AQ208" s="9"/>
      <c r="AR208" s="30">
        <f t="shared" si="733"/>
        <v>0</v>
      </c>
      <c r="AS208" s="9"/>
      <c r="AT208" s="30">
        <f t="shared" si="723"/>
        <v>0</v>
      </c>
      <c r="AU208" s="9"/>
      <c r="AV208" s="30">
        <f t="shared" si="724"/>
        <v>0</v>
      </c>
      <c r="AW208" s="9"/>
      <c r="AX208" s="30">
        <f t="shared" si="725"/>
        <v>0</v>
      </c>
      <c r="AY208" s="9"/>
      <c r="AZ208" s="30">
        <f t="shared" si="726"/>
        <v>0</v>
      </c>
      <c r="BA208" s="10">
        <f>217016/100</f>
        <v>2170.16</v>
      </c>
      <c r="BB208" s="31">
        <v>32552</v>
      </c>
      <c r="BC208" s="15">
        <f t="shared" si="741"/>
        <v>32552</v>
      </c>
      <c r="BD208" s="9">
        <f t="shared" si="742"/>
        <v>0</v>
      </c>
      <c r="BE208" s="28">
        <f t="shared" si="743"/>
        <v>2170.16</v>
      </c>
      <c r="BF208" s="8">
        <f t="shared" si="744"/>
        <v>0</v>
      </c>
      <c r="BG208" s="29">
        <f t="shared" si="734"/>
        <v>32552.399999999998</v>
      </c>
      <c r="BH208" s="13">
        <f t="shared" si="745"/>
        <v>-0.39999999999781721</v>
      </c>
      <c r="BI208" s="2" t="str">
        <f t="shared" si="735"/>
        <v>erreur de calcul</v>
      </c>
      <c r="BJ208" s="2"/>
    </row>
    <row r="209" spans="1:62">
      <c r="A209" s="1" t="s">
        <v>12</v>
      </c>
      <c r="B209" s="3" t="s">
        <v>23</v>
      </c>
      <c r="C209" s="3" t="s">
        <v>45</v>
      </c>
      <c r="D209" s="4">
        <v>1789</v>
      </c>
      <c r="E209" s="3" t="s">
        <v>49</v>
      </c>
      <c r="F209" s="3" t="s">
        <v>49</v>
      </c>
      <c r="G209" s="31">
        <v>23</v>
      </c>
      <c r="H209" s="31" t="s">
        <v>280</v>
      </c>
      <c r="I209" s="5">
        <v>20</v>
      </c>
      <c r="J209" s="5"/>
      <c r="K209" s="6"/>
      <c r="L209" s="11">
        <f t="shared" si="736"/>
        <v>20</v>
      </c>
      <c r="M209" s="7" t="s">
        <v>14</v>
      </c>
      <c r="N209" s="31"/>
      <c r="O209" s="9"/>
      <c r="P209" s="9" t="str">
        <f t="shared" si="750"/>
        <v/>
      </c>
      <c r="Q209" s="9"/>
      <c r="R209" s="30">
        <f t="shared" ref="R209" si="773">Q209*$L209</f>
        <v>0</v>
      </c>
      <c r="S209" s="9"/>
      <c r="T209" s="30">
        <f t="shared" ref="T209" si="774">S209*$L209</f>
        <v>0</v>
      </c>
      <c r="U209" s="9"/>
      <c r="V209" s="30">
        <f t="shared" si="715"/>
        <v>0</v>
      </c>
      <c r="W209" s="9"/>
      <c r="X209" s="30">
        <f t="shared" si="728"/>
        <v>0</v>
      </c>
      <c r="Y209" s="9"/>
      <c r="Z209" s="30">
        <f t="shared" si="716"/>
        <v>0</v>
      </c>
      <c r="AA209" s="9"/>
      <c r="AB209" s="30">
        <f t="shared" si="717"/>
        <v>0</v>
      </c>
      <c r="AC209" s="9">
        <f>8852/100</f>
        <v>88.52</v>
      </c>
      <c r="AD209" s="30">
        <v>1770</v>
      </c>
      <c r="AE209" s="9"/>
      <c r="AF209" s="30">
        <f t="shared" si="718"/>
        <v>0</v>
      </c>
      <c r="AG209" s="9"/>
      <c r="AH209" s="30">
        <f t="shared" si="730"/>
        <v>0</v>
      </c>
      <c r="AI209" s="9"/>
      <c r="AJ209" s="30">
        <f t="shared" ref="AJ209" si="775">AI209*$L209</f>
        <v>0</v>
      </c>
      <c r="AK209" s="9"/>
      <c r="AL209" s="30">
        <f t="shared" ref="AL209" si="776">AK209*$L209</f>
        <v>0</v>
      </c>
      <c r="AM209" s="9"/>
      <c r="AN209" s="30">
        <f t="shared" si="721"/>
        <v>0</v>
      </c>
      <c r="AO209" s="9"/>
      <c r="AP209" s="30">
        <f t="shared" si="722"/>
        <v>0</v>
      </c>
      <c r="AQ209" s="9"/>
      <c r="AR209" s="30">
        <f t="shared" si="733"/>
        <v>0</v>
      </c>
      <c r="AS209" s="9"/>
      <c r="AT209" s="30">
        <f t="shared" si="723"/>
        <v>0</v>
      </c>
      <c r="AU209" s="9"/>
      <c r="AV209" s="30">
        <f t="shared" si="724"/>
        <v>0</v>
      </c>
      <c r="AW209" s="9"/>
      <c r="AX209" s="30">
        <f t="shared" si="725"/>
        <v>0</v>
      </c>
      <c r="AY209" s="9"/>
      <c r="AZ209" s="30">
        <f t="shared" si="726"/>
        <v>0</v>
      </c>
      <c r="BA209" s="10">
        <f>8852/100</f>
        <v>88.52</v>
      </c>
      <c r="BB209" s="31">
        <v>1770</v>
      </c>
      <c r="BC209" s="15">
        <f t="shared" si="741"/>
        <v>1770</v>
      </c>
      <c r="BD209" s="9">
        <f t="shared" si="742"/>
        <v>0</v>
      </c>
      <c r="BE209" s="28">
        <f t="shared" si="743"/>
        <v>88.52</v>
      </c>
      <c r="BF209" s="8">
        <f t="shared" si="744"/>
        <v>0</v>
      </c>
      <c r="BG209" s="29">
        <f t="shared" si="734"/>
        <v>1770.3999999999999</v>
      </c>
      <c r="BH209" s="13">
        <f t="shared" si="745"/>
        <v>-0.39999999999986358</v>
      </c>
      <c r="BI209" s="2" t="str">
        <f t="shared" si="735"/>
        <v>erreur de calcul</v>
      </c>
      <c r="BJ209" s="2"/>
    </row>
    <row r="210" spans="1:62">
      <c r="A210" s="1" t="s">
        <v>12</v>
      </c>
      <c r="B210" s="3" t="s">
        <v>23</v>
      </c>
      <c r="C210" s="3" t="s">
        <v>45</v>
      </c>
      <c r="D210" s="4">
        <v>1789</v>
      </c>
      <c r="E210" s="3" t="s">
        <v>49</v>
      </c>
      <c r="F210" s="3" t="s">
        <v>49</v>
      </c>
      <c r="G210" s="31">
        <v>23</v>
      </c>
      <c r="H210" s="31" t="s">
        <v>281</v>
      </c>
      <c r="I210" s="5">
        <v>25</v>
      </c>
      <c r="J210" s="5"/>
      <c r="K210" s="6"/>
      <c r="L210" s="11">
        <f t="shared" si="736"/>
        <v>25</v>
      </c>
      <c r="M210" s="7" t="s">
        <v>14</v>
      </c>
      <c r="N210" s="31" t="s">
        <v>84</v>
      </c>
      <c r="O210" s="9">
        <f>6325/100</f>
        <v>63.25</v>
      </c>
      <c r="P210" s="9">
        <v>1581</v>
      </c>
      <c r="Q210" s="9">
        <f>13782/100</f>
        <v>137.82</v>
      </c>
      <c r="R210" s="30">
        <v>3445</v>
      </c>
      <c r="S210" s="9"/>
      <c r="T210" s="30">
        <f t="shared" ref="T210" si="777">S210*$L210</f>
        <v>0</v>
      </c>
      <c r="U210" s="9"/>
      <c r="V210" s="30">
        <f t="shared" si="715"/>
        <v>0</v>
      </c>
      <c r="W210" s="9">
        <f>4293/100</f>
        <v>42.93</v>
      </c>
      <c r="X210" s="30">
        <v>1073</v>
      </c>
      <c r="Y210" s="9"/>
      <c r="Z210" s="30">
        <f t="shared" si="716"/>
        <v>0</v>
      </c>
      <c r="AA210" s="9"/>
      <c r="AB210" s="30">
        <f t="shared" si="717"/>
        <v>0</v>
      </c>
      <c r="AC210" s="9"/>
      <c r="AD210" s="30">
        <f t="shared" si="729"/>
        <v>0</v>
      </c>
      <c r="AE210" s="9"/>
      <c r="AF210" s="30">
        <f t="shared" si="718"/>
        <v>0</v>
      </c>
      <c r="AG210" s="9"/>
      <c r="AH210" s="30">
        <f t="shared" si="730"/>
        <v>0</v>
      </c>
      <c r="AI210" s="9"/>
      <c r="AJ210" s="30">
        <f t="shared" ref="AJ210" si="778">AI210*$L210</f>
        <v>0</v>
      </c>
      <c r="AK210" s="9"/>
      <c r="AL210" s="30">
        <f t="shared" ref="AL210" si="779">AK210*$L210</f>
        <v>0</v>
      </c>
      <c r="AM210" s="9"/>
      <c r="AN210" s="30">
        <f t="shared" si="721"/>
        <v>0</v>
      </c>
      <c r="AO210" s="9"/>
      <c r="AP210" s="30">
        <f t="shared" si="722"/>
        <v>0</v>
      </c>
      <c r="AQ210" s="9"/>
      <c r="AR210" s="30">
        <f t="shared" si="733"/>
        <v>0</v>
      </c>
      <c r="AS210" s="9"/>
      <c r="AT210" s="30">
        <f t="shared" si="723"/>
        <v>0</v>
      </c>
      <c r="AU210" s="9"/>
      <c r="AV210" s="30">
        <f t="shared" si="724"/>
        <v>0</v>
      </c>
      <c r="AW210" s="9"/>
      <c r="AX210" s="30">
        <f t="shared" si="725"/>
        <v>0</v>
      </c>
      <c r="AY210" s="9"/>
      <c r="AZ210" s="30">
        <f t="shared" si="726"/>
        <v>0</v>
      </c>
      <c r="BA210" s="10">
        <f>18075/100</f>
        <v>180.75</v>
      </c>
      <c r="BB210" s="31">
        <v>4518</v>
      </c>
      <c r="BC210" s="15">
        <f t="shared" si="741"/>
        <v>4518</v>
      </c>
      <c r="BD210" s="9">
        <f t="shared" si="742"/>
        <v>0</v>
      </c>
      <c r="BE210" s="28">
        <f t="shared" si="743"/>
        <v>180.75</v>
      </c>
      <c r="BF210" s="8">
        <f t="shared" si="744"/>
        <v>0</v>
      </c>
      <c r="BG210" s="29">
        <f t="shared" si="734"/>
        <v>4518.75</v>
      </c>
      <c r="BH210" s="13">
        <f t="shared" si="745"/>
        <v>-0.75</v>
      </c>
      <c r="BI210" s="2" t="str">
        <f t="shared" si="735"/>
        <v>erreur de calcul</v>
      </c>
      <c r="BJ210" s="2"/>
    </row>
    <row r="211" spans="1:62">
      <c r="A211" s="1" t="s">
        <v>12</v>
      </c>
      <c r="B211" s="3" t="s">
        <v>23</v>
      </c>
      <c r="C211" s="3" t="s">
        <v>45</v>
      </c>
      <c r="D211" s="4">
        <v>1789</v>
      </c>
      <c r="E211" s="3" t="s">
        <v>49</v>
      </c>
      <c r="F211" s="3" t="s">
        <v>49</v>
      </c>
      <c r="G211" s="31">
        <v>24</v>
      </c>
      <c r="H211" s="31" t="s">
        <v>282</v>
      </c>
      <c r="I211" s="5">
        <v>250</v>
      </c>
      <c r="J211" s="5"/>
      <c r="K211" s="6"/>
      <c r="L211" s="11">
        <f t="shared" si="736"/>
        <v>250</v>
      </c>
      <c r="M211" s="7" t="s">
        <v>14</v>
      </c>
      <c r="N211" s="31"/>
      <c r="O211" s="9"/>
      <c r="P211" s="9" t="str">
        <f t="shared" si="750"/>
        <v/>
      </c>
      <c r="Q211" s="9"/>
      <c r="R211" s="30">
        <f t="shared" ref="R211" si="780">Q211*$L211</f>
        <v>0</v>
      </c>
      <c r="S211" s="9"/>
      <c r="T211" s="30">
        <f t="shared" ref="T211" si="781">S211*$L211</f>
        <v>0</v>
      </c>
      <c r="U211" s="9"/>
      <c r="V211" s="30">
        <f t="shared" si="715"/>
        <v>0</v>
      </c>
      <c r="W211" s="9"/>
      <c r="X211" s="30">
        <f t="shared" si="728"/>
        <v>0</v>
      </c>
      <c r="Y211" s="9"/>
      <c r="Z211" s="30">
        <f t="shared" si="716"/>
        <v>0</v>
      </c>
      <c r="AA211" s="9"/>
      <c r="AB211" s="30">
        <f t="shared" si="717"/>
        <v>0</v>
      </c>
      <c r="AC211" s="9"/>
      <c r="AD211" s="30">
        <f t="shared" si="729"/>
        <v>0</v>
      </c>
      <c r="AE211" s="9"/>
      <c r="AF211" s="30">
        <f t="shared" si="718"/>
        <v>0</v>
      </c>
      <c r="AG211" s="9"/>
      <c r="AH211" s="30">
        <f t="shared" si="730"/>
        <v>0</v>
      </c>
      <c r="AI211" s="9">
        <f>5374/100</f>
        <v>53.74</v>
      </c>
      <c r="AJ211" s="30">
        <v>13435</v>
      </c>
      <c r="AK211" s="9"/>
      <c r="AL211" s="30">
        <f t="shared" ref="AL211" si="782">AK211*$L211</f>
        <v>0</v>
      </c>
      <c r="AM211" s="9"/>
      <c r="AN211" s="30">
        <f t="shared" si="721"/>
        <v>0</v>
      </c>
      <c r="AO211" s="9"/>
      <c r="AP211" s="30">
        <f t="shared" si="722"/>
        <v>0</v>
      </c>
      <c r="AQ211" s="9"/>
      <c r="AR211" s="30">
        <f t="shared" si="733"/>
        <v>0</v>
      </c>
      <c r="AS211" s="9"/>
      <c r="AT211" s="30">
        <f t="shared" si="723"/>
        <v>0</v>
      </c>
      <c r="AU211" s="9"/>
      <c r="AV211" s="30">
        <f t="shared" si="724"/>
        <v>0</v>
      </c>
      <c r="AW211" s="9"/>
      <c r="AX211" s="30">
        <f t="shared" si="725"/>
        <v>0</v>
      </c>
      <c r="AY211" s="9"/>
      <c r="AZ211" s="30">
        <f t="shared" si="726"/>
        <v>0</v>
      </c>
      <c r="BA211" s="10">
        <f>5374/100</f>
        <v>53.74</v>
      </c>
      <c r="BB211" s="31">
        <v>13435</v>
      </c>
      <c r="BC211" s="15">
        <f t="shared" si="741"/>
        <v>13435</v>
      </c>
      <c r="BD211" s="9">
        <f t="shared" si="742"/>
        <v>0</v>
      </c>
      <c r="BE211" s="28">
        <f t="shared" si="743"/>
        <v>53.74</v>
      </c>
      <c r="BF211" s="8">
        <f t="shared" si="744"/>
        <v>0</v>
      </c>
      <c r="BG211" s="29">
        <f t="shared" si="734"/>
        <v>13435</v>
      </c>
      <c r="BH211" s="13">
        <f t="shared" si="745"/>
        <v>0</v>
      </c>
      <c r="BI211" s="2" t="str">
        <f t="shared" si="735"/>
        <v/>
      </c>
      <c r="BJ211" s="2"/>
    </row>
    <row r="212" spans="1:62">
      <c r="A212" s="1" t="s">
        <v>12</v>
      </c>
      <c r="B212" s="3" t="s">
        <v>23</v>
      </c>
      <c r="C212" s="3" t="s">
        <v>45</v>
      </c>
      <c r="D212" s="4">
        <v>1789</v>
      </c>
      <c r="E212" s="3" t="s">
        <v>49</v>
      </c>
      <c r="F212" s="3" t="s">
        <v>49</v>
      </c>
      <c r="G212" s="31">
        <v>24</v>
      </c>
      <c r="H212" s="31" t="s">
        <v>283</v>
      </c>
      <c r="I212" s="5">
        <v>3</v>
      </c>
      <c r="J212" s="5"/>
      <c r="K212" s="6"/>
      <c r="L212" s="11">
        <f t="shared" si="736"/>
        <v>3</v>
      </c>
      <c r="M212" s="7" t="s">
        <v>15</v>
      </c>
      <c r="N212" s="31"/>
      <c r="O212" s="9"/>
      <c r="P212" s="9" t="str">
        <f t="shared" si="750"/>
        <v/>
      </c>
      <c r="Q212" s="9"/>
      <c r="R212" s="30">
        <f t="shared" ref="R212" si="783">Q212*$L212</f>
        <v>0</v>
      </c>
      <c r="S212" s="9"/>
      <c r="T212" s="30">
        <f t="shared" ref="T212" si="784">S212*$L212</f>
        <v>0</v>
      </c>
      <c r="U212" s="9"/>
      <c r="V212" s="30">
        <f t="shared" si="715"/>
        <v>0</v>
      </c>
      <c r="W212" s="9"/>
      <c r="X212" s="30">
        <f t="shared" si="728"/>
        <v>0</v>
      </c>
      <c r="Y212" s="9"/>
      <c r="Z212" s="30">
        <f t="shared" si="716"/>
        <v>0</v>
      </c>
      <c r="AA212" s="9"/>
      <c r="AB212" s="30">
        <f t="shared" si="717"/>
        <v>0</v>
      </c>
      <c r="AC212" s="9"/>
      <c r="AD212" s="30">
        <f t="shared" si="729"/>
        <v>0</v>
      </c>
      <c r="AE212" s="9"/>
      <c r="AF212" s="30">
        <f t="shared" si="718"/>
        <v>0</v>
      </c>
      <c r="AG212" s="9"/>
      <c r="AH212" s="30">
        <f t="shared" si="730"/>
        <v>0</v>
      </c>
      <c r="AI212" s="9">
        <v>261</v>
      </c>
      <c r="AJ212" s="30">
        <v>783</v>
      </c>
      <c r="AK212" s="9"/>
      <c r="AL212" s="30">
        <f t="shared" ref="AL212" si="785">AK212*$L212</f>
        <v>0</v>
      </c>
      <c r="AM212" s="9"/>
      <c r="AN212" s="30">
        <f t="shared" si="721"/>
        <v>0</v>
      </c>
      <c r="AO212" s="9"/>
      <c r="AP212" s="30">
        <f t="shared" si="722"/>
        <v>0</v>
      </c>
      <c r="AQ212" s="9"/>
      <c r="AR212" s="30">
        <f t="shared" si="733"/>
        <v>0</v>
      </c>
      <c r="AS212" s="9"/>
      <c r="AT212" s="30">
        <f t="shared" si="723"/>
        <v>0</v>
      </c>
      <c r="AU212" s="9"/>
      <c r="AV212" s="30">
        <f t="shared" si="724"/>
        <v>0</v>
      </c>
      <c r="AW212" s="9"/>
      <c r="AX212" s="30">
        <f t="shared" si="725"/>
        <v>0</v>
      </c>
      <c r="AY212" s="9"/>
      <c r="AZ212" s="30">
        <f t="shared" si="726"/>
        <v>0</v>
      </c>
      <c r="BA212" s="10">
        <v>261</v>
      </c>
      <c r="BB212" s="31">
        <v>783</v>
      </c>
      <c r="BC212" s="15">
        <f t="shared" si="741"/>
        <v>783</v>
      </c>
      <c r="BD212" s="9">
        <f t="shared" si="742"/>
        <v>0</v>
      </c>
      <c r="BE212" s="28">
        <f t="shared" si="743"/>
        <v>261</v>
      </c>
      <c r="BF212" s="8">
        <f t="shared" si="744"/>
        <v>0</v>
      </c>
      <c r="BG212" s="29">
        <f t="shared" si="734"/>
        <v>783</v>
      </c>
      <c r="BH212" s="13">
        <f t="shared" si="745"/>
        <v>0</v>
      </c>
      <c r="BI212" s="2" t="str">
        <f t="shared" si="735"/>
        <v/>
      </c>
      <c r="BJ212" s="2"/>
    </row>
    <row r="213" spans="1:62">
      <c r="A213" s="1" t="s">
        <v>12</v>
      </c>
      <c r="B213" s="3" t="s">
        <v>23</v>
      </c>
      <c r="C213" s="3" t="s">
        <v>45</v>
      </c>
      <c r="D213" s="4">
        <v>1789</v>
      </c>
      <c r="E213" s="3" t="s">
        <v>49</v>
      </c>
      <c r="F213" s="3" t="s">
        <v>49</v>
      </c>
      <c r="G213" s="31">
        <v>24</v>
      </c>
      <c r="H213" s="31" t="s">
        <v>284</v>
      </c>
      <c r="I213" s="5">
        <v>5</v>
      </c>
      <c r="J213" s="5"/>
      <c r="K213" s="6"/>
      <c r="L213" s="11">
        <f t="shared" si="736"/>
        <v>5</v>
      </c>
      <c r="M213" s="7" t="s">
        <v>15</v>
      </c>
      <c r="N213" s="31"/>
      <c r="O213" s="9"/>
      <c r="P213" s="9" t="str">
        <f t="shared" si="750"/>
        <v/>
      </c>
      <c r="Q213" s="9"/>
      <c r="R213" s="30">
        <f t="shared" ref="R213" si="786">Q213*$L213</f>
        <v>0</v>
      </c>
      <c r="S213" s="9"/>
      <c r="T213" s="30">
        <f t="shared" ref="T213" si="787">S213*$L213</f>
        <v>0</v>
      </c>
      <c r="U213" s="9"/>
      <c r="V213" s="30">
        <v>4765</v>
      </c>
      <c r="W213" s="9"/>
      <c r="X213" s="30">
        <f t="shared" si="728"/>
        <v>0</v>
      </c>
      <c r="Y213" s="9"/>
      <c r="Z213" s="30">
        <f t="shared" si="716"/>
        <v>0</v>
      </c>
      <c r="AA213" s="9"/>
      <c r="AB213" s="30">
        <f t="shared" si="717"/>
        <v>0</v>
      </c>
      <c r="AC213" s="9"/>
      <c r="AD213" s="30">
        <f t="shared" si="729"/>
        <v>0</v>
      </c>
      <c r="AE213" s="9"/>
      <c r="AF213" s="30">
        <f t="shared" si="718"/>
        <v>0</v>
      </c>
      <c r="AG213" s="9"/>
      <c r="AH213" s="30">
        <f t="shared" si="730"/>
        <v>0</v>
      </c>
      <c r="AI213" s="9"/>
      <c r="AJ213" s="30">
        <f t="shared" ref="AJ213" si="788">AI213*$L213</f>
        <v>0</v>
      </c>
      <c r="AK213" s="9"/>
      <c r="AL213" s="30">
        <f t="shared" ref="AL213" si="789">AK213*$L213</f>
        <v>0</v>
      </c>
      <c r="AM213" s="9"/>
      <c r="AN213" s="30">
        <f t="shared" si="721"/>
        <v>0</v>
      </c>
      <c r="AO213" s="9"/>
      <c r="AP213" s="30">
        <f t="shared" si="722"/>
        <v>0</v>
      </c>
      <c r="AQ213" s="9"/>
      <c r="AR213" s="30">
        <f t="shared" si="733"/>
        <v>0</v>
      </c>
      <c r="AS213" s="9"/>
      <c r="AT213" s="30">
        <f t="shared" si="723"/>
        <v>0</v>
      </c>
      <c r="AU213" s="9"/>
      <c r="AV213" s="30">
        <f t="shared" si="724"/>
        <v>0</v>
      </c>
      <c r="AW213" s="9"/>
      <c r="AX213" s="30">
        <f t="shared" si="725"/>
        <v>0</v>
      </c>
      <c r="AY213" s="9"/>
      <c r="AZ213" s="30">
        <f t="shared" si="726"/>
        <v>0</v>
      </c>
      <c r="BA213" s="10"/>
      <c r="BB213" s="31">
        <v>4765</v>
      </c>
      <c r="BC213" s="15">
        <f t="shared" si="741"/>
        <v>4765</v>
      </c>
      <c r="BD213" s="9">
        <f t="shared" si="742"/>
        <v>0</v>
      </c>
      <c r="BE213" s="28">
        <f t="shared" si="743"/>
        <v>0</v>
      </c>
      <c r="BF213" s="8">
        <f t="shared" si="744"/>
        <v>0</v>
      </c>
      <c r="BG213" s="29">
        <f t="shared" si="734"/>
        <v>0</v>
      </c>
      <c r="BH213" s="13">
        <f t="shared" si="745"/>
        <v>4765</v>
      </c>
      <c r="BI213" s="2" t="str">
        <f t="shared" si="735"/>
        <v>pas de quantité</v>
      </c>
      <c r="BJ213" s="2"/>
    </row>
    <row r="214" spans="1:62">
      <c r="A214" s="1" t="s">
        <v>12</v>
      </c>
      <c r="B214" s="3" t="s">
        <v>23</v>
      </c>
      <c r="C214" s="3" t="s">
        <v>45</v>
      </c>
      <c r="D214" s="4">
        <v>1789</v>
      </c>
      <c r="E214" s="3" t="s">
        <v>49</v>
      </c>
      <c r="F214" s="3" t="s">
        <v>49</v>
      </c>
      <c r="G214" s="31">
        <v>24</v>
      </c>
      <c r="H214" s="31" t="s">
        <v>285</v>
      </c>
      <c r="I214" s="5">
        <v>36</v>
      </c>
      <c r="J214" s="5"/>
      <c r="K214" s="6"/>
      <c r="L214" s="11">
        <f t="shared" si="736"/>
        <v>36</v>
      </c>
      <c r="M214" s="7" t="s">
        <v>15</v>
      </c>
      <c r="N214" s="31"/>
      <c r="O214" s="9"/>
      <c r="P214" s="9" t="str">
        <f t="shared" si="750"/>
        <v/>
      </c>
      <c r="Q214" s="9"/>
      <c r="R214" s="30">
        <f t="shared" ref="R214" si="790">Q214*$L214</f>
        <v>0</v>
      </c>
      <c r="S214" s="9"/>
      <c r="T214" s="30">
        <f t="shared" ref="T214" si="791">S214*$L214</f>
        <v>0</v>
      </c>
      <c r="U214" s="9"/>
      <c r="V214" s="30">
        <f t="shared" si="715"/>
        <v>0</v>
      </c>
      <c r="W214" s="9"/>
      <c r="X214" s="30">
        <f t="shared" si="728"/>
        <v>0</v>
      </c>
      <c r="Y214" s="9"/>
      <c r="Z214" s="30">
        <f t="shared" si="716"/>
        <v>0</v>
      </c>
      <c r="AA214" s="9"/>
      <c r="AB214" s="30">
        <f t="shared" si="717"/>
        <v>0</v>
      </c>
      <c r="AC214" s="9"/>
      <c r="AD214" s="30">
        <f t="shared" si="729"/>
        <v>0</v>
      </c>
      <c r="AE214" s="9"/>
      <c r="AF214" s="30">
        <f t="shared" si="718"/>
        <v>0</v>
      </c>
      <c r="AG214" s="9"/>
      <c r="AH214" s="30">
        <f t="shared" si="730"/>
        <v>0</v>
      </c>
      <c r="AI214" s="9"/>
      <c r="AJ214" s="30">
        <f t="shared" ref="AJ214" si="792">AI214*$L214</f>
        <v>0</v>
      </c>
      <c r="AK214" s="9">
        <v>387</v>
      </c>
      <c r="AL214" s="30">
        <v>13932</v>
      </c>
      <c r="AM214" s="9"/>
      <c r="AN214" s="30">
        <f t="shared" si="721"/>
        <v>0</v>
      </c>
      <c r="AO214" s="9"/>
      <c r="AP214" s="30">
        <f t="shared" si="722"/>
        <v>0</v>
      </c>
      <c r="AQ214" s="9"/>
      <c r="AR214" s="30">
        <f t="shared" si="733"/>
        <v>0</v>
      </c>
      <c r="AS214" s="9"/>
      <c r="AT214" s="30">
        <f t="shared" si="723"/>
        <v>0</v>
      </c>
      <c r="AU214" s="9"/>
      <c r="AV214" s="30">
        <f t="shared" si="724"/>
        <v>0</v>
      </c>
      <c r="AW214" s="9"/>
      <c r="AX214" s="30">
        <f t="shared" si="725"/>
        <v>0</v>
      </c>
      <c r="AY214" s="9"/>
      <c r="AZ214" s="30">
        <f t="shared" si="726"/>
        <v>0</v>
      </c>
      <c r="BA214" s="10">
        <v>387</v>
      </c>
      <c r="BB214" s="31">
        <v>13932</v>
      </c>
      <c r="BC214" s="15">
        <f t="shared" si="741"/>
        <v>13932</v>
      </c>
      <c r="BD214" s="9">
        <f t="shared" si="742"/>
        <v>0</v>
      </c>
      <c r="BE214" s="28">
        <f t="shared" si="743"/>
        <v>387</v>
      </c>
      <c r="BF214" s="8">
        <f t="shared" si="744"/>
        <v>0</v>
      </c>
      <c r="BG214" s="29">
        <f t="shared" si="734"/>
        <v>13932</v>
      </c>
      <c r="BH214" s="13">
        <f t="shared" si="745"/>
        <v>0</v>
      </c>
      <c r="BI214" s="2" t="str">
        <f t="shared" si="735"/>
        <v/>
      </c>
      <c r="BJ214" s="2"/>
    </row>
    <row r="215" spans="1:62">
      <c r="A215" s="1" t="s">
        <v>12</v>
      </c>
      <c r="B215" s="3" t="s">
        <v>23</v>
      </c>
      <c r="C215" s="3" t="s">
        <v>45</v>
      </c>
      <c r="D215" s="4">
        <v>1789</v>
      </c>
      <c r="E215" s="3" t="s">
        <v>49</v>
      </c>
      <c r="F215" s="3" t="s">
        <v>49</v>
      </c>
      <c r="G215" s="31">
        <v>24</v>
      </c>
      <c r="H215" s="31" t="s">
        <v>286</v>
      </c>
      <c r="I215" s="5">
        <v>40</v>
      </c>
      <c r="J215" s="5"/>
      <c r="K215" s="6"/>
      <c r="L215" s="11">
        <f t="shared" si="736"/>
        <v>40</v>
      </c>
      <c r="M215" s="7" t="s">
        <v>14</v>
      </c>
      <c r="N215" s="31" t="s">
        <v>16</v>
      </c>
      <c r="O215" s="9">
        <f>4340/100</f>
        <v>43.4</v>
      </c>
      <c r="P215" s="9">
        <v>1736</v>
      </c>
      <c r="Q215" s="9"/>
      <c r="R215" s="30">
        <f t="shared" ref="R215" si="793">Q215*$L215</f>
        <v>0</v>
      </c>
      <c r="S215" s="9"/>
      <c r="T215" s="30">
        <f t="shared" ref="T215" si="794">S215*$L215</f>
        <v>0</v>
      </c>
      <c r="U215" s="9">
        <f>5917/100</f>
        <v>59.17</v>
      </c>
      <c r="V215" s="30">
        <v>2367</v>
      </c>
      <c r="W215" s="9">
        <f>12510/100</f>
        <v>125.1</v>
      </c>
      <c r="X215" s="30">
        <f t="shared" si="728"/>
        <v>5004</v>
      </c>
      <c r="Y215" s="9"/>
      <c r="Z215" s="30">
        <f t="shared" si="716"/>
        <v>0</v>
      </c>
      <c r="AA215" s="9"/>
      <c r="AB215" s="30">
        <f t="shared" si="717"/>
        <v>0</v>
      </c>
      <c r="AC215" s="9">
        <f>50338/100</f>
        <v>503.38</v>
      </c>
      <c r="AD215" s="30">
        <v>20135</v>
      </c>
      <c r="AE215" s="9"/>
      <c r="AF215" s="30">
        <f t="shared" si="718"/>
        <v>0</v>
      </c>
      <c r="AG215" s="9"/>
      <c r="AH215" s="30">
        <f t="shared" si="730"/>
        <v>0</v>
      </c>
      <c r="AI215" s="9">
        <f>440/100</f>
        <v>4.4000000000000004</v>
      </c>
      <c r="AJ215" s="30">
        <v>176</v>
      </c>
      <c r="AK215" s="9">
        <f>18094/100</f>
        <v>180.94</v>
      </c>
      <c r="AL215" s="30">
        <v>7238</v>
      </c>
      <c r="AM215" s="9"/>
      <c r="AN215" s="30">
        <f t="shared" si="721"/>
        <v>0</v>
      </c>
      <c r="AO215" s="9"/>
      <c r="AP215" s="30">
        <f t="shared" si="722"/>
        <v>0</v>
      </c>
      <c r="AQ215" s="9"/>
      <c r="AR215" s="30">
        <f t="shared" si="733"/>
        <v>0</v>
      </c>
      <c r="AS215" s="9"/>
      <c r="AT215" s="30">
        <f t="shared" si="723"/>
        <v>0</v>
      </c>
      <c r="AU215" s="9"/>
      <c r="AV215" s="30">
        <f t="shared" si="724"/>
        <v>0</v>
      </c>
      <c r="AW215" s="9"/>
      <c r="AX215" s="30">
        <f t="shared" si="725"/>
        <v>0</v>
      </c>
      <c r="AY215" s="9"/>
      <c r="AZ215" s="30">
        <f t="shared" si="726"/>
        <v>0</v>
      </c>
      <c r="BA215" s="10">
        <f>87279/100</f>
        <v>872.79</v>
      </c>
      <c r="BB215" s="31">
        <v>34920</v>
      </c>
      <c r="BC215" s="15">
        <f t="shared" si="741"/>
        <v>34920</v>
      </c>
      <c r="BD215" s="9">
        <f t="shared" si="742"/>
        <v>0</v>
      </c>
      <c r="BE215" s="28">
        <f t="shared" si="743"/>
        <v>872.99</v>
      </c>
      <c r="BF215" s="8">
        <f t="shared" si="744"/>
        <v>-0.20000000000004547</v>
      </c>
      <c r="BG215" s="29">
        <f t="shared" si="734"/>
        <v>34919.599999999999</v>
      </c>
      <c r="BH215" s="13">
        <f t="shared" si="745"/>
        <v>0.40000000000145519</v>
      </c>
      <c r="BI215" s="2" t="str">
        <f t="shared" si="735"/>
        <v>erreur de calcul</v>
      </c>
      <c r="BJ215" s="2"/>
    </row>
    <row r="216" spans="1:62">
      <c r="A216" s="1" t="s">
        <v>12</v>
      </c>
      <c r="B216" s="3" t="s">
        <v>23</v>
      </c>
      <c r="C216" s="3" t="s">
        <v>45</v>
      </c>
      <c r="D216" s="4">
        <v>1789</v>
      </c>
      <c r="E216" s="3" t="s">
        <v>49</v>
      </c>
      <c r="F216" s="3" t="s">
        <v>49</v>
      </c>
      <c r="G216" s="31">
        <v>24</v>
      </c>
      <c r="H216" s="31" t="s">
        <v>287</v>
      </c>
      <c r="I216" s="5">
        <v>72</v>
      </c>
      <c r="J216" s="5"/>
      <c r="K216" s="6"/>
      <c r="L216" s="11">
        <f t="shared" si="736"/>
        <v>72</v>
      </c>
      <c r="M216" s="7" t="s">
        <v>288</v>
      </c>
      <c r="N216" s="31"/>
      <c r="O216" s="9"/>
      <c r="P216" s="9" t="str">
        <f t="shared" si="750"/>
        <v/>
      </c>
      <c r="Q216" s="9">
        <v>16096</v>
      </c>
      <c r="R216" s="30">
        <v>1158912</v>
      </c>
      <c r="S216" s="9"/>
      <c r="T216" s="30">
        <f t="shared" ref="T216" si="795">S216*$L216</f>
        <v>0</v>
      </c>
      <c r="U216" s="9">
        <v>6580</v>
      </c>
      <c r="V216" s="30">
        <v>473760</v>
      </c>
      <c r="W216" s="9">
        <v>21336</v>
      </c>
      <c r="X216" s="30">
        <v>1536192</v>
      </c>
      <c r="Y216" s="9">
        <v>905</v>
      </c>
      <c r="Z216" s="30">
        <v>65160</v>
      </c>
      <c r="AA216" s="9">
        <v>250</v>
      </c>
      <c r="AB216" s="30">
        <v>18000</v>
      </c>
      <c r="AC216" s="9">
        <v>155034</v>
      </c>
      <c r="AD216" s="30">
        <v>11162448</v>
      </c>
      <c r="AE216" s="9"/>
      <c r="AF216" s="30">
        <f t="shared" si="718"/>
        <v>0</v>
      </c>
      <c r="AG216" s="9">
        <v>18739</v>
      </c>
      <c r="AH216" s="30">
        <v>1349208</v>
      </c>
      <c r="AI216" s="9">
        <v>44032</v>
      </c>
      <c r="AJ216" s="30">
        <v>3170304</v>
      </c>
      <c r="AK216" s="9"/>
      <c r="AL216" s="30">
        <f t="shared" ref="AL216" si="796">AK216*$L216</f>
        <v>0</v>
      </c>
      <c r="AM216" s="9"/>
      <c r="AN216" s="30">
        <f t="shared" si="721"/>
        <v>0</v>
      </c>
      <c r="AO216" s="9"/>
      <c r="AP216" s="30">
        <f t="shared" si="722"/>
        <v>0</v>
      </c>
      <c r="AQ216" s="9"/>
      <c r="AR216" s="30">
        <f t="shared" si="733"/>
        <v>0</v>
      </c>
      <c r="AS216" s="9"/>
      <c r="AT216" s="30">
        <f t="shared" si="723"/>
        <v>0</v>
      </c>
      <c r="AU216" s="9"/>
      <c r="AV216" s="30">
        <f t="shared" si="724"/>
        <v>0</v>
      </c>
      <c r="AW216" s="9"/>
      <c r="AX216" s="30">
        <f t="shared" si="725"/>
        <v>0</v>
      </c>
      <c r="AY216" s="9"/>
      <c r="AZ216" s="30">
        <f t="shared" si="726"/>
        <v>0</v>
      </c>
      <c r="BA216" s="10">
        <v>262972</v>
      </c>
      <c r="BB216" s="31">
        <v>18933984</v>
      </c>
      <c r="BC216" s="15">
        <f t="shared" si="741"/>
        <v>18933984</v>
      </c>
      <c r="BD216" s="9">
        <f t="shared" si="742"/>
        <v>0</v>
      </c>
      <c r="BE216" s="28">
        <f t="shared" si="743"/>
        <v>262972</v>
      </c>
      <c r="BF216" s="8">
        <f t="shared" si="744"/>
        <v>0</v>
      </c>
      <c r="BG216" s="29">
        <f t="shared" si="734"/>
        <v>18933984</v>
      </c>
      <c r="BH216" s="13">
        <f t="shared" si="745"/>
        <v>0</v>
      </c>
      <c r="BI216" s="2" t="str">
        <f t="shared" si="735"/>
        <v/>
      </c>
      <c r="BJ216" s="2" t="s">
        <v>289</v>
      </c>
    </row>
    <row r="217" spans="1:62">
      <c r="A217" s="1" t="s">
        <v>12</v>
      </c>
      <c r="B217" s="3" t="s">
        <v>23</v>
      </c>
      <c r="C217" s="3" t="s">
        <v>45</v>
      </c>
      <c r="D217" s="4">
        <v>1789</v>
      </c>
      <c r="E217" s="3" t="s">
        <v>49</v>
      </c>
      <c r="F217" s="3" t="s">
        <v>49</v>
      </c>
      <c r="G217" s="31">
        <v>24</v>
      </c>
      <c r="H217" s="31" t="s">
        <v>290</v>
      </c>
      <c r="I217" s="5">
        <v>35</v>
      </c>
      <c r="J217" s="5"/>
      <c r="K217" s="6"/>
      <c r="L217" s="11">
        <f t="shared" si="736"/>
        <v>35</v>
      </c>
      <c r="M217" s="7" t="s">
        <v>14</v>
      </c>
      <c r="N217" s="31" t="s">
        <v>18</v>
      </c>
      <c r="O217" s="9">
        <f>450/100</f>
        <v>4.5</v>
      </c>
      <c r="P217" s="9">
        <v>157</v>
      </c>
      <c r="Q217" s="9"/>
      <c r="R217" s="30">
        <f t="shared" ref="R217" si="797">Q217*$L217</f>
        <v>0</v>
      </c>
      <c r="S217" s="9"/>
      <c r="T217" s="30">
        <f t="shared" ref="T217" si="798">S217*$L217</f>
        <v>0</v>
      </c>
      <c r="U217" s="9"/>
      <c r="V217" s="30">
        <f t="shared" si="715"/>
        <v>0</v>
      </c>
      <c r="W217" s="9"/>
      <c r="X217" s="30">
        <f t="shared" si="728"/>
        <v>0</v>
      </c>
      <c r="Y217" s="9"/>
      <c r="Z217" s="30">
        <f t="shared" si="716"/>
        <v>0</v>
      </c>
      <c r="AA217" s="9"/>
      <c r="AB217" s="30">
        <f t="shared" si="717"/>
        <v>0</v>
      </c>
      <c r="AC217" s="9"/>
      <c r="AD217" s="30">
        <f t="shared" si="729"/>
        <v>0</v>
      </c>
      <c r="AE217" s="9"/>
      <c r="AF217" s="30">
        <f t="shared" si="718"/>
        <v>0</v>
      </c>
      <c r="AG217" s="9"/>
      <c r="AH217" s="30">
        <f t="shared" si="730"/>
        <v>0</v>
      </c>
      <c r="AI217" s="9"/>
      <c r="AJ217" s="30">
        <f t="shared" ref="AJ217" si="799">AI217*$L217</f>
        <v>0</v>
      </c>
      <c r="AK217" s="9"/>
      <c r="AL217" s="30">
        <f t="shared" ref="AL217" si="800">AK217*$L217</f>
        <v>0</v>
      </c>
      <c r="AM217" s="9"/>
      <c r="AN217" s="30">
        <f t="shared" si="721"/>
        <v>0</v>
      </c>
      <c r="AO217" s="9"/>
      <c r="AP217" s="30">
        <f t="shared" si="722"/>
        <v>0</v>
      </c>
      <c r="AQ217" s="9"/>
      <c r="AR217" s="30">
        <f t="shared" si="733"/>
        <v>0</v>
      </c>
      <c r="AS217" s="9"/>
      <c r="AT217" s="30">
        <f t="shared" si="723"/>
        <v>0</v>
      </c>
      <c r="AU217" s="9"/>
      <c r="AV217" s="30">
        <f t="shared" si="724"/>
        <v>0</v>
      </c>
      <c r="AW217" s="9"/>
      <c r="AX217" s="30">
        <f t="shared" si="725"/>
        <v>0</v>
      </c>
      <c r="AY217" s="9"/>
      <c r="AZ217" s="30">
        <f t="shared" si="726"/>
        <v>0</v>
      </c>
      <c r="BA217" s="10"/>
      <c r="BB217" s="31"/>
      <c r="BC217" s="15">
        <f t="shared" si="741"/>
        <v>0</v>
      </c>
      <c r="BD217" s="9">
        <f t="shared" si="742"/>
        <v>0</v>
      </c>
      <c r="BE217" s="28">
        <f t="shared" si="743"/>
        <v>0</v>
      </c>
      <c r="BF217" s="8">
        <f t="shared" si="744"/>
        <v>0</v>
      </c>
      <c r="BG217" s="29">
        <f t="shared" si="734"/>
        <v>0</v>
      </c>
      <c r="BH217" s="13">
        <f t="shared" si="745"/>
        <v>0</v>
      </c>
      <c r="BI217" s="2" t="str">
        <f t="shared" si="735"/>
        <v/>
      </c>
      <c r="BJ217" s="2"/>
    </row>
    <row r="218" spans="1:62">
      <c r="A218" s="1" t="s">
        <v>12</v>
      </c>
      <c r="B218" s="3" t="s">
        <v>23</v>
      </c>
      <c r="C218" s="3" t="s">
        <v>45</v>
      </c>
      <c r="D218" s="4">
        <v>1789</v>
      </c>
      <c r="E218" s="3" t="s">
        <v>49</v>
      </c>
      <c r="F218" s="3" t="s">
        <v>49</v>
      </c>
      <c r="G218" s="31">
        <v>24</v>
      </c>
      <c r="H218" s="31" t="s">
        <v>291</v>
      </c>
      <c r="I218" s="5">
        <v>45</v>
      </c>
      <c r="J218" s="5"/>
      <c r="K218" s="6"/>
      <c r="L218" s="11">
        <f t="shared" si="736"/>
        <v>45</v>
      </c>
      <c r="M218" s="7" t="s">
        <v>14</v>
      </c>
      <c r="N218" s="31"/>
      <c r="O218" s="9"/>
      <c r="P218" s="9" t="str">
        <f t="shared" si="750"/>
        <v/>
      </c>
      <c r="Q218" s="9"/>
      <c r="R218" s="30">
        <f t="shared" ref="R218" si="801">Q218*$L218</f>
        <v>0</v>
      </c>
      <c r="S218" s="9"/>
      <c r="T218" s="30">
        <f t="shared" ref="T218" si="802">S218*$L218</f>
        <v>0</v>
      </c>
      <c r="U218" s="9"/>
      <c r="V218" s="30">
        <f t="shared" si="715"/>
        <v>0</v>
      </c>
      <c r="W218" s="9"/>
      <c r="X218" s="30">
        <f t="shared" si="728"/>
        <v>0</v>
      </c>
      <c r="Y218" s="9"/>
      <c r="Z218" s="30">
        <f t="shared" si="716"/>
        <v>0</v>
      </c>
      <c r="AA218" s="9"/>
      <c r="AB218" s="30">
        <f t="shared" si="717"/>
        <v>0</v>
      </c>
      <c r="AC218" s="9"/>
      <c r="AD218" s="30">
        <f t="shared" si="729"/>
        <v>0</v>
      </c>
      <c r="AE218" s="9"/>
      <c r="AF218" s="30">
        <f t="shared" si="718"/>
        <v>0</v>
      </c>
      <c r="AG218" s="9"/>
      <c r="AH218" s="30">
        <f t="shared" si="730"/>
        <v>0</v>
      </c>
      <c r="AI218" s="9"/>
      <c r="AJ218" s="30">
        <f t="shared" ref="AJ218" si="803">AI218*$L218</f>
        <v>0</v>
      </c>
      <c r="AK218" s="9"/>
      <c r="AL218" s="30">
        <f t="shared" ref="AL218" si="804">AK218*$L218</f>
        <v>0</v>
      </c>
      <c r="AM218" s="9"/>
      <c r="AN218" s="30">
        <f t="shared" si="721"/>
        <v>0</v>
      </c>
      <c r="AO218" s="9"/>
      <c r="AP218" s="30">
        <f t="shared" si="722"/>
        <v>0</v>
      </c>
      <c r="AQ218" s="9"/>
      <c r="AR218" s="30">
        <f t="shared" si="733"/>
        <v>0</v>
      </c>
      <c r="AS218" s="9"/>
      <c r="AT218" s="30">
        <f t="shared" si="723"/>
        <v>0</v>
      </c>
      <c r="AU218" s="9"/>
      <c r="AV218" s="30">
        <f t="shared" si="724"/>
        <v>0</v>
      </c>
      <c r="AW218" s="9"/>
      <c r="AX218" s="30">
        <f t="shared" si="725"/>
        <v>0</v>
      </c>
      <c r="AY218" s="9">
        <f>44459/100</f>
        <v>444.59</v>
      </c>
      <c r="AZ218" s="30">
        <v>20006</v>
      </c>
      <c r="BA218" s="10">
        <f>44459/100</f>
        <v>444.59</v>
      </c>
      <c r="BB218" s="31">
        <v>20006</v>
      </c>
      <c r="BC218" s="15">
        <f t="shared" si="741"/>
        <v>20006</v>
      </c>
      <c r="BD218" s="9">
        <f t="shared" si="742"/>
        <v>0</v>
      </c>
      <c r="BE218" s="28">
        <f t="shared" si="743"/>
        <v>444.59</v>
      </c>
      <c r="BF218" s="8">
        <f t="shared" si="744"/>
        <v>0</v>
      </c>
      <c r="BG218" s="29">
        <f t="shared" si="734"/>
        <v>20006.55</v>
      </c>
      <c r="BH218" s="13">
        <f t="shared" si="745"/>
        <v>-0.5499999999992724</v>
      </c>
      <c r="BI218" s="2" t="str">
        <f t="shared" si="735"/>
        <v>erreur de calcul</v>
      </c>
      <c r="BJ218" s="2"/>
    </row>
    <row r="219" spans="1:62">
      <c r="A219" s="1" t="s">
        <v>12</v>
      </c>
      <c r="B219" s="3" t="s">
        <v>23</v>
      </c>
      <c r="C219" s="3" t="s">
        <v>45</v>
      </c>
      <c r="D219" s="4">
        <v>1789</v>
      </c>
      <c r="E219" s="3" t="s">
        <v>49</v>
      </c>
      <c r="F219" s="3" t="s">
        <v>49</v>
      </c>
      <c r="G219" s="31">
        <v>24</v>
      </c>
      <c r="H219" s="31" t="s">
        <v>292</v>
      </c>
      <c r="I219" s="5">
        <v>550</v>
      </c>
      <c r="J219" s="5"/>
      <c r="K219" s="6"/>
      <c r="L219" s="11">
        <f t="shared" si="736"/>
        <v>550</v>
      </c>
      <c r="M219" s="7" t="s">
        <v>14</v>
      </c>
      <c r="N219" s="31"/>
      <c r="O219" s="9"/>
      <c r="P219" s="9" t="str">
        <f t="shared" si="750"/>
        <v/>
      </c>
      <c r="Q219" s="9"/>
      <c r="R219" s="30">
        <f t="shared" ref="R219" si="805">Q219*$L219</f>
        <v>0</v>
      </c>
      <c r="S219" s="9"/>
      <c r="T219" s="30">
        <f t="shared" ref="T219" si="806">S219*$L219</f>
        <v>0</v>
      </c>
      <c r="U219" s="9"/>
      <c r="V219" s="30">
        <f t="shared" si="715"/>
        <v>0</v>
      </c>
      <c r="W219" s="9"/>
      <c r="X219" s="30">
        <f t="shared" si="728"/>
        <v>0</v>
      </c>
      <c r="Y219" s="9"/>
      <c r="Z219" s="30">
        <f t="shared" si="716"/>
        <v>0</v>
      </c>
      <c r="AA219" s="9"/>
      <c r="AB219" s="30">
        <f t="shared" si="717"/>
        <v>0</v>
      </c>
      <c r="AC219" s="9"/>
      <c r="AD219" s="30">
        <f t="shared" si="729"/>
        <v>0</v>
      </c>
      <c r="AE219" s="9"/>
      <c r="AF219" s="30">
        <f t="shared" si="718"/>
        <v>0</v>
      </c>
      <c r="AG219" s="9">
        <f>200/100</f>
        <v>2</v>
      </c>
      <c r="AH219" s="30">
        <v>1100</v>
      </c>
      <c r="AI219" s="9"/>
      <c r="AJ219" s="30">
        <f t="shared" ref="AJ219" si="807">AI219*$L219</f>
        <v>0</v>
      </c>
      <c r="AK219" s="9"/>
      <c r="AL219" s="30">
        <f t="shared" ref="AL219" si="808">AK219*$L219</f>
        <v>0</v>
      </c>
      <c r="AM219" s="9"/>
      <c r="AN219" s="30">
        <f t="shared" si="721"/>
        <v>0</v>
      </c>
      <c r="AO219" s="9"/>
      <c r="AP219" s="30">
        <f t="shared" si="722"/>
        <v>0</v>
      </c>
      <c r="AQ219" s="9"/>
      <c r="AR219" s="30">
        <f t="shared" si="733"/>
        <v>0</v>
      </c>
      <c r="AS219" s="9"/>
      <c r="AT219" s="30">
        <f t="shared" si="723"/>
        <v>0</v>
      </c>
      <c r="AU219" s="9"/>
      <c r="AV219" s="30">
        <f t="shared" si="724"/>
        <v>0</v>
      </c>
      <c r="AW219" s="9"/>
      <c r="AX219" s="30">
        <f t="shared" si="725"/>
        <v>0</v>
      </c>
      <c r="AY219" s="9"/>
      <c r="AZ219" s="30">
        <f t="shared" si="726"/>
        <v>0</v>
      </c>
      <c r="BA219" s="10">
        <f>200/100</f>
        <v>2</v>
      </c>
      <c r="BB219" s="31">
        <v>1100</v>
      </c>
      <c r="BC219" s="15">
        <f t="shared" si="741"/>
        <v>1100</v>
      </c>
      <c r="BD219" s="9">
        <f t="shared" si="742"/>
        <v>0</v>
      </c>
      <c r="BE219" s="28">
        <f t="shared" si="743"/>
        <v>2</v>
      </c>
      <c r="BF219" s="8">
        <f t="shared" si="744"/>
        <v>0</v>
      </c>
      <c r="BG219" s="29">
        <f t="shared" si="734"/>
        <v>1100</v>
      </c>
      <c r="BH219" s="13">
        <f t="shared" si="745"/>
        <v>0</v>
      </c>
      <c r="BI219" s="2" t="str">
        <f t="shared" si="735"/>
        <v/>
      </c>
      <c r="BJ219" s="2"/>
    </row>
    <row r="220" spans="1:62">
      <c r="A220" s="1" t="s">
        <v>12</v>
      </c>
      <c r="B220" s="3" t="s">
        <v>23</v>
      </c>
      <c r="C220" s="3" t="s">
        <v>45</v>
      </c>
      <c r="D220" s="4">
        <v>1789</v>
      </c>
      <c r="E220" s="3" t="s">
        <v>49</v>
      </c>
      <c r="F220" s="3" t="s">
        <v>49</v>
      </c>
      <c r="G220" s="31">
        <v>24</v>
      </c>
      <c r="H220" s="31" t="s">
        <v>293</v>
      </c>
      <c r="I220" s="5">
        <v>16</v>
      </c>
      <c r="J220" s="5"/>
      <c r="K220" s="6"/>
      <c r="L220" s="11">
        <f t="shared" si="736"/>
        <v>16</v>
      </c>
      <c r="M220" s="7" t="s">
        <v>14</v>
      </c>
      <c r="N220" s="31"/>
      <c r="O220" s="9"/>
      <c r="P220" s="9" t="str">
        <f t="shared" si="750"/>
        <v/>
      </c>
      <c r="Q220" s="9">
        <f>20*288*0.02+252*0.02</f>
        <v>120.24000000000001</v>
      </c>
      <c r="R220" s="30">
        <v>1924</v>
      </c>
      <c r="S220" s="9"/>
      <c r="T220" s="30">
        <f t="shared" ref="T220" si="809">S220*$L220</f>
        <v>0</v>
      </c>
      <c r="U220" s="9"/>
      <c r="V220" s="30">
        <f t="shared" si="715"/>
        <v>0</v>
      </c>
      <c r="W220" s="9">
        <f>16*288*0.02+15*0.02</f>
        <v>92.46</v>
      </c>
      <c r="X220" s="30">
        <v>1479</v>
      </c>
      <c r="Y220" s="9">
        <f>25*288*0.02+152*0.02</f>
        <v>147.04</v>
      </c>
      <c r="Z220" s="30">
        <v>2353</v>
      </c>
      <c r="AA220" s="9"/>
      <c r="AB220" s="30">
        <f t="shared" si="717"/>
        <v>0</v>
      </c>
      <c r="AC220" s="9">
        <f>127*288*0.02+236*0.02</f>
        <v>736.24</v>
      </c>
      <c r="AD220" s="30">
        <v>11780</v>
      </c>
      <c r="AE220" s="9"/>
      <c r="AF220" s="30">
        <f t="shared" si="718"/>
        <v>0</v>
      </c>
      <c r="AG220" s="9"/>
      <c r="AH220" s="30">
        <f t="shared" si="730"/>
        <v>0</v>
      </c>
      <c r="AI220" s="9"/>
      <c r="AJ220" s="30">
        <f t="shared" ref="AJ220" si="810">AI220*$L220</f>
        <v>0</v>
      </c>
      <c r="AK220" s="9"/>
      <c r="AL220" s="30">
        <f t="shared" ref="AL220" si="811">AK220*$L220</f>
        <v>0</v>
      </c>
      <c r="AM220" s="9"/>
      <c r="AN220" s="30">
        <f t="shared" si="721"/>
        <v>0</v>
      </c>
      <c r="AO220" s="9"/>
      <c r="AP220" s="30">
        <f t="shared" si="722"/>
        <v>0</v>
      </c>
      <c r="AQ220" s="9"/>
      <c r="AR220" s="30">
        <f t="shared" si="733"/>
        <v>0</v>
      </c>
      <c r="AS220" s="9"/>
      <c r="AT220" s="30">
        <f t="shared" si="723"/>
        <v>0</v>
      </c>
      <c r="AU220" s="9"/>
      <c r="AV220" s="30">
        <f t="shared" si="724"/>
        <v>0</v>
      </c>
      <c r="AW220" s="9"/>
      <c r="AX220" s="30">
        <f t="shared" si="725"/>
        <v>0</v>
      </c>
      <c r="AY220" s="9"/>
      <c r="AZ220" s="30">
        <f t="shared" si="726"/>
        <v>0</v>
      </c>
      <c r="BA220" s="10">
        <f>190*288*0.02+82*0.02</f>
        <v>1096.0400000000002</v>
      </c>
      <c r="BB220" s="31">
        <v>17536</v>
      </c>
      <c r="BC220" s="15">
        <f t="shared" si="741"/>
        <v>17536</v>
      </c>
      <c r="BD220" s="9">
        <f t="shared" si="742"/>
        <v>0</v>
      </c>
      <c r="BE220" s="28">
        <f t="shared" si="743"/>
        <v>1095.98</v>
      </c>
      <c r="BF220" s="8">
        <f t="shared" si="744"/>
        <v>6.0000000000172804E-2</v>
      </c>
      <c r="BG220" s="29">
        <f t="shared" si="734"/>
        <v>17535.68</v>
      </c>
      <c r="BH220" s="13">
        <f t="shared" si="745"/>
        <v>0.31999999999970896</v>
      </c>
      <c r="BI220" s="2" t="str">
        <f t="shared" si="735"/>
        <v>erreur de calcul</v>
      </c>
      <c r="BJ220" s="2"/>
    </row>
    <row r="221" spans="1:62">
      <c r="A221" s="1" t="s">
        <v>12</v>
      </c>
      <c r="B221" s="3" t="s">
        <v>23</v>
      </c>
      <c r="C221" s="3" t="s">
        <v>45</v>
      </c>
      <c r="D221" s="4">
        <v>1789</v>
      </c>
      <c r="E221" s="3" t="s">
        <v>49</v>
      </c>
      <c r="F221" s="3" t="s">
        <v>49</v>
      </c>
      <c r="G221" s="31">
        <v>24</v>
      </c>
      <c r="H221" s="31" t="s">
        <v>294</v>
      </c>
      <c r="I221" s="5">
        <v>360</v>
      </c>
      <c r="J221" s="5"/>
      <c r="K221" s="6"/>
      <c r="L221" s="11">
        <f t="shared" si="736"/>
        <v>360</v>
      </c>
      <c r="M221" s="7" t="s">
        <v>14</v>
      </c>
      <c r="N221" s="31"/>
      <c r="O221" s="9"/>
      <c r="P221" s="9" t="str">
        <f t="shared" si="750"/>
        <v/>
      </c>
      <c r="Q221" s="9"/>
      <c r="R221" s="30">
        <f t="shared" ref="R221" si="812">Q221*$L221</f>
        <v>0</v>
      </c>
      <c r="S221" s="9"/>
      <c r="T221" s="30">
        <f t="shared" ref="T221" si="813">S221*$L221</f>
        <v>0</v>
      </c>
      <c r="U221" s="9"/>
      <c r="V221" s="30">
        <f t="shared" si="715"/>
        <v>0</v>
      </c>
      <c r="W221" s="9"/>
      <c r="X221" s="30">
        <f t="shared" si="728"/>
        <v>0</v>
      </c>
      <c r="Y221" s="9"/>
      <c r="Z221" s="30">
        <f t="shared" si="716"/>
        <v>0</v>
      </c>
      <c r="AA221" s="9"/>
      <c r="AB221" s="30">
        <f t="shared" si="717"/>
        <v>0</v>
      </c>
      <c r="AC221" s="9"/>
      <c r="AD221" s="30">
        <f t="shared" si="729"/>
        <v>0</v>
      </c>
      <c r="AE221" s="9"/>
      <c r="AF221" s="30">
        <f t="shared" si="718"/>
        <v>0</v>
      </c>
      <c r="AG221" s="9"/>
      <c r="AH221" s="30">
        <f t="shared" si="730"/>
        <v>0</v>
      </c>
      <c r="AI221" s="9">
        <f>371073/100</f>
        <v>3710.73</v>
      </c>
      <c r="AJ221" s="30">
        <v>1335863</v>
      </c>
      <c r="AK221" s="9"/>
      <c r="AL221" s="30">
        <f t="shared" ref="AL221" si="814">AK221*$L221</f>
        <v>0</v>
      </c>
      <c r="AM221" s="9"/>
      <c r="AN221" s="30">
        <f t="shared" si="721"/>
        <v>0</v>
      </c>
      <c r="AO221" s="9"/>
      <c r="AP221" s="30">
        <f t="shared" si="722"/>
        <v>0</v>
      </c>
      <c r="AQ221" s="9"/>
      <c r="AR221" s="30">
        <f t="shared" si="733"/>
        <v>0</v>
      </c>
      <c r="AS221" s="9"/>
      <c r="AT221" s="30">
        <f t="shared" si="723"/>
        <v>0</v>
      </c>
      <c r="AU221" s="9"/>
      <c r="AV221" s="30">
        <f t="shared" si="724"/>
        <v>0</v>
      </c>
      <c r="AW221" s="9"/>
      <c r="AX221" s="30">
        <f t="shared" si="725"/>
        <v>0</v>
      </c>
      <c r="AY221" s="9"/>
      <c r="AZ221" s="30">
        <f t="shared" si="726"/>
        <v>0</v>
      </c>
      <c r="BA221" s="10">
        <f>371073/100</f>
        <v>3710.73</v>
      </c>
      <c r="BB221" s="31">
        <v>1335863</v>
      </c>
      <c r="BC221" s="15">
        <f t="shared" si="741"/>
        <v>1335863</v>
      </c>
      <c r="BD221" s="9">
        <f t="shared" si="742"/>
        <v>0</v>
      </c>
      <c r="BE221" s="28">
        <f t="shared" si="743"/>
        <v>3710.73</v>
      </c>
      <c r="BF221" s="8">
        <f t="shared" si="744"/>
        <v>0</v>
      </c>
      <c r="BG221" s="29">
        <f t="shared" si="734"/>
        <v>1335862.8</v>
      </c>
      <c r="BH221" s="13">
        <f t="shared" si="745"/>
        <v>0.19999999995343387</v>
      </c>
      <c r="BI221" s="2" t="str">
        <f t="shared" si="735"/>
        <v>erreur de calcul</v>
      </c>
      <c r="BJ221" s="2"/>
    </row>
    <row r="222" spans="1:62">
      <c r="A222" s="1" t="s">
        <v>12</v>
      </c>
      <c r="B222" s="3" t="s">
        <v>23</v>
      </c>
      <c r="C222" s="3" t="s">
        <v>45</v>
      </c>
      <c r="D222" s="4">
        <v>1789</v>
      </c>
      <c r="E222" s="3" t="s">
        <v>49</v>
      </c>
      <c r="F222" s="3" t="s">
        <v>49</v>
      </c>
      <c r="G222" s="31">
        <v>24</v>
      </c>
      <c r="H222" s="31" t="s">
        <v>295</v>
      </c>
      <c r="I222" s="5">
        <v>3</v>
      </c>
      <c r="J222" s="5"/>
      <c r="K222" s="6"/>
      <c r="L222" s="11">
        <f t="shared" si="736"/>
        <v>3</v>
      </c>
      <c r="M222" s="7" t="s">
        <v>15</v>
      </c>
      <c r="N222" s="31"/>
      <c r="O222" s="9"/>
      <c r="P222" s="9" t="str">
        <f t="shared" si="750"/>
        <v/>
      </c>
      <c r="Q222" s="9"/>
      <c r="R222" s="30">
        <f t="shared" ref="R222" si="815">Q222*$L222</f>
        <v>0</v>
      </c>
      <c r="S222" s="9"/>
      <c r="T222" s="30">
        <f t="shared" ref="T222" si="816">S222*$L222</f>
        <v>0</v>
      </c>
      <c r="U222" s="9"/>
      <c r="V222" s="30">
        <f t="shared" si="715"/>
        <v>0</v>
      </c>
      <c r="W222" s="9"/>
      <c r="X222" s="30">
        <f t="shared" si="728"/>
        <v>0</v>
      </c>
      <c r="Y222" s="9"/>
      <c r="Z222" s="30">
        <f t="shared" si="716"/>
        <v>0</v>
      </c>
      <c r="AA222" s="9"/>
      <c r="AB222" s="30">
        <f t="shared" si="717"/>
        <v>0</v>
      </c>
      <c r="AC222" s="9"/>
      <c r="AD222" s="30">
        <f t="shared" si="729"/>
        <v>0</v>
      </c>
      <c r="AE222" s="9"/>
      <c r="AF222" s="30">
        <f t="shared" si="718"/>
        <v>0</v>
      </c>
      <c r="AG222" s="9"/>
      <c r="AH222" s="30">
        <f t="shared" si="730"/>
        <v>0</v>
      </c>
      <c r="AI222" s="9">
        <v>19281</v>
      </c>
      <c r="AJ222" s="30">
        <v>57843</v>
      </c>
      <c r="AK222" s="9"/>
      <c r="AL222" s="30">
        <f t="shared" ref="AL222" si="817">AK222*$L222</f>
        <v>0</v>
      </c>
      <c r="AM222" s="9"/>
      <c r="AN222" s="30">
        <f t="shared" si="721"/>
        <v>0</v>
      </c>
      <c r="AO222" s="9"/>
      <c r="AP222" s="30">
        <f t="shared" si="722"/>
        <v>0</v>
      </c>
      <c r="AQ222" s="9"/>
      <c r="AR222" s="30">
        <f t="shared" si="733"/>
        <v>0</v>
      </c>
      <c r="AS222" s="9"/>
      <c r="AT222" s="30">
        <f t="shared" si="723"/>
        <v>0</v>
      </c>
      <c r="AU222" s="9"/>
      <c r="AV222" s="30">
        <f t="shared" si="724"/>
        <v>0</v>
      </c>
      <c r="AW222" s="9"/>
      <c r="AX222" s="30">
        <f t="shared" si="725"/>
        <v>0</v>
      </c>
      <c r="AY222" s="9"/>
      <c r="AZ222" s="30">
        <f t="shared" si="726"/>
        <v>0</v>
      </c>
      <c r="BA222" s="10">
        <v>19281</v>
      </c>
      <c r="BB222" s="31">
        <v>57843</v>
      </c>
      <c r="BC222" s="15">
        <f t="shared" si="741"/>
        <v>57843</v>
      </c>
      <c r="BD222" s="9">
        <f t="shared" si="742"/>
        <v>0</v>
      </c>
      <c r="BE222" s="28">
        <f t="shared" si="743"/>
        <v>19281</v>
      </c>
      <c r="BF222" s="8">
        <f t="shared" si="744"/>
        <v>0</v>
      </c>
      <c r="BG222" s="29">
        <f t="shared" si="734"/>
        <v>57843</v>
      </c>
      <c r="BH222" s="13">
        <f t="shared" si="745"/>
        <v>0</v>
      </c>
      <c r="BI222" s="2" t="str">
        <f t="shared" si="735"/>
        <v/>
      </c>
      <c r="BJ222" s="2"/>
    </row>
    <row r="223" spans="1:62">
      <c r="A223" s="1" t="s">
        <v>12</v>
      </c>
      <c r="B223" s="3" t="s">
        <v>23</v>
      </c>
      <c r="C223" s="3" t="s">
        <v>45</v>
      </c>
      <c r="D223" s="4">
        <v>1789</v>
      </c>
      <c r="E223" s="3" t="s">
        <v>49</v>
      </c>
      <c r="F223" s="3" t="s">
        <v>49</v>
      </c>
      <c r="G223" s="31">
        <v>24</v>
      </c>
      <c r="H223" s="31" t="s">
        <v>296</v>
      </c>
      <c r="I223" s="5">
        <v>112</v>
      </c>
      <c r="J223" s="5"/>
      <c r="K223" s="6"/>
      <c r="L223" s="11">
        <f t="shared" si="736"/>
        <v>112</v>
      </c>
      <c r="M223" s="7" t="s">
        <v>14</v>
      </c>
      <c r="N223" s="31"/>
      <c r="O223" s="9"/>
      <c r="P223" s="9" t="str">
        <f t="shared" si="750"/>
        <v/>
      </c>
      <c r="Q223" s="9">
        <f>99503/100</f>
        <v>995.03</v>
      </c>
      <c r="R223" s="30">
        <v>111443</v>
      </c>
      <c r="S223" s="9"/>
      <c r="T223" s="30">
        <f t="shared" ref="T223" si="818">S223*$L223</f>
        <v>0</v>
      </c>
      <c r="U223" s="9">
        <f>8445/100</f>
        <v>84.45</v>
      </c>
      <c r="V223" s="30">
        <v>9458</v>
      </c>
      <c r="W223" s="9">
        <f>2517/100</f>
        <v>25.17</v>
      </c>
      <c r="X223" s="30">
        <v>2819</v>
      </c>
      <c r="Y223" s="9">
        <f>4729/100</f>
        <v>47.29</v>
      </c>
      <c r="Z223" s="30">
        <v>5296</v>
      </c>
      <c r="AA223" s="9">
        <f>198115/100</f>
        <v>1981.15</v>
      </c>
      <c r="AB223" s="30">
        <v>221889</v>
      </c>
      <c r="AC223" s="9"/>
      <c r="AD223" s="30">
        <f t="shared" si="729"/>
        <v>0</v>
      </c>
      <c r="AE223" s="9"/>
      <c r="AF223" s="30">
        <f t="shared" si="718"/>
        <v>0</v>
      </c>
      <c r="AG223" s="9">
        <f>67420/100</f>
        <v>674.2</v>
      </c>
      <c r="AH223" s="30">
        <v>75510</v>
      </c>
      <c r="AI223" s="9">
        <f>415806/100</f>
        <v>4158.0600000000004</v>
      </c>
      <c r="AJ223" s="30">
        <v>465703</v>
      </c>
      <c r="AK223" s="9"/>
      <c r="AL223" s="30">
        <f t="shared" ref="AL223" si="819">AK223*$L223</f>
        <v>0</v>
      </c>
      <c r="AM223" s="9">
        <f>324/100</f>
        <v>3.24</v>
      </c>
      <c r="AN223" s="30">
        <v>363</v>
      </c>
      <c r="AO223" s="9"/>
      <c r="AP223" s="30">
        <f t="shared" si="722"/>
        <v>0</v>
      </c>
      <c r="AQ223" s="9"/>
      <c r="AR223" s="30">
        <f t="shared" si="733"/>
        <v>0</v>
      </c>
      <c r="AS223" s="9"/>
      <c r="AT223" s="30">
        <f t="shared" si="723"/>
        <v>0</v>
      </c>
      <c r="AU223" s="9"/>
      <c r="AV223" s="30">
        <f t="shared" si="724"/>
        <v>0</v>
      </c>
      <c r="AW223" s="9"/>
      <c r="AX223" s="30">
        <f t="shared" si="725"/>
        <v>0</v>
      </c>
      <c r="AY223" s="9"/>
      <c r="AZ223" s="30">
        <f t="shared" si="726"/>
        <v>0</v>
      </c>
      <c r="BA223" s="10">
        <f>796859/100</f>
        <v>7968.59</v>
      </c>
      <c r="BB223" s="31">
        <v>892481</v>
      </c>
      <c r="BC223" s="15">
        <f t="shared" si="741"/>
        <v>892481</v>
      </c>
      <c r="BD223" s="9">
        <f t="shared" si="742"/>
        <v>0</v>
      </c>
      <c r="BE223" s="28">
        <f t="shared" si="743"/>
        <v>7968.59</v>
      </c>
      <c r="BF223" s="8">
        <f t="shared" si="744"/>
        <v>0</v>
      </c>
      <c r="BG223" s="29">
        <f t="shared" si="734"/>
        <v>892482.08000000007</v>
      </c>
      <c r="BH223" s="13">
        <f t="shared" si="745"/>
        <v>-1.0800000000745058</v>
      </c>
      <c r="BI223" s="2" t="str">
        <f t="shared" si="735"/>
        <v>erreur de calcul</v>
      </c>
      <c r="BJ223" s="2"/>
    </row>
    <row r="224" spans="1:62">
      <c r="A224" s="1" t="s">
        <v>12</v>
      </c>
      <c r="B224" s="3" t="s">
        <v>23</v>
      </c>
      <c r="C224" s="3" t="s">
        <v>45</v>
      </c>
      <c r="D224" s="4">
        <v>1789</v>
      </c>
      <c r="E224" s="3" t="s">
        <v>49</v>
      </c>
      <c r="F224" s="3" t="s">
        <v>49</v>
      </c>
      <c r="G224" s="31">
        <v>24</v>
      </c>
      <c r="H224" s="31" t="s">
        <v>297</v>
      </c>
      <c r="I224" s="5">
        <v>50</v>
      </c>
      <c r="J224" s="5"/>
      <c r="K224" s="6"/>
      <c r="L224" s="11">
        <f t="shared" si="736"/>
        <v>50</v>
      </c>
      <c r="M224" s="7" t="s">
        <v>14</v>
      </c>
      <c r="N224" s="31"/>
      <c r="O224" s="9"/>
      <c r="P224" s="9" t="str">
        <f t="shared" si="750"/>
        <v/>
      </c>
      <c r="Q224" s="9"/>
      <c r="R224" s="30">
        <f t="shared" ref="R224" si="820">Q224*$L224</f>
        <v>0</v>
      </c>
      <c r="S224" s="9"/>
      <c r="T224" s="30">
        <f t="shared" ref="T224" si="821">S224*$L224</f>
        <v>0</v>
      </c>
      <c r="U224" s="9"/>
      <c r="V224" s="30">
        <f t="shared" si="715"/>
        <v>0</v>
      </c>
      <c r="W224" s="9"/>
      <c r="X224" s="30">
        <f t="shared" si="728"/>
        <v>0</v>
      </c>
      <c r="Y224" s="9"/>
      <c r="Z224" s="30">
        <f t="shared" si="716"/>
        <v>0</v>
      </c>
      <c r="AA224" s="9"/>
      <c r="AB224" s="30">
        <f t="shared" si="717"/>
        <v>0</v>
      </c>
      <c r="AC224" s="9"/>
      <c r="AD224" s="30">
        <f t="shared" si="729"/>
        <v>0</v>
      </c>
      <c r="AE224" s="9"/>
      <c r="AF224" s="30">
        <f t="shared" si="718"/>
        <v>0</v>
      </c>
      <c r="AG224" s="9">
        <f>208461/100</f>
        <v>2084.61</v>
      </c>
      <c r="AH224" s="30">
        <v>104230</v>
      </c>
      <c r="AI224" s="9">
        <f>757624/100</f>
        <v>7576.24</v>
      </c>
      <c r="AJ224" s="30">
        <v>378812</v>
      </c>
      <c r="AK224" s="9"/>
      <c r="AL224" s="30">
        <f t="shared" ref="AL224" si="822">AK224*$L224</f>
        <v>0</v>
      </c>
      <c r="AM224" s="9"/>
      <c r="AN224" s="30">
        <f t="shared" si="721"/>
        <v>0</v>
      </c>
      <c r="AO224" s="9"/>
      <c r="AP224" s="30">
        <f t="shared" si="722"/>
        <v>0</v>
      </c>
      <c r="AQ224" s="9"/>
      <c r="AR224" s="30">
        <f t="shared" si="733"/>
        <v>0</v>
      </c>
      <c r="AS224" s="9"/>
      <c r="AT224" s="30">
        <f t="shared" si="723"/>
        <v>0</v>
      </c>
      <c r="AU224" s="9"/>
      <c r="AV224" s="30">
        <f t="shared" si="724"/>
        <v>0</v>
      </c>
      <c r="AW224" s="9"/>
      <c r="AX224" s="30">
        <f t="shared" si="725"/>
        <v>0</v>
      </c>
      <c r="AY224" s="9"/>
      <c r="AZ224" s="30">
        <f t="shared" si="726"/>
        <v>0</v>
      </c>
      <c r="BA224" s="10">
        <f>966085/100</f>
        <v>9660.85</v>
      </c>
      <c r="BB224" s="31">
        <v>483042</v>
      </c>
      <c r="BC224" s="15">
        <f t="shared" si="741"/>
        <v>483042</v>
      </c>
      <c r="BD224" s="9">
        <f t="shared" si="742"/>
        <v>0</v>
      </c>
      <c r="BE224" s="28">
        <f t="shared" si="743"/>
        <v>9660.85</v>
      </c>
      <c r="BF224" s="8">
        <f t="shared" si="744"/>
        <v>0</v>
      </c>
      <c r="BG224" s="29">
        <f t="shared" si="734"/>
        <v>483042.5</v>
      </c>
      <c r="BH224" s="13">
        <f t="shared" si="745"/>
        <v>-0.5</v>
      </c>
      <c r="BI224" s="2" t="str">
        <f t="shared" si="735"/>
        <v>erreur de calcul</v>
      </c>
      <c r="BJ224" s="2"/>
    </row>
    <row r="225" spans="1:62">
      <c r="A225" s="1" t="s">
        <v>12</v>
      </c>
      <c r="B225" s="3" t="s">
        <v>23</v>
      </c>
      <c r="C225" s="3" t="s">
        <v>45</v>
      </c>
      <c r="D225" s="4">
        <v>1789</v>
      </c>
      <c r="E225" s="3" t="s">
        <v>49</v>
      </c>
      <c r="F225" s="3" t="s">
        <v>49</v>
      </c>
      <c r="G225" s="31">
        <v>24</v>
      </c>
      <c r="H225" s="31" t="s">
        <v>298</v>
      </c>
      <c r="I225" s="5">
        <v>340</v>
      </c>
      <c r="J225" s="5"/>
      <c r="K225" s="6"/>
      <c r="L225" s="11">
        <f t="shared" si="736"/>
        <v>340</v>
      </c>
      <c r="M225" s="7" t="s">
        <v>14</v>
      </c>
      <c r="N225" s="31"/>
      <c r="O225" s="9"/>
      <c r="P225" s="9" t="str">
        <f t="shared" si="750"/>
        <v/>
      </c>
      <c r="Q225" s="9"/>
      <c r="R225" s="30">
        <f t="shared" ref="R225" si="823">Q225*$L225</f>
        <v>0</v>
      </c>
      <c r="S225" s="9"/>
      <c r="T225" s="30">
        <f t="shared" ref="T225" si="824">S225*$L225</f>
        <v>0</v>
      </c>
      <c r="U225" s="9"/>
      <c r="V225" s="30">
        <f t="shared" si="715"/>
        <v>0</v>
      </c>
      <c r="W225" s="9"/>
      <c r="X225" s="30">
        <f t="shared" si="728"/>
        <v>0</v>
      </c>
      <c r="Y225" s="9"/>
      <c r="Z225" s="30">
        <f t="shared" si="716"/>
        <v>0</v>
      </c>
      <c r="AA225" s="9"/>
      <c r="AB225" s="30">
        <f t="shared" si="717"/>
        <v>0</v>
      </c>
      <c r="AC225" s="9">
        <f>339883/100</f>
        <v>3398.83</v>
      </c>
      <c r="AD225" s="30">
        <v>1155602</v>
      </c>
      <c r="AE225" s="9"/>
      <c r="AF225" s="30">
        <f t="shared" si="718"/>
        <v>0</v>
      </c>
      <c r="AG225" s="9"/>
      <c r="AH225" s="30">
        <f t="shared" si="730"/>
        <v>0</v>
      </c>
      <c r="AI225" s="9"/>
      <c r="AJ225" s="30">
        <f t="shared" ref="AJ225" si="825">AI225*$L225</f>
        <v>0</v>
      </c>
      <c r="AK225" s="9"/>
      <c r="AL225" s="30">
        <f t="shared" ref="AL225" si="826">AK225*$L225</f>
        <v>0</v>
      </c>
      <c r="AM225" s="9"/>
      <c r="AN225" s="30">
        <f t="shared" si="721"/>
        <v>0</v>
      </c>
      <c r="AO225" s="9"/>
      <c r="AP225" s="30">
        <f t="shared" si="722"/>
        <v>0</v>
      </c>
      <c r="AQ225" s="9"/>
      <c r="AR225" s="30">
        <f t="shared" si="733"/>
        <v>0</v>
      </c>
      <c r="AS225" s="9"/>
      <c r="AT225" s="30">
        <f t="shared" si="723"/>
        <v>0</v>
      </c>
      <c r="AU225" s="9"/>
      <c r="AV225" s="30">
        <f t="shared" si="724"/>
        <v>0</v>
      </c>
      <c r="AW225" s="9"/>
      <c r="AX225" s="30">
        <f t="shared" si="725"/>
        <v>0</v>
      </c>
      <c r="AY225" s="9"/>
      <c r="AZ225" s="30">
        <f t="shared" si="726"/>
        <v>0</v>
      </c>
      <c r="BA225" s="10">
        <f>339883/100</f>
        <v>3398.83</v>
      </c>
      <c r="BB225" s="31">
        <v>1155602</v>
      </c>
      <c r="BC225" s="15">
        <f t="shared" si="741"/>
        <v>1155602</v>
      </c>
      <c r="BD225" s="9">
        <f t="shared" si="742"/>
        <v>0</v>
      </c>
      <c r="BE225" s="28">
        <f t="shared" si="743"/>
        <v>3398.83</v>
      </c>
      <c r="BF225" s="8">
        <f t="shared" si="744"/>
        <v>0</v>
      </c>
      <c r="BG225" s="29">
        <f t="shared" si="734"/>
        <v>1155602.2</v>
      </c>
      <c r="BH225" s="13">
        <f t="shared" si="745"/>
        <v>-0.19999999995343387</v>
      </c>
      <c r="BI225" s="2" t="str">
        <f t="shared" si="735"/>
        <v>erreur de calcul</v>
      </c>
      <c r="BJ225" s="2"/>
    </row>
    <row r="226" spans="1:62">
      <c r="A226" s="1" t="s">
        <v>12</v>
      </c>
      <c r="B226" s="3" t="s">
        <v>23</v>
      </c>
      <c r="C226" s="3" t="s">
        <v>45</v>
      </c>
      <c r="D226" s="4">
        <v>1789</v>
      </c>
      <c r="E226" s="3" t="s">
        <v>49</v>
      </c>
      <c r="F226" s="3" t="s">
        <v>49</v>
      </c>
      <c r="G226" s="31">
        <v>24</v>
      </c>
      <c r="H226" s="31" t="s">
        <v>299</v>
      </c>
      <c r="I226" s="5">
        <v>235</v>
      </c>
      <c r="J226" s="5"/>
      <c r="K226" s="6"/>
      <c r="L226" s="11">
        <f t="shared" si="736"/>
        <v>235</v>
      </c>
      <c r="M226" s="7" t="s">
        <v>14</v>
      </c>
      <c r="N226" s="31"/>
      <c r="O226" s="9"/>
      <c r="P226" s="9" t="str">
        <f t="shared" si="750"/>
        <v/>
      </c>
      <c r="Q226" s="9">
        <f>34642/100</f>
        <v>346.42</v>
      </c>
      <c r="R226" s="30">
        <v>81409</v>
      </c>
      <c r="S226" s="9"/>
      <c r="T226" s="30">
        <f t="shared" ref="T226" si="827">S226*$L226</f>
        <v>0</v>
      </c>
      <c r="U226" s="9"/>
      <c r="V226" s="30">
        <f t="shared" si="715"/>
        <v>0</v>
      </c>
      <c r="W226" s="9"/>
      <c r="X226" s="30">
        <f t="shared" si="728"/>
        <v>0</v>
      </c>
      <c r="Y226" s="9"/>
      <c r="Z226" s="30">
        <f t="shared" si="716"/>
        <v>0</v>
      </c>
      <c r="AA226" s="9"/>
      <c r="AB226" s="30">
        <f t="shared" si="717"/>
        <v>0</v>
      </c>
      <c r="AC226" s="9"/>
      <c r="AD226" s="30">
        <f t="shared" si="729"/>
        <v>0</v>
      </c>
      <c r="AE226" s="9"/>
      <c r="AF226" s="30">
        <f t="shared" si="718"/>
        <v>0</v>
      </c>
      <c r="AG226" s="9"/>
      <c r="AH226" s="30">
        <f t="shared" si="730"/>
        <v>0</v>
      </c>
      <c r="AI226" s="9"/>
      <c r="AJ226" s="30">
        <f t="shared" ref="AJ226" si="828">AI226*$L226</f>
        <v>0</v>
      </c>
      <c r="AK226" s="9"/>
      <c r="AL226" s="30">
        <f t="shared" ref="AL226" si="829">AK226*$L226</f>
        <v>0</v>
      </c>
      <c r="AM226" s="9"/>
      <c r="AN226" s="30">
        <f t="shared" si="721"/>
        <v>0</v>
      </c>
      <c r="AO226" s="9"/>
      <c r="AP226" s="30">
        <f t="shared" si="722"/>
        <v>0</v>
      </c>
      <c r="AQ226" s="9"/>
      <c r="AR226" s="30">
        <f t="shared" si="733"/>
        <v>0</v>
      </c>
      <c r="AS226" s="9"/>
      <c r="AT226" s="30">
        <f t="shared" si="723"/>
        <v>0</v>
      </c>
      <c r="AU226" s="9"/>
      <c r="AV226" s="30">
        <f t="shared" si="724"/>
        <v>0</v>
      </c>
      <c r="AW226" s="9"/>
      <c r="AX226" s="30">
        <f t="shared" si="725"/>
        <v>0</v>
      </c>
      <c r="AY226" s="9"/>
      <c r="AZ226" s="30">
        <f t="shared" si="726"/>
        <v>0</v>
      </c>
      <c r="BA226" s="10">
        <f>34642/100</f>
        <v>346.42</v>
      </c>
      <c r="BB226" s="31">
        <v>81409</v>
      </c>
      <c r="BC226" s="15">
        <f t="shared" si="741"/>
        <v>81409</v>
      </c>
      <c r="BD226" s="9">
        <f t="shared" si="742"/>
        <v>0</v>
      </c>
      <c r="BE226" s="28">
        <f t="shared" si="743"/>
        <v>346.42</v>
      </c>
      <c r="BF226" s="8">
        <f t="shared" si="744"/>
        <v>0</v>
      </c>
      <c r="BG226" s="29">
        <f t="shared" si="734"/>
        <v>81408.7</v>
      </c>
      <c r="BH226" s="13">
        <f t="shared" si="745"/>
        <v>0.30000000000291038</v>
      </c>
      <c r="BI226" s="2" t="str">
        <f t="shared" si="735"/>
        <v>erreur de calcul</v>
      </c>
      <c r="BJ226" s="2"/>
    </row>
    <row r="227" spans="1:62">
      <c r="A227" s="1" t="s">
        <v>12</v>
      </c>
      <c r="B227" s="3" t="s">
        <v>23</v>
      </c>
      <c r="C227" s="3" t="s">
        <v>45</v>
      </c>
      <c r="D227" s="4">
        <v>1789</v>
      </c>
      <c r="E227" s="3" t="s">
        <v>49</v>
      </c>
      <c r="F227" s="3" t="s">
        <v>49</v>
      </c>
      <c r="G227" s="31">
        <v>24</v>
      </c>
      <c r="H227" s="31" t="s">
        <v>300</v>
      </c>
      <c r="I227" s="5">
        <v>71</v>
      </c>
      <c r="J227" s="5"/>
      <c r="K227" s="6"/>
      <c r="L227" s="11">
        <f t="shared" si="736"/>
        <v>71</v>
      </c>
      <c r="M227" s="7" t="s">
        <v>14</v>
      </c>
      <c r="N227" s="31"/>
      <c r="O227" s="9"/>
      <c r="P227" s="9" t="str">
        <f t="shared" si="750"/>
        <v/>
      </c>
      <c r="Q227" s="9"/>
      <c r="R227" s="30">
        <f t="shared" ref="R227" si="830">Q227*$L227</f>
        <v>0</v>
      </c>
      <c r="S227" s="9"/>
      <c r="T227" s="30">
        <f t="shared" ref="T227" si="831">S227*$L227</f>
        <v>0</v>
      </c>
      <c r="U227" s="9">
        <f>12674/100</f>
        <v>126.74</v>
      </c>
      <c r="V227" s="30">
        <v>8998</v>
      </c>
      <c r="W227" s="9"/>
      <c r="X227" s="30">
        <f t="shared" si="728"/>
        <v>0</v>
      </c>
      <c r="Y227" s="9"/>
      <c r="Z227" s="30">
        <f t="shared" si="716"/>
        <v>0</v>
      </c>
      <c r="AA227" s="9"/>
      <c r="AB227" s="30">
        <f t="shared" si="717"/>
        <v>0</v>
      </c>
      <c r="AC227" s="9"/>
      <c r="AD227" s="30">
        <f t="shared" si="729"/>
        <v>0</v>
      </c>
      <c r="AE227" s="9">
        <f>4283/100</f>
        <v>42.83</v>
      </c>
      <c r="AF227" s="30">
        <v>3041</v>
      </c>
      <c r="AG227" s="9">
        <f>2978140/100</f>
        <v>29781.4</v>
      </c>
      <c r="AH227" s="30">
        <v>2114479</v>
      </c>
      <c r="AI227" s="9">
        <f>4119032/100</f>
        <v>41190.32</v>
      </c>
      <c r="AJ227" s="30">
        <v>2924512</v>
      </c>
      <c r="AK227" s="9"/>
      <c r="AL227" s="30">
        <f t="shared" ref="AL227" si="832">AK227*$L227</f>
        <v>0</v>
      </c>
      <c r="AM227" s="9"/>
      <c r="AN227" s="30">
        <f t="shared" si="721"/>
        <v>0</v>
      </c>
      <c r="AO227" s="9"/>
      <c r="AP227" s="30">
        <f t="shared" si="722"/>
        <v>0</v>
      </c>
      <c r="AQ227" s="9"/>
      <c r="AR227" s="30">
        <f t="shared" si="733"/>
        <v>0</v>
      </c>
      <c r="AS227" s="9"/>
      <c r="AT227" s="30">
        <f t="shared" si="723"/>
        <v>0</v>
      </c>
      <c r="AU227" s="9"/>
      <c r="AV227" s="30">
        <f t="shared" si="724"/>
        <v>0</v>
      </c>
      <c r="AW227" s="9"/>
      <c r="AX227" s="30">
        <f t="shared" si="725"/>
        <v>0</v>
      </c>
      <c r="AY227" s="9"/>
      <c r="AZ227" s="30">
        <f t="shared" si="726"/>
        <v>0</v>
      </c>
      <c r="BA227" s="10">
        <f>7114129/100</f>
        <v>71141.289999999994</v>
      </c>
      <c r="BB227" s="31">
        <v>5051030</v>
      </c>
      <c r="BC227" s="15">
        <f t="shared" si="741"/>
        <v>5051030</v>
      </c>
      <c r="BD227" s="9">
        <f t="shared" si="742"/>
        <v>0</v>
      </c>
      <c r="BE227" s="28">
        <f t="shared" si="743"/>
        <v>71141.290000000008</v>
      </c>
      <c r="BF227" s="8">
        <f t="shared" si="744"/>
        <v>0</v>
      </c>
      <c r="BG227" s="29">
        <f t="shared" si="734"/>
        <v>5051031.5900000008</v>
      </c>
      <c r="BH227" s="13">
        <f t="shared" si="745"/>
        <v>-1.590000000782311</v>
      </c>
      <c r="BI227" s="2" t="str">
        <f t="shared" si="735"/>
        <v>erreur de calcul</v>
      </c>
      <c r="BJ227" s="2"/>
    </row>
    <row r="228" spans="1:62">
      <c r="A228" s="1" t="s">
        <v>12</v>
      </c>
      <c r="B228" s="3" t="s">
        <v>23</v>
      </c>
      <c r="C228" s="3" t="s">
        <v>45</v>
      </c>
      <c r="D228" s="4">
        <v>1789</v>
      </c>
      <c r="E228" s="3" t="s">
        <v>49</v>
      </c>
      <c r="F228" s="3" t="s">
        <v>49</v>
      </c>
      <c r="G228" s="31">
        <v>24</v>
      </c>
      <c r="H228" s="31" t="s">
        <v>301</v>
      </c>
      <c r="I228" s="5">
        <v>45</v>
      </c>
      <c r="J228" s="5"/>
      <c r="K228" s="6"/>
      <c r="L228" s="11">
        <f t="shared" si="736"/>
        <v>45</v>
      </c>
      <c r="M228" s="7" t="s">
        <v>14</v>
      </c>
      <c r="N228" s="31"/>
      <c r="O228" s="9"/>
      <c r="P228" s="9" t="str">
        <f t="shared" si="750"/>
        <v/>
      </c>
      <c r="Q228" s="9"/>
      <c r="R228" s="30">
        <f t="shared" ref="R228" si="833">Q228*$L228</f>
        <v>0</v>
      </c>
      <c r="S228" s="9"/>
      <c r="T228" s="30">
        <f t="shared" ref="T228" si="834">S228*$L228</f>
        <v>0</v>
      </c>
      <c r="U228" s="9"/>
      <c r="V228" s="30">
        <f t="shared" si="715"/>
        <v>0</v>
      </c>
      <c r="W228" s="9"/>
      <c r="X228" s="30">
        <f t="shared" si="728"/>
        <v>0</v>
      </c>
      <c r="Y228" s="9"/>
      <c r="Z228" s="30">
        <f t="shared" si="716"/>
        <v>0</v>
      </c>
      <c r="AA228" s="9"/>
      <c r="AB228" s="30">
        <f t="shared" si="717"/>
        <v>0</v>
      </c>
      <c r="AC228" s="9"/>
      <c r="AD228" s="30">
        <f t="shared" si="729"/>
        <v>0</v>
      </c>
      <c r="AE228" s="9"/>
      <c r="AF228" s="30">
        <f t="shared" si="718"/>
        <v>0</v>
      </c>
      <c r="AG228" s="9"/>
      <c r="AH228" s="30">
        <f t="shared" si="730"/>
        <v>0</v>
      </c>
      <c r="AI228" s="9"/>
      <c r="AJ228" s="30">
        <f t="shared" ref="AJ228" si="835">AI228*$L228</f>
        <v>0</v>
      </c>
      <c r="AK228" s="9"/>
      <c r="AL228" s="30">
        <f t="shared" ref="AL228" si="836">AK228*$L228</f>
        <v>0</v>
      </c>
      <c r="AM228" s="9">
        <f>971/100</f>
        <v>9.7100000000000009</v>
      </c>
      <c r="AN228" s="30">
        <v>437</v>
      </c>
      <c r="AO228" s="9"/>
      <c r="AP228" s="30">
        <f t="shared" si="722"/>
        <v>0</v>
      </c>
      <c r="AQ228" s="9"/>
      <c r="AR228" s="30">
        <f t="shared" si="733"/>
        <v>0</v>
      </c>
      <c r="AS228" s="9"/>
      <c r="AT228" s="30">
        <f t="shared" si="723"/>
        <v>0</v>
      </c>
      <c r="AU228" s="9"/>
      <c r="AV228" s="30">
        <f t="shared" si="724"/>
        <v>0</v>
      </c>
      <c r="AW228" s="9"/>
      <c r="AX228" s="30">
        <f t="shared" si="725"/>
        <v>0</v>
      </c>
      <c r="AY228" s="9"/>
      <c r="AZ228" s="30">
        <f t="shared" si="726"/>
        <v>0</v>
      </c>
      <c r="BA228" s="10">
        <f>971/100</f>
        <v>9.7100000000000009</v>
      </c>
      <c r="BB228" s="31">
        <v>437</v>
      </c>
      <c r="BC228" s="15">
        <f t="shared" si="741"/>
        <v>437</v>
      </c>
      <c r="BD228" s="9">
        <f t="shared" si="742"/>
        <v>0</v>
      </c>
      <c r="BE228" s="28">
        <f t="shared" si="743"/>
        <v>9.7100000000000009</v>
      </c>
      <c r="BF228" s="8">
        <f t="shared" si="744"/>
        <v>0</v>
      </c>
      <c r="BG228" s="29">
        <f t="shared" si="734"/>
        <v>436.95000000000005</v>
      </c>
      <c r="BH228" s="13">
        <f t="shared" si="745"/>
        <v>4.9999999999954525E-2</v>
      </c>
      <c r="BI228" s="2" t="str">
        <f t="shared" si="735"/>
        <v>erreur de calcul</v>
      </c>
      <c r="BJ228" s="2"/>
    </row>
    <row r="229" spans="1:62">
      <c r="A229" s="1" t="s">
        <v>12</v>
      </c>
      <c r="B229" s="3" t="s">
        <v>23</v>
      </c>
      <c r="C229" s="3" t="s">
        <v>45</v>
      </c>
      <c r="D229" s="4">
        <v>1789</v>
      </c>
      <c r="E229" s="3" t="s">
        <v>49</v>
      </c>
      <c r="F229" s="3" t="s">
        <v>49</v>
      </c>
      <c r="G229" s="31">
        <v>24</v>
      </c>
      <c r="H229" s="31" t="s">
        <v>302</v>
      </c>
      <c r="I229" s="5">
        <v>240</v>
      </c>
      <c r="J229" s="5"/>
      <c r="K229" s="6"/>
      <c r="L229" s="11">
        <f t="shared" si="736"/>
        <v>240</v>
      </c>
      <c r="M229" s="7" t="s">
        <v>14</v>
      </c>
      <c r="N229" s="31"/>
      <c r="O229" s="9"/>
      <c r="P229" s="9" t="str">
        <f t="shared" si="750"/>
        <v/>
      </c>
      <c r="Q229" s="9"/>
      <c r="R229" s="30">
        <f t="shared" ref="R229" si="837">Q229*$L229</f>
        <v>0</v>
      </c>
      <c r="S229" s="9"/>
      <c r="T229" s="30">
        <f t="shared" ref="T229" si="838">S229*$L229</f>
        <v>0</v>
      </c>
      <c r="U229" s="9"/>
      <c r="V229" s="30">
        <f t="shared" si="715"/>
        <v>0</v>
      </c>
      <c r="W229" s="9"/>
      <c r="X229" s="30">
        <f t="shared" si="728"/>
        <v>0</v>
      </c>
      <c r="Y229" s="9"/>
      <c r="Z229" s="30">
        <f t="shared" si="716"/>
        <v>0</v>
      </c>
      <c r="AA229" s="9"/>
      <c r="AB229" s="30">
        <f t="shared" si="717"/>
        <v>0</v>
      </c>
      <c r="AC229" s="9"/>
      <c r="AD229" s="30">
        <f t="shared" si="729"/>
        <v>0</v>
      </c>
      <c r="AE229" s="9"/>
      <c r="AF229" s="30">
        <f t="shared" si="718"/>
        <v>0</v>
      </c>
      <c r="AG229" s="9"/>
      <c r="AH229" s="30">
        <f t="shared" si="730"/>
        <v>0</v>
      </c>
      <c r="AI229" s="9"/>
      <c r="AJ229" s="30">
        <f t="shared" ref="AJ229" si="839">AI229*$L229</f>
        <v>0</v>
      </c>
      <c r="AK229" s="9">
        <f>2173/100</f>
        <v>21.73</v>
      </c>
      <c r="AL229" s="30">
        <v>5215</v>
      </c>
      <c r="AM229" s="9"/>
      <c r="AN229" s="30">
        <f t="shared" si="721"/>
        <v>0</v>
      </c>
      <c r="AO229" s="9"/>
      <c r="AP229" s="30">
        <f t="shared" si="722"/>
        <v>0</v>
      </c>
      <c r="AQ229" s="9"/>
      <c r="AR229" s="30">
        <f t="shared" si="733"/>
        <v>0</v>
      </c>
      <c r="AS229" s="9"/>
      <c r="AT229" s="30">
        <f t="shared" si="723"/>
        <v>0</v>
      </c>
      <c r="AU229" s="9"/>
      <c r="AV229" s="30">
        <f t="shared" si="724"/>
        <v>0</v>
      </c>
      <c r="AW229" s="9"/>
      <c r="AX229" s="30">
        <f t="shared" si="725"/>
        <v>0</v>
      </c>
      <c r="AY229" s="9"/>
      <c r="AZ229" s="30">
        <f t="shared" si="726"/>
        <v>0</v>
      </c>
      <c r="BA229" s="10">
        <f>2173/100</f>
        <v>21.73</v>
      </c>
      <c r="BB229" s="31">
        <v>5215</v>
      </c>
      <c r="BC229" s="15">
        <f t="shared" si="741"/>
        <v>5215</v>
      </c>
      <c r="BD229" s="9">
        <f t="shared" si="742"/>
        <v>0</v>
      </c>
      <c r="BE229" s="28">
        <f t="shared" si="743"/>
        <v>21.73</v>
      </c>
      <c r="BF229" s="8">
        <f t="shared" si="744"/>
        <v>0</v>
      </c>
      <c r="BG229" s="29">
        <f t="shared" si="734"/>
        <v>5215.2</v>
      </c>
      <c r="BH229" s="13">
        <f t="shared" si="745"/>
        <v>-0.1999999999998181</v>
      </c>
      <c r="BI229" s="2" t="str">
        <f t="shared" si="735"/>
        <v>erreur de calcul</v>
      </c>
      <c r="BJ229" s="2"/>
    </row>
    <row r="230" spans="1:62">
      <c r="A230" s="1" t="s">
        <v>12</v>
      </c>
      <c r="B230" s="3" t="s">
        <v>23</v>
      </c>
      <c r="C230" s="3" t="s">
        <v>45</v>
      </c>
      <c r="D230" s="4">
        <v>1789</v>
      </c>
      <c r="E230" s="3" t="s">
        <v>49</v>
      </c>
      <c r="F230" s="3" t="s">
        <v>49</v>
      </c>
      <c r="G230" s="31">
        <v>24</v>
      </c>
      <c r="H230" s="31" t="s">
        <v>303</v>
      </c>
      <c r="I230" s="5"/>
      <c r="J230" s="5"/>
      <c r="K230" s="6"/>
      <c r="L230" s="11">
        <f t="shared" si="736"/>
        <v>0</v>
      </c>
      <c r="M230" s="7"/>
      <c r="N230" s="31"/>
      <c r="O230" s="9"/>
      <c r="P230" s="9" t="str">
        <f t="shared" si="750"/>
        <v/>
      </c>
      <c r="Q230" s="9"/>
      <c r="R230" s="30">
        <f t="shared" ref="R230" si="840">Q230*$L230</f>
        <v>0</v>
      </c>
      <c r="S230" s="9"/>
      <c r="T230" s="30">
        <f t="shared" ref="T230" si="841">S230*$L230</f>
        <v>0</v>
      </c>
      <c r="U230" s="9"/>
      <c r="V230" s="30">
        <v>195</v>
      </c>
      <c r="W230" s="9"/>
      <c r="X230" s="30">
        <v>640</v>
      </c>
      <c r="Y230" s="9"/>
      <c r="Z230" s="30">
        <f t="shared" si="716"/>
        <v>0</v>
      </c>
      <c r="AA230" s="9"/>
      <c r="AB230" s="30">
        <f t="shared" si="717"/>
        <v>0</v>
      </c>
      <c r="AC230" s="9"/>
      <c r="AD230" s="30">
        <f t="shared" si="729"/>
        <v>0</v>
      </c>
      <c r="AE230" s="9"/>
      <c r="AF230" s="30">
        <f t="shared" si="718"/>
        <v>0</v>
      </c>
      <c r="AG230" s="9"/>
      <c r="AH230" s="30">
        <f t="shared" si="730"/>
        <v>0</v>
      </c>
      <c r="AI230" s="9"/>
      <c r="AJ230" s="30">
        <v>121</v>
      </c>
      <c r="AK230" s="9"/>
      <c r="AL230" s="30">
        <v>412</v>
      </c>
      <c r="AM230" s="9"/>
      <c r="AN230" s="30">
        <f t="shared" si="721"/>
        <v>0</v>
      </c>
      <c r="AO230" s="9"/>
      <c r="AP230" s="30">
        <f t="shared" si="722"/>
        <v>0</v>
      </c>
      <c r="AQ230" s="9"/>
      <c r="AR230" s="30">
        <f t="shared" si="733"/>
        <v>0</v>
      </c>
      <c r="AS230" s="9"/>
      <c r="AT230" s="30">
        <f t="shared" si="723"/>
        <v>0</v>
      </c>
      <c r="AU230" s="9"/>
      <c r="AV230" s="30">
        <f t="shared" si="724"/>
        <v>0</v>
      </c>
      <c r="AW230" s="9"/>
      <c r="AX230" s="30">
        <f t="shared" si="725"/>
        <v>0</v>
      </c>
      <c r="AY230" s="9"/>
      <c r="AZ230" s="30">
        <f t="shared" si="726"/>
        <v>0</v>
      </c>
      <c r="BA230" s="10"/>
      <c r="BB230" s="31">
        <v>1368</v>
      </c>
      <c r="BC230" s="15">
        <f t="shared" si="741"/>
        <v>1368</v>
      </c>
      <c r="BD230" s="9">
        <f t="shared" si="742"/>
        <v>0</v>
      </c>
      <c r="BE230" s="28">
        <f t="shared" si="743"/>
        <v>0</v>
      </c>
      <c r="BF230" s="8">
        <f t="shared" si="744"/>
        <v>0</v>
      </c>
      <c r="BG230" s="29">
        <f t="shared" si="734"/>
        <v>0</v>
      </c>
      <c r="BH230" s="13">
        <f t="shared" si="745"/>
        <v>1368</v>
      </c>
      <c r="BI230" s="2" t="str">
        <f t="shared" si="735"/>
        <v>pas de prix, ni de quantité</v>
      </c>
      <c r="BJ230" s="2"/>
    </row>
    <row r="231" spans="1:62">
      <c r="A231" s="1" t="s">
        <v>12</v>
      </c>
      <c r="B231" s="3" t="s">
        <v>23</v>
      </c>
      <c r="C231" s="3" t="s">
        <v>45</v>
      </c>
      <c r="D231" s="4">
        <v>1789</v>
      </c>
      <c r="E231" s="3" t="s">
        <v>49</v>
      </c>
      <c r="F231" s="3" t="s">
        <v>49</v>
      </c>
      <c r="G231" s="31">
        <v>24</v>
      </c>
      <c r="H231" s="31" t="s">
        <v>304</v>
      </c>
      <c r="I231" s="5"/>
      <c r="J231" s="5">
        <v>3</v>
      </c>
      <c r="K231" s="6"/>
      <c r="L231" s="11">
        <f t="shared" si="736"/>
        <v>0.15</v>
      </c>
      <c r="M231" s="7" t="s">
        <v>322</v>
      </c>
      <c r="N231" s="31"/>
      <c r="O231" s="9"/>
      <c r="P231" s="9" t="str">
        <f t="shared" si="750"/>
        <v/>
      </c>
      <c r="Q231" s="9"/>
      <c r="R231" s="30">
        <f t="shared" ref="R231" si="842">Q231*$L231</f>
        <v>0</v>
      </c>
      <c r="S231" s="9"/>
      <c r="T231" s="30">
        <f t="shared" ref="T231" si="843">S231*$L231</f>
        <v>0</v>
      </c>
      <c r="U231" s="9"/>
      <c r="V231" s="30">
        <f t="shared" si="715"/>
        <v>0</v>
      </c>
      <c r="W231" s="9">
        <v>32065</v>
      </c>
      <c r="X231" s="30">
        <v>4810</v>
      </c>
      <c r="Y231" s="9">
        <v>20652</v>
      </c>
      <c r="Z231" s="30">
        <v>3098</v>
      </c>
      <c r="AA231" s="9"/>
      <c r="AB231" s="30">
        <f t="shared" si="717"/>
        <v>0</v>
      </c>
      <c r="AC231" s="9"/>
      <c r="AD231" s="30">
        <f t="shared" si="729"/>
        <v>0</v>
      </c>
      <c r="AE231" s="9"/>
      <c r="AF231" s="30">
        <f t="shared" si="718"/>
        <v>0</v>
      </c>
      <c r="AG231" s="9"/>
      <c r="AH231" s="30">
        <f t="shared" si="730"/>
        <v>0</v>
      </c>
      <c r="AI231" s="9"/>
      <c r="AJ231" s="30">
        <f t="shared" ref="AJ231" si="844">AI231*$L231</f>
        <v>0</v>
      </c>
      <c r="AK231" s="9"/>
      <c r="AL231" s="30">
        <f t="shared" ref="AL231" si="845">AK231*$L231</f>
        <v>0</v>
      </c>
      <c r="AM231" s="9"/>
      <c r="AN231" s="30">
        <f t="shared" si="721"/>
        <v>0</v>
      </c>
      <c r="AO231" s="9"/>
      <c r="AP231" s="30">
        <f t="shared" si="722"/>
        <v>0</v>
      </c>
      <c r="AQ231" s="9"/>
      <c r="AR231" s="30">
        <f t="shared" si="733"/>
        <v>0</v>
      </c>
      <c r="AS231" s="9"/>
      <c r="AT231" s="30">
        <f t="shared" si="723"/>
        <v>0</v>
      </c>
      <c r="AU231" s="9"/>
      <c r="AV231" s="30">
        <f t="shared" si="724"/>
        <v>0</v>
      </c>
      <c r="AW231" s="9"/>
      <c r="AX231" s="30">
        <f t="shared" si="725"/>
        <v>0</v>
      </c>
      <c r="AY231" s="9"/>
      <c r="AZ231" s="30">
        <f t="shared" si="726"/>
        <v>0</v>
      </c>
      <c r="BA231" s="10">
        <v>52717</v>
      </c>
      <c r="BB231" s="31">
        <v>7908</v>
      </c>
      <c r="BC231" s="15">
        <f t="shared" si="741"/>
        <v>7908</v>
      </c>
      <c r="BD231" s="9">
        <f t="shared" si="742"/>
        <v>0</v>
      </c>
      <c r="BE231" s="28">
        <f t="shared" si="743"/>
        <v>52717</v>
      </c>
      <c r="BF231" s="8">
        <f t="shared" si="744"/>
        <v>0</v>
      </c>
      <c r="BG231" s="29">
        <f t="shared" si="734"/>
        <v>7907.5499999999993</v>
      </c>
      <c r="BH231" s="13">
        <f t="shared" si="745"/>
        <v>0.4500000000007276</v>
      </c>
      <c r="BI231" s="2" t="str">
        <f t="shared" si="735"/>
        <v>erreur de calcul</v>
      </c>
      <c r="BJ231" s="2"/>
    </row>
    <row r="232" spans="1:62">
      <c r="A232" s="1" t="s">
        <v>12</v>
      </c>
      <c r="B232" s="3" t="s">
        <v>23</v>
      </c>
      <c r="C232" s="3" t="s">
        <v>45</v>
      </c>
      <c r="D232" s="4">
        <v>1789</v>
      </c>
      <c r="E232" s="3" t="s">
        <v>49</v>
      </c>
      <c r="F232" s="3" t="s">
        <v>49</v>
      </c>
      <c r="G232" s="31">
        <v>24</v>
      </c>
      <c r="H232" s="31" t="s">
        <v>305</v>
      </c>
      <c r="I232" s="5">
        <v>15</v>
      </c>
      <c r="J232" s="5"/>
      <c r="K232" s="6"/>
      <c r="L232" s="11">
        <f t="shared" si="736"/>
        <v>15</v>
      </c>
      <c r="M232" s="7" t="s">
        <v>270</v>
      </c>
      <c r="N232" s="31"/>
      <c r="O232" s="9"/>
      <c r="P232" s="9" t="str">
        <f t="shared" si="750"/>
        <v/>
      </c>
      <c r="Q232" s="9"/>
      <c r="R232" s="30">
        <f t="shared" ref="R232" si="846">Q232*$L232</f>
        <v>0</v>
      </c>
      <c r="S232" s="9"/>
      <c r="T232" s="30">
        <f t="shared" ref="T232" si="847">S232*$L232</f>
        <v>0</v>
      </c>
      <c r="U232" s="9">
        <v>1479</v>
      </c>
      <c r="V232" s="30">
        <v>22185</v>
      </c>
      <c r="W232" s="9">
        <v>1500</v>
      </c>
      <c r="X232" s="30">
        <v>22500</v>
      </c>
      <c r="Y232" s="9">
        <v>300</v>
      </c>
      <c r="Z232" s="30">
        <v>4500</v>
      </c>
      <c r="AA232" s="9">
        <v>168</v>
      </c>
      <c r="AB232" s="30">
        <v>2520</v>
      </c>
      <c r="AC232" s="9">
        <v>14570</v>
      </c>
      <c r="AD232" s="30">
        <v>218550</v>
      </c>
      <c r="AE232" s="9"/>
      <c r="AF232" s="30">
        <f t="shared" si="718"/>
        <v>0</v>
      </c>
      <c r="AG232" s="9">
        <v>5748</v>
      </c>
      <c r="AH232" s="30">
        <v>86220</v>
      </c>
      <c r="AI232" s="9"/>
      <c r="AJ232" s="30">
        <f t="shared" ref="AJ232" si="848">AI232*$L232</f>
        <v>0</v>
      </c>
      <c r="AK232" s="9">
        <v>710</v>
      </c>
      <c r="AL232" s="30">
        <v>10650</v>
      </c>
      <c r="AM232" s="9">
        <v>600</v>
      </c>
      <c r="AN232" s="30">
        <v>9000</v>
      </c>
      <c r="AO232" s="9"/>
      <c r="AP232" s="30">
        <f t="shared" si="722"/>
        <v>0</v>
      </c>
      <c r="AQ232" s="9">
        <v>1200</v>
      </c>
      <c r="AR232" s="30">
        <v>18000</v>
      </c>
      <c r="AS232" s="9"/>
      <c r="AT232" s="30">
        <f t="shared" si="723"/>
        <v>0</v>
      </c>
      <c r="AU232" s="9"/>
      <c r="AV232" s="30">
        <f t="shared" si="724"/>
        <v>0</v>
      </c>
      <c r="AW232" s="9"/>
      <c r="AX232" s="30">
        <f t="shared" si="725"/>
        <v>0</v>
      </c>
      <c r="AY232" s="9"/>
      <c r="AZ232" s="30">
        <f t="shared" si="726"/>
        <v>0</v>
      </c>
      <c r="BA232" s="10">
        <v>26275</v>
      </c>
      <c r="BB232" s="31">
        <v>394125</v>
      </c>
      <c r="BC232" s="15">
        <f t="shared" si="741"/>
        <v>394125</v>
      </c>
      <c r="BD232" s="9">
        <f t="shared" si="742"/>
        <v>0</v>
      </c>
      <c r="BE232" s="28">
        <f t="shared" si="743"/>
        <v>26275</v>
      </c>
      <c r="BF232" s="8">
        <f t="shared" si="744"/>
        <v>0</v>
      </c>
      <c r="BG232" s="29">
        <f t="shared" si="734"/>
        <v>394125</v>
      </c>
      <c r="BH232" s="13">
        <f t="shared" si="745"/>
        <v>0</v>
      </c>
      <c r="BI232" s="2" t="str">
        <f t="shared" si="735"/>
        <v/>
      </c>
      <c r="BJ232" s="2"/>
    </row>
    <row r="233" spans="1:62">
      <c r="A233" s="1" t="s">
        <v>12</v>
      </c>
      <c r="B233" s="3" t="s">
        <v>23</v>
      </c>
      <c r="C233" s="3" t="s">
        <v>45</v>
      </c>
      <c r="D233" s="4">
        <v>1789</v>
      </c>
      <c r="E233" s="3" t="s">
        <v>49</v>
      </c>
      <c r="F233" s="3" t="s">
        <v>49</v>
      </c>
      <c r="G233" s="31">
        <v>24</v>
      </c>
      <c r="H233" s="31" t="s">
        <v>306</v>
      </c>
      <c r="I233" s="5">
        <v>9</v>
      </c>
      <c r="J233" s="5"/>
      <c r="K233" s="6"/>
      <c r="L233" s="11">
        <f t="shared" si="736"/>
        <v>9</v>
      </c>
      <c r="M233" s="7" t="s">
        <v>14</v>
      </c>
      <c r="N233" s="31"/>
      <c r="O233" s="9"/>
      <c r="P233" s="9" t="str">
        <f t="shared" si="750"/>
        <v/>
      </c>
      <c r="Q233" s="9"/>
      <c r="R233" s="30">
        <f t="shared" ref="R233" si="849">Q233*$L233</f>
        <v>0</v>
      </c>
      <c r="S233" s="9"/>
      <c r="T233" s="30">
        <f t="shared" ref="T233" si="850">S233*$L233</f>
        <v>0</v>
      </c>
      <c r="U233" s="9"/>
      <c r="V233" s="30">
        <f t="shared" si="715"/>
        <v>0</v>
      </c>
      <c r="W233" s="9">
        <f>145504/100</f>
        <v>1455.04</v>
      </c>
      <c r="X233" s="30">
        <v>13095</v>
      </c>
      <c r="Y233" s="9">
        <f>58504/100</f>
        <v>585.04</v>
      </c>
      <c r="Z233" s="30">
        <v>5265</v>
      </c>
      <c r="AA233" s="9">
        <f>17027/100</f>
        <v>170.27</v>
      </c>
      <c r="AB233" s="30">
        <v>1532</v>
      </c>
      <c r="AC233" s="9">
        <f>84396/100</f>
        <v>843.96</v>
      </c>
      <c r="AD233" s="30">
        <v>7596</v>
      </c>
      <c r="AE233" s="9"/>
      <c r="AF233" s="30">
        <f t="shared" si="718"/>
        <v>0</v>
      </c>
      <c r="AG233" s="9">
        <f>14807/100</f>
        <v>148.07</v>
      </c>
      <c r="AH233" s="30">
        <v>1333</v>
      </c>
      <c r="AI233" s="9"/>
      <c r="AJ233" s="30">
        <f t="shared" ref="AJ233" si="851">AI233*$L233</f>
        <v>0</v>
      </c>
      <c r="AK233" s="9"/>
      <c r="AL233" s="30">
        <f t="shared" ref="AL233" si="852">AK233*$L233</f>
        <v>0</v>
      </c>
      <c r="AM233" s="9"/>
      <c r="AN233" s="30">
        <f t="shared" si="721"/>
        <v>0</v>
      </c>
      <c r="AO233" s="9"/>
      <c r="AP233" s="30">
        <f t="shared" si="722"/>
        <v>0</v>
      </c>
      <c r="AQ233" s="9"/>
      <c r="AR233" s="30">
        <f t="shared" si="733"/>
        <v>0</v>
      </c>
      <c r="AS233" s="9"/>
      <c r="AT233" s="30">
        <f t="shared" si="723"/>
        <v>0</v>
      </c>
      <c r="AU233" s="9"/>
      <c r="AV233" s="30">
        <f t="shared" si="724"/>
        <v>0</v>
      </c>
      <c r="AW233" s="9"/>
      <c r="AX233" s="30">
        <f t="shared" si="725"/>
        <v>0</v>
      </c>
      <c r="AY233" s="9"/>
      <c r="AZ233" s="30">
        <f t="shared" si="726"/>
        <v>0</v>
      </c>
      <c r="BA233" s="10">
        <f>320238/100</f>
        <v>3202.38</v>
      </c>
      <c r="BB233" s="31">
        <v>28821</v>
      </c>
      <c r="BC233" s="15">
        <f t="shared" si="741"/>
        <v>28821</v>
      </c>
      <c r="BD233" s="9">
        <f t="shared" si="742"/>
        <v>0</v>
      </c>
      <c r="BE233" s="28">
        <f t="shared" si="743"/>
        <v>3202.38</v>
      </c>
      <c r="BF233" s="8">
        <f t="shared" si="744"/>
        <v>0</v>
      </c>
      <c r="BG233" s="29">
        <f t="shared" si="734"/>
        <v>28821.420000000002</v>
      </c>
      <c r="BH233" s="13">
        <f t="shared" si="745"/>
        <v>-0.42000000000189175</v>
      </c>
      <c r="BI233" s="2" t="str">
        <f t="shared" si="735"/>
        <v>erreur de calcul</v>
      </c>
      <c r="BJ233" s="2"/>
    </row>
    <row r="234" spans="1:62">
      <c r="A234" s="1" t="s">
        <v>12</v>
      </c>
      <c r="B234" s="3" t="s">
        <v>23</v>
      </c>
      <c r="C234" s="3" t="s">
        <v>45</v>
      </c>
      <c r="D234" s="4">
        <v>1789</v>
      </c>
      <c r="E234" s="3" t="s">
        <v>49</v>
      </c>
      <c r="F234" s="3" t="s">
        <v>49</v>
      </c>
      <c r="G234" s="31">
        <v>24</v>
      </c>
      <c r="H234" s="31" t="s">
        <v>307</v>
      </c>
      <c r="I234" s="5"/>
      <c r="J234" s="5">
        <v>4</v>
      </c>
      <c r="K234" s="6"/>
      <c r="L234" s="11">
        <f t="shared" si="736"/>
        <v>0.2</v>
      </c>
      <c r="M234" s="7" t="s">
        <v>322</v>
      </c>
      <c r="N234" s="31"/>
      <c r="O234" s="9"/>
      <c r="P234" s="9" t="str">
        <f t="shared" si="750"/>
        <v/>
      </c>
      <c r="Q234" s="9"/>
      <c r="R234" s="30">
        <f t="shared" ref="R234" si="853">Q234*$L234</f>
        <v>0</v>
      </c>
      <c r="S234" s="9"/>
      <c r="T234" s="30">
        <f t="shared" ref="T234" si="854">S234*$L234</f>
        <v>0</v>
      </c>
      <c r="U234" s="9"/>
      <c r="V234" s="30">
        <f t="shared" si="715"/>
        <v>0</v>
      </c>
      <c r="W234" s="9">
        <v>5800</v>
      </c>
      <c r="X234" s="30">
        <v>1160</v>
      </c>
      <c r="Y234" s="9"/>
      <c r="Z234" s="30">
        <f t="shared" si="716"/>
        <v>0</v>
      </c>
      <c r="AA234" s="9"/>
      <c r="AB234" s="30">
        <f t="shared" si="717"/>
        <v>0</v>
      </c>
      <c r="AC234" s="9"/>
      <c r="AD234" s="30">
        <f t="shared" si="729"/>
        <v>0</v>
      </c>
      <c r="AE234" s="9"/>
      <c r="AF234" s="30">
        <f t="shared" si="718"/>
        <v>0</v>
      </c>
      <c r="AG234" s="9"/>
      <c r="AH234" s="30">
        <f t="shared" si="730"/>
        <v>0</v>
      </c>
      <c r="AI234" s="9"/>
      <c r="AJ234" s="30">
        <f t="shared" ref="AJ234" si="855">AI234*$L234</f>
        <v>0</v>
      </c>
      <c r="AK234" s="9"/>
      <c r="AL234" s="30">
        <f t="shared" ref="AL234" si="856">AK234*$L234</f>
        <v>0</v>
      </c>
      <c r="AM234" s="9"/>
      <c r="AN234" s="30">
        <f t="shared" si="721"/>
        <v>0</v>
      </c>
      <c r="AO234" s="9"/>
      <c r="AP234" s="30">
        <f t="shared" si="722"/>
        <v>0</v>
      </c>
      <c r="AQ234" s="9"/>
      <c r="AR234" s="30">
        <f t="shared" si="733"/>
        <v>0</v>
      </c>
      <c r="AS234" s="9"/>
      <c r="AT234" s="30">
        <f t="shared" si="723"/>
        <v>0</v>
      </c>
      <c r="AU234" s="9"/>
      <c r="AV234" s="30">
        <f t="shared" si="724"/>
        <v>0</v>
      </c>
      <c r="AW234" s="9"/>
      <c r="AX234" s="30">
        <f t="shared" si="725"/>
        <v>0</v>
      </c>
      <c r="AY234" s="9"/>
      <c r="AZ234" s="30">
        <f t="shared" si="726"/>
        <v>0</v>
      </c>
      <c r="BA234" s="10">
        <v>5800</v>
      </c>
      <c r="BB234" s="31">
        <v>1160</v>
      </c>
      <c r="BC234" s="15">
        <f t="shared" si="741"/>
        <v>1160</v>
      </c>
      <c r="BD234" s="9">
        <f t="shared" si="742"/>
        <v>0</v>
      </c>
      <c r="BE234" s="28">
        <f t="shared" si="743"/>
        <v>5800</v>
      </c>
      <c r="BF234" s="8">
        <f t="shared" si="744"/>
        <v>0</v>
      </c>
      <c r="BG234" s="29">
        <f t="shared" si="734"/>
        <v>1160</v>
      </c>
      <c r="BH234" s="13">
        <f t="shared" si="745"/>
        <v>0</v>
      </c>
      <c r="BI234" s="2" t="str">
        <f t="shared" si="735"/>
        <v/>
      </c>
      <c r="BJ234" s="2"/>
    </row>
    <row r="235" spans="1:62">
      <c r="A235" s="1" t="s">
        <v>12</v>
      </c>
      <c r="B235" s="3" t="s">
        <v>23</v>
      </c>
      <c r="C235" s="3" t="s">
        <v>45</v>
      </c>
      <c r="D235" s="4">
        <v>1789</v>
      </c>
      <c r="E235" s="3" t="s">
        <v>49</v>
      </c>
      <c r="F235" s="3" t="s">
        <v>49</v>
      </c>
      <c r="G235" s="31">
        <v>24</v>
      </c>
      <c r="H235" s="31" t="s">
        <v>308</v>
      </c>
      <c r="I235" s="5">
        <v>10</v>
      </c>
      <c r="J235" s="5"/>
      <c r="K235" s="6"/>
      <c r="L235" s="11">
        <f t="shared" si="736"/>
        <v>10</v>
      </c>
      <c r="M235" s="7" t="s">
        <v>14</v>
      </c>
      <c r="N235" s="31"/>
      <c r="O235" s="9"/>
      <c r="P235" s="9" t="str">
        <f t="shared" si="750"/>
        <v/>
      </c>
      <c r="Q235" s="9"/>
      <c r="R235" s="30">
        <f t="shared" ref="R235" si="857">Q235*$L235</f>
        <v>0</v>
      </c>
      <c r="S235" s="9"/>
      <c r="T235" s="30">
        <f t="shared" ref="T235" si="858">S235*$L235</f>
        <v>0</v>
      </c>
      <c r="U235" s="9"/>
      <c r="V235" s="30">
        <f t="shared" si="715"/>
        <v>0</v>
      </c>
      <c r="W235" s="9"/>
      <c r="X235" s="30">
        <f t="shared" si="728"/>
        <v>0</v>
      </c>
      <c r="Y235" s="9"/>
      <c r="Z235" s="30">
        <f t="shared" si="716"/>
        <v>0</v>
      </c>
      <c r="AA235" s="9"/>
      <c r="AB235" s="30">
        <f t="shared" si="717"/>
        <v>0</v>
      </c>
      <c r="AC235" s="9"/>
      <c r="AD235" s="30">
        <f t="shared" si="729"/>
        <v>0</v>
      </c>
      <c r="AE235" s="9"/>
      <c r="AF235" s="30">
        <f t="shared" si="718"/>
        <v>0</v>
      </c>
      <c r="AG235" s="9"/>
      <c r="AH235" s="30">
        <f t="shared" si="730"/>
        <v>0</v>
      </c>
      <c r="AI235" s="9"/>
      <c r="AJ235" s="30">
        <f t="shared" ref="AJ235" si="859">AI235*$L235</f>
        <v>0</v>
      </c>
      <c r="AK235" s="9">
        <f>13584/100</f>
        <v>135.84</v>
      </c>
      <c r="AL235" s="30">
        <v>1358</v>
      </c>
      <c r="AM235" s="9"/>
      <c r="AN235" s="30">
        <f t="shared" si="721"/>
        <v>0</v>
      </c>
      <c r="AO235" s="9"/>
      <c r="AP235" s="30">
        <f t="shared" si="722"/>
        <v>0</v>
      </c>
      <c r="AQ235" s="9"/>
      <c r="AR235" s="30">
        <f t="shared" si="733"/>
        <v>0</v>
      </c>
      <c r="AS235" s="9"/>
      <c r="AT235" s="30">
        <f t="shared" si="723"/>
        <v>0</v>
      </c>
      <c r="AU235" s="9"/>
      <c r="AV235" s="30">
        <f t="shared" si="724"/>
        <v>0</v>
      </c>
      <c r="AW235" s="9"/>
      <c r="AX235" s="30">
        <f t="shared" si="725"/>
        <v>0</v>
      </c>
      <c r="AY235" s="9"/>
      <c r="AZ235" s="30">
        <f t="shared" si="726"/>
        <v>0</v>
      </c>
      <c r="BA235" s="10">
        <f>13584/100</f>
        <v>135.84</v>
      </c>
      <c r="BB235" s="31">
        <v>1358</v>
      </c>
      <c r="BC235" s="15">
        <f t="shared" si="741"/>
        <v>1358</v>
      </c>
      <c r="BD235" s="9">
        <f t="shared" si="742"/>
        <v>0</v>
      </c>
      <c r="BE235" s="28">
        <f t="shared" si="743"/>
        <v>135.84</v>
      </c>
      <c r="BF235" s="8">
        <f t="shared" si="744"/>
        <v>0</v>
      </c>
      <c r="BG235" s="29">
        <f t="shared" si="734"/>
        <v>1358.4</v>
      </c>
      <c r="BH235" s="13">
        <f t="shared" si="745"/>
        <v>-0.40000000000009095</v>
      </c>
      <c r="BI235" s="2" t="str">
        <f t="shared" si="735"/>
        <v>erreur de calcul</v>
      </c>
      <c r="BJ235" s="2"/>
    </row>
    <row r="236" spans="1:62">
      <c r="A236" s="1" t="s">
        <v>12</v>
      </c>
      <c r="B236" s="3" t="s">
        <v>23</v>
      </c>
      <c r="C236" s="3" t="s">
        <v>45</v>
      </c>
      <c r="D236" s="4">
        <v>1789</v>
      </c>
      <c r="E236" s="3" t="s">
        <v>49</v>
      </c>
      <c r="F236" s="3" t="s">
        <v>49</v>
      </c>
      <c r="G236" s="31">
        <v>24</v>
      </c>
      <c r="H236" s="31" t="s">
        <v>309</v>
      </c>
      <c r="I236" s="5">
        <v>12</v>
      </c>
      <c r="J236" s="5"/>
      <c r="K236" s="6"/>
      <c r="L236" s="11">
        <f t="shared" si="736"/>
        <v>12</v>
      </c>
      <c r="M236" s="7" t="s">
        <v>14</v>
      </c>
      <c r="N236" s="31"/>
      <c r="O236" s="9"/>
      <c r="P236" s="9" t="str">
        <f t="shared" si="750"/>
        <v/>
      </c>
      <c r="Q236" s="9">
        <f>8690/100</f>
        <v>86.9</v>
      </c>
      <c r="R236" s="30">
        <v>1043</v>
      </c>
      <c r="S236" s="9"/>
      <c r="T236" s="30">
        <f t="shared" ref="T236" si="860">S236*$L236</f>
        <v>0</v>
      </c>
      <c r="U236" s="9"/>
      <c r="V236" s="30">
        <f t="shared" si="715"/>
        <v>0</v>
      </c>
      <c r="W236" s="9"/>
      <c r="X236" s="30">
        <f t="shared" si="728"/>
        <v>0</v>
      </c>
      <c r="Y236" s="9">
        <f>10000/100</f>
        <v>100</v>
      </c>
      <c r="Z236" s="30">
        <v>1200</v>
      </c>
      <c r="AA236" s="9"/>
      <c r="AB236" s="30">
        <f t="shared" si="717"/>
        <v>0</v>
      </c>
      <c r="AC236" s="9"/>
      <c r="AD236" s="30">
        <f t="shared" si="729"/>
        <v>0</v>
      </c>
      <c r="AE236" s="9"/>
      <c r="AF236" s="30">
        <f t="shared" si="718"/>
        <v>0</v>
      </c>
      <c r="AG236" s="9"/>
      <c r="AH236" s="30">
        <f t="shared" si="730"/>
        <v>0</v>
      </c>
      <c r="AI236" s="9"/>
      <c r="AJ236" s="30">
        <f t="shared" ref="AJ236" si="861">AI236*$L236</f>
        <v>0</v>
      </c>
      <c r="AK236" s="9"/>
      <c r="AL236" s="30">
        <f t="shared" ref="AL236" si="862">AK236*$L236</f>
        <v>0</v>
      </c>
      <c r="AM236" s="9"/>
      <c r="AN236" s="30">
        <f t="shared" si="721"/>
        <v>0</v>
      </c>
      <c r="AO236" s="9"/>
      <c r="AP236" s="30">
        <f t="shared" si="722"/>
        <v>0</v>
      </c>
      <c r="AQ236" s="9"/>
      <c r="AR236" s="30">
        <f t="shared" si="733"/>
        <v>0</v>
      </c>
      <c r="AS236" s="9"/>
      <c r="AT236" s="30">
        <f t="shared" si="723"/>
        <v>0</v>
      </c>
      <c r="AU236" s="9"/>
      <c r="AV236" s="30">
        <f t="shared" si="724"/>
        <v>0</v>
      </c>
      <c r="AW236" s="9"/>
      <c r="AX236" s="30">
        <f t="shared" si="725"/>
        <v>0</v>
      </c>
      <c r="AY236" s="9"/>
      <c r="AZ236" s="30">
        <f t="shared" si="726"/>
        <v>0</v>
      </c>
      <c r="BA236" s="10">
        <f>18690/100</f>
        <v>186.9</v>
      </c>
      <c r="BB236" s="31">
        <v>2243</v>
      </c>
      <c r="BC236" s="15">
        <f t="shared" si="741"/>
        <v>2243</v>
      </c>
      <c r="BD236" s="9">
        <f t="shared" si="742"/>
        <v>0</v>
      </c>
      <c r="BE236" s="28">
        <f t="shared" si="743"/>
        <v>186.9</v>
      </c>
      <c r="BF236" s="8">
        <f t="shared" si="744"/>
        <v>0</v>
      </c>
      <c r="BG236" s="29">
        <f t="shared" si="734"/>
        <v>2242.8000000000002</v>
      </c>
      <c r="BH236" s="13">
        <f t="shared" si="745"/>
        <v>0.1999999999998181</v>
      </c>
      <c r="BI236" s="2" t="str">
        <f t="shared" si="735"/>
        <v>erreur de calcul</v>
      </c>
      <c r="BJ236" s="2"/>
    </row>
    <row r="237" spans="1:62">
      <c r="A237" s="1" t="s">
        <v>12</v>
      </c>
      <c r="B237" s="3" t="s">
        <v>23</v>
      </c>
      <c r="C237" s="3" t="s">
        <v>45</v>
      </c>
      <c r="D237" s="4">
        <v>1789</v>
      </c>
      <c r="E237" s="3" t="s">
        <v>49</v>
      </c>
      <c r="F237" s="3" t="s">
        <v>49</v>
      </c>
      <c r="G237" s="31">
        <v>24</v>
      </c>
      <c r="H237" s="31" t="s">
        <v>310</v>
      </c>
      <c r="I237" s="5">
        <v>2</v>
      </c>
      <c r="J237" s="5"/>
      <c r="K237" s="6"/>
      <c r="L237" s="11">
        <f t="shared" si="736"/>
        <v>2</v>
      </c>
      <c r="M237" s="7" t="s">
        <v>14</v>
      </c>
      <c r="N237" s="31"/>
      <c r="O237" s="9"/>
      <c r="P237" s="9" t="str">
        <f t="shared" si="750"/>
        <v/>
      </c>
      <c r="Q237" s="9"/>
      <c r="R237" s="30">
        <f t="shared" ref="R237" si="863">Q237*$L237</f>
        <v>0</v>
      </c>
      <c r="S237" s="9"/>
      <c r="T237" s="30">
        <f t="shared" ref="T237" si="864">S237*$L237</f>
        <v>0</v>
      </c>
      <c r="U237" s="9"/>
      <c r="V237" s="30">
        <f t="shared" si="715"/>
        <v>0</v>
      </c>
      <c r="W237" s="9"/>
      <c r="X237" s="30">
        <f t="shared" si="728"/>
        <v>0</v>
      </c>
      <c r="Y237" s="9"/>
      <c r="Z237" s="30">
        <f t="shared" si="716"/>
        <v>0</v>
      </c>
      <c r="AA237" s="9"/>
      <c r="AB237" s="30">
        <f t="shared" si="717"/>
        <v>0</v>
      </c>
      <c r="AC237" s="9">
        <f>15417/100</f>
        <v>154.16999999999999</v>
      </c>
      <c r="AD237" s="30">
        <v>308</v>
      </c>
      <c r="AE237" s="9"/>
      <c r="AF237" s="30">
        <f t="shared" si="718"/>
        <v>0</v>
      </c>
      <c r="AG237" s="9"/>
      <c r="AH237" s="30">
        <f t="shared" si="730"/>
        <v>0</v>
      </c>
      <c r="AI237" s="9"/>
      <c r="AJ237" s="30">
        <f t="shared" ref="AJ237" si="865">AI237*$L237</f>
        <v>0</v>
      </c>
      <c r="AK237" s="9"/>
      <c r="AL237" s="30">
        <f t="shared" ref="AL237" si="866">AK237*$L237</f>
        <v>0</v>
      </c>
      <c r="AM237" s="9"/>
      <c r="AN237" s="30">
        <f t="shared" si="721"/>
        <v>0</v>
      </c>
      <c r="AO237" s="9"/>
      <c r="AP237" s="30">
        <f t="shared" si="722"/>
        <v>0</v>
      </c>
      <c r="AQ237" s="9"/>
      <c r="AR237" s="30">
        <f t="shared" si="733"/>
        <v>0</v>
      </c>
      <c r="AS237" s="9"/>
      <c r="AT237" s="30">
        <f t="shared" si="723"/>
        <v>0</v>
      </c>
      <c r="AU237" s="9"/>
      <c r="AV237" s="30">
        <f t="shared" si="724"/>
        <v>0</v>
      </c>
      <c r="AW237" s="9"/>
      <c r="AX237" s="30">
        <f t="shared" si="725"/>
        <v>0</v>
      </c>
      <c r="AY237" s="9"/>
      <c r="AZ237" s="30">
        <f t="shared" si="726"/>
        <v>0</v>
      </c>
      <c r="BA237" s="10">
        <f>15417/100</f>
        <v>154.16999999999999</v>
      </c>
      <c r="BB237" s="31">
        <v>308</v>
      </c>
      <c r="BC237" s="15">
        <f t="shared" si="741"/>
        <v>308</v>
      </c>
      <c r="BD237" s="9">
        <f t="shared" si="742"/>
        <v>0</v>
      </c>
      <c r="BE237" s="28">
        <f t="shared" si="743"/>
        <v>154.16999999999999</v>
      </c>
      <c r="BF237" s="8">
        <f t="shared" si="744"/>
        <v>0</v>
      </c>
      <c r="BG237" s="29">
        <f t="shared" si="734"/>
        <v>308.33999999999997</v>
      </c>
      <c r="BH237" s="13">
        <f t="shared" si="745"/>
        <v>-0.33999999999997499</v>
      </c>
      <c r="BI237" s="2" t="str">
        <f t="shared" si="735"/>
        <v>erreur de calcul</v>
      </c>
      <c r="BJ237" s="2"/>
    </row>
    <row r="238" spans="1:62">
      <c r="A238" s="1" t="s">
        <v>12</v>
      </c>
      <c r="B238" s="3" t="s">
        <v>23</v>
      </c>
      <c r="C238" s="3" t="s">
        <v>45</v>
      </c>
      <c r="D238" s="4">
        <v>1789</v>
      </c>
      <c r="E238" s="3" t="s">
        <v>49</v>
      </c>
      <c r="F238" s="3" t="s">
        <v>49</v>
      </c>
      <c r="G238" s="31">
        <v>24</v>
      </c>
      <c r="H238" s="31" t="s">
        <v>312</v>
      </c>
      <c r="I238" s="5">
        <v>30</v>
      </c>
      <c r="J238" s="5"/>
      <c r="K238" s="6"/>
      <c r="L238" s="11">
        <f t="shared" si="736"/>
        <v>30</v>
      </c>
      <c r="M238" s="7" t="s">
        <v>14</v>
      </c>
      <c r="N238" s="31"/>
      <c r="O238" s="9"/>
      <c r="P238" s="9" t="str">
        <f t="shared" si="750"/>
        <v/>
      </c>
      <c r="Q238" s="9">
        <f>55459/100</f>
        <v>554.59</v>
      </c>
      <c r="R238" s="30">
        <v>16638</v>
      </c>
      <c r="S238" s="9"/>
      <c r="T238" s="30">
        <f t="shared" ref="T238" si="867">S238*$L238</f>
        <v>0</v>
      </c>
      <c r="U238" s="9"/>
      <c r="V238" s="30">
        <f t="shared" si="715"/>
        <v>0</v>
      </c>
      <c r="W238" s="9"/>
      <c r="X238" s="30">
        <f t="shared" si="728"/>
        <v>0</v>
      </c>
      <c r="Y238" s="9"/>
      <c r="Z238" s="30">
        <f t="shared" si="716"/>
        <v>0</v>
      </c>
      <c r="AA238" s="9"/>
      <c r="AB238" s="30">
        <f t="shared" si="717"/>
        <v>0</v>
      </c>
      <c r="AC238" s="9"/>
      <c r="AD238" s="30">
        <f t="shared" si="729"/>
        <v>0</v>
      </c>
      <c r="AE238" s="9"/>
      <c r="AF238" s="30">
        <f t="shared" si="718"/>
        <v>0</v>
      </c>
      <c r="AG238" s="9"/>
      <c r="AH238" s="30">
        <f t="shared" si="730"/>
        <v>0</v>
      </c>
      <c r="AI238" s="9"/>
      <c r="AJ238" s="30">
        <f t="shared" ref="AJ238" si="868">AI238*$L238</f>
        <v>0</v>
      </c>
      <c r="AK238" s="9"/>
      <c r="AL238" s="30">
        <f t="shared" ref="AL238" si="869">AK238*$L238</f>
        <v>0</v>
      </c>
      <c r="AM238" s="9"/>
      <c r="AN238" s="30">
        <f t="shared" si="721"/>
        <v>0</v>
      </c>
      <c r="AO238" s="9"/>
      <c r="AP238" s="30">
        <f t="shared" si="722"/>
        <v>0</v>
      </c>
      <c r="AQ238" s="9"/>
      <c r="AR238" s="30">
        <f t="shared" si="733"/>
        <v>0</v>
      </c>
      <c r="AS238" s="9"/>
      <c r="AT238" s="30">
        <f t="shared" si="723"/>
        <v>0</v>
      </c>
      <c r="AU238" s="9"/>
      <c r="AV238" s="30">
        <f t="shared" si="724"/>
        <v>0</v>
      </c>
      <c r="AW238" s="9"/>
      <c r="AX238" s="30">
        <f t="shared" si="725"/>
        <v>0</v>
      </c>
      <c r="AY238" s="9"/>
      <c r="AZ238" s="30">
        <f t="shared" si="726"/>
        <v>0</v>
      </c>
      <c r="BA238" s="10">
        <f>55459/100</f>
        <v>554.59</v>
      </c>
      <c r="BB238" s="31">
        <v>16638</v>
      </c>
      <c r="BC238" s="15">
        <f t="shared" si="741"/>
        <v>16638</v>
      </c>
      <c r="BD238" s="9">
        <f t="shared" si="742"/>
        <v>0</v>
      </c>
      <c r="BE238" s="28">
        <f t="shared" si="743"/>
        <v>554.59</v>
      </c>
      <c r="BF238" s="8">
        <f t="shared" si="744"/>
        <v>0</v>
      </c>
      <c r="BG238" s="29">
        <f t="shared" si="734"/>
        <v>16637.7</v>
      </c>
      <c r="BH238" s="13">
        <f t="shared" si="745"/>
        <v>0.2999999999992724</v>
      </c>
      <c r="BI238" s="2" t="str">
        <f t="shared" si="735"/>
        <v>erreur de calcul</v>
      </c>
      <c r="BJ238" s="2"/>
    </row>
    <row r="239" spans="1:62">
      <c r="A239" s="1" t="s">
        <v>12</v>
      </c>
      <c r="B239" s="3" t="s">
        <v>23</v>
      </c>
      <c r="C239" s="3" t="s">
        <v>45</v>
      </c>
      <c r="D239" s="4">
        <v>1789</v>
      </c>
      <c r="E239" s="3" t="s">
        <v>49</v>
      </c>
      <c r="F239" s="3" t="s">
        <v>49</v>
      </c>
      <c r="G239" s="31">
        <v>24</v>
      </c>
      <c r="H239" s="31" t="s">
        <v>311</v>
      </c>
      <c r="I239" s="5">
        <v>10</v>
      </c>
      <c r="J239" s="5"/>
      <c r="K239" s="6"/>
      <c r="L239" s="11">
        <f t="shared" si="736"/>
        <v>10</v>
      </c>
      <c r="M239" s="7" t="s">
        <v>14</v>
      </c>
      <c r="N239" s="31"/>
      <c r="O239" s="9"/>
      <c r="P239" s="9" t="str">
        <f t="shared" si="750"/>
        <v/>
      </c>
      <c r="Q239" s="9">
        <f>48819/100</f>
        <v>488.19</v>
      </c>
      <c r="R239" s="30">
        <v>4882</v>
      </c>
      <c r="S239" s="9"/>
      <c r="T239" s="30">
        <f t="shared" ref="T239" si="870">S239*$L239</f>
        <v>0</v>
      </c>
      <c r="U239" s="9">
        <f>2500/100</f>
        <v>25</v>
      </c>
      <c r="V239" s="30">
        <v>250</v>
      </c>
      <c r="W239" s="9"/>
      <c r="X239" s="30">
        <f t="shared" si="728"/>
        <v>0</v>
      </c>
      <c r="Y239" s="9">
        <f>6667/100</f>
        <v>66.67</v>
      </c>
      <c r="Z239" s="30">
        <v>667</v>
      </c>
      <c r="AA239" s="9"/>
      <c r="AB239" s="30">
        <f t="shared" si="717"/>
        <v>0</v>
      </c>
      <c r="AC239" s="9"/>
      <c r="AD239" s="30">
        <f t="shared" si="729"/>
        <v>0</v>
      </c>
      <c r="AE239" s="9"/>
      <c r="AF239" s="30">
        <f t="shared" si="718"/>
        <v>0</v>
      </c>
      <c r="AG239" s="9"/>
      <c r="AH239" s="30">
        <f t="shared" si="730"/>
        <v>0</v>
      </c>
      <c r="AI239" s="9"/>
      <c r="AJ239" s="30">
        <f t="shared" ref="AJ239" si="871">AI239*$L239</f>
        <v>0</v>
      </c>
      <c r="AK239" s="9"/>
      <c r="AL239" s="30">
        <f t="shared" ref="AL239" si="872">AK239*$L239</f>
        <v>0</v>
      </c>
      <c r="AM239" s="9"/>
      <c r="AN239" s="30">
        <f t="shared" si="721"/>
        <v>0</v>
      </c>
      <c r="AO239" s="9"/>
      <c r="AP239" s="30">
        <f t="shared" si="722"/>
        <v>0</v>
      </c>
      <c r="AQ239" s="9"/>
      <c r="AR239" s="30">
        <f t="shared" si="733"/>
        <v>0</v>
      </c>
      <c r="AS239" s="9"/>
      <c r="AT239" s="30">
        <f t="shared" si="723"/>
        <v>0</v>
      </c>
      <c r="AU239" s="9"/>
      <c r="AV239" s="30">
        <f t="shared" si="724"/>
        <v>0</v>
      </c>
      <c r="AW239" s="9"/>
      <c r="AX239" s="30">
        <f t="shared" si="725"/>
        <v>0</v>
      </c>
      <c r="AY239" s="9"/>
      <c r="AZ239" s="30">
        <f t="shared" si="726"/>
        <v>0</v>
      </c>
      <c r="BA239" s="10">
        <f>57986/100</f>
        <v>579.86</v>
      </c>
      <c r="BB239" s="31">
        <v>5799</v>
      </c>
      <c r="BC239" s="15">
        <f t="shared" si="741"/>
        <v>5799</v>
      </c>
      <c r="BD239" s="9">
        <f t="shared" si="742"/>
        <v>0</v>
      </c>
      <c r="BE239" s="28">
        <f t="shared" si="743"/>
        <v>579.86</v>
      </c>
      <c r="BF239" s="8">
        <f t="shared" si="744"/>
        <v>0</v>
      </c>
      <c r="BG239" s="29">
        <f t="shared" si="734"/>
        <v>5798.6</v>
      </c>
      <c r="BH239" s="13">
        <f t="shared" si="745"/>
        <v>0.3999999999996362</v>
      </c>
      <c r="BI239" s="2" t="str">
        <f t="shared" si="735"/>
        <v>erreur de calcul</v>
      </c>
      <c r="BJ239" s="2"/>
    </row>
    <row r="240" spans="1:62">
      <c r="A240" s="1" t="s">
        <v>12</v>
      </c>
      <c r="B240" s="3" t="s">
        <v>23</v>
      </c>
      <c r="C240" s="3" t="s">
        <v>45</v>
      </c>
      <c r="D240" s="4">
        <v>1789</v>
      </c>
      <c r="E240" s="3" t="s">
        <v>49</v>
      </c>
      <c r="F240" s="3" t="s">
        <v>49</v>
      </c>
      <c r="G240" s="31">
        <v>24</v>
      </c>
      <c r="H240" s="31" t="s">
        <v>313</v>
      </c>
      <c r="I240" s="5">
        <v>90</v>
      </c>
      <c r="J240" s="5"/>
      <c r="K240" s="6"/>
      <c r="L240" s="11">
        <f t="shared" si="736"/>
        <v>90</v>
      </c>
      <c r="M240" s="7" t="s">
        <v>14</v>
      </c>
      <c r="N240" s="31"/>
      <c r="O240" s="9"/>
      <c r="P240" s="9" t="str">
        <f t="shared" si="750"/>
        <v/>
      </c>
      <c r="Q240" s="9"/>
      <c r="R240" s="30">
        <f t="shared" ref="R240" si="873">Q240*$L240</f>
        <v>0</v>
      </c>
      <c r="S240" s="9"/>
      <c r="T240" s="30">
        <f t="shared" ref="T240" si="874">S240*$L240</f>
        <v>0</v>
      </c>
      <c r="U240" s="9"/>
      <c r="V240" s="30">
        <f t="shared" si="715"/>
        <v>0</v>
      </c>
      <c r="W240" s="9"/>
      <c r="X240" s="30">
        <f t="shared" si="728"/>
        <v>0</v>
      </c>
      <c r="Y240" s="9"/>
      <c r="Z240" s="30">
        <f t="shared" si="716"/>
        <v>0</v>
      </c>
      <c r="AA240" s="9"/>
      <c r="AB240" s="30">
        <f t="shared" si="717"/>
        <v>0</v>
      </c>
      <c r="AC240" s="9"/>
      <c r="AD240" s="30">
        <f t="shared" si="729"/>
        <v>0</v>
      </c>
      <c r="AE240" s="9"/>
      <c r="AF240" s="30">
        <f t="shared" si="718"/>
        <v>0</v>
      </c>
      <c r="AG240" s="9"/>
      <c r="AH240" s="30">
        <f t="shared" si="730"/>
        <v>0</v>
      </c>
      <c r="AI240" s="9"/>
      <c r="AJ240" s="30">
        <f t="shared" ref="AJ240" si="875">AI240*$L240</f>
        <v>0</v>
      </c>
      <c r="AK240" s="9"/>
      <c r="AL240" s="30">
        <f t="shared" ref="AL240" si="876">AK240*$L240</f>
        <v>0</v>
      </c>
      <c r="AM240" s="9">
        <f>2950/100</f>
        <v>29.5</v>
      </c>
      <c r="AN240" s="30">
        <v>2655</v>
      </c>
      <c r="AO240" s="9"/>
      <c r="AP240" s="30">
        <f t="shared" si="722"/>
        <v>0</v>
      </c>
      <c r="AQ240" s="9"/>
      <c r="AR240" s="30">
        <f t="shared" si="733"/>
        <v>0</v>
      </c>
      <c r="AS240" s="9"/>
      <c r="AT240" s="30">
        <f t="shared" si="723"/>
        <v>0</v>
      </c>
      <c r="AU240" s="9"/>
      <c r="AV240" s="30">
        <f t="shared" si="724"/>
        <v>0</v>
      </c>
      <c r="AW240" s="9"/>
      <c r="AX240" s="30">
        <f t="shared" si="725"/>
        <v>0</v>
      </c>
      <c r="AY240" s="9"/>
      <c r="AZ240" s="30">
        <f t="shared" si="726"/>
        <v>0</v>
      </c>
      <c r="BA240" s="10">
        <f>2950/100</f>
        <v>29.5</v>
      </c>
      <c r="BB240" s="31">
        <v>2655</v>
      </c>
      <c r="BC240" s="15">
        <f t="shared" si="741"/>
        <v>2655</v>
      </c>
      <c r="BD240" s="9">
        <f t="shared" si="742"/>
        <v>0</v>
      </c>
      <c r="BE240" s="28">
        <f t="shared" si="743"/>
        <v>29.5</v>
      </c>
      <c r="BF240" s="8">
        <f t="shared" si="744"/>
        <v>0</v>
      </c>
      <c r="BG240" s="29">
        <f t="shared" si="734"/>
        <v>2655</v>
      </c>
      <c r="BH240" s="13">
        <f t="shared" si="745"/>
        <v>0</v>
      </c>
      <c r="BI240" s="2" t="str">
        <f t="shared" si="735"/>
        <v/>
      </c>
      <c r="BJ240" s="2"/>
    </row>
    <row r="241" spans="1:62">
      <c r="A241" s="1" t="s">
        <v>12</v>
      </c>
      <c r="B241" s="3" t="s">
        <v>23</v>
      </c>
      <c r="C241" s="3" t="s">
        <v>45</v>
      </c>
      <c r="D241" s="4">
        <v>1789</v>
      </c>
      <c r="E241" s="3" t="s">
        <v>49</v>
      </c>
      <c r="F241" s="3" t="s">
        <v>49</v>
      </c>
      <c r="G241" s="31">
        <v>24</v>
      </c>
      <c r="H241" s="31" t="s">
        <v>314</v>
      </c>
      <c r="I241" s="5">
        <v>50</v>
      </c>
      <c r="J241" s="5"/>
      <c r="K241" s="6"/>
      <c r="L241" s="11">
        <f t="shared" si="736"/>
        <v>50</v>
      </c>
      <c r="M241" s="7" t="s">
        <v>14</v>
      </c>
      <c r="N241" s="31" t="s">
        <v>16</v>
      </c>
      <c r="O241" s="9">
        <f>265*0.02</f>
        <v>5.3</v>
      </c>
      <c r="P241" s="9">
        <f t="shared" si="750"/>
        <v>265</v>
      </c>
      <c r="Q241" s="9"/>
      <c r="R241" s="30">
        <f t="shared" ref="R241" si="877">Q241*$L241</f>
        <v>0</v>
      </c>
      <c r="S241" s="9"/>
      <c r="T241" s="30">
        <f t="shared" ref="T241" si="878">S241*$L241</f>
        <v>0</v>
      </c>
      <c r="U241" s="9">
        <f>2*288*0.02+153*0.02</f>
        <v>14.58</v>
      </c>
      <c r="V241" s="30">
        <v>729</v>
      </c>
      <c r="W241" s="9">
        <f>2*288*0.02+118*0.02</f>
        <v>13.879999999999999</v>
      </c>
      <c r="X241" s="30">
        <v>694</v>
      </c>
      <c r="Y241" s="9">
        <f>25*288*0.02+103*0.02</f>
        <v>146.06</v>
      </c>
      <c r="Z241" s="30">
        <v>7303</v>
      </c>
      <c r="AA241" s="9"/>
      <c r="AB241" s="30">
        <f t="shared" si="717"/>
        <v>0</v>
      </c>
      <c r="AC241" s="9">
        <f>1*288*0.02+74*0.02</f>
        <v>7.24</v>
      </c>
      <c r="AD241" s="30">
        <v>362</v>
      </c>
      <c r="AE241" s="9">
        <f>276*0.02</f>
        <v>5.5200000000000005</v>
      </c>
      <c r="AF241" s="30">
        <v>276</v>
      </c>
      <c r="AG241" s="9"/>
      <c r="AH241" s="30">
        <f t="shared" si="730"/>
        <v>0</v>
      </c>
      <c r="AI241" s="9">
        <f>1*288*0.02+75*0.02</f>
        <v>7.26</v>
      </c>
      <c r="AJ241" s="30">
        <v>363</v>
      </c>
      <c r="AK241" s="9">
        <f>2*288*0.02+176*0.02</f>
        <v>15.04</v>
      </c>
      <c r="AL241" s="30">
        <v>752</v>
      </c>
      <c r="AM241" s="9"/>
      <c r="AN241" s="30">
        <f t="shared" si="721"/>
        <v>0</v>
      </c>
      <c r="AO241" s="9"/>
      <c r="AP241" s="30">
        <f t="shared" si="722"/>
        <v>0</v>
      </c>
      <c r="AQ241" s="9"/>
      <c r="AR241" s="30">
        <f t="shared" si="733"/>
        <v>0</v>
      </c>
      <c r="AS241" s="9"/>
      <c r="AT241" s="30">
        <f t="shared" si="723"/>
        <v>0</v>
      </c>
      <c r="AU241" s="9"/>
      <c r="AV241" s="30">
        <f t="shared" si="724"/>
        <v>0</v>
      </c>
      <c r="AW241" s="9"/>
      <c r="AX241" s="30">
        <f t="shared" si="725"/>
        <v>0</v>
      </c>
      <c r="AY241" s="9"/>
      <c r="AZ241" s="30">
        <f t="shared" si="726"/>
        <v>0</v>
      </c>
      <c r="BA241" s="10">
        <f>36*288*0.02+111*0.02</f>
        <v>209.58</v>
      </c>
      <c r="BB241" s="31">
        <v>10479</v>
      </c>
      <c r="BC241" s="15">
        <f t="shared" si="741"/>
        <v>10479</v>
      </c>
      <c r="BD241" s="9">
        <f t="shared" si="742"/>
        <v>0</v>
      </c>
      <c r="BE241" s="28">
        <f t="shared" si="743"/>
        <v>209.58</v>
      </c>
      <c r="BF241" s="8">
        <f t="shared" si="744"/>
        <v>0</v>
      </c>
      <c r="BG241" s="29">
        <f t="shared" si="734"/>
        <v>10479</v>
      </c>
      <c r="BH241" s="13">
        <f t="shared" si="745"/>
        <v>0</v>
      </c>
      <c r="BI241" s="2" t="str">
        <f t="shared" si="735"/>
        <v/>
      </c>
      <c r="BJ241" s="2"/>
    </row>
    <row r="242" spans="1:62">
      <c r="A242" s="1" t="s">
        <v>12</v>
      </c>
      <c r="B242" s="3" t="s">
        <v>23</v>
      </c>
      <c r="C242" s="3" t="s">
        <v>45</v>
      </c>
      <c r="D242" s="4">
        <v>1789</v>
      </c>
      <c r="E242" s="3" t="s">
        <v>49</v>
      </c>
      <c r="F242" s="3" t="s">
        <v>49</v>
      </c>
      <c r="G242" s="31">
        <v>24</v>
      </c>
      <c r="H242" s="31" t="s">
        <v>315</v>
      </c>
      <c r="I242" s="5">
        <v>70</v>
      </c>
      <c r="J242" s="5"/>
      <c r="K242" s="6"/>
      <c r="L242" s="11">
        <f t="shared" si="736"/>
        <v>70</v>
      </c>
      <c r="M242" s="7" t="s">
        <v>14</v>
      </c>
      <c r="N242" s="31"/>
      <c r="O242" s="9"/>
      <c r="P242" s="9" t="str">
        <f t="shared" si="750"/>
        <v/>
      </c>
      <c r="Q242" s="9"/>
      <c r="R242" s="30">
        <f t="shared" ref="R242" si="879">Q242*$L242</f>
        <v>0</v>
      </c>
      <c r="S242" s="9"/>
      <c r="T242" s="30">
        <f t="shared" ref="T242" si="880">S242*$L242</f>
        <v>0</v>
      </c>
      <c r="U242" s="9"/>
      <c r="V242" s="30">
        <f t="shared" si="715"/>
        <v>0</v>
      </c>
      <c r="W242" s="9"/>
      <c r="X242" s="30">
        <f t="shared" si="728"/>
        <v>0</v>
      </c>
      <c r="Y242" s="9">
        <f>2*288*0.02+217*0.02</f>
        <v>15.86</v>
      </c>
      <c r="Z242" s="30">
        <v>1111</v>
      </c>
      <c r="AA242" s="9"/>
      <c r="AB242" s="30">
        <f t="shared" si="717"/>
        <v>0</v>
      </c>
      <c r="AC242" s="9"/>
      <c r="AD242" s="30">
        <f t="shared" si="729"/>
        <v>0</v>
      </c>
      <c r="AE242" s="9"/>
      <c r="AF242" s="30">
        <f t="shared" si="718"/>
        <v>0</v>
      </c>
      <c r="AG242" s="9"/>
      <c r="AH242" s="30">
        <f t="shared" si="730"/>
        <v>0</v>
      </c>
      <c r="AI242" s="9"/>
      <c r="AJ242" s="30">
        <f t="shared" ref="AJ242" si="881">AI242*$L242</f>
        <v>0</v>
      </c>
      <c r="AK242" s="9"/>
      <c r="AL242" s="30">
        <f t="shared" ref="AL242" si="882">AK242*$L242</f>
        <v>0</v>
      </c>
      <c r="AM242" s="9"/>
      <c r="AN242" s="30">
        <f t="shared" si="721"/>
        <v>0</v>
      </c>
      <c r="AO242" s="9"/>
      <c r="AP242" s="30">
        <f t="shared" si="722"/>
        <v>0</v>
      </c>
      <c r="AQ242" s="9"/>
      <c r="AR242" s="30">
        <f t="shared" si="733"/>
        <v>0</v>
      </c>
      <c r="AS242" s="9"/>
      <c r="AT242" s="30">
        <f t="shared" si="723"/>
        <v>0</v>
      </c>
      <c r="AU242" s="9"/>
      <c r="AV242" s="30">
        <f t="shared" si="724"/>
        <v>0</v>
      </c>
      <c r="AW242" s="9"/>
      <c r="AX242" s="30">
        <f t="shared" si="725"/>
        <v>0</v>
      </c>
      <c r="AY242" s="9"/>
      <c r="AZ242" s="30">
        <f t="shared" si="726"/>
        <v>0</v>
      </c>
      <c r="BA242" s="10">
        <f>2*288*0.02+217*0.02</f>
        <v>15.86</v>
      </c>
      <c r="BB242" s="31">
        <v>1111</v>
      </c>
      <c r="BC242" s="15">
        <f t="shared" si="741"/>
        <v>1111</v>
      </c>
      <c r="BD242" s="9">
        <f t="shared" si="742"/>
        <v>0</v>
      </c>
      <c r="BE242" s="28">
        <f t="shared" si="743"/>
        <v>15.86</v>
      </c>
      <c r="BF242" s="8">
        <f t="shared" si="744"/>
        <v>0</v>
      </c>
      <c r="BG242" s="29">
        <f t="shared" si="734"/>
        <v>1110.2</v>
      </c>
      <c r="BH242" s="13">
        <f t="shared" si="745"/>
        <v>0.79999999999995453</v>
      </c>
      <c r="BI242" s="2" t="str">
        <f t="shared" si="735"/>
        <v>erreur de calcul</v>
      </c>
      <c r="BJ242" s="2"/>
    </row>
    <row r="243" spans="1:62">
      <c r="A243" s="1" t="s">
        <v>12</v>
      </c>
      <c r="B243" s="3" t="s">
        <v>23</v>
      </c>
      <c r="C243" s="3" t="s">
        <v>45</v>
      </c>
      <c r="D243" s="4">
        <v>1789</v>
      </c>
      <c r="E243" s="3" t="s">
        <v>49</v>
      </c>
      <c r="F243" s="3" t="s">
        <v>49</v>
      </c>
      <c r="G243" s="31">
        <v>24</v>
      </c>
      <c r="H243" s="31" t="s">
        <v>316</v>
      </c>
      <c r="I243" s="5"/>
      <c r="J243" s="5">
        <v>40</v>
      </c>
      <c r="K243" s="6"/>
      <c r="L243" s="11">
        <f t="shared" si="736"/>
        <v>2</v>
      </c>
      <c r="M243" s="7" t="s">
        <v>15</v>
      </c>
      <c r="N243" s="31"/>
      <c r="O243" s="9"/>
      <c r="P243" s="9" t="str">
        <f t="shared" si="750"/>
        <v/>
      </c>
      <c r="Q243" s="9">
        <v>780</v>
      </c>
      <c r="R243" s="30">
        <v>1560</v>
      </c>
      <c r="S243" s="9"/>
      <c r="T243" s="30">
        <f t="shared" ref="T243" si="883">S243*$L243</f>
        <v>0</v>
      </c>
      <c r="U243" s="9">
        <v>1552</v>
      </c>
      <c r="V243" s="30">
        <v>3104</v>
      </c>
      <c r="W243" s="9">
        <v>1051</v>
      </c>
      <c r="X243" s="30">
        <v>2102</v>
      </c>
      <c r="Y243" s="9">
        <v>1486</v>
      </c>
      <c r="Z243" s="30">
        <v>2972</v>
      </c>
      <c r="AA243" s="9">
        <v>847</v>
      </c>
      <c r="AB243" s="30">
        <v>1694</v>
      </c>
      <c r="AC243" s="9">
        <v>114</v>
      </c>
      <c r="AD243" s="30">
        <v>228</v>
      </c>
      <c r="AE243" s="9">
        <v>407</v>
      </c>
      <c r="AF243" s="30">
        <v>814</v>
      </c>
      <c r="AG243" s="9"/>
      <c r="AH243" s="30">
        <f t="shared" si="730"/>
        <v>0</v>
      </c>
      <c r="AI243" s="9"/>
      <c r="AJ243" s="30">
        <f t="shared" ref="AJ243" si="884">AI243*$L243</f>
        <v>0</v>
      </c>
      <c r="AK243" s="9">
        <v>1297</v>
      </c>
      <c r="AL243" s="30">
        <v>2594</v>
      </c>
      <c r="AM243" s="9"/>
      <c r="AN243" s="30">
        <f t="shared" si="721"/>
        <v>0</v>
      </c>
      <c r="AO243" s="9"/>
      <c r="AP243" s="30">
        <f t="shared" si="722"/>
        <v>0</v>
      </c>
      <c r="AQ243" s="9"/>
      <c r="AR243" s="30">
        <f t="shared" si="733"/>
        <v>0</v>
      </c>
      <c r="AS243" s="9"/>
      <c r="AT243" s="30">
        <f t="shared" si="723"/>
        <v>0</v>
      </c>
      <c r="AU243" s="9"/>
      <c r="AV243" s="30">
        <f t="shared" si="724"/>
        <v>0</v>
      </c>
      <c r="AW243" s="9"/>
      <c r="AX243" s="30">
        <f t="shared" si="725"/>
        <v>0</v>
      </c>
      <c r="AY243" s="9"/>
      <c r="AZ243" s="30">
        <f t="shared" si="726"/>
        <v>0</v>
      </c>
      <c r="BA243" s="10">
        <v>7534</v>
      </c>
      <c r="BB243" s="31">
        <v>15068</v>
      </c>
      <c r="BC243" s="15">
        <f t="shared" si="741"/>
        <v>15068</v>
      </c>
      <c r="BD243" s="9">
        <f t="shared" si="742"/>
        <v>0</v>
      </c>
      <c r="BE243" s="28">
        <f t="shared" si="743"/>
        <v>7534</v>
      </c>
      <c r="BF243" s="8">
        <f t="shared" si="744"/>
        <v>0</v>
      </c>
      <c r="BG243" s="29">
        <f t="shared" si="734"/>
        <v>15068</v>
      </c>
      <c r="BH243" s="13">
        <f t="shared" si="745"/>
        <v>0</v>
      </c>
      <c r="BI243" s="2" t="str">
        <f t="shared" si="735"/>
        <v/>
      </c>
      <c r="BJ243" s="2"/>
    </row>
    <row r="244" spans="1:62">
      <c r="A244" s="1" t="s">
        <v>12</v>
      </c>
      <c r="B244" s="3" t="s">
        <v>23</v>
      </c>
      <c r="C244" s="3" t="s">
        <v>45</v>
      </c>
      <c r="D244" s="4">
        <v>1789</v>
      </c>
      <c r="E244" s="3" t="s">
        <v>49</v>
      </c>
      <c r="F244" s="3" t="s">
        <v>49</v>
      </c>
      <c r="G244" s="31">
        <v>24</v>
      </c>
      <c r="H244" s="31" t="s">
        <v>317</v>
      </c>
      <c r="I244" s="5">
        <v>15</v>
      </c>
      <c r="J244" s="5"/>
      <c r="K244" s="6"/>
      <c r="L244" s="11">
        <f t="shared" si="736"/>
        <v>15</v>
      </c>
      <c r="M244" s="7" t="s">
        <v>14</v>
      </c>
      <c r="N244" s="31"/>
      <c r="O244" s="9"/>
      <c r="P244" s="9" t="str">
        <f t="shared" si="750"/>
        <v/>
      </c>
      <c r="Q244" s="9">
        <f>6834/100</f>
        <v>68.34</v>
      </c>
      <c r="R244" s="30">
        <v>1025</v>
      </c>
      <c r="S244" s="9"/>
      <c r="T244" s="30">
        <f t="shared" ref="T244" si="885">S244*$L244</f>
        <v>0</v>
      </c>
      <c r="U244" s="9">
        <f>834/100</f>
        <v>8.34</v>
      </c>
      <c r="V244" s="30">
        <v>125</v>
      </c>
      <c r="W244" s="9">
        <f>197372/100</f>
        <v>1973.72</v>
      </c>
      <c r="X244" s="30">
        <v>29606</v>
      </c>
      <c r="Y244" s="9">
        <f>2334702/100</f>
        <v>23347.02</v>
      </c>
      <c r="Z244" s="30">
        <v>350205</v>
      </c>
      <c r="AA244" s="9"/>
      <c r="AB244" s="30">
        <f t="shared" si="717"/>
        <v>0</v>
      </c>
      <c r="AC244" s="9">
        <f>1417/100</f>
        <v>14.17</v>
      </c>
      <c r="AD244" s="30">
        <v>212</v>
      </c>
      <c r="AE244" s="9"/>
      <c r="AF244" s="30">
        <f t="shared" si="718"/>
        <v>0</v>
      </c>
      <c r="AG244" s="9"/>
      <c r="AH244" s="30">
        <f t="shared" si="730"/>
        <v>0</v>
      </c>
      <c r="AI244" s="9"/>
      <c r="AJ244" s="30">
        <f t="shared" ref="AJ244" si="886">AI244*$L244</f>
        <v>0</v>
      </c>
      <c r="AK244" s="9"/>
      <c r="AL244" s="30">
        <f t="shared" ref="AL244" si="887">AK244*$L244</f>
        <v>0</v>
      </c>
      <c r="AM244" s="9"/>
      <c r="AN244" s="30">
        <f t="shared" si="721"/>
        <v>0</v>
      </c>
      <c r="AO244" s="9"/>
      <c r="AP244" s="30">
        <f t="shared" si="722"/>
        <v>0</v>
      </c>
      <c r="AQ244" s="9"/>
      <c r="AR244" s="30">
        <f t="shared" si="733"/>
        <v>0</v>
      </c>
      <c r="AS244" s="9"/>
      <c r="AT244" s="30">
        <f t="shared" si="723"/>
        <v>0</v>
      </c>
      <c r="AU244" s="9"/>
      <c r="AV244" s="30">
        <f t="shared" si="724"/>
        <v>0</v>
      </c>
      <c r="AW244" s="9"/>
      <c r="AX244" s="30">
        <f t="shared" si="725"/>
        <v>0</v>
      </c>
      <c r="AY244" s="9"/>
      <c r="AZ244" s="30">
        <f t="shared" si="726"/>
        <v>0</v>
      </c>
      <c r="BA244" s="10">
        <f>2541159/100</f>
        <v>25411.59</v>
      </c>
      <c r="BB244" s="31">
        <v>381173</v>
      </c>
      <c r="BC244" s="15">
        <f t="shared" si="741"/>
        <v>381173</v>
      </c>
      <c r="BD244" s="9">
        <f t="shared" si="742"/>
        <v>0</v>
      </c>
      <c r="BE244" s="28">
        <f t="shared" si="743"/>
        <v>25411.59</v>
      </c>
      <c r="BF244" s="8">
        <f t="shared" si="744"/>
        <v>0</v>
      </c>
      <c r="BG244" s="29">
        <f t="shared" si="734"/>
        <v>381173.85</v>
      </c>
      <c r="BH244" s="13">
        <f t="shared" si="745"/>
        <v>-0.84999999997671694</v>
      </c>
      <c r="BI244" s="2" t="str">
        <f t="shared" si="735"/>
        <v>erreur de calcul</v>
      </c>
      <c r="BJ244" s="2"/>
    </row>
    <row r="245" spans="1:62">
      <c r="A245" s="1" t="s">
        <v>12</v>
      </c>
      <c r="B245" s="3" t="s">
        <v>23</v>
      </c>
      <c r="C245" s="3" t="s">
        <v>45</v>
      </c>
      <c r="D245" s="4">
        <v>1789</v>
      </c>
      <c r="E245" s="3" t="s">
        <v>49</v>
      </c>
      <c r="F245" s="3" t="s">
        <v>49</v>
      </c>
      <c r="G245" s="31">
        <v>24</v>
      </c>
      <c r="H245" s="31" t="s">
        <v>318</v>
      </c>
      <c r="I245" s="5">
        <v>25</v>
      </c>
      <c r="J245" s="5"/>
      <c r="K245" s="6"/>
      <c r="L245" s="11">
        <f t="shared" si="736"/>
        <v>25</v>
      </c>
      <c r="M245" s="7" t="s">
        <v>14</v>
      </c>
      <c r="N245" s="31"/>
      <c r="O245" s="9"/>
      <c r="P245" s="9" t="str">
        <f t="shared" si="750"/>
        <v/>
      </c>
      <c r="Q245" s="9"/>
      <c r="R245" s="30">
        <f t="shared" ref="R245" si="888">Q245*$L245</f>
        <v>0</v>
      </c>
      <c r="S245" s="9"/>
      <c r="T245" s="30">
        <f t="shared" ref="T245" si="889">S245*$L245</f>
        <v>0</v>
      </c>
      <c r="U245" s="9"/>
      <c r="V245" s="30">
        <f t="shared" si="715"/>
        <v>0</v>
      </c>
      <c r="W245" s="9"/>
      <c r="X245" s="30">
        <f t="shared" si="728"/>
        <v>0</v>
      </c>
      <c r="Y245" s="9">
        <f>4971/100</f>
        <v>49.71</v>
      </c>
      <c r="Z245" s="30">
        <v>1243</v>
      </c>
      <c r="AA245" s="9">
        <f>14812/100</f>
        <v>148.12</v>
      </c>
      <c r="AB245" s="30">
        <v>3703</v>
      </c>
      <c r="AC245" s="9"/>
      <c r="AD245" s="30">
        <f t="shared" si="729"/>
        <v>0</v>
      </c>
      <c r="AE245" s="9"/>
      <c r="AF245" s="30">
        <f t="shared" si="718"/>
        <v>0</v>
      </c>
      <c r="AG245" s="9"/>
      <c r="AH245" s="30">
        <f t="shared" si="730"/>
        <v>0</v>
      </c>
      <c r="AI245" s="9"/>
      <c r="AJ245" s="30">
        <f t="shared" ref="AJ245" si="890">AI245*$L245</f>
        <v>0</v>
      </c>
      <c r="AK245" s="9"/>
      <c r="AL245" s="30">
        <f t="shared" ref="AL245" si="891">AK245*$L245</f>
        <v>0</v>
      </c>
      <c r="AM245" s="9"/>
      <c r="AN245" s="30">
        <f t="shared" si="721"/>
        <v>0</v>
      </c>
      <c r="AO245" s="9"/>
      <c r="AP245" s="30">
        <f t="shared" si="722"/>
        <v>0</v>
      </c>
      <c r="AQ245" s="9"/>
      <c r="AR245" s="30">
        <f t="shared" si="733"/>
        <v>0</v>
      </c>
      <c r="AS245" s="9"/>
      <c r="AT245" s="30">
        <f t="shared" si="723"/>
        <v>0</v>
      </c>
      <c r="AU245" s="9"/>
      <c r="AV245" s="30">
        <f t="shared" si="724"/>
        <v>0</v>
      </c>
      <c r="AW245" s="9"/>
      <c r="AX245" s="30">
        <f t="shared" si="725"/>
        <v>0</v>
      </c>
      <c r="AY245" s="9"/>
      <c r="AZ245" s="30">
        <f t="shared" si="726"/>
        <v>0</v>
      </c>
      <c r="BA245" s="10">
        <f>19783/100</f>
        <v>197.83</v>
      </c>
      <c r="BB245" s="31">
        <v>4946</v>
      </c>
      <c r="BC245" s="15">
        <f t="shared" si="741"/>
        <v>4946</v>
      </c>
      <c r="BD245" s="9">
        <f t="shared" si="742"/>
        <v>0</v>
      </c>
      <c r="BE245" s="28">
        <f t="shared" si="743"/>
        <v>197.83</v>
      </c>
      <c r="BF245" s="8">
        <f t="shared" si="744"/>
        <v>0</v>
      </c>
      <c r="BG245" s="29">
        <f t="shared" si="734"/>
        <v>4945.75</v>
      </c>
      <c r="BH245" s="13">
        <f t="shared" si="745"/>
        <v>0.25</v>
      </c>
      <c r="BI245" s="2" t="str">
        <f t="shared" si="735"/>
        <v>erreur de calcul</v>
      </c>
      <c r="BJ245" s="2"/>
    </row>
    <row r="246" spans="1:62">
      <c r="A246" s="1" t="s">
        <v>12</v>
      </c>
      <c r="B246" s="3" t="s">
        <v>23</v>
      </c>
      <c r="C246" s="3" t="s">
        <v>45</v>
      </c>
      <c r="D246" s="4">
        <v>1789</v>
      </c>
      <c r="E246" s="3" t="s">
        <v>49</v>
      </c>
      <c r="F246" s="3" t="s">
        <v>49</v>
      </c>
      <c r="G246" s="31">
        <v>24</v>
      </c>
      <c r="H246" s="31" t="s">
        <v>319</v>
      </c>
      <c r="I246" s="5"/>
      <c r="J246" s="5"/>
      <c r="K246" s="6"/>
      <c r="L246" s="11">
        <f t="shared" si="736"/>
        <v>0</v>
      </c>
      <c r="M246" s="7"/>
      <c r="N246" s="31" t="s">
        <v>84</v>
      </c>
      <c r="O246" s="9"/>
      <c r="P246" s="9">
        <v>184</v>
      </c>
      <c r="Q246" s="9"/>
      <c r="R246" s="30">
        <v>84</v>
      </c>
      <c r="S246" s="9"/>
      <c r="T246" s="30">
        <v>80</v>
      </c>
      <c r="U246" s="9"/>
      <c r="V246" s="30">
        <v>115</v>
      </c>
      <c r="W246" s="9"/>
      <c r="X246" s="30">
        <f t="shared" si="728"/>
        <v>0</v>
      </c>
      <c r="Y246" s="9"/>
      <c r="Z246" s="30">
        <v>82</v>
      </c>
      <c r="AA246" s="9"/>
      <c r="AB246" s="30">
        <v>32</v>
      </c>
      <c r="AC246" s="9"/>
      <c r="AD246" s="30">
        <v>82</v>
      </c>
      <c r="AE246" s="9"/>
      <c r="AF246" s="30">
        <f t="shared" si="718"/>
        <v>0</v>
      </c>
      <c r="AG246" s="9"/>
      <c r="AH246" s="30">
        <v>129</v>
      </c>
      <c r="AI246" s="9"/>
      <c r="AJ246" s="30">
        <f t="shared" ref="AJ246" si="892">AI246*$L246</f>
        <v>0</v>
      </c>
      <c r="AK246" s="9"/>
      <c r="AL246" s="30">
        <v>79</v>
      </c>
      <c r="AM246" s="9"/>
      <c r="AN246" s="30">
        <v>106</v>
      </c>
      <c r="AO246" s="9"/>
      <c r="AP246" s="30">
        <f t="shared" si="722"/>
        <v>0</v>
      </c>
      <c r="AQ246" s="9"/>
      <c r="AR246" s="30">
        <f t="shared" si="733"/>
        <v>0</v>
      </c>
      <c r="AS246" s="9"/>
      <c r="AT246" s="30">
        <f t="shared" si="723"/>
        <v>0</v>
      </c>
      <c r="AU246" s="9"/>
      <c r="AV246" s="30">
        <f t="shared" si="724"/>
        <v>0</v>
      </c>
      <c r="AW246" s="9"/>
      <c r="AX246" s="30">
        <f t="shared" si="725"/>
        <v>0</v>
      </c>
      <c r="AY246" s="9"/>
      <c r="AZ246" s="30">
        <f t="shared" si="726"/>
        <v>0</v>
      </c>
      <c r="BA246" s="10"/>
      <c r="BB246" s="31">
        <v>789</v>
      </c>
      <c r="BC246" s="15">
        <f t="shared" si="741"/>
        <v>789</v>
      </c>
      <c r="BD246" s="9">
        <f t="shared" si="742"/>
        <v>0</v>
      </c>
      <c r="BE246" s="28">
        <f t="shared" si="743"/>
        <v>0</v>
      </c>
      <c r="BF246" s="8">
        <f t="shared" si="744"/>
        <v>0</v>
      </c>
      <c r="BG246" s="29">
        <f t="shared" si="734"/>
        <v>0</v>
      </c>
      <c r="BH246" s="13">
        <f t="shared" si="745"/>
        <v>789</v>
      </c>
      <c r="BI246" s="2" t="str">
        <f t="shared" si="735"/>
        <v>pas de prix, ni de quantité</v>
      </c>
      <c r="BJ246" s="2"/>
    </row>
    <row r="247" spans="1:62">
      <c r="A247" s="1" t="s">
        <v>12</v>
      </c>
      <c r="B247" s="3" t="s">
        <v>23</v>
      </c>
      <c r="C247" s="3" t="s">
        <v>45</v>
      </c>
      <c r="D247" s="4">
        <v>1789</v>
      </c>
      <c r="E247" s="3" t="s">
        <v>49</v>
      </c>
      <c r="F247" s="3" t="s">
        <v>49</v>
      </c>
      <c r="G247" s="31">
        <v>24</v>
      </c>
      <c r="H247" s="31" t="s">
        <v>320</v>
      </c>
      <c r="I247" s="5"/>
      <c r="J247" s="5">
        <v>20</v>
      </c>
      <c r="K247" s="6"/>
      <c r="L247" s="11">
        <f t="shared" si="736"/>
        <v>1</v>
      </c>
      <c r="M247" s="7" t="s">
        <v>15</v>
      </c>
      <c r="N247" s="31"/>
      <c r="O247" s="9"/>
      <c r="P247" s="9" t="str">
        <f t="shared" si="750"/>
        <v/>
      </c>
      <c r="Q247" s="9"/>
      <c r="R247" s="30">
        <f t="shared" ref="R247" si="893">Q247*$L247</f>
        <v>0</v>
      </c>
      <c r="S247" s="9"/>
      <c r="T247" s="30">
        <f t="shared" ref="T247" si="894">S247*$L247</f>
        <v>0</v>
      </c>
      <c r="U247" s="9"/>
      <c r="V247" s="30">
        <f t="shared" si="715"/>
        <v>0</v>
      </c>
      <c r="W247" s="9">
        <v>1705</v>
      </c>
      <c r="X247" s="30">
        <v>1705</v>
      </c>
      <c r="Y247" s="9"/>
      <c r="Z247" s="30">
        <f t="shared" si="716"/>
        <v>0</v>
      </c>
      <c r="AA247" s="9"/>
      <c r="AB247" s="30">
        <f t="shared" si="717"/>
        <v>0</v>
      </c>
      <c r="AC247" s="9">
        <v>226</v>
      </c>
      <c r="AD247" s="30">
        <v>226</v>
      </c>
      <c r="AE247" s="9"/>
      <c r="AF247" s="30">
        <f t="shared" si="718"/>
        <v>0</v>
      </c>
      <c r="AG247" s="9"/>
      <c r="AH247" s="30">
        <f t="shared" si="730"/>
        <v>0</v>
      </c>
      <c r="AI247" s="9"/>
      <c r="AJ247" s="30">
        <f t="shared" ref="AJ247" si="895">AI247*$L247</f>
        <v>0</v>
      </c>
      <c r="AK247" s="9"/>
      <c r="AL247" s="30">
        <f t="shared" ref="AL247" si="896">AK247*$L247</f>
        <v>0</v>
      </c>
      <c r="AM247" s="9"/>
      <c r="AN247" s="30">
        <f t="shared" si="721"/>
        <v>0</v>
      </c>
      <c r="AO247" s="9"/>
      <c r="AP247" s="30">
        <f t="shared" si="722"/>
        <v>0</v>
      </c>
      <c r="AQ247" s="9"/>
      <c r="AR247" s="30">
        <f t="shared" si="733"/>
        <v>0</v>
      </c>
      <c r="AS247" s="9"/>
      <c r="AT247" s="30">
        <f t="shared" si="723"/>
        <v>0</v>
      </c>
      <c r="AU247" s="9"/>
      <c r="AV247" s="30">
        <f t="shared" si="724"/>
        <v>0</v>
      </c>
      <c r="AW247" s="9"/>
      <c r="AX247" s="30">
        <f t="shared" si="725"/>
        <v>0</v>
      </c>
      <c r="AY247" s="9"/>
      <c r="AZ247" s="30">
        <f t="shared" si="726"/>
        <v>0</v>
      </c>
      <c r="BA247" s="10">
        <v>1931</v>
      </c>
      <c r="BB247" s="31">
        <v>1931</v>
      </c>
      <c r="BC247" s="15">
        <f t="shared" si="741"/>
        <v>1931</v>
      </c>
      <c r="BD247" s="9">
        <f t="shared" si="742"/>
        <v>0</v>
      </c>
      <c r="BE247" s="28">
        <f t="shared" si="743"/>
        <v>1931</v>
      </c>
      <c r="BF247" s="8">
        <f t="shared" si="744"/>
        <v>0</v>
      </c>
      <c r="BG247" s="29">
        <f t="shared" si="734"/>
        <v>1931</v>
      </c>
      <c r="BH247" s="13">
        <f t="shared" si="745"/>
        <v>0</v>
      </c>
      <c r="BI247" s="2" t="str">
        <f t="shared" si="735"/>
        <v/>
      </c>
      <c r="BJ247" s="2"/>
    </row>
    <row r="248" spans="1:62">
      <c r="A248" s="1" t="s">
        <v>12</v>
      </c>
      <c r="B248" s="3" t="s">
        <v>23</v>
      </c>
      <c r="C248" s="3" t="s">
        <v>45</v>
      </c>
      <c r="D248" s="4">
        <v>1789</v>
      </c>
      <c r="E248" s="3" t="s">
        <v>49</v>
      </c>
      <c r="F248" s="3" t="s">
        <v>49</v>
      </c>
      <c r="G248" s="31">
        <v>24</v>
      </c>
      <c r="H248" s="31" t="s">
        <v>321</v>
      </c>
      <c r="I248" s="5">
        <v>208</v>
      </c>
      <c r="J248" s="5"/>
      <c r="K248" s="6"/>
      <c r="L248" s="11">
        <f t="shared" si="736"/>
        <v>208</v>
      </c>
      <c r="M248" s="7" t="s">
        <v>14</v>
      </c>
      <c r="N248" s="31" t="s">
        <v>16</v>
      </c>
      <c r="O248" s="9">
        <f>1504/100</f>
        <v>15.04</v>
      </c>
      <c r="P248" s="9">
        <v>3128</v>
      </c>
      <c r="Q248" s="9"/>
      <c r="R248" s="30">
        <f t="shared" ref="R248" si="897">Q248*$L248</f>
        <v>0</v>
      </c>
      <c r="S248" s="9"/>
      <c r="T248" s="30">
        <f t="shared" ref="T248" si="898">S248*$L248</f>
        <v>0</v>
      </c>
      <c r="U248" s="9">
        <f>536/100</f>
        <v>5.36</v>
      </c>
      <c r="V248" s="30">
        <v>1115</v>
      </c>
      <c r="W248" s="9">
        <f>1983/100</f>
        <v>19.829999999999998</v>
      </c>
      <c r="X248" s="30">
        <v>4125</v>
      </c>
      <c r="Y248" s="9">
        <f>37641/100</f>
        <v>376.41</v>
      </c>
      <c r="Z248" s="30">
        <v>78293</v>
      </c>
      <c r="AA248" s="9">
        <f>1281/100</f>
        <v>12.81</v>
      </c>
      <c r="AB248" s="30">
        <v>2664</v>
      </c>
      <c r="AC248" s="9"/>
      <c r="AD248" s="30">
        <f t="shared" si="729"/>
        <v>0</v>
      </c>
      <c r="AE248" s="9"/>
      <c r="AF248" s="30">
        <f t="shared" si="718"/>
        <v>0</v>
      </c>
      <c r="AG248" s="9"/>
      <c r="AH248" s="30">
        <f t="shared" si="730"/>
        <v>0</v>
      </c>
      <c r="AI248" s="9"/>
      <c r="AJ248" s="30">
        <f t="shared" ref="AJ248" si="899">AI248*$L248</f>
        <v>0</v>
      </c>
      <c r="AK248" s="9">
        <f>20789/100</f>
        <v>207.89</v>
      </c>
      <c r="AL248" s="30">
        <v>43241</v>
      </c>
      <c r="AM248" s="9">
        <f>2470/100</f>
        <v>24.7</v>
      </c>
      <c r="AN248" s="30">
        <v>5138</v>
      </c>
      <c r="AO248" s="9"/>
      <c r="AP248" s="30">
        <f t="shared" si="722"/>
        <v>0</v>
      </c>
      <c r="AQ248" s="9"/>
      <c r="AR248" s="30">
        <f t="shared" si="733"/>
        <v>0</v>
      </c>
      <c r="AS248" s="9"/>
      <c r="AT248" s="30">
        <f t="shared" si="723"/>
        <v>0</v>
      </c>
      <c r="AU248" s="9"/>
      <c r="AV248" s="30">
        <f t="shared" si="724"/>
        <v>0</v>
      </c>
      <c r="AW248" s="9"/>
      <c r="AX248" s="30">
        <f t="shared" si="725"/>
        <v>0</v>
      </c>
      <c r="AY248" s="9"/>
      <c r="AZ248" s="30">
        <f t="shared" si="726"/>
        <v>0</v>
      </c>
      <c r="BA248" s="10">
        <f>64700/100</f>
        <v>647</v>
      </c>
      <c r="BB248" s="31">
        <v>134576</v>
      </c>
      <c r="BC248" s="15">
        <f t="shared" si="741"/>
        <v>134576</v>
      </c>
      <c r="BD248" s="9">
        <f t="shared" si="742"/>
        <v>0</v>
      </c>
      <c r="BE248" s="28">
        <f t="shared" si="743"/>
        <v>647</v>
      </c>
      <c r="BF248" s="8">
        <f t="shared" si="744"/>
        <v>0</v>
      </c>
      <c r="BG248" s="29">
        <f t="shared" si="734"/>
        <v>134576</v>
      </c>
      <c r="BH248" s="13">
        <f t="shared" si="745"/>
        <v>0</v>
      </c>
      <c r="BI248" s="2" t="str">
        <f t="shared" si="735"/>
        <v/>
      </c>
      <c r="BJ248" s="2"/>
    </row>
    <row r="249" spans="1:62">
      <c r="A249" s="1" t="s">
        <v>12</v>
      </c>
      <c r="B249" s="3" t="s">
        <v>23</v>
      </c>
      <c r="C249" s="3" t="s">
        <v>45</v>
      </c>
      <c r="D249" s="4">
        <v>1789</v>
      </c>
      <c r="E249" s="3" t="s">
        <v>49</v>
      </c>
      <c r="F249" s="3" t="s">
        <v>49</v>
      </c>
      <c r="G249" s="31">
        <v>25</v>
      </c>
      <c r="H249" s="31" t="s">
        <v>323</v>
      </c>
      <c r="I249" s="5">
        <v>30</v>
      </c>
      <c r="J249" s="5"/>
      <c r="K249" s="6"/>
      <c r="L249" s="11">
        <f t="shared" si="736"/>
        <v>30</v>
      </c>
      <c r="M249" s="7" t="s">
        <v>14</v>
      </c>
      <c r="N249" s="31"/>
      <c r="O249" s="9"/>
      <c r="P249" s="9" t="str">
        <f t="shared" si="750"/>
        <v/>
      </c>
      <c r="Q249" s="9">
        <f>888/100</f>
        <v>8.8800000000000008</v>
      </c>
      <c r="R249" s="30">
        <v>266</v>
      </c>
      <c r="S249" s="9"/>
      <c r="T249" s="30">
        <f t="shared" ref="T249" si="900">S249*$L249</f>
        <v>0</v>
      </c>
      <c r="U249" s="9">
        <f>1151/100</f>
        <v>11.51</v>
      </c>
      <c r="V249" s="30">
        <v>345</v>
      </c>
      <c r="W249" s="9"/>
      <c r="X249" s="30">
        <f t="shared" si="728"/>
        <v>0</v>
      </c>
      <c r="Y249" s="9"/>
      <c r="Z249" s="30">
        <f t="shared" si="716"/>
        <v>0</v>
      </c>
      <c r="AA249" s="9"/>
      <c r="AB249" s="30">
        <f t="shared" si="717"/>
        <v>0</v>
      </c>
      <c r="AC249" s="9"/>
      <c r="AD249" s="30">
        <f t="shared" si="729"/>
        <v>0</v>
      </c>
      <c r="AE249" s="9"/>
      <c r="AF249" s="30">
        <f t="shared" si="718"/>
        <v>0</v>
      </c>
      <c r="AG249" s="9"/>
      <c r="AH249" s="30">
        <f t="shared" si="730"/>
        <v>0</v>
      </c>
      <c r="AI249" s="9"/>
      <c r="AJ249" s="30">
        <f t="shared" ref="AJ249" si="901">AI249*$L249</f>
        <v>0</v>
      </c>
      <c r="AK249" s="9"/>
      <c r="AL249" s="30">
        <f t="shared" ref="AL249" si="902">AK249*$L249</f>
        <v>0</v>
      </c>
      <c r="AM249" s="9"/>
      <c r="AN249" s="30">
        <f t="shared" si="721"/>
        <v>0</v>
      </c>
      <c r="AO249" s="9"/>
      <c r="AP249" s="30">
        <f t="shared" si="722"/>
        <v>0</v>
      </c>
      <c r="AQ249" s="9"/>
      <c r="AR249" s="30">
        <f t="shared" si="733"/>
        <v>0</v>
      </c>
      <c r="AS249" s="9"/>
      <c r="AT249" s="30">
        <f t="shared" si="723"/>
        <v>0</v>
      </c>
      <c r="AU249" s="9"/>
      <c r="AV249" s="30">
        <f t="shared" si="724"/>
        <v>0</v>
      </c>
      <c r="AW249" s="9"/>
      <c r="AX249" s="30">
        <f t="shared" si="725"/>
        <v>0</v>
      </c>
      <c r="AY249" s="9"/>
      <c r="AZ249" s="30">
        <f t="shared" si="726"/>
        <v>0</v>
      </c>
      <c r="BA249" s="10">
        <f>2039/100</f>
        <v>20.39</v>
      </c>
      <c r="BB249" s="31">
        <v>611</v>
      </c>
      <c r="BC249" s="15">
        <f t="shared" si="741"/>
        <v>611</v>
      </c>
      <c r="BD249" s="9">
        <f t="shared" si="742"/>
        <v>0</v>
      </c>
      <c r="BE249" s="28">
        <f t="shared" si="743"/>
        <v>20.39</v>
      </c>
      <c r="BF249" s="8">
        <f t="shared" si="744"/>
        <v>0</v>
      </c>
      <c r="BG249" s="29">
        <f t="shared" si="734"/>
        <v>611.70000000000005</v>
      </c>
      <c r="BH249" s="13">
        <f t="shared" si="745"/>
        <v>-0.70000000000004547</v>
      </c>
      <c r="BI249" s="2" t="str">
        <f t="shared" si="735"/>
        <v>erreur de calcul</v>
      </c>
      <c r="BJ249" s="2"/>
    </row>
    <row r="250" spans="1:62">
      <c r="A250" s="1" t="s">
        <v>12</v>
      </c>
      <c r="B250" s="3" t="s">
        <v>23</v>
      </c>
      <c r="C250" s="3" t="s">
        <v>45</v>
      </c>
      <c r="D250" s="4">
        <v>1789</v>
      </c>
      <c r="E250" s="3" t="s">
        <v>49</v>
      </c>
      <c r="F250" s="3" t="s">
        <v>49</v>
      </c>
      <c r="G250" s="31">
        <v>25</v>
      </c>
      <c r="H250" s="31" t="s">
        <v>324</v>
      </c>
      <c r="I250" s="5"/>
      <c r="J250" s="5">
        <v>20</v>
      </c>
      <c r="K250" s="6"/>
      <c r="L250" s="11">
        <f t="shared" si="736"/>
        <v>1</v>
      </c>
      <c r="M250" s="7" t="s">
        <v>15</v>
      </c>
      <c r="N250" s="31"/>
      <c r="O250" s="9"/>
      <c r="P250" s="9" t="str">
        <f t="shared" si="750"/>
        <v/>
      </c>
      <c r="Q250" s="9"/>
      <c r="R250" s="30">
        <f t="shared" ref="R250" si="903">Q250*$L250</f>
        <v>0</v>
      </c>
      <c r="S250" s="9"/>
      <c r="T250" s="30">
        <f t="shared" ref="T250" si="904">S250*$L250</f>
        <v>0</v>
      </c>
      <c r="U250" s="9"/>
      <c r="V250" s="30">
        <f t="shared" si="715"/>
        <v>0</v>
      </c>
      <c r="W250" s="9"/>
      <c r="X250" s="30">
        <f t="shared" si="728"/>
        <v>0</v>
      </c>
      <c r="Y250" s="9"/>
      <c r="Z250" s="30">
        <f t="shared" si="716"/>
        <v>0</v>
      </c>
      <c r="AA250" s="9"/>
      <c r="AB250" s="30">
        <f t="shared" si="717"/>
        <v>0</v>
      </c>
      <c r="AC250" s="9"/>
      <c r="AD250" s="30">
        <f t="shared" si="729"/>
        <v>0</v>
      </c>
      <c r="AE250" s="9"/>
      <c r="AF250" s="30">
        <f t="shared" si="718"/>
        <v>0</v>
      </c>
      <c r="AG250" s="9"/>
      <c r="AH250" s="30">
        <f t="shared" si="730"/>
        <v>0</v>
      </c>
      <c r="AI250" s="9"/>
      <c r="AJ250" s="30">
        <f t="shared" ref="AJ250" si="905">AI250*$L250</f>
        <v>0</v>
      </c>
      <c r="AK250" s="9">
        <v>4241</v>
      </c>
      <c r="AL250" s="30">
        <v>4241</v>
      </c>
      <c r="AM250" s="9"/>
      <c r="AN250" s="30">
        <f t="shared" si="721"/>
        <v>0</v>
      </c>
      <c r="AO250" s="9"/>
      <c r="AP250" s="30">
        <f t="shared" si="722"/>
        <v>0</v>
      </c>
      <c r="AQ250" s="9"/>
      <c r="AR250" s="30">
        <f t="shared" si="733"/>
        <v>0</v>
      </c>
      <c r="AS250" s="9"/>
      <c r="AT250" s="30">
        <f t="shared" si="723"/>
        <v>0</v>
      </c>
      <c r="AU250" s="9"/>
      <c r="AV250" s="30">
        <f t="shared" si="724"/>
        <v>0</v>
      </c>
      <c r="AW250" s="9"/>
      <c r="AX250" s="30">
        <f t="shared" si="725"/>
        <v>0</v>
      </c>
      <c r="AY250" s="9"/>
      <c r="AZ250" s="30">
        <f t="shared" si="726"/>
        <v>0</v>
      </c>
      <c r="BA250" s="10">
        <v>4241</v>
      </c>
      <c r="BB250" s="31">
        <v>4241</v>
      </c>
      <c r="BC250" s="15">
        <f t="shared" si="741"/>
        <v>4241</v>
      </c>
      <c r="BD250" s="9">
        <f t="shared" si="742"/>
        <v>0</v>
      </c>
      <c r="BE250" s="28">
        <f t="shared" si="743"/>
        <v>4241</v>
      </c>
      <c r="BF250" s="8">
        <f t="shared" si="744"/>
        <v>0</v>
      </c>
      <c r="BG250" s="29">
        <f t="shared" si="734"/>
        <v>4241</v>
      </c>
      <c r="BH250" s="13">
        <f t="shared" si="745"/>
        <v>0</v>
      </c>
      <c r="BI250" s="2" t="str">
        <f t="shared" si="735"/>
        <v/>
      </c>
      <c r="BJ250" s="2"/>
    </row>
    <row r="251" spans="1:62">
      <c r="A251" s="1" t="s">
        <v>12</v>
      </c>
      <c r="B251" s="3" t="s">
        <v>23</v>
      </c>
      <c r="C251" s="3" t="s">
        <v>45</v>
      </c>
      <c r="D251" s="4">
        <v>1789</v>
      </c>
      <c r="E251" s="3" t="s">
        <v>49</v>
      </c>
      <c r="F251" s="3" t="s">
        <v>49</v>
      </c>
      <c r="G251" s="31">
        <v>25</v>
      </c>
      <c r="H251" s="31" t="s">
        <v>325</v>
      </c>
      <c r="I251" s="5">
        <v>18</v>
      </c>
      <c r="J251" s="5"/>
      <c r="K251" s="6"/>
      <c r="L251" s="11">
        <f t="shared" si="736"/>
        <v>18</v>
      </c>
      <c r="M251" s="7" t="s">
        <v>15</v>
      </c>
      <c r="N251" s="31" t="s">
        <v>18</v>
      </c>
      <c r="O251" s="9">
        <v>804</v>
      </c>
      <c r="P251" s="9">
        <v>14472</v>
      </c>
      <c r="Q251" s="9"/>
      <c r="R251" s="30">
        <f t="shared" ref="R251" si="906">Q251*$L251</f>
        <v>0</v>
      </c>
      <c r="S251" s="9"/>
      <c r="T251" s="30">
        <f t="shared" ref="T251" si="907">S251*$L251</f>
        <v>0</v>
      </c>
      <c r="U251" s="9"/>
      <c r="V251" s="30">
        <f t="shared" si="715"/>
        <v>0</v>
      </c>
      <c r="W251" s="9"/>
      <c r="X251" s="30">
        <f t="shared" si="728"/>
        <v>0</v>
      </c>
      <c r="Y251" s="9"/>
      <c r="Z251" s="30">
        <f t="shared" si="716"/>
        <v>0</v>
      </c>
      <c r="AA251" s="9"/>
      <c r="AB251" s="30">
        <f t="shared" si="717"/>
        <v>0</v>
      </c>
      <c r="AC251" s="9"/>
      <c r="AD251" s="30">
        <f t="shared" si="729"/>
        <v>0</v>
      </c>
      <c r="AE251" s="9"/>
      <c r="AF251" s="30">
        <f t="shared" si="718"/>
        <v>0</v>
      </c>
      <c r="AG251" s="9"/>
      <c r="AH251" s="30">
        <f t="shared" si="730"/>
        <v>0</v>
      </c>
      <c r="AI251" s="9"/>
      <c r="AJ251" s="30">
        <f t="shared" ref="AJ251" si="908">AI251*$L251</f>
        <v>0</v>
      </c>
      <c r="AK251" s="9"/>
      <c r="AL251" s="30">
        <f t="shared" ref="AL251" si="909">AK251*$L251</f>
        <v>0</v>
      </c>
      <c r="AM251" s="9"/>
      <c r="AN251" s="30">
        <f t="shared" si="721"/>
        <v>0</v>
      </c>
      <c r="AO251" s="9"/>
      <c r="AP251" s="30">
        <f t="shared" si="722"/>
        <v>0</v>
      </c>
      <c r="AQ251" s="9"/>
      <c r="AR251" s="30">
        <f t="shared" si="733"/>
        <v>0</v>
      </c>
      <c r="AS251" s="9"/>
      <c r="AT251" s="30">
        <f t="shared" si="723"/>
        <v>0</v>
      </c>
      <c r="AU251" s="9"/>
      <c r="AV251" s="30">
        <f t="shared" si="724"/>
        <v>0</v>
      </c>
      <c r="AW251" s="9"/>
      <c r="AX251" s="30">
        <f t="shared" si="725"/>
        <v>0</v>
      </c>
      <c r="AY251" s="9"/>
      <c r="AZ251" s="30">
        <f t="shared" si="726"/>
        <v>0</v>
      </c>
      <c r="BA251" s="10"/>
      <c r="BB251" s="31"/>
      <c r="BC251" s="15">
        <f t="shared" si="741"/>
        <v>0</v>
      </c>
      <c r="BD251" s="9">
        <f t="shared" si="742"/>
        <v>0</v>
      </c>
      <c r="BE251" s="28">
        <f t="shared" si="743"/>
        <v>0</v>
      </c>
      <c r="BF251" s="8">
        <f t="shared" si="744"/>
        <v>0</v>
      </c>
      <c r="BG251" s="29">
        <f t="shared" si="734"/>
        <v>0</v>
      </c>
      <c r="BH251" s="13">
        <f t="shared" si="745"/>
        <v>0</v>
      </c>
      <c r="BI251" s="2" t="str">
        <f t="shared" si="735"/>
        <v/>
      </c>
      <c r="BJ251" s="2"/>
    </row>
    <row r="252" spans="1:62">
      <c r="A252" s="1" t="s">
        <v>12</v>
      </c>
      <c r="B252" s="3" t="s">
        <v>23</v>
      </c>
      <c r="C252" s="3" t="s">
        <v>45</v>
      </c>
      <c r="D252" s="4">
        <v>1789</v>
      </c>
      <c r="E252" s="3" t="s">
        <v>49</v>
      </c>
      <c r="F252" s="3" t="s">
        <v>49</v>
      </c>
      <c r="G252" s="31">
        <v>25</v>
      </c>
      <c r="H252" s="31" t="s">
        <v>326</v>
      </c>
      <c r="I252" s="5">
        <v>18</v>
      </c>
      <c r="J252" s="5"/>
      <c r="K252" s="6"/>
      <c r="L252" s="11">
        <f t="shared" si="736"/>
        <v>18</v>
      </c>
      <c r="M252" s="7" t="s">
        <v>15</v>
      </c>
      <c r="N252" s="31" t="s">
        <v>18</v>
      </c>
      <c r="O252" s="9">
        <v>145</v>
      </c>
      <c r="P252" s="9">
        <v>2610</v>
      </c>
      <c r="Q252" s="9"/>
      <c r="R252" s="30">
        <f t="shared" ref="R252" si="910">Q252*$L252</f>
        <v>0</v>
      </c>
      <c r="S252" s="9"/>
      <c r="T252" s="30">
        <f t="shared" ref="T252" si="911">S252*$L252</f>
        <v>0</v>
      </c>
      <c r="U252" s="9"/>
      <c r="V252" s="30">
        <f t="shared" si="715"/>
        <v>0</v>
      </c>
      <c r="W252" s="9"/>
      <c r="X252" s="30">
        <f t="shared" si="728"/>
        <v>0</v>
      </c>
      <c r="Y252" s="9"/>
      <c r="Z252" s="30">
        <f t="shared" si="716"/>
        <v>0</v>
      </c>
      <c r="AA252" s="9"/>
      <c r="AB252" s="30">
        <f t="shared" si="717"/>
        <v>0</v>
      </c>
      <c r="AC252" s="9"/>
      <c r="AD252" s="30">
        <f t="shared" si="729"/>
        <v>0</v>
      </c>
      <c r="AE252" s="9"/>
      <c r="AF252" s="30">
        <f t="shared" si="718"/>
        <v>0</v>
      </c>
      <c r="AG252" s="9"/>
      <c r="AH252" s="30">
        <f t="shared" si="730"/>
        <v>0</v>
      </c>
      <c r="AI252" s="9"/>
      <c r="AJ252" s="30">
        <f t="shared" ref="AJ252" si="912">AI252*$L252</f>
        <v>0</v>
      </c>
      <c r="AK252" s="9"/>
      <c r="AL252" s="30">
        <f t="shared" ref="AL252" si="913">AK252*$L252</f>
        <v>0</v>
      </c>
      <c r="AM252" s="9"/>
      <c r="AN252" s="30">
        <f t="shared" si="721"/>
        <v>0</v>
      </c>
      <c r="AO252" s="9"/>
      <c r="AP252" s="30">
        <f t="shared" si="722"/>
        <v>0</v>
      </c>
      <c r="AQ252" s="9"/>
      <c r="AR252" s="30">
        <f t="shared" si="733"/>
        <v>0</v>
      </c>
      <c r="AS252" s="9"/>
      <c r="AT252" s="30">
        <f t="shared" si="723"/>
        <v>0</v>
      </c>
      <c r="AU252" s="9"/>
      <c r="AV252" s="30">
        <f t="shared" si="724"/>
        <v>0</v>
      </c>
      <c r="AW252" s="9"/>
      <c r="AX252" s="30">
        <f t="shared" si="725"/>
        <v>0</v>
      </c>
      <c r="AY252" s="9"/>
      <c r="AZ252" s="30">
        <f t="shared" si="726"/>
        <v>0</v>
      </c>
      <c r="BA252" s="10"/>
      <c r="BB252" s="31"/>
      <c r="BC252" s="15">
        <f t="shared" si="741"/>
        <v>0</v>
      </c>
      <c r="BD252" s="9">
        <f t="shared" si="742"/>
        <v>0</v>
      </c>
      <c r="BE252" s="28">
        <f t="shared" si="743"/>
        <v>0</v>
      </c>
      <c r="BF252" s="8">
        <f t="shared" si="744"/>
        <v>0</v>
      </c>
      <c r="BG252" s="29">
        <f t="shared" si="734"/>
        <v>0</v>
      </c>
      <c r="BH252" s="13">
        <f t="shared" si="745"/>
        <v>0</v>
      </c>
      <c r="BI252" s="2" t="str">
        <f t="shared" si="735"/>
        <v/>
      </c>
      <c r="BJ252" s="2"/>
    </row>
    <row r="253" spans="1:62">
      <c r="A253" s="1" t="s">
        <v>12</v>
      </c>
      <c r="B253" s="3" t="s">
        <v>23</v>
      </c>
      <c r="C253" s="3" t="s">
        <v>45</v>
      </c>
      <c r="D253" s="4">
        <v>1789</v>
      </c>
      <c r="E253" s="3" t="s">
        <v>49</v>
      </c>
      <c r="F253" s="3" t="s">
        <v>49</v>
      </c>
      <c r="G253" s="31">
        <v>25</v>
      </c>
      <c r="H253" s="31" t="s">
        <v>327</v>
      </c>
      <c r="I253" s="5">
        <v>44</v>
      </c>
      <c r="J253" s="5"/>
      <c r="K253" s="6"/>
      <c r="L253" s="11">
        <f t="shared" si="736"/>
        <v>44</v>
      </c>
      <c r="M253" s="7" t="s">
        <v>15</v>
      </c>
      <c r="N253" s="31"/>
      <c r="O253" s="9"/>
      <c r="P253" s="9" t="str">
        <f t="shared" si="750"/>
        <v/>
      </c>
      <c r="Q253" s="9">
        <v>1391</v>
      </c>
      <c r="R253" s="30">
        <v>61204</v>
      </c>
      <c r="S253" s="9"/>
      <c r="T253" s="30">
        <f t="shared" ref="T253" si="914">S253*$L253</f>
        <v>0</v>
      </c>
      <c r="U253" s="9"/>
      <c r="V253" s="30">
        <f t="shared" si="715"/>
        <v>0</v>
      </c>
      <c r="W253" s="9"/>
      <c r="X253" s="30">
        <f t="shared" si="728"/>
        <v>0</v>
      </c>
      <c r="Y253" s="9"/>
      <c r="Z253" s="30">
        <f t="shared" si="716"/>
        <v>0</v>
      </c>
      <c r="AA253" s="9"/>
      <c r="AB253" s="30">
        <f t="shared" si="717"/>
        <v>0</v>
      </c>
      <c r="AC253" s="9"/>
      <c r="AD253" s="30">
        <f t="shared" si="729"/>
        <v>0</v>
      </c>
      <c r="AE253" s="9"/>
      <c r="AF253" s="30">
        <f t="shared" si="718"/>
        <v>0</v>
      </c>
      <c r="AG253" s="9"/>
      <c r="AH253" s="30">
        <f t="shared" si="730"/>
        <v>0</v>
      </c>
      <c r="AI253" s="9"/>
      <c r="AJ253" s="30">
        <f t="shared" ref="AJ253" si="915">AI253*$L253</f>
        <v>0</v>
      </c>
      <c r="AK253" s="9"/>
      <c r="AL253" s="30">
        <f t="shared" ref="AL253" si="916">AK253*$L253</f>
        <v>0</v>
      </c>
      <c r="AM253" s="9"/>
      <c r="AN253" s="30">
        <f t="shared" si="721"/>
        <v>0</v>
      </c>
      <c r="AO253" s="9"/>
      <c r="AP253" s="30">
        <f t="shared" si="722"/>
        <v>0</v>
      </c>
      <c r="AQ253" s="9"/>
      <c r="AR253" s="30">
        <f t="shared" si="733"/>
        <v>0</v>
      </c>
      <c r="AS253" s="9"/>
      <c r="AT253" s="30">
        <f t="shared" si="723"/>
        <v>0</v>
      </c>
      <c r="AU253" s="9"/>
      <c r="AV253" s="30">
        <f t="shared" si="724"/>
        <v>0</v>
      </c>
      <c r="AW253" s="9"/>
      <c r="AX253" s="30">
        <f t="shared" si="725"/>
        <v>0</v>
      </c>
      <c r="AY253" s="9"/>
      <c r="AZ253" s="30">
        <f t="shared" si="726"/>
        <v>0</v>
      </c>
      <c r="BA253" s="10">
        <v>1391</v>
      </c>
      <c r="BB253" s="31">
        <v>61204</v>
      </c>
      <c r="BC253" s="15">
        <f t="shared" si="741"/>
        <v>61204</v>
      </c>
      <c r="BD253" s="9">
        <f t="shared" si="742"/>
        <v>0</v>
      </c>
      <c r="BE253" s="28">
        <f t="shared" si="743"/>
        <v>1391</v>
      </c>
      <c r="BF253" s="8">
        <f t="shared" si="744"/>
        <v>0</v>
      </c>
      <c r="BG253" s="29">
        <f t="shared" si="734"/>
        <v>61204</v>
      </c>
      <c r="BH253" s="13">
        <f t="shared" si="745"/>
        <v>0</v>
      </c>
      <c r="BI253" s="2" t="str">
        <f t="shared" si="735"/>
        <v/>
      </c>
      <c r="BJ253" s="2"/>
    </row>
    <row r="254" spans="1:62">
      <c r="A254" s="1" t="s">
        <v>12</v>
      </c>
      <c r="B254" s="3" t="s">
        <v>23</v>
      </c>
      <c r="C254" s="3" t="s">
        <v>45</v>
      </c>
      <c r="D254" s="4">
        <v>1789</v>
      </c>
      <c r="E254" s="3" t="s">
        <v>49</v>
      </c>
      <c r="F254" s="3" t="s">
        <v>49</v>
      </c>
      <c r="G254" s="31">
        <v>25</v>
      </c>
      <c r="H254" s="31" t="s">
        <v>328</v>
      </c>
      <c r="I254" s="5">
        <v>12</v>
      </c>
      <c r="J254" s="5"/>
      <c r="K254" s="6"/>
      <c r="L254" s="11">
        <f t="shared" si="736"/>
        <v>12</v>
      </c>
      <c r="M254" s="7" t="s">
        <v>14</v>
      </c>
      <c r="N254" s="31"/>
      <c r="O254" s="9"/>
      <c r="P254" s="9" t="str">
        <f t="shared" si="750"/>
        <v/>
      </c>
      <c r="Q254" s="9"/>
      <c r="R254" s="30">
        <f t="shared" ref="R254" si="917">Q254*$L254</f>
        <v>0</v>
      </c>
      <c r="S254" s="9"/>
      <c r="T254" s="30">
        <f t="shared" ref="T254" si="918">S254*$L254</f>
        <v>0</v>
      </c>
      <c r="U254" s="9"/>
      <c r="V254" s="30">
        <f t="shared" si="715"/>
        <v>0</v>
      </c>
      <c r="W254" s="9"/>
      <c r="X254" s="30">
        <f t="shared" si="728"/>
        <v>0</v>
      </c>
      <c r="Y254" s="9">
        <f>1111/100</f>
        <v>11.11</v>
      </c>
      <c r="Z254" s="30">
        <v>133</v>
      </c>
      <c r="AA254" s="9"/>
      <c r="AB254" s="30">
        <f t="shared" si="717"/>
        <v>0</v>
      </c>
      <c r="AC254" s="9"/>
      <c r="AD254" s="30">
        <f t="shared" si="729"/>
        <v>0</v>
      </c>
      <c r="AE254" s="9"/>
      <c r="AF254" s="30">
        <f t="shared" si="718"/>
        <v>0</v>
      </c>
      <c r="AG254" s="9"/>
      <c r="AH254" s="30">
        <f t="shared" si="730"/>
        <v>0</v>
      </c>
      <c r="AI254" s="9"/>
      <c r="AJ254" s="30">
        <f t="shared" ref="AJ254" si="919">AI254*$L254</f>
        <v>0</v>
      </c>
      <c r="AK254" s="9"/>
      <c r="AL254" s="30">
        <f t="shared" ref="AL254" si="920">AK254*$L254</f>
        <v>0</v>
      </c>
      <c r="AM254" s="9"/>
      <c r="AN254" s="30">
        <f t="shared" si="721"/>
        <v>0</v>
      </c>
      <c r="AO254" s="9"/>
      <c r="AP254" s="30">
        <f t="shared" si="722"/>
        <v>0</v>
      </c>
      <c r="AQ254" s="9"/>
      <c r="AR254" s="30">
        <f t="shared" si="733"/>
        <v>0</v>
      </c>
      <c r="AS254" s="9"/>
      <c r="AT254" s="30">
        <f t="shared" si="723"/>
        <v>0</v>
      </c>
      <c r="AU254" s="9"/>
      <c r="AV254" s="30">
        <f t="shared" si="724"/>
        <v>0</v>
      </c>
      <c r="AW254" s="9"/>
      <c r="AX254" s="30">
        <f t="shared" si="725"/>
        <v>0</v>
      </c>
      <c r="AY254" s="9"/>
      <c r="AZ254" s="30">
        <f t="shared" si="726"/>
        <v>0</v>
      </c>
      <c r="BA254" s="10">
        <f>1111/100</f>
        <v>11.11</v>
      </c>
      <c r="BB254" s="31">
        <v>133</v>
      </c>
      <c r="BC254" s="15">
        <f t="shared" si="741"/>
        <v>133</v>
      </c>
      <c r="BD254" s="9">
        <f t="shared" si="742"/>
        <v>0</v>
      </c>
      <c r="BE254" s="28">
        <f t="shared" si="743"/>
        <v>11.11</v>
      </c>
      <c r="BF254" s="8">
        <f t="shared" si="744"/>
        <v>0</v>
      </c>
      <c r="BG254" s="29">
        <f t="shared" si="734"/>
        <v>133.32</v>
      </c>
      <c r="BH254" s="13">
        <f t="shared" si="745"/>
        <v>-0.31999999999999318</v>
      </c>
      <c r="BI254" s="2" t="str">
        <f t="shared" si="735"/>
        <v>erreur de calcul</v>
      </c>
      <c r="BJ254" s="2"/>
    </row>
    <row r="255" spans="1:62">
      <c r="A255" s="1" t="s">
        <v>12</v>
      </c>
      <c r="B255" s="3" t="s">
        <v>23</v>
      </c>
      <c r="C255" s="3" t="s">
        <v>45</v>
      </c>
      <c r="D255" s="4">
        <v>1789</v>
      </c>
      <c r="E255" s="3" t="s">
        <v>49</v>
      </c>
      <c r="F255" s="3" t="s">
        <v>49</v>
      </c>
      <c r="G255" s="31">
        <v>25</v>
      </c>
      <c r="H255" s="31" t="s">
        <v>329</v>
      </c>
      <c r="I255" s="5">
        <v>4</v>
      </c>
      <c r="J255" s="5">
        <v>10</v>
      </c>
      <c r="K255" s="6"/>
      <c r="L255" s="11">
        <f t="shared" si="736"/>
        <v>4.5</v>
      </c>
      <c r="M255" s="7" t="s">
        <v>14</v>
      </c>
      <c r="N255" s="31" t="s">
        <v>84</v>
      </c>
      <c r="O255" s="9">
        <f>2334/100</f>
        <v>23.34</v>
      </c>
      <c r="P255" s="9">
        <v>105</v>
      </c>
      <c r="Q255" s="9">
        <f>8366/100</f>
        <v>83.66</v>
      </c>
      <c r="R255" s="30">
        <v>376</v>
      </c>
      <c r="S255" s="9"/>
      <c r="T255" s="30">
        <f t="shared" ref="T255" si="921">S255*$L255</f>
        <v>0</v>
      </c>
      <c r="U255" s="9"/>
      <c r="V255" s="30">
        <f t="shared" si="715"/>
        <v>0</v>
      </c>
      <c r="W255" s="9"/>
      <c r="X255" s="30">
        <f t="shared" si="728"/>
        <v>0</v>
      </c>
      <c r="Y255" s="9"/>
      <c r="Z255" s="30">
        <f t="shared" si="716"/>
        <v>0</v>
      </c>
      <c r="AA255" s="9"/>
      <c r="AB255" s="30">
        <f t="shared" si="717"/>
        <v>0</v>
      </c>
      <c r="AC255" s="9"/>
      <c r="AD255" s="30">
        <f t="shared" si="729"/>
        <v>0</v>
      </c>
      <c r="AE255" s="9"/>
      <c r="AF255" s="30">
        <f t="shared" si="718"/>
        <v>0</v>
      </c>
      <c r="AG255" s="9"/>
      <c r="AH255" s="30">
        <f t="shared" si="730"/>
        <v>0</v>
      </c>
      <c r="AI255" s="9"/>
      <c r="AJ255" s="30">
        <f t="shared" ref="AJ255" si="922">AI255*$L255</f>
        <v>0</v>
      </c>
      <c r="AK255" s="9"/>
      <c r="AL255" s="30">
        <f t="shared" ref="AL255" si="923">AK255*$L255</f>
        <v>0</v>
      </c>
      <c r="AM255" s="9"/>
      <c r="AN255" s="30">
        <f t="shared" si="721"/>
        <v>0</v>
      </c>
      <c r="AO255" s="9"/>
      <c r="AP255" s="30">
        <f t="shared" si="722"/>
        <v>0</v>
      </c>
      <c r="AQ255" s="9"/>
      <c r="AR255" s="30">
        <f t="shared" si="733"/>
        <v>0</v>
      </c>
      <c r="AS255" s="9"/>
      <c r="AT255" s="30">
        <f t="shared" si="723"/>
        <v>0</v>
      </c>
      <c r="AU255" s="9"/>
      <c r="AV255" s="30">
        <f t="shared" si="724"/>
        <v>0</v>
      </c>
      <c r="AW255" s="9"/>
      <c r="AX255" s="30">
        <f t="shared" si="725"/>
        <v>0</v>
      </c>
      <c r="AY255" s="9"/>
      <c r="AZ255" s="30">
        <f t="shared" si="726"/>
        <v>0</v>
      </c>
      <c r="BA255" s="10">
        <f>8366/100</f>
        <v>83.66</v>
      </c>
      <c r="BB255" s="31">
        <v>376</v>
      </c>
      <c r="BC255" s="15">
        <f t="shared" si="741"/>
        <v>376</v>
      </c>
      <c r="BD255" s="9">
        <f t="shared" si="742"/>
        <v>0</v>
      </c>
      <c r="BE255" s="28">
        <f t="shared" si="743"/>
        <v>83.66</v>
      </c>
      <c r="BF255" s="8">
        <f t="shared" si="744"/>
        <v>0</v>
      </c>
      <c r="BG255" s="29">
        <f t="shared" si="734"/>
        <v>376.46999999999997</v>
      </c>
      <c r="BH255" s="13">
        <f t="shared" si="745"/>
        <v>-0.46999999999997044</v>
      </c>
      <c r="BI255" s="2" t="str">
        <f t="shared" si="735"/>
        <v>erreur de calcul</v>
      </c>
      <c r="BJ255" s="2"/>
    </row>
    <row r="256" spans="1:62">
      <c r="A256" s="1" t="s">
        <v>12</v>
      </c>
      <c r="B256" s="3" t="s">
        <v>23</v>
      </c>
      <c r="C256" s="3" t="s">
        <v>45</v>
      </c>
      <c r="D256" s="4">
        <v>1789</v>
      </c>
      <c r="E256" s="3" t="s">
        <v>49</v>
      </c>
      <c r="F256" s="3" t="s">
        <v>49</v>
      </c>
      <c r="G256" s="31">
        <v>25</v>
      </c>
      <c r="H256" s="31" t="s">
        <v>330</v>
      </c>
      <c r="I256" s="5">
        <v>64</v>
      </c>
      <c r="J256" s="5"/>
      <c r="K256" s="6"/>
      <c r="L256" s="11">
        <f t="shared" si="736"/>
        <v>64</v>
      </c>
      <c r="M256" s="7" t="s">
        <v>331</v>
      </c>
      <c r="N256" s="31"/>
      <c r="O256" s="9"/>
      <c r="P256" s="9" t="str">
        <f t="shared" si="750"/>
        <v/>
      </c>
      <c r="Q256" s="9"/>
      <c r="R256" s="30">
        <f t="shared" ref="R256" si="924">Q256*$L256</f>
        <v>0</v>
      </c>
      <c r="S256" s="9"/>
      <c r="T256" s="30">
        <f t="shared" ref="T256" si="925">S256*$L256</f>
        <v>0</v>
      </c>
      <c r="U256" s="9">
        <v>42</v>
      </c>
      <c r="V256" s="30">
        <v>2688</v>
      </c>
      <c r="W256" s="9"/>
      <c r="X256" s="30">
        <f t="shared" si="728"/>
        <v>0</v>
      </c>
      <c r="Y256" s="9"/>
      <c r="Z256" s="30">
        <f t="shared" si="716"/>
        <v>0</v>
      </c>
      <c r="AA256" s="9"/>
      <c r="AB256" s="30">
        <f t="shared" si="717"/>
        <v>0</v>
      </c>
      <c r="AC256" s="9">
        <v>66</v>
      </c>
      <c r="AD256" s="30">
        <v>4224</v>
      </c>
      <c r="AE256" s="9"/>
      <c r="AF256" s="30">
        <f t="shared" si="718"/>
        <v>0</v>
      </c>
      <c r="AG256" s="9"/>
      <c r="AH256" s="30">
        <f t="shared" si="730"/>
        <v>0</v>
      </c>
      <c r="AI256" s="9"/>
      <c r="AJ256" s="30">
        <f t="shared" ref="AJ256" si="926">AI256*$L256</f>
        <v>0</v>
      </c>
      <c r="AK256" s="9"/>
      <c r="AL256" s="30">
        <f t="shared" ref="AL256" si="927">AK256*$L256</f>
        <v>0</v>
      </c>
      <c r="AM256" s="9"/>
      <c r="AN256" s="30">
        <f t="shared" si="721"/>
        <v>0</v>
      </c>
      <c r="AO256" s="9"/>
      <c r="AP256" s="30">
        <f t="shared" si="722"/>
        <v>0</v>
      </c>
      <c r="AQ256" s="9"/>
      <c r="AR256" s="30">
        <f t="shared" si="733"/>
        <v>0</v>
      </c>
      <c r="AS256" s="9"/>
      <c r="AT256" s="30">
        <f t="shared" si="723"/>
        <v>0</v>
      </c>
      <c r="AU256" s="9"/>
      <c r="AV256" s="30">
        <f t="shared" si="724"/>
        <v>0</v>
      </c>
      <c r="AW256" s="9"/>
      <c r="AX256" s="30">
        <f t="shared" si="725"/>
        <v>0</v>
      </c>
      <c r="AY256" s="9"/>
      <c r="AZ256" s="30">
        <f t="shared" si="726"/>
        <v>0</v>
      </c>
      <c r="BA256" s="10">
        <v>108</v>
      </c>
      <c r="BB256" s="31">
        <v>6912</v>
      </c>
      <c r="BC256" s="15">
        <f t="shared" si="741"/>
        <v>6912</v>
      </c>
      <c r="BD256" s="9">
        <f t="shared" si="742"/>
        <v>0</v>
      </c>
      <c r="BE256" s="28">
        <f t="shared" si="743"/>
        <v>108</v>
      </c>
      <c r="BF256" s="8">
        <f t="shared" si="744"/>
        <v>0</v>
      </c>
      <c r="BG256" s="29">
        <f t="shared" si="734"/>
        <v>6912</v>
      </c>
      <c r="BH256" s="13">
        <f t="shared" si="745"/>
        <v>0</v>
      </c>
      <c r="BI256" s="2" t="str">
        <f t="shared" si="735"/>
        <v/>
      </c>
      <c r="BJ256" s="2"/>
    </row>
    <row r="257" spans="1:62">
      <c r="A257" s="1" t="s">
        <v>12</v>
      </c>
      <c r="B257" s="3" t="s">
        <v>23</v>
      </c>
      <c r="C257" s="3" t="s">
        <v>45</v>
      </c>
      <c r="D257" s="4">
        <v>1789</v>
      </c>
      <c r="E257" s="3" t="s">
        <v>49</v>
      </c>
      <c r="F257" s="3" t="s">
        <v>49</v>
      </c>
      <c r="G257" s="31">
        <v>25</v>
      </c>
      <c r="H257" s="31" t="s">
        <v>332</v>
      </c>
      <c r="I257" s="5"/>
      <c r="J257" s="5"/>
      <c r="K257" s="6"/>
      <c r="L257" s="11">
        <f t="shared" si="736"/>
        <v>0</v>
      </c>
      <c r="M257" s="7"/>
      <c r="N257" s="31"/>
      <c r="O257" s="9"/>
      <c r="P257" s="9" t="str">
        <f t="shared" si="750"/>
        <v/>
      </c>
      <c r="Q257" s="9"/>
      <c r="R257" s="30">
        <f t="shared" ref="R257" si="928">Q257*$L257</f>
        <v>0</v>
      </c>
      <c r="S257" s="9"/>
      <c r="T257" s="30">
        <f t="shared" ref="T257" si="929">S257*$L257</f>
        <v>0</v>
      </c>
      <c r="U257" s="9"/>
      <c r="V257" s="30">
        <v>135</v>
      </c>
      <c r="W257" s="9"/>
      <c r="X257" s="30">
        <v>642</v>
      </c>
      <c r="Y257" s="9"/>
      <c r="Z257" s="30">
        <f t="shared" si="716"/>
        <v>0</v>
      </c>
      <c r="AA257" s="9"/>
      <c r="AB257" s="30">
        <f t="shared" si="717"/>
        <v>0</v>
      </c>
      <c r="AC257" s="9"/>
      <c r="AD257" s="30">
        <f t="shared" si="729"/>
        <v>0</v>
      </c>
      <c r="AE257" s="9"/>
      <c r="AF257" s="30">
        <f t="shared" si="718"/>
        <v>0</v>
      </c>
      <c r="AG257" s="9"/>
      <c r="AH257" s="30">
        <f t="shared" si="730"/>
        <v>0</v>
      </c>
      <c r="AI257" s="9"/>
      <c r="AJ257" s="30">
        <f t="shared" ref="AJ257" si="930">AI257*$L257</f>
        <v>0</v>
      </c>
      <c r="AK257" s="9"/>
      <c r="AL257" s="30">
        <v>375</v>
      </c>
      <c r="AM257" s="9"/>
      <c r="AN257" s="30">
        <f t="shared" si="721"/>
        <v>0</v>
      </c>
      <c r="AO257" s="9"/>
      <c r="AP257" s="30">
        <f t="shared" si="722"/>
        <v>0</v>
      </c>
      <c r="AQ257" s="9"/>
      <c r="AR257" s="30">
        <f t="shared" si="733"/>
        <v>0</v>
      </c>
      <c r="AS257" s="9"/>
      <c r="AT257" s="30">
        <f t="shared" si="723"/>
        <v>0</v>
      </c>
      <c r="AU257" s="9"/>
      <c r="AV257" s="30">
        <f t="shared" si="724"/>
        <v>0</v>
      </c>
      <c r="AW257" s="9"/>
      <c r="AX257" s="30">
        <v>765</v>
      </c>
      <c r="AY257" s="9"/>
      <c r="AZ257" s="30">
        <f t="shared" si="726"/>
        <v>0</v>
      </c>
      <c r="BA257" s="10"/>
      <c r="BB257" s="31">
        <v>1917</v>
      </c>
      <c r="BC257" s="15">
        <f t="shared" si="741"/>
        <v>1917</v>
      </c>
      <c r="BD257" s="9">
        <f t="shared" si="742"/>
        <v>0</v>
      </c>
      <c r="BE257" s="28">
        <f t="shared" si="743"/>
        <v>0</v>
      </c>
      <c r="BF257" s="8">
        <f t="shared" si="744"/>
        <v>0</v>
      </c>
      <c r="BG257" s="29">
        <f t="shared" si="734"/>
        <v>0</v>
      </c>
      <c r="BH257" s="13">
        <f t="shared" si="745"/>
        <v>1917</v>
      </c>
      <c r="BI257" s="2" t="str">
        <f t="shared" si="735"/>
        <v>pas de prix, ni de quantité</v>
      </c>
      <c r="BJ257" s="2"/>
    </row>
    <row r="258" spans="1:62">
      <c r="A258" s="1" t="s">
        <v>12</v>
      </c>
      <c r="B258" s="3" t="s">
        <v>23</v>
      </c>
      <c r="C258" s="3" t="s">
        <v>45</v>
      </c>
      <c r="D258" s="4">
        <v>1789</v>
      </c>
      <c r="E258" s="3" t="s">
        <v>49</v>
      </c>
      <c r="F258" s="3" t="s">
        <v>49</v>
      </c>
      <c r="G258" s="31">
        <v>25</v>
      </c>
      <c r="H258" s="31" t="s">
        <v>333</v>
      </c>
      <c r="I258" s="5">
        <v>7</v>
      </c>
      <c r="J258" s="5"/>
      <c r="K258" s="6"/>
      <c r="L258" s="11">
        <f t="shared" si="736"/>
        <v>7</v>
      </c>
      <c r="M258" s="7" t="s">
        <v>36</v>
      </c>
      <c r="N258" s="31"/>
      <c r="O258" s="9"/>
      <c r="P258" s="9" t="str">
        <f t="shared" si="750"/>
        <v/>
      </c>
      <c r="Q258" s="9"/>
      <c r="R258" s="30">
        <f t="shared" ref="R258" si="931">Q258*$L258</f>
        <v>0</v>
      </c>
      <c r="S258" s="9"/>
      <c r="T258" s="30">
        <f t="shared" ref="T258" si="932">S258*$L258</f>
        <v>0</v>
      </c>
      <c r="U258" s="9"/>
      <c r="V258" s="30">
        <f t="shared" si="715"/>
        <v>0</v>
      </c>
      <c r="W258" s="9">
        <v>554</v>
      </c>
      <c r="X258" s="30">
        <v>3878</v>
      </c>
      <c r="Y258" s="9"/>
      <c r="Z258" s="30">
        <f t="shared" si="716"/>
        <v>0</v>
      </c>
      <c r="AA258" s="9"/>
      <c r="AB258" s="30">
        <f t="shared" si="717"/>
        <v>0</v>
      </c>
      <c r="AC258" s="9"/>
      <c r="AD258" s="30">
        <f t="shared" si="729"/>
        <v>0</v>
      </c>
      <c r="AE258" s="9"/>
      <c r="AF258" s="30">
        <f t="shared" si="718"/>
        <v>0</v>
      </c>
      <c r="AG258" s="9"/>
      <c r="AH258" s="30">
        <f t="shared" si="730"/>
        <v>0</v>
      </c>
      <c r="AI258" s="9"/>
      <c r="AJ258" s="30">
        <f t="shared" ref="AJ258" si="933">AI258*$L258</f>
        <v>0</v>
      </c>
      <c r="AK258" s="9"/>
      <c r="AL258" s="30">
        <f t="shared" ref="AL258" si="934">AK258*$L258</f>
        <v>0</v>
      </c>
      <c r="AM258" s="9"/>
      <c r="AN258" s="30">
        <f t="shared" si="721"/>
        <v>0</v>
      </c>
      <c r="AO258" s="9"/>
      <c r="AP258" s="30">
        <f t="shared" si="722"/>
        <v>0</v>
      </c>
      <c r="AQ258" s="9"/>
      <c r="AR258" s="30">
        <f t="shared" si="733"/>
        <v>0</v>
      </c>
      <c r="AS258" s="9"/>
      <c r="AT258" s="30">
        <f t="shared" si="723"/>
        <v>0</v>
      </c>
      <c r="AU258" s="9"/>
      <c r="AV258" s="30">
        <f t="shared" si="724"/>
        <v>0</v>
      </c>
      <c r="AW258" s="9"/>
      <c r="AX258" s="30">
        <f t="shared" si="725"/>
        <v>0</v>
      </c>
      <c r="AY258" s="9"/>
      <c r="AZ258" s="30">
        <f t="shared" si="726"/>
        <v>0</v>
      </c>
      <c r="BA258" s="10">
        <v>554</v>
      </c>
      <c r="BB258" s="31">
        <v>3878</v>
      </c>
      <c r="BC258" s="15">
        <f t="shared" si="741"/>
        <v>3878</v>
      </c>
      <c r="BD258" s="9">
        <f t="shared" si="742"/>
        <v>0</v>
      </c>
      <c r="BE258" s="28">
        <f t="shared" si="743"/>
        <v>554</v>
      </c>
      <c r="BF258" s="8">
        <f t="shared" si="744"/>
        <v>0</v>
      </c>
      <c r="BG258" s="29">
        <f t="shared" si="734"/>
        <v>3878</v>
      </c>
      <c r="BH258" s="13">
        <f t="shared" si="745"/>
        <v>0</v>
      </c>
      <c r="BI258" s="2" t="str">
        <f t="shared" si="735"/>
        <v/>
      </c>
      <c r="BJ258" s="2"/>
    </row>
    <row r="259" spans="1:62">
      <c r="A259" s="1" t="s">
        <v>12</v>
      </c>
      <c r="B259" s="3" t="s">
        <v>23</v>
      </c>
      <c r="C259" s="3" t="s">
        <v>45</v>
      </c>
      <c r="D259" s="4">
        <v>1789</v>
      </c>
      <c r="E259" s="3" t="s">
        <v>49</v>
      </c>
      <c r="F259" s="3" t="s">
        <v>49</v>
      </c>
      <c r="G259" s="31">
        <v>25</v>
      </c>
      <c r="H259" s="31" t="s">
        <v>334</v>
      </c>
      <c r="I259" s="5">
        <v>15</v>
      </c>
      <c r="J259" s="5"/>
      <c r="K259" s="6"/>
      <c r="L259" s="11">
        <f t="shared" si="736"/>
        <v>15</v>
      </c>
      <c r="M259" s="7" t="s">
        <v>14</v>
      </c>
      <c r="N259" s="31"/>
      <c r="O259" s="9"/>
      <c r="P259" s="9" t="str">
        <f t="shared" si="750"/>
        <v/>
      </c>
      <c r="Q259" s="9">
        <f>470959/100</f>
        <v>4709.59</v>
      </c>
      <c r="R259" s="30">
        <v>70644</v>
      </c>
      <c r="S259" s="9"/>
      <c r="T259" s="30">
        <f t="shared" ref="T259" si="935">S259*$L259</f>
        <v>0</v>
      </c>
      <c r="U259" s="9"/>
      <c r="V259" s="30">
        <f t="shared" si="715"/>
        <v>0</v>
      </c>
      <c r="W259" s="9"/>
      <c r="X259" s="30">
        <f t="shared" si="728"/>
        <v>0</v>
      </c>
      <c r="Y259" s="9"/>
      <c r="Z259" s="30">
        <f t="shared" si="716"/>
        <v>0</v>
      </c>
      <c r="AA259" s="9"/>
      <c r="AB259" s="30">
        <f t="shared" si="717"/>
        <v>0</v>
      </c>
      <c r="AC259" s="9">
        <f>50000/100</f>
        <v>500</v>
      </c>
      <c r="AD259" s="30">
        <v>7500</v>
      </c>
      <c r="AE259" s="9"/>
      <c r="AF259" s="30">
        <f t="shared" si="718"/>
        <v>0</v>
      </c>
      <c r="AG259" s="9">
        <f>15584/100</f>
        <v>155.84</v>
      </c>
      <c r="AH259" s="30">
        <v>2338</v>
      </c>
      <c r="AI259" s="9"/>
      <c r="AJ259" s="30">
        <f t="shared" ref="AJ259" si="936">AI259*$L259</f>
        <v>0</v>
      </c>
      <c r="AK259" s="9"/>
      <c r="AL259" s="30">
        <f t="shared" ref="AL259" si="937">AK259*$L259</f>
        <v>0</v>
      </c>
      <c r="AM259" s="9"/>
      <c r="AN259" s="30">
        <f t="shared" si="721"/>
        <v>0</v>
      </c>
      <c r="AO259" s="9"/>
      <c r="AP259" s="30">
        <f t="shared" si="722"/>
        <v>0</v>
      </c>
      <c r="AQ259" s="9"/>
      <c r="AR259" s="30">
        <f t="shared" si="733"/>
        <v>0</v>
      </c>
      <c r="AS259" s="9"/>
      <c r="AT259" s="30">
        <f t="shared" si="723"/>
        <v>0</v>
      </c>
      <c r="AU259" s="9"/>
      <c r="AV259" s="30">
        <f t="shared" si="724"/>
        <v>0</v>
      </c>
      <c r="AW259" s="9"/>
      <c r="AX259" s="30">
        <f t="shared" si="725"/>
        <v>0</v>
      </c>
      <c r="AY259" s="9"/>
      <c r="AZ259" s="30">
        <f t="shared" si="726"/>
        <v>0</v>
      </c>
      <c r="BA259" s="10">
        <f>535959/100</f>
        <v>5359.59</v>
      </c>
      <c r="BB259" s="31">
        <v>80482</v>
      </c>
      <c r="BC259" s="15">
        <f t="shared" si="741"/>
        <v>80482</v>
      </c>
      <c r="BD259" s="9">
        <f t="shared" si="742"/>
        <v>0</v>
      </c>
      <c r="BE259" s="28">
        <f t="shared" si="743"/>
        <v>5365.43</v>
      </c>
      <c r="BF259" s="8">
        <f t="shared" si="744"/>
        <v>-5.8400000000001455</v>
      </c>
      <c r="BG259" s="29">
        <f t="shared" si="734"/>
        <v>80481.450000000012</v>
      </c>
      <c r="BH259" s="13">
        <f t="shared" si="745"/>
        <v>0.54999999998835847</v>
      </c>
      <c r="BI259" s="2" t="str">
        <f t="shared" si="735"/>
        <v>erreur de calcul</v>
      </c>
      <c r="BJ259" s="2"/>
    </row>
    <row r="260" spans="1:62">
      <c r="A260" s="1" t="s">
        <v>12</v>
      </c>
      <c r="B260" s="3" t="s">
        <v>23</v>
      </c>
      <c r="C260" s="3" t="s">
        <v>45</v>
      </c>
      <c r="D260" s="4">
        <v>1789</v>
      </c>
      <c r="E260" s="3" t="s">
        <v>49</v>
      </c>
      <c r="F260" s="3" t="s">
        <v>49</v>
      </c>
      <c r="G260" s="31">
        <v>25</v>
      </c>
      <c r="H260" s="31" t="s">
        <v>335</v>
      </c>
      <c r="I260" s="5">
        <v>75</v>
      </c>
      <c r="J260" s="5"/>
      <c r="K260" s="6"/>
      <c r="L260" s="11">
        <f t="shared" si="736"/>
        <v>75</v>
      </c>
      <c r="M260" s="7" t="s">
        <v>46</v>
      </c>
      <c r="N260" s="31"/>
      <c r="O260" s="9"/>
      <c r="P260" s="9" t="str">
        <f t="shared" si="750"/>
        <v/>
      </c>
      <c r="Q260" s="9"/>
      <c r="R260" s="30">
        <f t="shared" ref="R260" si="938">Q260*$L260</f>
        <v>0</v>
      </c>
      <c r="S260" s="9"/>
      <c r="T260" s="30">
        <f t="shared" ref="T260" si="939">S260*$L260</f>
        <v>0</v>
      </c>
      <c r="U260" s="9"/>
      <c r="V260" s="30">
        <f t="shared" si="715"/>
        <v>0</v>
      </c>
      <c r="W260" s="9"/>
      <c r="X260" s="30">
        <f t="shared" si="728"/>
        <v>0</v>
      </c>
      <c r="Y260" s="9"/>
      <c r="Z260" s="30">
        <f t="shared" si="716"/>
        <v>0</v>
      </c>
      <c r="AA260" s="9"/>
      <c r="AB260" s="30">
        <f t="shared" si="717"/>
        <v>0</v>
      </c>
      <c r="AC260" s="9"/>
      <c r="AD260" s="30">
        <f t="shared" si="729"/>
        <v>0</v>
      </c>
      <c r="AE260" s="9"/>
      <c r="AF260" s="30">
        <f t="shared" si="718"/>
        <v>0</v>
      </c>
      <c r="AG260" s="9"/>
      <c r="AH260" s="30">
        <f t="shared" si="730"/>
        <v>0</v>
      </c>
      <c r="AI260" s="9"/>
      <c r="AJ260" s="30">
        <f t="shared" ref="AJ260" si="940">AI260*$L260</f>
        <v>0</v>
      </c>
      <c r="AK260" s="9"/>
      <c r="AL260" s="30">
        <f t="shared" ref="AL260" si="941">AK260*$L260</f>
        <v>0</v>
      </c>
      <c r="AM260" s="9">
        <f>2584/100</f>
        <v>25.84</v>
      </c>
      <c r="AN260" s="30">
        <v>1938</v>
      </c>
      <c r="AO260" s="9"/>
      <c r="AP260" s="30">
        <f t="shared" si="722"/>
        <v>0</v>
      </c>
      <c r="AQ260" s="9"/>
      <c r="AR260" s="30">
        <f t="shared" si="733"/>
        <v>0</v>
      </c>
      <c r="AS260" s="9"/>
      <c r="AT260" s="30">
        <f t="shared" si="723"/>
        <v>0</v>
      </c>
      <c r="AU260" s="9"/>
      <c r="AV260" s="30">
        <f t="shared" si="724"/>
        <v>0</v>
      </c>
      <c r="AW260" s="9"/>
      <c r="AX260" s="30">
        <f t="shared" si="725"/>
        <v>0</v>
      </c>
      <c r="AY260" s="9"/>
      <c r="AZ260" s="30">
        <f t="shared" si="726"/>
        <v>0</v>
      </c>
      <c r="BA260" s="10">
        <f>2584/100</f>
        <v>25.84</v>
      </c>
      <c r="BB260" s="31">
        <v>1938</v>
      </c>
      <c r="BC260" s="15">
        <f t="shared" si="741"/>
        <v>1938</v>
      </c>
      <c r="BD260" s="9">
        <f t="shared" si="742"/>
        <v>0</v>
      </c>
      <c r="BE260" s="28">
        <f t="shared" si="743"/>
        <v>25.84</v>
      </c>
      <c r="BF260" s="8">
        <f t="shared" si="744"/>
        <v>0</v>
      </c>
      <c r="BG260" s="29">
        <f t="shared" si="734"/>
        <v>1938</v>
      </c>
      <c r="BH260" s="13">
        <f t="shared" si="745"/>
        <v>0</v>
      </c>
      <c r="BI260" s="2" t="str">
        <f t="shared" si="735"/>
        <v/>
      </c>
      <c r="BJ260" s="2"/>
    </row>
    <row r="261" spans="1:62">
      <c r="A261" s="1" t="s">
        <v>12</v>
      </c>
      <c r="B261" s="3" t="s">
        <v>23</v>
      </c>
      <c r="C261" s="3" t="s">
        <v>45</v>
      </c>
      <c r="D261" s="4">
        <v>1789</v>
      </c>
      <c r="E261" s="3" t="s">
        <v>49</v>
      </c>
      <c r="F261" s="3" t="s">
        <v>49</v>
      </c>
      <c r="G261" s="31">
        <v>25</v>
      </c>
      <c r="H261" s="31" t="s">
        <v>336</v>
      </c>
      <c r="I261" s="5">
        <v>10</v>
      </c>
      <c r="J261" s="5"/>
      <c r="K261" s="6"/>
      <c r="L261" s="11">
        <f t="shared" si="736"/>
        <v>10</v>
      </c>
      <c r="M261" s="7" t="s">
        <v>15</v>
      </c>
      <c r="N261" s="31"/>
      <c r="O261" s="9"/>
      <c r="P261" s="9" t="str">
        <f t="shared" si="750"/>
        <v/>
      </c>
      <c r="Q261" s="9"/>
      <c r="R261" s="30">
        <f t="shared" ref="R261" si="942">Q261*$L261</f>
        <v>0</v>
      </c>
      <c r="S261" s="9">
        <v>827</v>
      </c>
      <c r="T261" s="30">
        <v>8270</v>
      </c>
      <c r="U261" s="9"/>
      <c r="V261" s="30">
        <f t="shared" ref="V261:V324" si="943">U261*$L261</f>
        <v>0</v>
      </c>
      <c r="W261" s="9"/>
      <c r="X261" s="30">
        <f t="shared" ref="X261:X324" si="944">W261*$L261</f>
        <v>0</v>
      </c>
      <c r="Y261" s="9"/>
      <c r="Z261" s="30">
        <f t="shared" ref="Z261:Z324" si="945">Y261*$L261</f>
        <v>0</v>
      </c>
      <c r="AA261" s="9"/>
      <c r="AB261" s="30">
        <f t="shared" ref="AB261:AB324" si="946">AA261*$L261</f>
        <v>0</v>
      </c>
      <c r="AC261" s="9"/>
      <c r="AD261" s="30">
        <f t="shared" ref="AD261:AD324" si="947">AC261*$L261</f>
        <v>0</v>
      </c>
      <c r="AE261" s="9"/>
      <c r="AF261" s="30">
        <f t="shared" ref="AF261:AF324" si="948">AE261*$L261</f>
        <v>0</v>
      </c>
      <c r="AG261" s="9"/>
      <c r="AH261" s="30">
        <f t="shared" ref="AH261:AH324" si="949">AG261*$L261</f>
        <v>0</v>
      </c>
      <c r="AI261" s="9"/>
      <c r="AJ261" s="30">
        <f t="shared" ref="AJ261" si="950">AI261*$L261</f>
        <v>0</v>
      </c>
      <c r="AK261" s="9"/>
      <c r="AL261" s="30">
        <f t="shared" ref="AL261" si="951">AK261*$L261</f>
        <v>0</v>
      </c>
      <c r="AM261" s="9"/>
      <c r="AN261" s="30">
        <f t="shared" ref="AN261:AN324" si="952">AM261*$L261</f>
        <v>0</v>
      </c>
      <c r="AO261" s="9"/>
      <c r="AP261" s="30">
        <f t="shared" ref="AP261:AP324" si="953">AO261*$L261</f>
        <v>0</v>
      </c>
      <c r="AQ261" s="9"/>
      <c r="AR261" s="30">
        <f t="shared" ref="AR261:AR324" si="954">AQ261*$L261</f>
        <v>0</v>
      </c>
      <c r="AS261" s="9"/>
      <c r="AT261" s="30">
        <f t="shared" ref="AT261:AT324" si="955">AS261*$L261</f>
        <v>0</v>
      </c>
      <c r="AU261" s="9"/>
      <c r="AV261" s="30">
        <f t="shared" ref="AV261:AV324" si="956">AU261*$L261</f>
        <v>0</v>
      </c>
      <c r="AW261" s="9"/>
      <c r="AX261" s="30">
        <f t="shared" ref="AX261:AX324" si="957">AW261*$L261</f>
        <v>0</v>
      </c>
      <c r="AY261" s="9"/>
      <c r="AZ261" s="30">
        <f t="shared" ref="AZ261:AZ324" si="958">AY261*$L261</f>
        <v>0</v>
      </c>
      <c r="BA261" s="10">
        <v>827</v>
      </c>
      <c r="BB261" s="31">
        <v>8270</v>
      </c>
      <c r="BC261" s="15">
        <f t="shared" si="741"/>
        <v>8270</v>
      </c>
      <c r="BD261" s="9">
        <f t="shared" si="742"/>
        <v>0</v>
      </c>
      <c r="BE261" s="28">
        <f t="shared" si="743"/>
        <v>827</v>
      </c>
      <c r="BF261" s="8">
        <f t="shared" si="744"/>
        <v>0</v>
      </c>
      <c r="BG261" s="29">
        <f t="shared" si="734"/>
        <v>8270</v>
      </c>
      <c r="BH261" s="13">
        <f t="shared" si="745"/>
        <v>0</v>
      </c>
      <c r="BI261" s="2" t="str">
        <f t="shared" si="735"/>
        <v/>
      </c>
      <c r="BJ261" s="2"/>
    </row>
    <row r="262" spans="1:62">
      <c r="A262" s="1" t="s">
        <v>12</v>
      </c>
      <c r="B262" s="3" t="s">
        <v>23</v>
      </c>
      <c r="C262" s="3" t="s">
        <v>45</v>
      </c>
      <c r="D262" s="4">
        <v>1789</v>
      </c>
      <c r="E262" s="3" t="s">
        <v>49</v>
      </c>
      <c r="F262" s="3" t="s">
        <v>49</v>
      </c>
      <c r="G262" s="31">
        <v>25</v>
      </c>
      <c r="H262" s="31" t="s">
        <v>338</v>
      </c>
      <c r="I262" s="5">
        <v>4</v>
      </c>
      <c r="J262" s="5"/>
      <c r="K262" s="6"/>
      <c r="L262" s="11">
        <f t="shared" si="736"/>
        <v>4</v>
      </c>
      <c r="M262" s="7" t="s">
        <v>36</v>
      </c>
      <c r="N262" s="31"/>
      <c r="O262" s="9"/>
      <c r="P262" s="9" t="str">
        <f t="shared" si="750"/>
        <v/>
      </c>
      <c r="Q262" s="9"/>
      <c r="R262" s="30">
        <f t="shared" ref="R262" si="959">Q262*$L262</f>
        <v>0</v>
      </c>
      <c r="S262" s="9"/>
      <c r="T262" s="30">
        <f t="shared" ref="T262" si="960">S262*$L262</f>
        <v>0</v>
      </c>
      <c r="U262" s="9"/>
      <c r="V262" s="30">
        <f t="shared" si="943"/>
        <v>0</v>
      </c>
      <c r="W262" s="9">
        <v>2198</v>
      </c>
      <c r="X262" s="30">
        <v>8792</v>
      </c>
      <c r="Y262" s="9"/>
      <c r="Z262" s="30">
        <f t="shared" si="945"/>
        <v>0</v>
      </c>
      <c r="AA262" s="9"/>
      <c r="AB262" s="30">
        <f t="shared" si="946"/>
        <v>0</v>
      </c>
      <c r="AC262" s="9"/>
      <c r="AD262" s="30">
        <f t="shared" si="947"/>
        <v>0</v>
      </c>
      <c r="AE262" s="9"/>
      <c r="AF262" s="30">
        <f t="shared" si="948"/>
        <v>0</v>
      </c>
      <c r="AG262" s="9"/>
      <c r="AH262" s="30">
        <f t="shared" si="949"/>
        <v>0</v>
      </c>
      <c r="AI262" s="9"/>
      <c r="AJ262" s="30">
        <f t="shared" ref="AJ262" si="961">AI262*$L262</f>
        <v>0</v>
      </c>
      <c r="AK262" s="9"/>
      <c r="AL262" s="30">
        <f t="shared" ref="AL262" si="962">AK262*$L262</f>
        <v>0</v>
      </c>
      <c r="AM262" s="9"/>
      <c r="AN262" s="30">
        <f t="shared" si="952"/>
        <v>0</v>
      </c>
      <c r="AO262" s="9"/>
      <c r="AP262" s="30">
        <f t="shared" si="953"/>
        <v>0</v>
      </c>
      <c r="AQ262" s="9"/>
      <c r="AR262" s="30">
        <f t="shared" si="954"/>
        <v>0</v>
      </c>
      <c r="AS262" s="9"/>
      <c r="AT262" s="30">
        <f t="shared" si="955"/>
        <v>0</v>
      </c>
      <c r="AU262" s="9"/>
      <c r="AV262" s="30">
        <f t="shared" si="956"/>
        <v>0</v>
      </c>
      <c r="AW262" s="9"/>
      <c r="AX262" s="30">
        <f t="shared" si="957"/>
        <v>0</v>
      </c>
      <c r="AY262" s="9"/>
      <c r="AZ262" s="30">
        <f t="shared" si="958"/>
        <v>0</v>
      </c>
      <c r="BA262" s="10">
        <v>2198</v>
      </c>
      <c r="BB262" s="31">
        <v>8792</v>
      </c>
      <c r="BC262" s="15">
        <f t="shared" si="741"/>
        <v>8792</v>
      </c>
      <c r="BD262" s="9">
        <f t="shared" si="742"/>
        <v>0</v>
      </c>
      <c r="BE262" s="28">
        <f t="shared" si="743"/>
        <v>2198</v>
      </c>
      <c r="BF262" s="8">
        <f t="shared" si="744"/>
        <v>0</v>
      </c>
      <c r="BG262" s="29">
        <f t="shared" ref="BG262:BG305" si="963">BE262*L262</f>
        <v>8792</v>
      </c>
      <c r="BH262" s="13">
        <f t="shared" si="745"/>
        <v>0</v>
      </c>
      <c r="BI262" s="2" t="str">
        <f t="shared" ref="BI262:BI305" si="964">IF(BH262=0,"",IF(BH262&lt;&gt;BB262,"erreur de calcul",IF(BE262&lt;&gt;0,"pas de prix",IF(L262&lt;&gt; 0,"pas de quantité","pas de prix, ni de quantité"))))</f>
        <v/>
      </c>
      <c r="BJ262" s="2"/>
    </row>
    <row r="263" spans="1:62">
      <c r="A263" s="1" t="s">
        <v>12</v>
      </c>
      <c r="B263" s="3" t="s">
        <v>23</v>
      </c>
      <c r="C263" s="3" t="s">
        <v>45</v>
      </c>
      <c r="D263" s="4">
        <v>1789</v>
      </c>
      <c r="E263" s="3" t="s">
        <v>49</v>
      </c>
      <c r="F263" s="3" t="s">
        <v>49</v>
      </c>
      <c r="G263" s="31">
        <v>25</v>
      </c>
      <c r="H263" s="31" t="s">
        <v>337</v>
      </c>
      <c r="I263" s="5">
        <v>2000</v>
      </c>
      <c r="J263" s="5"/>
      <c r="K263" s="6"/>
      <c r="L263" s="11">
        <f t="shared" ref="L263:L305" si="965">I263+(J263/20)+(K263/240)</f>
        <v>2000</v>
      </c>
      <c r="M263" s="7" t="s">
        <v>14</v>
      </c>
      <c r="N263" s="31" t="s">
        <v>16</v>
      </c>
      <c r="O263" s="9">
        <f>982/100</f>
        <v>9.82</v>
      </c>
      <c r="P263" s="9">
        <v>19640</v>
      </c>
      <c r="Q263" s="9"/>
      <c r="R263" s="30">
        <f t="shared" ref="R263" si="966">Q263*$L263</f>
        <v>0</v>
      </c>
      <c r="S263" s="9"/>
      <c r="T263" s="30">
        <f t="shared" ref="T263" si="967">S263*$L263</f>
        <v>0</v>
      </c>
      <c r="U263" s="9"/>
      <c r="V263" s="30">
        <f t="shared" si="943"/>
        <v>0</v>
      </c>
      <c r="W263" s="9"/>
      <c r="X263" s="30">
        <f t="shared" si="944"/>
        <v>0</v>
      </c>
      <c r="Y263" s="9"/>
      <c r="Z263" s="30">
        <f t="shared" si="945"/>
        <v>0</v>
      </c>
      <c r="AA263" s="9"/>
      <c r="AB263" s="30">
        <f t="shared" si="946"/>
        <v>0</v>
      </c>
      <c r="AC263" s="9"/>
      <c r="AD263" s="30">
        <f t="shared" si="947"/>
        <v>0</v>
      </c>
      <c r="AE263" s="9"/>
      <c r="AF263" s="30">
        <f t="shared" si="948"/>
        <v>0</v>
      </c>
      <c r="AG263" s="9"/>
      <c r="AH263" s="30">
        <f t="shared" si="949"/>
        <v>0</v>
      </c>
      <c r="AI263" s="9"/>
      <c r="AJ263" s="30">
        <f t="shared" ref="AJ263" si="968">AI263*$L263</f>
        <v>0</v>
      </c>
      <c r="AK263" s="9"/>
      <c r="AL263" s="30">
        <f t="shared" ref="AL263" si="969">AK263*$L263</f>
        <v>0</v>
      </c>
      <c r="AM263" s="9"/>
      <c r="AN263" s="30">
        <f t="shared" si="952"/>
        <v>0</v>
      </c>
      <c r="AO263" s="9"/>
      <c r="AP263" s="30">
        <f t="shared" si="953"/>
        <v>0</v>
      </c>
      <c r="AQ263" s="9"/>
      <c r="AR263" s="30">
        <f t="shared" si="954"/>
        <v>0</v>
      </c>
      <c r="AS263" s="9"/>
      <c r="AT263" s="30">
        <f t="shared" si="955"/>
        <v>0</v>
      </c>
      <c r="AU263" s="9"/>
      <c r="AV263" s="30">
        <f t="shared" si="956"/>
        <v>0</v>
      </c>
      <c r="AW263" s="9"/>
      <c r="AX263" s="30">
        <f t="shared" si="957"/>
        <v>0</v>
      </c>
      <c r="AY263" s="9"/>
      <c r="AZ263" s="30">
        <f t="shared" si="958"/>
        <v>0</v>
      </c>
      <c r="BA263" s="10"/>
      <c r="BB263" s="31"/>
      <c r="BC263" s="15">
        <f t="shared" ref="BC263:BC305" si="970">SUM(R263,T263,V263,X263,Z263,AB263,AD263,AF263,AH263,AJ263,AL263,AN263,AP263,AR263,AT263,AV263,AX263,AZ263)</f>
        <v>0</v>
      </c>
      <c r="BD263" s="9">
        <f t="shared" ref="BD263:BD305" si="971">BB263-BC263</f>
        <v>0</v>
      </c>
      <c r="BE263" s="28">
        <f t="shared" ref="BE263:BE305" si="972">SUM(Q263,S263,U263,W263,Y263,AA263,AC263,AE263,AG263,AI263,AK263,AM263,AO263,AQ263,AS263,AU263,AW263,AY263)</f>
        <v>0</v>
      </c>
      <c r="BF263" s="8">
        <f t="shared" ref="BF263:BF305" si="973">BA263-BE263</f>
        <v>0</v>
      </c>
      <c r="BG263" s="29">
        <f t="shared" si="963"/>
        <v>0</v>
      </c>
      <c r="BH263" s="13">
        <f t="shared" ref="BH263:BH305" si="974">BB263-BG263</f>
        <v>0</v>
      </c>
      <c r="BI263" s="2" t="str">
        <f t="shared" si="964"/>
        <v/>
      </c>
      <c r="BJ263" s="2"/>
    </row>
    <row r="264" spans="1:62">
      <c r="A264" s="1" t="s">
        <v>12</v>
      </c>
      <c r="B264" s="3" t="s">
        <v>23</v>
      </c>
      <c r="C264" s="3" t="s">
        <v>45</v>
      </c>
      <c r="D264" s="4">
        <v>1789</v>
      </c>
      <c r="E264" s="3" t="s">
        <v>49</v>
      </c>
      <c r="F264" s="3" t="s">
        <v>49</v>
      </c>
      <c r="G264" s="31">
        <v>25</v>
      </c>
      <c r="H264" s="31" t="s">
        <v>337</v>
      </c>
      <c r="I264" s="5">
        <v>2000</v>
      </c>
      <c r="J264" s="5"/>
      <c r="K264" s="6"/>
      <c r="L264" s="11">
        <f t="shared" si="965"/>
        <v>2000</v>
      </c>
      <c r="M264" s="7" t="s">
        <v>14</v>
      </c>
      <c r="N264" s="31" t="s">
        <v>18</v>
      </c>
      <c r="O264" s="9">
        <f>3347/100</f>
        <v>33.47</v>
      </c>
      <c r="P264" s="9">
        <v>66940</v>
      </c>
      <c r="Q264" s="9"/>
      <c r="R264" s="30">
        <f t="shared" ref="R264" si="975">Q264*$L264</f>
        <v>0</v>
      </c>
      <c r="S264" s="9"/>
      <c r="T264" s="30">
        <f t="shared" ref="T264" si="976">S264*$L264</f>
        <v>0</v>
      </c>
      <c r="U264" s="9"/>
      <c r="V264" s="30">
        <f t="shared" si="943"/>
        <v>0</v>
      </c>
      <c r="W264" s="9"/>
      <c r="X264" s="30">
        <f t="shared" si="944"/>
        <v>0</v>
      </c>
      <c r="Y264" s="9">
        <f>607/100</f>
        <v>6.07</v>
      </c>
      <c r="Z264" s="30">
        <f t="shared" si="945"/>
        <v>12140</v>
      </c>
      <c r="AA264" s="9"/>
      <c r="AB264" s="30">
        <f t="shared" si="946"/>
        <v>0</v>
      </c>
      <c r="AC264" s="9"/>
      <c r="AD264" s="30">
        <f t="shared" si="947"/>
        <v>0</v>
      </c>
      <c r="AE264" s="9"/>
      <c r="AF264" s="30">
        <f t="shared" si="948"/>
        <v>0</v>
      </c>
      <c r="AG264" s="9"/>
      <c r="AH264" s="30">
        <f t="shared" si="949"/>
        <v>0</v>
      </c>
      <c r="AI264" s="9"/>
      <c r="AJ264" s="30">
        <f t="shared" ref="AJ264" si="977">AI264*$L264</f>
        <v>0</v>
      </c>
      <c r="AK264" s="9"/>
      <c r="AL264" s="30">
        <f t="shared" ref="AL264" si="978">AK264*$L264</f>
        <v>0</v>
      </c>
      <c r="AM264" s="9">
        <f>145/100</f>
        <v>1.45</v>
      </c>
      <c r="AN264" s="30">
        <f t="shared" si="952"/>
        <v>2900</v>
      </c>
      <c r="AO264" s="9">
        <f>3865/100</f>
        <v>38.65</v>
      </c>
      <c r="AP264" s="30">
        <v>77300</v>
      </c>
      <c r="AQ264" s="9"/>
      <c r="AR264" s="30">
        <f t="shared" si="954"/>
        <v>0</v>
      </c>
      <c r="AS264" s="9"/>
      <c r="AT264" s="30">
        <f t="shared" si="955"/>
        <v>0</v>
      </c>
      <c r="AU264" s="9"/>
      <c r="AV264" s="30">
        <f t="shared" si="956"/>
        <v>0</v>
      </c>
      <c r="AW264" s="9"/>
      <c r="AX264" s="30">
        <f t="shared" si="957"/>
        <v>0</v>
      </c>
      <c r="AY264" s="9"/>
      <c r="AZ264" s="30">
        <f t="shared" si="958"/>
        <v>0</v>
      </c>
      <c r="BA264" s="10">
        <f>4617/100</f>
        <v>46.17</v>
      </c>
      <c r="BB264" s="31">
        <v>92340</v>
      </c>
      <c r="BC264" s="15">
        <f t="shared" si="970"/>
        <v>92340</v>
      </c>
      <c r="BD264" s="9">
        <f t="shared" si="971"/>
        <v>0</v>
      </c>
      <c r="BE264" s="28">
        <f t="shared" si="972"/>
        <v>46.17</v>
      </c>
      <c r="BF264" s="8">
        <f t="shared" si="973"/>
        <v>0</v>
      </c>
      <c r="BG264" s="29">
        <f t="shared" si="963"/>
        <v>92340</v>
      </c>
      <c r="BH264" s="13">
        <f t="shared" si="974"/>
        <v>0</v>
      </c>
      <c r="BI264" s="2" t="str">
        <f t="shared" si="964"/>
        <v/>
      </c>
      <c r="BJ264" s="2"/>
    </row>
    <row r="265" spans="1:62">
      <c r="A265" s="1" t="s">
        <v>12</v>
      </c>
      <c r="B265" s="3" t="s">
        <v>23</v>
      </c>
      <c r="C265" s="3" t="s">
        <v>45</v>
      </c>
      <c r="D265" s="4">
        <v>1789</v>
      </c>
      <c r="E265" s="3" t="s">
        <v>49</v>
      </c>
      <c r="F265" s="3" t="s">
        <v>49</v>
      </c>
      <c r="G265" s="31">
        <v>25</v>
      </c>
      <c r="H265" s="31" t="s">
        <v>339</v>
      </c>
      <c r="I265" s="5"/>
      <c r="J265" s="5">
        <v>12</v>
      </c>
      <c r="K265" s="6"/>
      <c r="L265" s="11">
        <f t="shared" si="965"/>
        <v>0.6</v>
      </c>
      <c r="M265" s="7" t="s">
        <v>15</v>
      </c>
      <c r="N265" s="31"/>
      <c r="O265" s="9"/>
      <c r="P265" s="9" t="str">
        <f t="shared" ref="P265:P305" si="979">IF(N265&lt;&gt;"",O265*L265,"")</f>
        <v/>
      </c>
      <c r="Q265" s="9"/>
      <c r="R265" s="30">
        <f t="shared" ref="R265" si="980">Q265*$L265</f>
        <v>0</v>
      </c>
      <c r="S265" s="9"/>
      <c r="T265" s="30">
        <f t="shared" ref="T265" si="981">S265*$L265</f>
        <v>0</v>
      </c>
      <c r="U265" s="9"/>
      <c r="V265" s="30">
        <f t="shared" si="943"/>
        <v>0</v>
      </c>
      <c r="W265" s="9"/>
      <c r="X265" s="30">
        <f t="shared" si="944"/>
        <v>0</v>
      </c>
      <c r="Y265" s="9"/>
      <c r="Z265" s="30">
        <f t="shared" si="945"/>
        <v>0</v>
      </c>
      <c r="AA265" s="9"/>
      <c r="AB265" s="30">
        <f t="shared" si="946"/>
        <v>0</v>
      </c>
      <c r="AC265" s="9"/>
      <c r="AD265" s="30">
        <f t="shared" si="947"/>
        <v>0</v>
      </c>
      <c r="AE265" s="9"/>
      <c r="AF265" s="30">
        <f t="shared" si="948"/>
        <v>0</v>
      </c>
      <c r="AG265" s="9"/>
      <c r="AH265" s="30">
        <f t="shared" si="949"/>
        <v>0</v>
      </c>
      <c r="AI265" s="9"/>
      <c r="AJ265" s="30">
        <f t="shared" ref="AJ265" si="982">AI265*$L265</f>
        <v>0</v>
      </c>
      <c r="AK265" s="9">
        <v>41194</v>
      </c>
      <c r="AL265" s="30">
        <v>24716</v>
      </c>
      <c r="AM265" s="9"/>
      <c r="AN265" s="30">
        <f t="shared" si="952"/>
        <v>0</v>
      </c>
      <c r="AO265" s="9"/>
      <c r="AP265" s="30">
        <f t="shared" si="953"/>
        <v>0</v>
      </c>
      <c r="AQ265" s="9"/>
      <c r="AR265" s="30">
        <f t="shared" si="954"/>
        <v>0</v>
      </c>
      <c r="AS265" s="9"/>
      <c r="AT265" s="30">
        <f t="shared" si="955"/>
        <v>0</v>
      </c>
      <c r="AU265" s="9"/>
      <c r="AV265" s="30">
        <f t="shared" si="956"/>
        <v>0</v>
      </c>
      <c r="AW265" s="9"/>
      <c r="AX265" s="30">
        <f t="shared" si="957"/>
        <v>0</v>
      </c>
      <c r="AY265" s="9"/>
      <c r="AZ265" s="30">
        <f t="shared" si="958"/>
        <v>0</v>
      </c>
      <c r="BA265" s="10">
        <v>41194</v>
      </c>
      <c r="BB265" s="31">
        <v>24716</v>
      </c>
      <c r="BC265" s="15">
        <f t="shared" si="970"/>
        <v>24716</v>
      </c>
      <c r="BD265" s="9">
        <f t="shared" si="971"/>
        <v>0</v>
      </c>
      <c r="BE265" s="28">
        <f t="shared" si="972"/>
        <v>41194</v>
      </c>
      <c r="BF265" s="8">
        <f t="shared" si="973"/>
        <v>0</v>
      </c>
      <c r="BG265" s="29">
        <f t="shared" si="963"/>
        <v>24716.399999999998</v>
      </c>
      <c r="BH265" s="13">
        <f t="shared" si="974"/>
        <v>-0.39999999999781721</v>
      </c>
      <c r="BI265" s="2" t="str">
        <f t="shared" si="964"/>
        <v>erreur de calcul</v>
      </c>
      <c r="BJ265" s="2"/>
    </row>
    <row r="266" spans="1:62">
      <c r="A266" s="1" t="s">
        <v>12</v>
      </c>
      <c r="B266" s="3" t="s">
        <v>23</v>
      </c>
      <c r="C266" s="3" t="s">
        <v>45</v>
      </c>
      <c r="D266" s="4">
        <v>1789</v>
      </c>
      <c r="E266" s="3" t="s">
        <v>49</v>
      </c>
      <c r="F266" s="3" t="s">
        <v>49</v>
      </c>
      <c r="G266" s="31">
        <v>25</v>
      </c>
      <c r="H266" s="31" t="s">
        <v>340</v>
      </c>
      <c r="I266" s="5"/>
      <c r="J266" s="5">
        <v>50</v>
      </c>
      <c r="K266" s="6"/>
      <c r="L266" s="11">
        <f t="shared" si="965"/>
        <v>2.5</v>
      </c>
      <c r="M266" s="7" t="s">
        <v>46</v>
      </c>
      <c r="N266" s="31"/>
      <c r="O266" s="9"/>
      <c r="P266" s="9" t="str">
        <f t="shared" si="979"/>
        <v/>
      </c>
      <c r="Q266" s="9">
        <f>371167/100</f>
        <v>3711.67</v>
      </c>
      <c r="R266" s="30">
        <v>9279</v>
      </c>
      <c r="S266" s="9"/>
      <c r="T266" s="30">
        <f t="shared" ref="T266" si="983">S266*$L266</f>
        <v>0</v>
      </c>
      <c r="U266" s="9"/>
      <c r="V266" s="30">
        <f t="shared" si="943"/>
        <v>0</v>
      </c>
      <c r="W266" s="9"/>
      <c r="X266" s="30">
        <f t="shared" si="944"/>
        <v>0</v>
      </c>
      <c r="Y266" s="9"/>
      <c r="Z266" s="30">
        <f t="shared" si="945"/>
        <v>0</v>
      </c>
      <c r="AA266" s="9"/>
      <c r="AB266" s="30">
        <f t="shared" si="946"/>
        <v>0</v>
      </c>
      <c r="AC266" s="9"/>
      <c r="AD266" s="30">
        <f t="shared" si="947"/>
        <v>0</v>
      </c>
      <c r="AE266" s="9"/>
      <c r="AF266" s="30">
        <f t="shared" si="948"/>
        <v>0</v>
      </c>
      <c r="AG266" s="9"/>
      <c r="AH266" s="30">
        <f t="shared" si="949"/>
        <v>0</v>
      </c>
      <c r="AI266" s="9"/>
      <c r="AJ266" s="30">
        <f t="shared" ref="AJ266" si="984">AI266*$L266</f>
        <v>0</v>
      </c>
      <c r="AK266" s="9"/>
      <c r="AL266" s="30">
        <f t="shared" ref="AL266" si="985">AK266*$L266</f>
        <v>0</v>
      </c>
      <c r="AM266" s="9"/>
      <c r="AN266" s="30">
        <f t="shared" si="952"/>
        <v>0</v>
      </c>
      <c r="AO266" s="9"/>
      <c r="AP266" s="30">
        <f t="shared" si="953"/>
        <v>0</v>
      </c>
      <c r="AQ266" s="9"/>
      <c r="AR266" s="30">
        <f t="shared" si="954"/>
        <v>0</v>
      </c>
      <c r="AS266" s="9"/>
      <c r="AT266" s="30">
        <f t="shared" si="955"/>
        <v>0</v>
      </c>
      <c r="AU266" s="9"/>
      <c r="AV266" s="30">
        <f t="shared" si="956"/>
        <v>0</v>
      </c>
      <c r="AW266" s="9"/>
      <c r="AX266" s="30">
        <f t="shared" si="957"/>
        <v>0</v>
      </c>
      <c r="AY266" s="9"/>
      <c r="AZ266" s="30">
        <f t="shared" si="958"/>
        <v>0</v>
      </c>
      <c r="BA266" s="10">
        <f>371167/100</f>
        <v>3711.67</v>
      </c>
      <c r="BB266" s="31">
        <v>9279</v>
      </c>
      <c r="BC266" s="15">
        <f t="shared" si="970"/>
        <v>9279</v>
      </c>
      <c r="BD266" s="9">
        <f t="shared" si="971"/>
        <v>0</v>
      </c>
      <c r="BE266" s="28">
        <f t="shared" si="972"/>
        <v>3711.67</v>
      </c>
      <c r="BF266" s="8">
        <f t="shared" si="973"/>
        <v>0</v>
      </c>
      <c r="BG266" s="29">
        <f t="shared" si="963"/>
        <v>9279.1749999999993</v>
      </c>
      <c r="BH266" s="13">
        <f t="shared" si="974"/>
        <v>-0.1749999999992724</v>
      </c>
      <c r="BI266" s="2" t="str">
        <f t="shared" si="964"/>
        <v>erreur de calcul</v>
      </c>
      <c r="BJ266" s="2"/>
    </row>
    <row r="267" spans="1:62">
      <c r="A267" s="1" t="s">
        <v>12</v>
      </c>
      <c r="B267" s="3" t="s">
        <v>23</v>
      </c>
      <c r="C267" s="3" t="s">
        <v>45</v>
      </c>
      <c r="D267" s="4">
        <v>1789</v>
      </c>
      <c r="E267" s="3" t="s">
        <v>49</v>
      </c>
      <c r="F267" s="3" t="s">
        <v>49</v>
      </c>
      <c r="G267" s="31">
        <v>25</v>
      </c>
      <c r="H267" s="31" t="s">
        <v>341</v>
      </c>
      <c r="I267" s="5">
        <v>60</v>
      </c>
      <c r="J267" s="5"/>
      <c r="K267" s="6"/>
      <c r="L267" s="11">
        <f t="shared" si="965"/>
        <v>60</v>
      </c>
      <c r="M267" s="7" t="s">
        <v>14</v>
      </c>
      <c r="N267" s="31"/>
      <c r="O267" s="9"/>
      <c r="P267" s="9" t="str">
        <f t="shared" si="979"/>
        <v/>
      </c>
      <c r="Q267" s="9"/>
      <c r="R267" s="30">
        <f t="shared" ref="R267" si="986">Q267*$L267</f>
        <v>0</v>
      </c>
      <c r="S267" s="9"/>
      <c r="T267" s="30">
        <f t="shared" ref="T267" si="987">S267*$L267</f>
        <v>0</v>
      </c>
      <c r="U267" s="9"/>
      <c r="V267" s="30">
        <f t="shared" si="943"/>
        <v>0</v>
      </c>
      <c r="W267" s="9">
        <f>4151/100</f>
        <v>41.51</v>
      </c>
      <c r="X267" s="30">
        <v>2491</v>
      </c>
      <c r="Y267" s="9">
        <f>13344/100</f>
        <v>133.44</v>
      </c>
      <c r="Z267" s="30">
        <v>8006</v>
      </c>
      <c r="AA267" s="9">
        <f>3323/100</f>
        <v>33.229999999999997</v>
      </c>
      <c r="AB267" s="30">
        <v>1994</v>
      </c>
      <c r="AC267" s="9"/>
      <c r="AD267" s="30">
        <f t="shared" si="947"/>
        <v>0</v>
      </c>
      <c r="AE267" s="9">
        <f>15268/100</f>
        <v>152.68</v>
      </c>
      <c r="AF267" s="30">
        <v>9161</v>
      </c>
      <c r="AG267" s="9"/>
      <c r="AH267" s="30">
        <f t="shared" si="949"/>
        <v>0</v>
      </c>
      <c r="AI267" s="9"/>
      <c r="AJ267" s="30">
        <f t="shared" ref="AJ267" si="988">AI267*$L267</f>
        <v>0</v>
      </c>
      <c r="AK267" s="9"/>
      <c r="AL267" s="30">
        <f t="shared" ref="AL267" si="989">AK267*$L267</f>
        <v>0</v>
      </c>
      <c r="AM267" s="9"/>
      <c r="AN267" s="30">
        <f t="shared" si="952"/>
        <v>0</v>
      </c>
      <c r="AO267" s="9"/>
      <c r="AP267" s="30">
        <f t="shared" si="953"/>
        <v>0</v>
      </c>
      <c r="AQ267" s="9"/>
      <c r="AR267" s="30">
        <f t="shared" si="954"/>
        <v>0</v>
      </c>
      <c r="AS267" s="9"/>
      <c r="AT267" s="30">
        <f t="shared" si="955"/>
        <v>0</v>
      </c>
      <c r="AU267" s="9"/>
      <c r="AV267" s="30">
        <f t="shared" si="956"/>
        <v>0</v>
      </c>
      <c r="AW267" s="9"/>
      <c r="AX267" s="30">
        <f t="shared" si="957"/>
        <v>0</v>
      </c>
      <c r="AY267" s="9"/>
      <c r="AZ267" s="30">
        <f t="shared" si="958"/>
        <v>0</v>
      </c>
      <c r="BA267" s="10">
        <f>32763/100</f>
        <v>327.63</v>
      </c>
      <c r="BB267" s="31">
        <v>21652</v>
      </c>
      <c r="BC267" s="15">
        <f t="shared" si="970"/>
        <v>21652</v>
      </c>
      <c r="BD267" s="9">
        <f t="shared" si="971"/>
        <v>0</v>
      </c>
      <c r="BE267" s="28">
        <f t="shared" si="972"/>
        <v>360.86</v>
      </c>
      <c r="BF267" s="8">
        <f t="shared" si="973"/>
        <v>-33.230000000000018</v>
      </c>
      <c r="BG267" s="29">
        <f t="shared" si="963"/>
        <v>21651.600000000002</v>
      </c>
      <c r="BH267" s="13">
        <f t="shared" si="974"/>
        <v>0.39999999999781721</v>
      </c>
      <c r="BI267" s="2" t="str">
        <f t="shared" si="964"/>
        <v>erreur de calcul</v>
      </c>
      <c r="BJ267" s="2"/>
    </row>
    <row r="268" spans="1:62">
      <c r="A268" s="1" t="s">
        <v>12</v>
      </c>
      <c r="B268" s="3" t="s">
        <v>23</v>
      </c>
      <c r="C268" s="3" t="s">
        <v>45</v>
      </c>
      <c r="D268" s="4">
        <v>1789</v>
      </c>
      <c r="E268" s="3" t="s">
        <v>49</v>
      </c>
      <c r="F268" s="3" t="s">
        <v>49</v>
      </c>
      <c r="G268" s="31">
        <v>25</v>
      </c>
      <c r="H268" s="31" t="s">
        <v>342</v>
      </c>
      <c r="I268" s="5">
        <v>9</v>
      </c>
      <c r="J268" s="5"/>
      <c r="K268" s="6"/>
      <c r="L268" s="11">
        <f t="shared" si="965"/>
        <v>9</v>
      </c>
      <c r="M268" s="7" t="s">
        <v>345</v>
      </c>
      <c r="N268" s="31"/>
      <c r="O268" s="9"/>
      <c r="P268" s="9" t="str">
        <f t="shared" si="979"/>
        <v/>
      </c>
      <c r="Q268" s="9"/>
      <c r="R268" s="30">
        <f t="shared" ref="R268" si="990">Q268*$L268</f>
        <v>0</v>
      </c>
      <c r="S268" s="9"/>
      <c r="T268" s="30">
        <f t="shared" ref="T268" si="991">S268*$L268</f>
        <v>0</v>
      </c>
      <c r="U268" s="9"/>
      <c r="V268" s="30">
        <f t="shared" si="943"/>
        <v>0</v>
      </c>
      <c r="W268" s="9">
        <v>545</v>
      </c>
      <c r="X268" s="30">
        <v>4905</v>
      </c>
      <c r="Y268" s="9"/>
      <c r="Z268" s="30">
        <f t="shared" si="945"/>
        <v>0</v>
      </c>
      <c r="AA268" s="9"/>
      <c r="AB268" s="30">
        <f t="shared" si="946"/>
        <v>0</v>
      </c>
      <c r="AC268" s="9"/>
      <c r="AD268" s="30">
        <f t="shared" si="947"/>
        <v>0</v>
      </c>
      <c r="AE268" s="9"/>
      <c r="AF268" s="30">
        <f t="shared" si="948"/>
        <v>0</v>
      </c>
      <c r="AG268" s="9"/>
      <c r="AH268" s="30">
        <f t="shared" si="949"/>
        <v>0</v>
      </c>
      <c r="AI268" s="9"/>
      <c r="AJ268" s="30">
        <f t="shared" ref="AJ268" si="992">AI268*$L268</f>
        <v>0</v>
      </c>
      <c r="AK268" s="9">
        <v>592</v>
      </c>
      <c r="AL268" s="30">
        <v>5328</v>
      </c>
      <c r="AM268" s="9"/>
      <c r="AN268" s="30">
        <f t="shared" si="952"/>
        <v>0</v>
      </c>
      <c r="AO268" s="9"/>
      <c r="AP268" s="30">
        <f t="shared" si="953"/>
        <v>0</v>
      </c>
      <c r="AQ268" s="9"/>
      <c r="AR268" s="30">
        <f t="shared" si="954"/>
        <v>0</v>
      </c>
      <c r="AS268" s="9"/>
      <c r="AT268" s="30">
        <f t="shared" si="955"/>
        <v>0</v>
      </c>
      <c r="AU268" s="9"/>
      <c r="AV268" s="30">
        <f t="shared" si="956"/>
        <v>0</v>
      </c>
      <c r="AW268" s="9"/>
      <c r="AX268" s="30">
        <f t="shared" si="957"/>
        <v>0</v>
      </c>
      <c r="AY268" s="9"/>
      <c r="AZ268" s="30">
        <f t="shared" si="958"/>
        <v>0</v>
      </c>
      <c r="BA268" s="10">
        <v>1137</v>
      </c>
      <c r="BB268" s="31">
        <v>10233</v>
      </c>
      <c r="BC268" s="15">
        <f t="shared" si="970"/>
        <v>10233</v>
      </c>
      <c r="BD268" s="9">
        <f t="shared" si="971"/>
        <v>0</v>
      </c>
      <c r="BE268" s="28">
        <f t="shared" si="972"/>
        <v>1137</v>
      </c>
      <c r="BF268" s="8">
        <f t="shared" si="973"/>
        <v>0</v>
      </c>
      <c r="BG268" s="29">
        <f t="shared" si="963"/>
        <v>10233</v>
      </c>
      <c r="BH268" s="13">
        <f t="shared" si="974"/>
        <v>0</v>
      </c>
      <c r="BI268" s="2" t="str">
        <f t="shared" si="964"/>
        <v/>
      </c>
      <c r="BJ268" s="2"/>
    </row>
    <row r="269" spans="1:62">
      <c r="A269" s="1" t="s">
        <v>12</v>
      </c>
      <c r="B269" s="3" t="s">
        <v>23</v>
      </c>
      <c r="C269" s="3" t="s">
        <v>45</v>
      </c>
      <c r="D269" s="4">
        <v>1789</v>
      </c>
      <c r="E269" s="3" t="s">
        <v>49</v>
      </c>
      <c r="F269" s="3" t="s">
        <v>49</v>
      </c>
      <c r="G269" s="31">
        <v>25</v>
      </c>
      <c r="H269" s="31" t="s">
        <v>343</v>
      </c>
      <c r="I269" s="5"/>
      <c r="J269" s="5">
        <v>40</v>
      </c>
      <c r="K269" s="6"/>
      <c r="L269" s="11">
        <f t="shared" si="965"/>
        <v>2</v>
      </c>
      <c r="M269" s="7" t="s">
        <v>345</v>
      </c>
      <c r="N269" s="31"/>
      <c r="O269" s="9"/>
      <c r="P269" s="9" t="str">
        <f t="shared" si="979"/>
        <v/>
      </c>
      <c r="Q269" s="9"/>
      <c r="R269" s="30">
        <f t="shared" ref="R269" si="993">Q269*$L269</f>
        <v>0</v>
      </c>
      <c r="S269" s="9"/>
      <c r="T269" s="30">
        <f t="shared" ref="T269" si="994">S269*$L269</f>
        <v>0</v>
      </c>
      <c r="U269" s="9"/>
      <c r="V269" s="30">
        <f t="shared" si="943"/>
        <v>0</v>
      </c>
      <c r="W269" s="9">
        <v>2688</v>
      </c>
      <c r="X269" s="30">
        <v>5376</v>
      </c>
      <c r="Y269" s="9">
        <v>775</v>
      </c>
      <c r="Z269" s="30">
        <v>1550</v>
      </c>
      <c r="AA269" s="9"/>
      <c r="AB269" s="30">
        <f t="shared" si="946"/>
        <v>0</v>
      </c>
      <c r="AC269" s="9"/>
      <c r="AD269" s="30">
        <f t="shared" si="947"/>
        <v>0</v>
      </c>
      <c r="AE269" s="9"/>
      <c r="AF269" s="30">
        <f t="shared" si="948"/>
        <v>0</v>
      </c>
      <c r="AG269" s="9"/>
      <c r="AH269" s="30">
        <f t="shared" si="949"/>
        <v>0</v>
      </c>
      <c r="AI269" s="9"/>
      <c r="AJ269" s="30">
        <f t="shared" ref="AJ269" si="995">AI269*$L269</f>
        <v>0</v>
      </c>
      <c r="AK269" s="9"/>
      <c r="AL269" s="30">
        <f t="shared" ref="AL269" si="996">AK269*$L269</f>
        <v>0</v>
      </c>
      <c r="AM269" s="9"/>
      <c r="AN269" s="30">
        <f t="shared" si="952"/>
        <v>0</v>
      </c>
      <c r="AO269" s="9"/>
      <c r="AP269" s="30">
        <f t="shared" si="953"/>
        <v>0</v>
      </c>
      <c r="AQ269" s="9"/>
      <c r="AR269" s="30">
        <f t="shared" si="954"/>
        <v>0</v>
      </c>
      <c r="AS269" s="9"/>
      <c r="AT269" s="30">
        <f t="shared" si="955"/>
        <v>0</v>
      </c>
      <c r="AU269" s="9"/>
      <c r="AV269" s="30">
        <f t="shared" si="956"/>
        <v>0</v>
      </c>
      <c r="AW269" s="9"/>
      <c r="AX269" s="30">
        <f t="shared" si="957"/>
        <v>0</v>
      </c>
      <c r="AY269" s="9"/>
      <c r="AZ269" s="30">
        <f t="shared" si="958"/>
        <v>0</v>
      </c>
      <c r="BA269" s="10">
        <v>3463</v>
      </c>
      <c r="BB269" s="31">
        <v>6926</v>
      </c>
      <c r="BC269" s="15">
        <f t="shared" si="970"/>
        <v>6926</v>
      </c>
      <c r="BD269" s="9">
        <f t="shared" si="971"/>
        <v>0</v>
      </c>
      <c r="BE269" s="28">
        <f t="shared" si="972"/>
        <v>3463</v>
      </c>
      <c r="BF269" s="8">
        <f t="shared" si="973"/>
        <v>0</v>
      </c>
      <c r="BG269" s="29">
        <f t="shared" si="963"/>
        <v>6926</v>
      </c>
      <c r="BH269" s="13">
        <f t="shared" si="974"/>
        <v>0</v>
      </c>
      <c r="BI269" s="2" t="str">
        <f t="shared" si="964"/>
        <v/>
      </c>
      <c r="BJ269" s="2"/>
    </row>
    <row r="270" spans="1:62">
      <c r="A270" s="1" t="s">
        <v>12</v>
      </c>
      <c r="B270" s="3" t="s">
        <v>23</v>
      </c>
      <c r="C270" s="3" t="s">
        <v>45</v>
      </c>
      <c r="D270" s="4">
        <v>1789</v>
      </c>
      <c r="E270" s="3" t="s">
        <v>49</v>
      </c>
      <c r="F270" s="3" t="s">
        <v>49</v>
      </c>
      <c r="G270" s="31">
        <v>25</v>
      </c>
      <c r="H270" s="31" t="s">
        <v>344</v>
      </c>
      <c r="I270" s="5">
        <v>60</v>
      </c>
      <c r="J270" s="5"/>
      <c r="K270" s="6"/>
      <c r="L270" s="11">
        <f t="shared" si="965"/>
        <v>60</v>
      </c>
      <c r="M270" s="7" t="s">
        <v>36</v>
      </c>
      <c r="N270" s="31"/>
      <c r="O270" s="9"/>
      <c r="P270" s="9" t="str">
        <f t="shared" si="979"/>
        <v/>
      </c>
      <c r="Q270" s="9"/>
      <c r="R270" s="30">
        <f t="shared" ref="R270" si="997">Q270*$L270</f>
        <v>0</v>
      </c>
      <c r="S270" s="9"/>
      <c r="T270" s="30">
        <f t="shared" ref="T270" si="998">S270*$L270</f>
        <v>0</v>
      </c>
      <c r="U270" s="9">
        <v>20</v>
      </c>
      <c r="V270" s="30">
        <v>1200</v>
      </c>
      <c r="W270" s="9">
        <v>82</v>
      </c>
      <c r="X270" s="30">
        <v>4920</v>
      </c>
      <c r="Y270" s="9"/>
      <c r="Z270" s="30">
        <f t="shared" si="945"/>
        <v>0</v>
      </c>
      <c r="AA270" s="9"/>
      <c r="AB270" s="30">
        <f t="shared" si="946"/>
        <v>0</v>
      </c>
      <c r="AC270" s="9"/>
      <c r="AD270" s="30">
        <f t="shared" si="947"/>
        <v>0</v>
      </c>
      <c r="AE270" s="9"/>
      <c r="AF270" s="30">
        <f t="shared" si="948"/>
        <v>0</v>
      </c>
      <c r="AG270" s="9"/>
      <c r="AH270" s="30">
        <f t="shared" si="949"/>
        <v>0</v>
      </c>
      <c r="AI270" s="9"/>
      <c r="AJ270" s="30">
        <f t="shared" ref="AJ270" si="999">AI270*$L270</f>
        <v>0</v>
      </c>
      <c r="AK270" s="9"/>
      <c r="AL270" s="30">
        <f t="shared" ref="AL270" si="1000">AK270*$L270</f>
        <v>0</v>
      </c>
      <c r="AM270" s="9"/>
      <c r="AN270" s="30">
        <f t="shared" si="952"/>
        <v>0</v>
      </c>
      <c r="AO270" s="9"/>
      <c r="AP270" s="30">
        <f t="shared" si="953"/>
        <v>0</v>
      </c>
      <c r="AQ270" s="9"/>
      <c r="AR270" s="30">
        <f t="shared" si="954"/>
        <v>0</v>
      </c>
      <c r="AS270" s="9"/>
      <c r="AT270" s="30">
        <f t="shared" si="955"/>
        <v>0</v>
      </c>
      <c r="AU270" s="9"/>
      <c r="AV270" s="30">
        <f t="shared" si="956"/>
        <v>0</v>
      </c>
      <c r="AW270" s="9"/>
      <c r="AX270" s="30">
        <f t="shared" si="957"/>
        <v>0</v>
      </c>
      <c r="AY270" s="9"/>
      <c r="AZ270" s="30">
        <f t="shared" si="958"/>
        <v>0</v>
      </c>
      <c r="BA270" s="10">
        <v>102</v>
      </c>
      <c r="BB270" s="31">
        <v>6120</v>
      </c>
      <c r="BC270" s="15">
        <f t="shared" si="970"/>
        <v>6120</v>
      </c>
      <c r="BD270" s="9">
        <f t="shared" si="971"/>
        <v>0</v>
      </c>
      <c r="BE270" s="28">
        <f t="shared" si="972"/>
        <v>102</v>
      </c>
      <c r="BF270" s="8">
        <f t="shared" si="973"/>
        <v>0</v>
      </c>
      <c r="BG270" s="29">
        <f t="shared" si="963"/>
        <v>6120</v>
      </c>
      <c r="BH270" s="13">
        <f t="shared" si="974"/>
        <v>0</v>
      </c>
      <c r="BI270" s="2" t="str">
        <f t="shared" si="964"/>
        <v/>
      </c>
      <c r="BJ270" s="2"/>
    </row>
    <row r="271" spans="1:62">
      <c r="A271" s="1" t="s">
        <v>12</v>
      </c>
      <c r="B271" s="3" t="s">
        <v>23</v>
      </c>
      <c r="C271" s="3" t="s">
        <v>45</v>
      </c>
      <c r="D271" s="4">
        <v>1789</v>
      </c>
      <c r="E271" s="3" t="s">
        <v>49</v>
      </c>
      <c r="F271" s="3" t="s">
        <v>49</v>
      </c>
      <c r="G271" s="31">
        <v>25</v>
      </c>
      <c r="H271" s="31" t="s">
        <v>346</v>
      </c>
      <c r="I271" s="5">
        <v>150</v>
      </c>
      <c r="J271" s="5"/>
      <c r="K271" s="6"/>
      <c r="L271" s="11">
        <f t="shared" si="965"/>
        <v>150</v>
      </c>
      <c r="M271" s="7" t="s">
        <v>14</v>
      </c>
      <c r="N271" s="31"/>
      <c r="O271" s="9"/>
      <c r="P271" s="9" t="str">
        <f t="shared" si="979"/>
        <v/>
      </c>
      <c r="Q271" s="9">
        <f>274/100</f>
        <v>2.74</v>
      </c>
      <c r="R271" s="30">
        <v>411</v>
      </c>
      <c r="S271" s="9"/>
      <c r="T271" s="30">
        <f t="shared" ref="T271" si="1001">S271*$L271</f>
        <v>0</v>
      </c>
      <c r="U271" s="9">
        <f>3042/100</f>
        <v>30.42</v>
      </c>
      <c r="V271" s="30">
        <v>4563</v>
      </c>
      <c r="W271" s="9"/>
      <c r="X271" s="30">
        <f t="shared" si="944"/>
        <v>0</v>
      </c>
      <c r="Y271" s="9"/>
      <c r="Z271" s="30">
        <f t="shared" si="945"/>
        <v>0</v>
      </c>
      <c r="AA271" s="9"/>
      <c r="AB271" s="30">
        <f t="shared" si="946"/>
        <v>0</v>
      </c>
      <c r="AC271" s="9">
        <f>92/100</f>
        <v>0.92</v>
      </c>
      <c r="AD271" s="30">
        <v>138</v>
      </c>
      <c r="AE271" s="9"/>
      <c r="AF271" s="30">
        <f t="shared" si="948"/>
        <v>0</v>
      </c>
      <c r="AG271" s="9"/>
      <c r="AH271" s="30">
        <f t="shared" si="949"/>
        <v>0</v>
      </c>
      <c r="AI271" s="9"/>
      <c r="AJ271" s="30">
        <f t="shared" ref="AJ271" si="1002">AI271*$L271</f>
        <v>0</v>
      </c>
      <c r="AK271" s="9"/>
      <c r="AL271" s="30">
        <f t="shared" ref="AL271" si="1003">AK271*$L271</f>
        <v>0</v>
      </c>
      <c r="AM271" s="9"/>
      <c r="AN271" s="30">
        <f t="shared" si="952"/>
        <v>0</v>
      </c>
      <c r="AO271" s="9"/>
      <c r="AP271" s="30">
        <f t="shared" si="953"/>
        <v>0</v>
      </c>
      <c r="AQ271" s="9"/>
      <c r="AR271" s="30">
        <f t="shared" si="954"/>
        <v>0</v>
      </c>
      <c r="AS271" s="9"/>
      <c r="AT271" s="30">
        <f t="shared" si="955"/>
        <v>0</v>
      </c>
      <c r="AU271" s="9"/>
      <c r="AV271" s="30">
        <f t="shared" si="956"/>
        <v>0</v>
      </c>
      <c r="AW271" s="9"/>
      <c r="AX271" s="30">
        <f t="shared" si="957"/>
        <v>0</v>
      </c>
      <c r="AY271" s="9"/>
      <c r="AZ271" s="30">
        <f t="shared" si="958"/>
        <v>0</v>
      </c>
      <c r="BA271" s="10">
        <f>3408/100</f>
        <v>34.08</v>
      </c>
      <c r="BB271" s="31">
        <v>5112</v>
      </c>
      <c r="BC271" s="15">
        <f t="shared" si="970"/>
        <v>5112</v>
      </c>
      <c r="BD271" s="9">
        <f t="shared" si="971"/>
        <v>0</v>
      </c>
      <c r="BE271" s="28">
        <f t="shared" si="972"/>
        <v>34.080000000000005</v>
      </c>
      <c r="BF271" s="8">
        <f t="shared" si="973"/>
        <v>0</v>
      </c>
      <c r="BG271" s="29">
        <f t="shared" si="963"/>
        <v>5112.0000000000009</v>
      </c>
      <c r="BH271" s="13">
        <f t="shared" si="974"/>
        <v>0</v>
      </c>
      <c r="BI271" s="2" t="str">
        <f t="shared" si="964"/>
        <v/>
      </c>
      <c r="BJ271" s="2"/>
    </row>
    <row r="272" spans="1:62">
      <c r="A272" s="1" t="s">
        <v>12</v>
      </c>
      <c r="B272" s="3" t="s">
        <v>23</v>
      </c>
      <c r="C272" s="3" t="s">
        <v>45</v>
      </c>
      <c r="D272" s="4">
        <v>1789</v>
      </c>
      <c r="E272" s="3" t="s">
        <v>49</v>
      </c>
      <c r="F272" s="3" t="s">
        <v>49</v>
      </c>
      <c r="G272" s="31">
        <v>25</v>
      </c>
      <c r="H272" s="31" t="s">
        <v>347</v>
      </c>
      <c r="I272" s="5">
        <v>40</v>
      </c>
      <c r="J272" s="5"/>
      <c r="K272" s="6"/>
      <c r="L272" s="11">
        <f t="shared" si="965"/>
        <v>40</v>
      </c>
      <c r="M272" s="7" t="s">
        <v>14</v>
      </c>
      <c r="N272" s="31"/>
      <c r="O272" s="9"/>
      <c r="P272" s="9" t="str">
        <f t="shared" si="979"/>
        <v/>
      </c>
      <c r="Q272" s="9"/>
      <c r="R272" s="30">
        <f t="shared" ref="R272" si="1004">Q272*$L272</f>
        <v>0</v>
      </c>
      <c r="S272" s="9"/>
      <c r="T272" s="30">
        <f t="shared" ref="T272" si="1005">S272*$L272</f>
        <v>0</v>
      </c>
      <c r="U272" s="9"/>
      <c r="V272" s="30">
        <f t="shared" si="943"/>
        <v>0</v>
      </c>
      <c r="W272" s="9">
        <f>4960/100</f>
        <v>49.6</v>
      </c>
      <c r="X272" s="30">
        <v>1984</v>
      </c>
      <c r="Y272" s="9">
        <f>394/100</f>
        <v>3.94</v>
      </c>
      <c r="Z272" s="30">
        <v>158</v>
      </c>
      <c r="AA272" s="9"/>
      <c r="AB272" s="30">
        <f t="shared" si="946"/>
        <v>0</v>
      </c>
      <c r="AC272" s="9"/>
      <c r="AD272" s="30">
        <f t="shared" si="947"/>
        <v>0</v>
      </c>
      <c r="AE272" s="9"/>
      <c r="AF272" s="30">
        <f t="shared" si="948"/>
        <v>0</v>
      </c>
      <c r="AG272" s="9"/>
      <c r="AH272" s="30">
        <f t="shared" si="949"/>
        <v>0</v>
      </c>
      <c r="AI272" s="9"/>
      <c r="AJ272" s="30">
        <f t="shared" ref="AJ272" si="1006">AI272*$L272</f>
        <v>0</v>
      </c>
      <c r="AK272" s="9"/>
      <c r="AL272" s="30">
        <f t="shared" ref="AL272" si="1007">AK272*$L272</f>
        <v>0</v>
      </c>
      <c r="AM272" s="9"/>
      <c r="AN272" s="30">
        <f t="shared" si="952"/>
        <v>0</v>
      </c>
      <c r="AO272" s="9"/>
      <c r="AP272" s="30">
        <f t="shared" si="953"/>
        <v>0</v>
      </c>
      <c r="AQ272" s="9"/>
      <c r="AR272" s="30">
        <f t="shared" si="954"/>
        <v>0</v>
      </c>
      <c r="AS272" s="9"/>
      <c r="AT272" s="30">
        <f t="shared" si="955"/>
        <v>0</v>
      </c>
      <c r="AU272" s="9"/>
      <c r="AV272" s="30">
        <f t="shared" si="956"/>
        <v>0</v>
      </c>
      <c r="AW272" s="9"/>
      <c r="AX272" s="30">
        <f t="shared" si="957"/>
        <v>0</v>
      </c>
      <c r="AY272" s="9"/>
      <c r="AZ272" s="30">
        <f t="shared" si="958"/>
        <v>0</v>
      </c>
      <c r="BA272" s="10">
        <f>5354/100</f>
        <v>53.54</v>
      </c>
      <c r="BB272" s="31">
        <v>2142</v>
      </c>
      <c r="BC272" s="15">
        <f t="shared" si="970"/>
        <v>2142</v>
      </c>
      <c r="BD272" s="9">
        <f t="shared" si="971"/>
        <v>0</v>
      </c>
      <c r="BE272" s="28">
        <f t="shared" si="972"/>
        <v>53.54</v>
      </c>
      <c r="BF272" s="8">
        <f t="shared" si="973"/>
        <v>0</v>
      </c>
      <c r="BG272" s="29">
        <f t="shared" si="963"/>
        <v>2141.6</v>
      </c>
      <c r="BH272" s="13">
        <f t="shared" si="974"/>
        <v>0.40000000000009095</v>
      </c>
      <c r="BI272" s="2" t="str">
        <f t="shared" si="964"/>
        <v>erreur de calcul</v>
      </c>
      <c r="BJ272" s="2"/>
    </row>
    <row r="273" spans="1:62">
      <c r="A273" s="1" t="s">
        <v>12</v>
      </c>
      <c r="B273" s="3" t="s">
        <v>23</v>
      </c>
      <c r="C273" s="3" t="s">
        <v>45</v>
      </c>
      <c r="D273" s="4">
        <v>1789</v>
      </c>
      <c r="E273" s="3" t="s">
        <v>49</v>
      </c>
      <c r="F273" s="3" t="s">
        <v>49</v>
      </c>
      <c r="G273" s="31">
        <v>25</v>
      </c>
      <c r="H273" s="31" t="s">
        <v>348</v>
      </c>
      <c r="I273" s="5">
        <v>200</v>
      </c>
      <c r="J273" s="5"/>
      <c r="K273" s="6"/>
      <c r="L273" s="11">
        <f t="shared" si="965"/>
        <v>200</v>
      </c>
      <c r="M273" s="7" t="s">
        <v>14</v>
      </c>
      <c r="N273" s="31"/>
      <c r="O273" s="9"/>
      <c r="P273" s="9" t="str">
        <f t="shared" si="979"/>
        <v/>
      </c>
      <c r="Q273" s="9"/>
      <c r="R273" s="30">
        <f t="shared" ref="R273" si="1008">Q273*$L273</f>
        <v>0</v>
      </c>
      <c r="S273" s="9"/>
      <c r="T273" s="30">
        <f t="shared" ref="T273" si="1009">S273*$L273</f>
        <v>0</v>
      </c>
      <c r="U273" s="9">
        <f>4367/100</f>
        <v>43.67</v>
      </c>
      <c r="V273" s="30">
        <v>8734</v>
      </c>
      <c r="W273" s="9">
        <f>346/100</f>
        <v>3.46</v>
      </c>
      <c r="X273" s="30">
        <v>692</v>
      </c>
      <c r="Y273" s="9"/>
      <c r="Z273" s="30">
        <f t="shared" si="945"/>
        <v>0</v>
      </c>
      <c r="AA273" s="9"/>
      <c r="AB273" s="30">
        <f t="shared" si="946"/>
        <v>0</v>
      </c>
      <c r="AC273" s="9"/>
      <c r="AD273" s="30">
        <f t="shared" si="947"/>
        <v>0</v>
      </c>
      <c r="AE273" s="9"/>
      <c r="AF273" s="30">
        <f t="shared" si="948"/>
        <v>0</v>
      </c>
      <c r="AG273" s="9"/>
      <c r="AH273" s="30">
        <f t="shared" si="949"/>
        <v>0</v>
      </c>
      <c r="AI273" s="9"/>
      <c r="AJ273" s="30">
        <f t="shared" ref="AJ273" si="1010">AI273*$L273</f>
        <v>0</v>
      </c>
      <c r="AK273" s="9"/>
      <c r="AL273" s="30">
        <f t="shared" ref="AL273" si="1011">AK273*$L273</f>
        <v>0</v>
      </c>
      <c r="AM273" s="9"/>
      <c r="AN273" s="30">
        <f t="shared" si="952"/>
        <v>0</v>
      </c>
      <c r="AO273" s="9"/>
      <c r="AP273" s="30">
        <f t="shared" si="953"/>
        <v>0</v>
      </c>
      <c r="AQ273" s="9"/>
      <c r="AR273" s="30">
        <f t="shared" si="954"/>
        <v>0</v>
      </c>
      <c r="AS273" s="9"/>
      <c r="AT273" s="30">
        <f t="shared" si="955"/>
        <v>0</v>
      </c>
      <c r="AU273" s="9"/>
      <c r="AV273" s="30">
        <f t="shared" si="956"/>
        <v>0</v>
      </c>
      <c r="AW273" s="9"/>
      <c r="AX273" s="30">
        <f t="shared" si="957"/>
        <v>0</v>
      </c>
      <c r="AY273" s="9"/>
      <c r="AZ273" s="30">
        <f t="shared" si="958"/>
        <v>0</v>
      </c>
      <c r="BA273" s="10">
        <f>4713/100</f>
        <v>47.13</v>
      </c>
      <c r="BB273" s="31">
        <v>9426</v>
      </c>
      <c r="BC273" s="15">
        <f t="shared" si="970"/>
        <v>9426</v>
      </c>
      <c r="BD273" s="9">
        <f t="shared" si="971"/>
        <v>0</v>
      </c>
      <c r="BE273" s="28">
        <f t="shared" si="972"/>
        <v>47.13</v>
      </c>
      <c r="BF273" s="8">
        <f t="shared" si="973"/>
        <v>0</v>
      </c>
      <c r="BG273" s="29">
        <f t="shared" si="963"/>
        <v>9426</v>
      </c>
      <c r="BH273" s="13">
        <f t="shared" si="974"/>
        <v>0</v>
      </c>
      <c r="BI273" s="2" t="str">
        <f t="shared" si="964"/>
        <v/>
      </c>
      <c r="BJ273" s="2"/>
    </row>
    <row r="274" spans="1:62">
      <c r="A274" s="1" t="s">
        <v>12</v>
      </c>
      <c r="B274" s="3" t="s">
        <v>23</v>
      </c>
      <c r="C274" s="3" t="s">
        <v>45</v>
      </c>
      <c r="D274" s="4">
        <v>1789</v>
      </c>
      <c r="E274" s="3" t="s">
        <v>49</v>
      </c>
      <c r="F274" s="3" t="s">
        <v>49</v>
      </c>
      <c r="G274" s="31">
        <v>25</v>
      </c>
      <c r="H274" s="31" t="s">
        <v>349</v>
      </c>
      <c r="I274" s="5">
        <v>200</v>
      </c>
      <c r="J274" s="5"/>
      <c r="K274" s="6"/>
      <c r="L274" s="11">
        <f t="shared" si="965"/>
        <v>200</v>
      </c>
      <c r="M274" s="7" t="s">
        <v>14</v>
      </c>
      <c r="N274" s="31"/>
      <c r="O274" s="9"/>
      <c r="P274" s="9" t="str">
        <f t="shared" si="979"/>
        <v/>
      </c>
      <c r="Q274" s="9"/>
      <c r="R274" s="30">
        <f t="shared" ref="R274" si="1012">Q274*$L274</f>
        <v>0</v>
      </c>
      <c r="S274" s="9"/>
      <c r="T274" s="30">
        <f t="shared" ref="T274" si="1013">S274*$L274</f>
        <v>0</v>
      </c>
      <c r="U274" s="9">
        <f>2471/100</f>
        <v>24.71</v>
      </c>
      <c r="V274" s="30">
        <v>4942</v>
      </c>
      <c r="W274" s="9"/>
      <c r="X274" s="30">
        <f t="shared" si="944"/>
        <v>0</v>
      </c>
      <c r="Y274" s="9"/>
      <c r="Z274" s="30">
        <f t="shared" si="945"/>
        <v>0</v>
      </c>
      <c r="AA274" s="9"/>
      <c r="AB274" s="30">
        <f t="shared" si="946"/>
        <v>0</v>
      </c>
      <c r="AC274" s="9"/>
      <c r="AD274" s="30">
        <f t="shared" si="947"/>
        <v>0</v>
      </c>
      <c r="AE274" s="9"/>
      <c r="AF274" s="30">
        <f t="shared" si="948"/>
        <v>0</v>
      </c>
      <c r="AG274" s="9"/>
      <c r="AH274" s="30">
        <f t="shared" si="949"/>
        <v>0</v>
      </c>
      <c r="AI274" s="9"/>
      <c r="AJ274" s="30">
        <f t="shared" ref="AJ274" si="1014">AI274*$L274</f>
        <v>0</v>
      </c>
      <c r="AK274" s="9"/>
      <c r="AL274" s="30">
        <f t="shared" ref="AL274" si="1015">AK274*$L274</f>
        <v>0</v>
      </c>
      <c r="AM274" s="9"/>
      <c r="AN274" s="30">
        <f t="shared" si="952"/>
        <v>0</v>
      </c>
      <c r="AO274" s="9"/>
      <c r="AP274" s="30">
        <f t="shared" si="953"/>
        <v>0</v>
      </c>
      <c r="AQ274" s="9"/>
      <c r="AR274" s="30">
        <f t="shared" si="954"/>
        <v>0</v>
      </c>
      <c r="AS274" s="9"/>
      <c r="AT274" s="30">
        <f t="shared" si="955"/>
        <v>0</v>
      </c>
      <c r="AU274" s="9"/>
      <c r="AV274" s="30">
        <f t="shared" si="956"/>
        <v>0</v>
      </c>
      <c r="AW274" s="9"/>
      <c r="AX274" s="30">
        <f t="shared" si="957"/>
        <v>0</v>
      </c>
      <c r="AY274" s="9"/>
      <c r="AZ274" s="30">
        <f t="shared" si="958"/>
        <v>0</v>
      </c>
      <c r="BA274" s="10">
        <f>2471/100</f>
        <v>24.71</v>
      </c>
      <c r="BB274" s="31">
        <v>4942</v>
      </c>
      <c r="BC274" s="15">
        <f t="shared" si="970"/>
        <v>4942</v>
      </c>
      <c r="BD274" s="9">
        <f t="shared" si="971"/>
        <v>0</v>
      </c>
      <c r="BE274" s="28">
        <f t="shared" si="972"/>
        <v>24.71</v>
      </c>
      <c r="BF274" s="8">
        <f t="shared" si="973"/>
        <v>0</v>
      </c>
      <c r="BG274" s="29">
        <f t="shared" si="963"/>
        <v>4942</v>
      </c>
      <c r="BH274" s="13">
        <f t="shared" si="974"/>
        <v>0</v>
      </c>
      <c r="BI274" s="2" t="str">
        <f t="shared" si="964"/>
        <v/>
      </c>
      <c r="BJ274" s="2"/>
    </row>
    <row r="275" spans="1:62">
      <c r="A275" s="1" t="s">
        <v>12</v>
      </c>
      <c r="B275" s="3" t="s">
        <v>23</v>
      </c>
      <c r="C275" s="3" t="s">
        <v>45</v>
      </c>
      <c r="D275" s="4">
        <v>1789</v>
      </c>
      <c r="E275" s="3" t="s">
        <v>49</v>
      </c>
      <c r="F275" s="3" t="s">
        <v>49</v>
      </c>
      <c r="G275" s="31">
        <v>25</v>
      </c>
      <c r="H275" s="31" t="s">
        <v>350</v>
      </c>
      <c r="I275" s="5">
        <v>120</v>
      </c>
      <c r="J275" s="5"/>
      <c r="K275" s="6"/>
      <c r="L275" s="11">
        <f t="shared" si="965"/>
        <v>120</v>
      </c>
      <c r="M275" s="7" t="s">
        <v>14</v>
      </c>
      <c r="N275" s="31"/>
      <c r="O275" s="9"/>
      <c r="P275" s="9" t="str">
        <f t="shared" si="979"/>
        <v/>
      </c>
      <c r="Q275" s="9"/>
      <c r="R275" s="30">
        <f t="shared" ref="R275" si="1016">Q275*$L275</f>
        <v>0</v>
      </c>
      <c r="S275" s="9"/>
      <c r="T275" s="30">
        <f t="shared" ref="T275" si="1017">S275*$L275</f>
        <v>0</v>
      </c>
      <c r="U275" s="9"/>
      <c r="V275" s="30">
        <f t="shared" si="943"/>
        <v>0</v>
      </c>
      <c r="W275" s="9"/>
      <c r="X275" s="30">
        <f t="shared" si="944"/>
        <v>0</v>
      </c>
      <c r="Y275" s="9"/>
      <c r="Z275" s="30">
        <f t="shared" si="945"/>
        <v>0</v>
      </c>
      <c r="AA275" s="9"/>
      <c r="AB275" s="30">
        <f t="shared" si="946"/>
        <v>0</v>
      </c>
      <c r="AC275" s="9"/>
      <c r="AD275" s="30">
        <f t="shared" si="947"/>
        <v>0</v>
      </c>
      <c r="AE275" s="9"/>
      <c r="AF275" s="30">
        <f t="shared" si="948"/>
        <v>0</v>
      </c>
      <c r="AG275" s="9"/>
      <c r="AH275" s="30">
        <f t="shared" si="949"/>
        <v>0</v>
      </c>
      <c r="AI275" s="9"/>
      <c r="AJ275" s="30">
        <f t="shared" ref="AJ275" si="1018">AI275*$L275</f>
        <v>0</v>
      </c>
      <c r="AK275" s="9"/>
      <c r="AL275" s="30">
        <f t="shared" ref="AL275" si="1019">AK275*$L275</f>
        <v>0</v>
      </c>
      <c r="AM275" s="9"/>
      <c r="AN275" s="30">
        <f t="shared" si="952"/>
        <v>0</v>
      </c>
      <c r="AO275" s="9">
        <f>407/100</f>
        <v>4.07</v>
      </c>
      <c r="AP275" s="30">
        <v>488</v>
      </c>
      <c r="AQ275" s="9"/>
      <c r="AR275" s="30">
        <f t="shared" si="954"/>
        <v>0</v>
      </c>
      <c r="AS275" s="9"/>
      <c r="AT275" s="30">
        <f t="shared" si="955"/>
        <v>0</v>
      </c>
      <c r="AU275" s="9"/>
      <c r="AV275" s="30">
        <f t="shared" si="956"/>
        <v>0</v>
      </c>
      <c r="AW275" s="9"/>
      <c r="AX275" s="30">
        <f t="shared" si="957"/>
        <v>0</v>
      </c>
      <c r="AY275" s="9"/>
      <c r="AZ275" s="30">
        <f t="shared" si="958"/>
        <v>0</v>
      </c>
      <c r="BA275" s="10">
        <f>407/100</f>
        <v>4.07</v>
      </c>
      <c r="BB275" s="31">
        <v>488</v>
      </c>
      <c r="BC275" s="15">
        <f t="shared" si="970"/>
        <v>488</v>
      </c>
      <c r="BD275" s="9">
        <f t="shared" si="971"/>
        <v>0</v>
      </c>
      <c r="BE275" s="28">
        <f t="shared" si="972"/>
        <v>4.07</v>
      </c>
      <c r="BF275" s="8">
        <f t="shared" si="973"/>
        <v>0</v>
      </c>
      <c r="BG275" s="29">
        <f t="shared" si="963"/>
        <v>488.40000000000003</v>
      </c>
      <c r="BH275" s="13">
        <f t="shared" si="974"/>
        <v>-0.40000000000003411</v>
      </c>
      <c r="BI275" s="2" t="str">
        <f t="shared" si="964"/>
        <v>erreur de calcul</v>
      </c>
      <c r="BJ275" s="2"/>
    </row>
    <row r="276" spans="1:62">
      <c r="A276" s="1" t="s">
        <v>12</v>
      </c>
      <c r="B276" s="3" t="s">
        <v>23</v>
      </c>
      <c r="C276" s="3" t="s">
        <v>45</v>
      </c>
      <c r="D276" s="4">
        <v>1789</v>
      </c>
      <c r="E276" s="3" t="s">
        <v>49</v>
      </c>
      <c r="F276" s="3" t="s">
        <v>49</v>
      </c>
      <c r="G276" s="31">
        <v>25</v>
      </c>
      <c r="H276" s="31" t="s">
        <v>351</v>
      </c>
      <c r="I276" s="5">
        <v>30</v>
      </c>
      <c r="J276" s="5"/>
      <c r="K276" s="6"/>
      <c r="L276" s="11">
        <f t="shared" si="965"/>
        <v>30</v>
      </c>
      <c r="M276" s="7" t="s">
        <v>14</v>
      </c>
      <c r="N276" s="31"/>
      <c r="O276" s="9"/>
      <c r="P276" s="9" t="str">
        <f t="shared" si="979"/>
        <v/>
      </c>
      <c r="Q276" s="9"/>
      <c r="R276" s="30">
        <f t="shared" ref="R276" si="1020">Q276*$L276</f>
        <v>0</v>
      </c>
      <c r="S276" s="9"/>
      <c r="T276" s="30">
        <f t="shared" ref="T276" si="1021">S276*$L276</f>
        <v>0</v>
      </c>
      <c r="U276" s="9">
        <f>8903/100</f>
        <v>89.03</v>
      </c>
      <c r="V276" s="30">
        <v>2671</v>
      </c>
      <c r="W276" s="9">
        <f>2591/100</f>
        <v>25.91</v>
      </c>
      <c r="X276" s="30">
        <v>777</v>
      </c>
      <c r="Y276" s="9"/>
      <c r="Z276" s="30">
        <f t="shared" si="945"/>
        <v>0</v>
      </c>
      <c r="AA276" s="9">
        <f>17041/100</f>
        <v>170.41</v>
      </c>
      <c r="AB276" s="30">
        <v>5112</v>
      </c>
      <c r="AC276" s="9">
        <f>42963/100</f>
        <v>429.63</v>
      </c>
      <c r="AD276" s="30">
        <v>12889</v>
      </c>
      <c r="AE276" s="9"/>
      <c r="AF276" s="30">
        <f t="shared" si="948"/>
        <v>0</v>
      </c>
      <c r="AG276" s="9">
        <f>138369/100</f>
        <v>1383.69</v>
      </c>
      <c r="AH276" s="30">
        <v>41511</v>
      </c>
      <c r="AI276" s="9"/>
      <c r="AJ276" s="30">
        <f t="shared" ref="AJ276" si="1022">AI276*$L276</f>
        <v>0</v>
      </c>
      <c r="AK276" s="9"/>
      <c r="AL276" s="30">
        <f t="shared" ref="AL276" si="1023">AK276*$L276</f>
        <v>0</v>
      </c>
      <c r="AM276" s="9"/>
      <c r="AN276" s="30">
        <f t="shared" si="952"/>
        <v>0</v>
      </c>
      <c r="AO276" s="9"/>
      <c r="AP276" s="30">
        <f t="shared" si="953"/>
        <v>0</v>
      </c>
      <c r="AQ276" s="9"/>
      <c r="AR276" s="30">
        <f t="shared" si="954"/>
        <v>0</v>
      </c>
      <c r="AS276" s="9"/>
      <c r="AT276" s="30">
        <f t="shared" si="955"/>
        <v>0</v>
      </c>
      <c r="AU276" s="9"/>
      <c r="AV276" s="30">
        <f t="shared" si="956"/>
        <v>0</v>
      </c>
      <c r="AW276" s="9"/>
      <c r="AX276" s="30">
        <f t="shared" si="957"/>
        <v>0</v>
      </c>
      <c r="AY276" s="9"/>
      <c r="AZ276" s="30">
        <f t="shared" si="958"/>
        <v>0</v>
      </c>
      <c r="BA276" s="10">
        <f>209867/100</f>
        <v>2098.67</v>
      </c>
      <c r="BB276" s="31">
        <v>62960</v>
      </c>
      <c r="BC276" s="15">
        <f t="shared" si="970"/>
        <v>62960</v>
      </c>
      <c r="BD276" s="9">
        <f t="shared" si="971"/>
        <v>0</v>
      </c>
      <c r="BE276" s="28">
        <f t="shared" si="972"/>
        <v>2098.67</v>
      </c>
      <c r="BF276" s="8">
        <f t="shared" si="973"/>
        <v>0</v>
      </c>
      <c r="BG276" s="29">
        <f t="shared" si="963"/>
        <v>62960.100000000006</v>
      </c>
      <c r="BH276" s="13">
        <f t="shared" si="974"/>
        <v>-0.10000000000582077</v>
      </c>
      <c r="BI276" s="2" t="str">
        <f t="shared" si="964"/>
        <v>erreur de calcul</v>
      </c>
      <c r="BJ276" s="2"/>
    </row>
    <row r="277" spans="1:62">
      <c r="A277" s="1" t="s">
        <v>12</v>
      </c>
      <c r="B277" s="3" t="s">
        <v>23</v>
      </c>
      <c r="C277" s="3" t="s">
        <v>45</v>
      </c>
      <c r="D277" s="4">
        <v>1789</v>
      </c>
      <c r="E277" s="3" t="s">
        <v>49</v>
      </c>
      <c r="F277" s="3" t="s">
        <v>49</v>
      </c>
      <c r="G277" s="31">
        <v>25</v>
      </c>
      <c r="H277" s="31" t="s">
        <v>352</v>
      </c>
      <c r="I277" s="5">
        <v>35</v>
      </c>
      <c r="J277" s="5"/>
      <c r="K277" s="6"/>
      <c r="L277" s="11">
        <f t="shared" si="965"/>
        <v>35</v>
      </c>
      <c r="M277" s="7" t="s">
        <v>14</v>
      </c>
      <c r="N277" s="31"/>
      <c r="O277" s="9"/>
      <c r="P277" s="9" t="str">
        <f t="shared" si="979"/>
        <v/>
      </c>
      <c r="Q277" s="9"/>
      <c r="R277" s="30">
        <f t="shared" ref="R277" si="1024">Q277*$L277</f>
        <v>0</v>
      </c>
      <c r="S277" s="9"/>
      <c r="T277" s="30">
        <f t="shared" ref="T277" si="1025">S277*$L277</f>
        <v>0</v>
      </c>
      <c r="U277" s="9">
        <f>62095/100</f>
        <v>620.95000000000005</v>
      </c>
      <c r="V277" s="30">
        <v>21733</v>
      </c>
      <c r="W277" s="9">
        <f>257918/100</f>
        <v>2579.1799999999998</v>
      </c>
      <c r="X277" s="30">
        <v>90271</v>
      </c>
      <c r="Y277" s="9">
        <f>10723/100</f>
        <v>107.23</v>
      </c>
      <c r="Z277" s="30">
        <v>3753</v>
      </c>
      <c r="AA277" s="9">
        <f>21191/100</f>
        <v>211.91</v>
      </c>
      <c r="AB277" s="30">
        <v>7417</v>
      </c>
      <c r="AC277" s="9">
        <f>308781/100</f>
        <v>3087.81</v>
      </c>
      <c r="AD277" s="30">
        <v>108073</v>
      </c>
      <c r="AE277" s="9"/>
      <c r="AF277" s="30">
        <f t="shared" si="948"/>
        <v>0</v>
      </c>
      <c r="AG277" s="9">
        <f>5225/100</f>
        <v>52.25</v>
      </c>
      <c r="AH277" s="30">
        <v>1829</v>
      </c>
      <c r="AI277" s="9"/>
      <c r="AJ277" s="30">
        <f t="shared" ref="AJ277" si="1026">AI277*$L277</f>
        <v>0</v>
      </c>
      <c r="AK277" s="9"/>
      <c r="AL277" s="30">
        <f t="shared" ref="AL277" si="1027">AK277*$L277</f>
        <v>0</v>
      </c>
      <c r="AM277" s="9"/>
      <c r="AN277" s="30">
        <f t="shared" si="952"/>
        <v>0</v>
      </c>
      <c r="AO277" s="9"/>
      <c r="AP277" s="30">
        <f t="shared" si="953"/>
        <v>0</v>
      </c>
      <c r="AQ277" s="9"/>
      <c r="AR277" s="30">
        <f t="shared" si="954"/>
        <v>0</v>
      </c>
      <c r="AS277" s="9"/>
      <c r="AT277" s="30">
        <f t="shared" si="955"/>
        <v>0</v>
      </c>
      <c r="AU277" s="9"/>
      <c r="AV277" s="30">
        <f t="shared" si="956"/>
        <v>0</v>
      </c>
      <c r="AW277" s="9"/>
      <c r="AX277" s="30">
        <f t="shared" si="957"/>
        <v>0</v>
      </c>
      <c r="AY277" s="9"/>
      <c r="AZ277" s="30">
        <f t="shared" si="958"/>
        <v>0</v>
      </c>
      <c r="BA277" s="10">
        <f>665933/100</f>
        <v>6659.33</v>
      </c>
      <c r="BB277" s="31">
        <v>233076</v>
      </c>
      <c r="BC277" s="15">
        <f t="shared" si="970"/>
        <v>233076</v>
      </c>
      <c r="BD277" s="9">
        <f t="shared" si="971"/>
        <v>0</v>
      </c>
      <c r="BE277" s="28">
        <f t="shared" si="972"/>
        <v>6659.33</v>
      </c>
      <c r="BF277" s="8">
        <f t="shared" si="973"/>
        <v>0</v>
      </c>
      <c r="BG277" s="29">
        <f t="shared" si="963"/>
        <v>233076.55</v>
      </c>
      <c r="BH277" s="13">
        <f t="shared" si="974"/>
        <v>-0.54999999998835847</v>
      </c>
      <c r="BI277" s="2" t="str">
        <f t="shared" si="964"/>
        <v>erreur de calcul</v>
      </c>
      <c r="BJ277" s="2"/>
    </row>
    <row r="278" spans="1:62">
      <c r="A278" s="1" t="s">
        <v>12</v>
      </c>
      <c r="B278" s="3" t="s">
        <v>23</v>
      </c>
      <c r="C278" s="3" t="s">
        <v>45</v>
      </c>
      <c r="D278" s="4">
        <v>1789</v>
      </c>
      <c r="E278" s="3" t="s">
        <v>49</v>
      </c>
      <c r="F278" s="3" t="s">
        <v>49</v>
      </c>
      <c r="G278" s="31">
        <v>25</v>
      </c>
      <c r="H278" s="31" t="s">
        <v>353</v>
      </c>
      <c r="I278" s="5"/>
      <c r="J278" s="5"/>
      <c r="K278" s="6"/>
      <c r="L278" s="11">
        <f t="shared" si="965"/>
        <v>0</v>
      </c>
      <c r="M278" s="7"/>
      <c r="N278" s="31" t="s">
        <v>19</v>
      </c>
      <c r="O278" s="9"/>
      <c r="P278" s="9">
        <v>175</v>
      </c>
      <c r="Q278" s="9"/>
      <c r="R278" s="30">
        <f t="shared" ref="R278" si="1028">Q278*$L278</f>
        <v>0</v>
      </c>
      <c r="S278" s="9"/>
      <c r="T278" s="30">
        <f t="shared" ref="T278" si="1029">S278*$L278</f>
        <v>0</v>
      </c>
      <c r="U278" s="9"/>
      <c r="V278" s="30">
        <f t="shared" si="943"/>
        <v>0</v>
      </c>
      <c r="W278" s="9"/>
      <c r="X278" s="30">
        <f t="shared" si="944"/>
        <v>0</v>
      </c>
      <c r="Y278" s="9"/>
      <c r="Z278" s="30">
        <f t="shared" si="945"/>
        <v>0</v>
      </c>
      <c r="AA278" s="9"/>
      <c r="AB278" s="30">
        <f t="shared" si="946"/>
        <v>0</v>
      </c>
      <c r="AC278" s="9"/>
      <c r="AD278" s="30">
        <f t="shared" si="947"/>
        <v>0</v>
      </c>
      <c r="AE278" s="9"/>
      <c r="AF278" s="30">
        <f t="shared" si="948"/>
        <v>0</v>
      </c>
      <c r="AG278" s="9"/>
      <c r="AH278" s="30">
        <f t="shared" si="949"/>
        <v>0</v>
      </c>
      <c r="AI278" s="9"/>
      <c r="AJ278" s="30">
        <f t="shared" ref="AJ278" si="1030">AI278*$L278</f>
        <v>0</v>
      </c>
      <c r="AK278" s="9"/>
      <c r="AL278" s="30">
        <f t="shared" ref="AL278" si="1031">AK278*$L278</f>
        <v>0</v>
      </c>
      <c r="AM278" s="9"/>
      <c r="AN278" s="30">
        <f t="shared" si="952"/>
        <v>0</v>
      </c>
      <c r="AO278" s="9"/>
      <c r="AP278" s="30">
        <f t="shared" si="953"/>
        <v>0</v>
      </c>
      <c r="AQ278" s="9"/>
      <c r="AR278" s="30">
        <f t="shared" si="954"/>
        <v>0</v>
      </c>
      <c r="AS278" s="9"/>
      <c r="AT278" s="30">
        <f t="shared" si="955"/>
        <v>0</v>
      </c>
      <c r="AU278" s="9"/>
      <c r="AV278" s="30">
        <f t="shared" si="956"/>
        <v>0</v>
      </c>
      <c r="AW278" s="9"/>
      <c r="AX278" s="30">
        <f t="shared" si="957"/>
        <v>0</v>
      </c>
      <c r="AY278" s="9"/>
      <c r="AZ278" s="30">
        <f t="shared" si="958"/>
        <v>0</v>
      </c>
      <c r="BA278" s="10"/>
      <c r="BB278" s="31"/>
      <c r="BC278" s="15">
        <f t="shared" si="970"/>
        <v>0</v>
      </c>
      <c r="BD278" s="9">
        <f t="shared" si="971"/>
        <v>0</v>
      </c>
      <c r="BE278" s="28">
        <f t="shared" si="972"/>
        <v>0</v>
      </c>
      <c r="BF278" s="8">
        <f t="shared" si="973"/>
        <v>0</v>
      </c>
      <c r="BG278" s="29">
        <f t="shared" si="963"/>
        <v>0</v>
      </c>
      <c r="BH278" s="13">
        <f t="shared" si="974"/>
        <v>0</v>
      </c>
      <c r="BI278" s="2" t="str">
        <f t="shared" si="964"/>
        <v/>
      </c>
      <c r="BJ278" s="2"/>
    </row>
    <row r="279" spans="1:62">
      <c r="A279" s="1" t="s">
        <v>12</v>
      </c>
      <c r="B279" s="3" t="s">
        <v>23</v>
      </c>
      <c r="C279" s="3" t="s">
        <v>45</v>
      </c>
      <c r="D279" s="4">
        <v>1789</v>
      </c>
      <c r="E279" s="3" t="s">
        <v>49</v>
      </c>
      <c r="F279" s="3" t="s">
        <v>49</v>
      </c>
      <c r="G279" s="31">
        <v>25</v>
      </c>
      <c r="H279" s="31" t="s">
        <v>353</v>
      </c>
      <c r="I279" s="5"/>
      <c r="J279" s="5"/>
      <c r="K279" s="6"/>
      <c r="L279" s="11">
        <f t="shared" si="965"/>
        <v>0</v>
      </c>
      <c r="M279" s="7"/>
      <c r="N279" s="31" t="s">
        <v>16</v>
      </c>
      <c r="O279" s="9"/>
      <c r="P279" s="9">
        <v>375</v>
      </c>
      <c r="Q279" s="9"/>
      <c r="R279" s="30">
        <f t="shared" ref="R279" si="1032">Q279*$L279</f>
        <v>0</v>
      </c>
      <c r="S279" s="9"/>
      <c r="T279" s="30">
        <f t="shared" ref="T279" si="1033">S279*$L279</f>
        <v>0</v>
      </c>
      <c r="U279" s="9"/>
      <c r="V279" s="30">
        <f t="shared" si="943"/>
        <v>0</v>
      </c>
      <c r="W279" s="9"/>
      <c r="X279" s="30">
        <f t="shared" si="944"/>
        <v>0</v>
      </c>
      <c r="Y279" s="9"/>
      <c r="Z279" s="30">
        <v>1361</v>
      </c>
      <c r="AA279" s="9"/>
      <c r="AB279" s="30">
        <f t="shared" si="946"/>
        <v>0</v>
      </c>
      <c r="AC279" s="9"/>
      <c r="AD279" s="30">
        <v>1182</v>
      </c>
      <c r="AE279" s="9"/>
      <c r="AF279" s="30">
        <v>649</v>
      </c>
      <c r="AG279" s="9"/>
      <c r="AH279" s="30">
        <f t="shared" si="949"/>
        <v>0</v>
      </c>
      <c r="AI279" s="9"/>
      <c r="AJ279" s="30">
        <v>862</v>
      </c>
      <c r="AK279" s="9"/>
      <c r="AL279" s="30">
        <f t="shared" ref="AL279" si="1034">AK279*$L279</f>
        <v>0</v>
      </c>
      <c r="AM279" s="9"/>
      <c r="AN279" s="30">
        <f t="shared" si="952"/>
        <v>0</v>
      </c>
      <c r="AO279" s="9"/>
      <c r="AP279" s="30">
        <f t="shared" si="953"/>
        <v>0</v>
      </c>
      <c r="AQ279" s="9"/>
      <c r="AR279" s="30">
        <f t="shared" si="954"/>
        <v>0</v>
      </c>
      <c r="AS279" s="9"/>
      <c r="AT279" s="30">
        <f t="shared" si="955"/>
        <v>0</v>
      </c>
      <c r="AU279" s="9"/>
      <c r="AV279" s="30">
        <f t="shared" si="956"/>
        <v>0</v>
      </c>
      <c r="AW279" s="9"/>
      <c r="AX279" s="30">
        <f t="shared" si="957"/>
        <v>0</v>
      </c>
      <c r="AY279" s="9"/>
      <c r="AZ279" s="30">
        <f t="shared" si="958"/>
        <v>0</v>
      </c>
      <c r="BA279" s="10"/>
      <c r="BB279" s="31">
        <v>4054</v>
      </c>
      <c r="BC279" s="15">
        <f t="shared" si="970"/>
        <v>4054</v>
      </c>
      <c r="BD279" s="9">
        <f t="shared" si="971"/>
        <v>0</v>
      </c>
      <c r="BE279" s="28">
        <f t="shared" si="972"/>
        <v>0</v>
      </c>
      <c r="BF279" s="8">
        <f t="shared" si="973"/>
        <v>0</v>
      </c>
      <c r="BG279" s="29">
        <f t="shared" si="963"/>
        <v>0</v>
      </c>
      <c r="BH279" s="13">
        <f t="shared" si="974"/>
        <v>4054</v>
      </c>
      <c r="BI279" s="2" t="str">
        <f t="shared" si="964"/>
        <v>pas de prix, ni de quantité</v>
      </c>
      <c r="BJ279" s="2"/>
    </row>
    <row r="280" spans="1:62">
      <c r="A280" s="1" t="s">
        <v>12</v>
      </c>
      <c r="B280" s="3" t="s">
        <v>23</v>
      </c>
      <c r="C280" s="3" t="s">
        <v>45</v>
      </c>
      <c r="D280" s="4">
        <v>1789</v>
      </c>
      <c r="E280" s="3" t="s">
        <v>49</v>
      </c>
      <c r="F280" s="3" t="s">
        <v>49</v>
      </c>
      <c r="G280" s="31">
        <v>25</v>
      </c>
      <c r="H280" s="31" t="s">
        <v>354</v>
      </c>
      <c r="I280" s="5">
        <v>66</v>
      </c>
      <c r="J280" s="5"/>
      <c r="K280" s="6"/>
      <c r="L280" s="11">
        <f t="shared" si="965"/>
        <v>66</v>
      </c>
      <c r="M280" s="7" t="s">
        <v>14</v>
      </c>
      <c r="N280" s="31"/>
      <c r="O280" s="9"/>
      <c r="P280" s="9" t="str">
        <f t="shared" si="979"/>
        <v/>
      </c>
      <c r="Q280" s="9"/>
      <c r="R280" s="30">
        <f t="shared" ref="R280" si="1035">Q280*$L280</f>
        <v>0</v>
      </c>
      <c r="S280" s="9"/>
      <c r="T280" s="30">
        <f t="shared" ref="T280" si="1036">S280*$L280</f>
        <v>0</v>
      </c>
      <c r="U280" s="9"/>
      <c r="V280" s="30">
        <f t="shared" si="943"/>
        <v>0</v>
      </c>
      <c r="W280" s="9"/>
      <c r="X280" s="30">
        <f t="shared" si="944"/>
        <v>0</v>
      </c>
      <c r="Y280" s="9"/>
      <c r="Z280" s="30">
        <f t="shared" si="945"/>
        <v>0</v>
      </c>
      <c r="AA280" s="9"/>
      <c r="AB280" s="30">
        <f t="shared" si="946"/>
        <v>0</v>
      </c>
      <c r="AC280" s="9"/>
      <c r="AD280" s="30">
        <f t="shared" si="947"/>
        <v>0</v>
      </c>
      <c r="AE280" s="9"/>
      <c r="AF280" s="30">
        <f t="shared" si="948"/>
        <v>0</v>
      </c>
      <c r="AG280" s="9"/>
      <c r="AH280" s="30">
        <f t="shared" si="949"/>
        <v>0</v>
      </c>
      <c r="AI280" s="9">
        <f>75475/100</f>
        <v>754.75</v>
      </c>
      <c r="AJ280" s="30">
        <v>49813</v>
      </c>
      <c r="AK280" s="9"/>
      <c r="AL280" s="30">
        <f t="shared" ref="AL280" si="1037">AK280*$L280</f>
        <v>0</v>
      </c>
      <c r="AM280" s="9"/>
      <c r="AN280" s="30">
        <f t="shared" si="952"/>
        <v>0</v>
      </c>
      <c r="AO280" s="9"/>
      <c r="AP280" s="30">
        <f t="shared" si="953"/>
        <v>0</v>
      </c>
      <c r="AQ280" s="9"/>
      <c r="AR280" s="30">
        <f t="shared" si="954"/>
        <v>0</v>
      </c>
      <c r="AS280" s="9"/>
      <c r="AT280" s="30">
        <f t="shared" si="955"/>
        <v>0</v>
      </c>
      <c r="AU280" s="9"/>
      <c r="AV280" s="30">
        <f t="shared" si="956"/>
        <v>0</v>
      </c>
      <c r="AW280" s="9"/>
      <c r="AX280" s="30">
        <f t="shared" si="957"/>
        <v>0</v>
      </c>
      <c r="AY280" s="9"/>
      <c r="AZ280" s="30">
        <f t="shared" si="958"/>
        <v>0</v>
      </c>
      <c r="BA280" s="10">
        <f>75475/100</f>
        <v>754.75</v>
      </c>
      <c r="BB280" s="31">
        <v>49813</v>
      </c>
      <c r="BC280" s="15">
        <f t="shared" si="970"/>
        <v>49813</v>
      </c>
      <c r="BD280" s="9">
        <f t="shared" si="971"/>
        <v>0</v>
      </c>
      <c r="BE280" s="28">
        <f t="shared" si="972"/>
        <v>754.75</v>
      </c>
      <c r="BF280" s="8">
        <f t="shared" si="973"/>
        <v>0</v>
      </c>
      <c r="BG280" s="29">
        <f t="shared" si="963"/>
        <v>49813.5</v>
      </c>
      <c r="BH280" s="13">
        <f t="shared" si="974"/>
        <v>-0.5</v>
      </c>
      <c r="BI280" s="2" t="str">
        <f t="shared" si="964"/>
        <v>erreur de calcul</v>
      </c>
      <c r="BJ280" s="2"/>
    </row>
    <row r="281" spans="1:62">
      <c r="A281" s="1" t="s">
        <v>12</v>
      </c>
      <c r="B281" s="3" t="s">
        <v>23</v>
      </c>
      <c r="C281" s="3" t="s">
        <v>45</v>
      </c>
      <c r="D281" s="4">
        <v>1789</v>
      </c>
      <c r="E281" s="3" t="s">
        <v>49</v>
      </c>
      <c r="F281" s="3" t="s">
        <v>49</v>
      </c>
      <c r="G281" s="31">
        <v>25</v>
      </c>
      <c r="H281" s="31" t="s">
        <v>355</v>
      </c>
      <c r="I281" s="5">
        <v>175</v>
      </c>
      <c r="J281" s="5"/>
      <c r="K281" s="6"/>
      <c r="L281" s="11">
        <f t="shared" si="965"/>
        <v>175</v>
      </c>
      <c r="M281" s="7" t="s">
        <v>14</v>
      </c>
      <c r="N281" s="31" t="s">
        <v>84</v>
      </c>
      <c r="O281" s="9">
        <f>183199/100</f>
        <v>1831.99</v>
      </c>
      <c r="P281" s="9">
        <v>320598</v>
      </c>
      <c r="Q281" s="9">
        <f>1514/100</f>
        <v>15.14</v>
      </c>
      <c r="R281" s="30">
        <v>2649</v>
      </c>
      <c r="S281" s="9"/>
      <c r="T281" s="30">
        <f t="shared" ref="T281" si="1038">S281*$L281</f>
        <v>0</v>
      </c>
      <c r="U281" s="9">
        <f>170926/100</f>
        <v>1709.26</v>
      </c>
      <c r="V281" s="30">
        <v>299120</v>
      </c>
      <c r="W281" s="9">
        <f>16985/100</f>
        <v>169.85</v>
      </c>
      <c r="X281" s="30">
        <v>29724</v>
      </c>
      <c r="Y281" s="9">
        <f>4530/100</f>
        <v>45.3</v>
      </c>
      <c r="Z281" s="30">
        <v>7927</v>
      </c>
      <c r="AA281" s="9"/>
      <c r="AB281" s="30">
        <f t="shared" si="946"/>
        <v>0</v>
      </c>
      <c r="AC281" s="9">
        <f>33770/100</f>
        <v>337.7</v>
      </c>
      <c r="AD281" s="30">
        <v>59097</v>
      </c>
      <c r="AE281" s="9"/>
      <c r="AF281" s="30">
        <f t="shared" si="948"/>
        <v>0</v>
      </c>
      <c r="AG281" s="9">
        <f>4712/100</f>
        <v>47.12</v>
      </c>
      <c r="AH281" s="30">
        <v>8246</v>
      </c>
      <c r="AI281" s="9">
        <f>55822/100</f>
        <v>558.22</v>
      </c>
      <c r="AJ281" s="30">
        <v>97688</v>
      </c>
      <c r="AK281" s="9"/>
      <c r="AL281" s="30">
        <f t="shared" ref="AL281" si="1039">AK281*$L281</f>
        <v>0</v>
      </c>
      <c r="AM281" s="9"/>
      <c r="AN281" s="30">
        <f t="shared" si="952"/>
        <v>0</v>
      </c>
      <c r="AO281" s="9"/>
      <c r="AP281" s="30">
        <f t="shared" si="953"/>
        <v>0</v>
      </c>
      <c r="AQ281" s="9"/>
      <c r="AR281" s="30">
        <f t="shared" si="954"/>
        <v>0</v>
      </c>
      <c r="AS281" s="9"/>
      <c r="AT281" s="30">
        <f t="shared" si="955"/>
        <v>0</v>
      </c>
      <c r="AU281" s="9"/>
      <c r="AV281" s="30">
        <f t="shared" si="956"/>
        <v>0</v>
      </c>
      <c r="AW281" s="9"/>
      <c r="AX281" s="30">
        <f t="shared" si="957"/>
        <v>0</v>
      </c>
      <c r="AY281" s="9"/>
      <c r="AZ281" s="30">
        <f t="shared" si="958"/>
        <v>0</v>
      </c>
      <c r="BA281" s="10">
        <f>288259/100</f>
        <v>2882.59</v>
      </c>
      <c r="BB281" s="31">
        <v>504451</v>
      </c>
      <c r="BC281" s="15">
        <f t="shared" si="970"/>
        <v>504451</v>
      </c>
      <c r="BD281" s="9">
        <f t="shared" si="971"/>
        <v>0</v>
      </c>
      <c r="BE281" s="28">
        <f t="shared" si="972"/>
        <v>2882.59</v>
      </c>
      <c r="BF281" s="8">
        <f t="shared" si="973"/>
        <v>0</v>
      </c>
      <c r="BG281" s="29">
        <f t="shared" si="963"/>
        <v>504453.25</v>
      </c>
      <c r="BH281" s="13">
        <f t="shared" si="974"/>
        <v>-2.25</v>
      </c>
      <c r="BI281" s="2" t="str">
        <f t="shared" si="964"/>
        <v>erreur de calcul</v>
      </c>
      <c r="BJ281" s="2"/>
    </row>
    <row r="282" spans="1:62">
      <c r="A282" s="1" t="s">
        <v>12</v>
      </c>
      <c r="B282" s="3" t="s">
        <v>23</v>
      </c>
      <c r="C282" s="3" t="s">
        <v>45</v>
      </c>
      <c r="D282" s="4">
        <v>1789</v>
      </c>
      <c r="E282" s="3" t="s">
        <v>49</v>
      </c>
      <c r="F282" s="3" t="s">
        <v>49</v>
      </c>
      <c r="G282" s="31">
        <v>25</v>
      </c>
      <c r="H282" s="31" t="s">
        <v>356</v>
      </c>
      <c r="I282" s="5">
        <v>150</v>
      </c>
      <c r="J282" s="5"/>
      <c r="K282" s="6"/>
      <c r="L282" s="11">
        <f t="shared" si="965"/>
        <v>150</v>
      </c>
      <c r="M282" s="7" t="s">
        <v>14</v>
      </c>
      <c r="N282" s="31"/>
      <c r="O282" s="9"/>
      <c r="P282" s="9" t="str">
        <f t="shared" si="979"/>
        <v/>
      </c>
      <c r="Q282" s="9"/>
      <c r="R282" s="30">
        <f t="shared" ref="R282" si="1040">Q282*$L282</f>
        <v>0</v>
      </c>
      <c r="S282" s="9"/>
      <c r="T282" s="30">
        <f t="shared" ref="T282" si="1041">S282*$L282</f>
        <v>0</v>
      </c>
      <c r="U282" s="9">
        <f>1842/100</f>
        <v>18.420000000000002</v>
      </c>
      <c r="V282" s="30">
        <v>2763</v>
      </c>
      <c r="W282" s="9">
        <f>684/100</f>
        <v>6.84</v>
      </c>
      <c r="X282" s="30">
        <v>1026</v>
      </c>
      <c r="Y282" s="9"/>
      <c r="Z282" s="30">
        <f t="shared" si="945"/>
        <v>0</v>
      </c>
      <c r="AA282" s="9"/>
      <c r="AB282" s="30">
        <f t="shared" si="946"/>
        <v>0</v>
      </c>
      <c r="AC282" s="9"/>
      <c r="AD282" s="30">
        <f t="shared" si="947"/>
        <v>0</v>
      </c>
      <c r="AE282" s="9"/>
      <c r="AF282" s="30">
        <f t="shared" si="948"/>
        <v>0</v>
      </c>
      <c r="AG282" s="9"/>
      <c r="AH282" s="30">
        <f t="shared" si="949"/>
        <v>0</v>
      </c>
      <c r="AI282" s="9"/>
      <c r="AJ282" s="30">
        <f t="shared" ref="AJ282" si="1042">AI282*$L282</f>
        <v>0</v>
      </c>
      <c r="AK282" s="9"/>
      <c r="AL282" s="30">
        <f t="shared" ref="AL282" si="1043">AK282*$L282</f>
        <v>0</v>
      </c>
      <c r="AM282" s="9"/>
      <c r="AN282" s="30">
        <f t="shared" si="952"/>
        <v>0</v>
      </c>
      <c r="AO282" s="9"/>
      <c r="AP282" s="30">
        <f t="shared" si="953"/>
        <v>0</v>
      </c>
      <c r="AQ282" s="9"/>
      <c r="AR282" s="30">
        <f t="shared" si="954"/>
        <v>0</v>
      </c>
      <c r="AS282" s="9"/>
      <c r="AT282" s="30">
        <f t="shared" si="955"/>
        <v>0</v>
      </c>
      <c r="AU282" s="9"/>
      <c r="AV282" s="30">
        <f t="shared" si="956"/>
        <v>0</v>
      </c>
      <c r="AW282" s="9"/>
      <c r="AX282" s="30">
        <f t="shared" si="957"/>
        <v>0</v>
      </c>
      <c r="AY282" s="9"/>
      <c r="AZ282" s="30">
        <f t="shared" si="958"/>
        <v>0</v>
      </c>
      <c r="BA282" s="10">
        <f>2526/100</f>
        <v>25.26</v>
      </c>
      <c r="BB282" s="31">
        <v>3789</v>
      </c>
      <c r="BC282" s="15">
        <f t="shared" si="970"/>
        <v>3789</v>
      </c>
      <c r="BD282" s="9">
        <f t="shared" si="971"/>
        <v>0</v>
      </c>
      <c r="BE282" s="28">
        <f t="shared" si="972"/>
        <v>25.26</v>
      </c>
      <c r="BF282" s="8">
        <f t="shared" si="973"/>
        <v>0</v>
      </c>
      <c r="BG282" s="29">
        <f t="shared" si="963"/>
        <v>3789.0000000000005</v>
      </c>
      <c r="BH282" s="13">
        <f t="shared" si="974"/>
        <v>0</v>
      </c>
      <c r="BI282" s="2" t="str">
        <f t="shared" si="964"/>
        <v/>
      </c>
      <c r="BJ282" s="2"/>
    </row>
    <row r="283" spans="1:62">
      <c r="A283" s="1" t="s">
        <v>12</v>
      </c>
      <c r="B283" s="3" t="s">
        <v>23</v>
      </c>
      <c r="C283" s="3" t="s">
        <v>45</v>
      </c>
      <c r="D283" s="4">
        <v>1789</v>
      </c>
      <c r="E283" s="3" t="s">
        <v>49</v>
      </c>
      <c r="F283" s="3" t="s">
        <v>49</v>
      </c>
      <c r="G283" s="31">
        <v>25</v>
      </c>
      <c r="H283" s="31" t="s">
        <v>357</v>
      </c>
      <c r="I283" s="5">
        <v>150</v>
      </c>
      <c r="J283" s="5"/>
      <c r="K283" s="6"/>
      <c r="L283" s="11">
        <f t="shared" si="965"/>
        <v>150</v>
      </c>
      <c r="M283" s="7" t="s">
        <v>14</v>
      </c>
      <c r="N283" s="31" t="s">
        <v>84</v>
      </c>
      <c r="O283" s="9">
        <f>8567/100</f>
        <v>85.67</v>
      </c>
      <c r="P283" s="9">
        <v>12850</v>
      </c>
      <c r="Q283" s="9"/>
      <c r="R283" s="30">
        <f t="shared" ref="R283" si="1044">Q283*$L283</f>
        <v>0</v>
      </c>
      <c r="S283" s="9"/>
      <c r="T283" s="30">
        <f t="shared" ref="T283" si="1045">S283*$L283</f>
        <v>0</v>
      </c>
      <c r="U283" s="9"/>
      <c r="V283" s="30">
        <f t="shared" si="943"/>
        <v>0</v>
      </c>
      <c r="W283" s="9">
        <f>1501/100</f>
        <v>15.01</v>
      </c>
      <c r="X283" s="30">
        <v>2251</v>
      </c>
      <c r="Y283" s="9"/>
      <c r="Z283" s="30">
        <f t="shared" si="945"/>
        <v>0</v>
      </c>
      <c r="AA283" s="9">
        <f>6420/100</f>
        <v>64.2</v>
      </c>
      <c r="AB283" s="30">
        <v>9630</v>
      </c>
      <c r="AC283" s="9"/>
      <c r="AD283" s="30">
        <f t="shared" si="947"/>
        <v>0</v>
      </c>
      <c r="AE283" s="9"/>
      <c r="AF283" s="30">
        <f t="shared" si="948"/>
        <v>0</v>
      </c>
      <c r="AG283" s="9"/>
      <c r="AH283" s="30">
        <f t="shared" si="949"/>
        <v>0</v>
      </c>
      <c r="AI283" s="9">
        <f>138039/100</f>
        <v>1380.39</v>
      </c>
      <c r="AJ283" s="30">
        <v>207058</v>
      </c>
      <c r="AK283" s="9"/>
      <c r="AL283" s="30">
        <f t="shared" ref="AL283" si="1046">AK283*$L283</f>
        <v>0</v>
      </c>
      <c r="AM283" s="9">
        <f>917/100</f>
        <v>9.17</v>
      </c>
      <c r="AN283" s="30">
        <v>1375</v>
      </c>
      <c r="AO283" s="9"/>
      <c r="AP283" s="30">
        <f t="shared" si="953"/>
        <v>0</v>
      </c>
      <c r="AQ283" s="9"/>
      <c r="AR283" s="30">
        <f t="shared" si="954"/>
        <v>0</v>
      </c>
      <c r="AS283" s="9"/>
      <c r="AT283" s="30">
        <f t="shared" si="955"/>
        <v>0</v>
      </c>
      <c r="AU283" s="9"/>
      <c r="AV283" s="30">
        <f t="shared" si="956"/>
        <v>0</v>
      </c>
      <c r="AW283" s="9"/>
      <c r="AX283" s="30">
        <f t="shared" si="957"/>
        <v>0</v>
      </c>
      <c r="AY283" s="9"/>
      <c r="AZ283" s="30">
        <f t="shared" si="958"/>
        <v>0</v>
      </c>
      <c r="BA283" s="10">
        <f>146877/100</f>
        <v>1468.77</v>
      </c>
      <c r="BB283" s="31">
        <v>220314</v>
      </c>
      <c r="BC283" s="15">
        <f t="shared" si="970"/>
        <v>220314</v>
      </c>
      <c r="BD283" s="9">
        <f t="shared" si="971"/>
        <v>0</v>
      </c>
      <c r="BE283" s="28">
        <f t="shared" si="972"/>
        <v>1468.7700000000002</v>
      </c>
      <c r="BF283" s="8">
        <f t="shared" si="973"/>
        <v>0</v>
      </c>
      <c r="BG283" s="29">
        <f t="shared" si="963"/>
        <v>220315.50000000003</v>
      </c>
      <c r="BH283" s="13">
        <f t="shared" si="974"/>
        <v>-1.5000000000291038</v>
      </c>
      <c r="BI283" s="2" t="str">
        <f t="shared" si="964"/>
        <v>erreur de calcul</v>
      </c>
      <c r="BJ283" s="2"/>
    </row>
    <row r="284" spans="1:62">
      <c r="A284" s="1" t="s">
        <v>12</v>
      </c>
      <c r="B284" s="3" t="s">
        <v>23</v>
      </c>
      <c r="C284" s="3" t="s">
        <v>45</v>
      </c>
      <c r="D284" s="4">
        <v>1789</v>
      </c>
      <c r="E284" s="3" t="s">
        <v>49</v>
      </c>
      <c r="F284" s="3" t="s">
        <v>49</v>
      </c>
      <c r="G284" s="31">
        <v>25</v>
      </c>
      <c r="H284" s="31" t="s">
        <v>358</v>
      </c>
      <c r="I284" s="5">
        <v>122</v>
      </c>
      <c r="J284" s="5"/>
      <c r="K284" s="6"/>
      <c r="L284" s="11">
        <f t="shared" si="965"/>
        <v>122</v>
      </c>
      <c r="M284" s="7" t="s">
        <v>14</v>
      </c>
      <c r="N284" s="31" t="s">
        <v>84</v>
      </c>
      <c r="O284" s="9">
        <f>8362/100</f>
        <v>83.62</v>
      </c>
      <c r="P284" s="9">
        <v>10202</v>
      </c>
      <c r="Q284" s="9">
        <f>2402/100</f>
        <v>24.02</v>
      </c>
      <c r="R284" s="30">
        <v>2930</v>
      </c>
      <c r="S284" s="9"/>
      <c r="T284" s="30">
        <f t="shared" ref="T284" si="1047">S284*$L284</f>
        <v>0</v>
      </c>
      <c r="U284" s="9">
        <f>3566/100</f>
        <v>35.659999999999997</v>
      </c>
      <c r="V284" s="32">
        <v>4550</v>
      </c>
      <c r="W284" s="9">
        <f>917/100</f>
        <v>9.17</v>
      </c>
      <c r="X284" s="30">
        <v>1119</v>
      </c>
      <c r="Y284" s="9"/>
      <c r="Z284" s="30">
        <f t="shared" si="945"/>
        <v>0</v>
      </c>
      <c r="AA284" s="9"/>
      <c r="AB284" s="30">
        <f t="shared" si="946"/>
        <v>0</v>
      </c>
      <c r="AC284" s="9">
        <f>28087/100</f>
        <v>280.87</v>
      </c>
      <c r="AD284" s="30">
        <v>34266</v>
      </c>
      <c r="AE284" s="9">
        <f>1505/100</f>
        <v>15.05</v>
      </c>
      <c r="AF284" s="30">
        <v>1836</v>
      </c>
      <c r="AG284" s="9"/>
      <c r="AH284" s="30">
        <f t="shared" si="949"/>
        <v>0</v>
      </c>
      <c r="AI284" s="9">
        <f>15314/100</f>
        <v>153.13999999999999</v>
      </c>
      <c r="AJ284" s="30">
        <v>18683</v>
      </c>
      <c r="AK284" s="9"/>
      <c r="AL284" s="30">
        <f t="shared" ref="AL284" si="1048">AK284*$L284</f>
        <v>0</v>
      </c>
      <c r="AM284" s="9"/>
      <c r="AN284" s="30">
        <f t="shared" si="952"/>
        <v>0</v>
      </c>
      <c r="AO284" s="9"/>
      <c r="AP284" s="30">
        <f t="shared" si="953"/>
        <v>0</v>
      </c>
      <c r="AQ284" s="9"/>
      <c r="AR284" s="30">
        <f t="shared" si="954"/>
        <v>0</v>
      </c>
      <c r="AS284" s="9"/>
      <c r="AT284" s="30">
        <f t="shared" si="955"/>
        <v>0</v>
      </c>
      <c r="AU284" s="9"/>
      <c r="AV284" s="30">
        <f t="shared" si="956"/>
        <v>0</v>
      </c>
      <c r="AW284" s="9"/>
      <c r="AX284" s="30">
        <f t="shared" si="957"/>
        <v>0</v>
      </c>
      <c r="AY284" s="9"/>
      <c r="AZ284" s="30">
        <f t="shared" si="958"/>
        <v>0</v>
      </c>
      <c r="BA284" s="10">
        <f>51791/100</f>
        <v>517.91</v>
      </c>
      <c r="BB284" s="31">
        <v>63384</v>
      </c>
      <c r="BC284" s="15">
        <f t="shared" si="970"/>
        <v>63384</v>
      </c>
      <c r="BD284" s="9">
        <f t="shared" si="971"/>
        <v>0</v>
      </c>
      <c r="BE284" s="28">
        <f t="shared" si="972"/>
        <v>517.91000000000008</v>
      </c>
      <c r="BF284" s="8">
        <f t="shared" si="973"/>
        <v>0</v>
      </c>
      <c r="BG284" s="29">
        <f t="shared" si="963"/>
        <v>63185.020000000011</v>
      </c>
      <c r="BH284" s="13">
        <f t="shared" si="974"/>
        <v>198.97999999998865</v>
      </c>
      <c r="BI284" s="2" t="str">
        <f t="shared" si="964"/>
        <v>erreur de calcul</v>
      </c>
      <c r="BJ284" s="2"/>
    </row>
    <row r="285" spans="1:62">
      <c r="A285" s="1" t="s">
        <v>12</v>
      </c>
      <c r="B285" s="3" t="s">
        <v>23</v>
      </c>
      <c r="C285" s="3" t="s">
        <v>45</v>
      </c>
      <c r="D285" s="4">
        <v>1789</v>
      </c>
      <c r="E285" s="3" t="s">
        <v>49</v>
      </c>
      <c r="F285" s="3" t="s">
        <v>49</v>
      </c>
      <c r="G285" s="31">
        <v>25</v>
      </c>
      <c r="H285" s="31" t="s">
        <v>359</v>
      </c>
      <c r="I285" s="5">
        <v>107</v>
      </c>
      <c r="J285" s="5"/>
      <c r="K285" s="6"/>
      <c r="L285" s="11">
        <f t="shared" si="965"/>
        <v>107</v>
      </c>
      <c r="M285" s="7" t="s">
        <v>14</v>
      </c>
      <c r="N285" s="31" t="s">
        <v>84</v>
      </c>
      <c r="O285" s="9">
        <f>1390/100</f>
        <v>13.9</v>
      </c>
      <c r="P285" s="9">
        <v>1487</v>
      </c>
      <c r="Q285" s="9"/>
      <c r="R285" s="30">
        <f t="shared" ref="R285" si="1049">Q285*$L285</f>
        <v>0</v>
      </c>
      <c r="S285" s="9"/>
      <c r="T285" s="30">
        <f t="shared" ref="T285" si="1050">S285*$L285</f>
        <v>0</v>
      </c>
      <c r="U285" s="9">
        <f>1834/100</f>
        <v>18.34</v>
      </c>
      <c r="V285" s="30">
        <v>1962</v>
      </c>
      <c r="W285" s="9"/>
      <c r="X285" s="30">
        <f t="shared" si="944"/>
        <v>0</v>
      </c>
      <c r="Y285" s="9"/>
      <c r="Z285" s="30">
        <f t="shared" si="945"/>
        <v>0</v>
      </c>
      <c r="AA285" s="9"/>
      <c r="AB285" s="30">
        <f t="shared" si="946"/>
        <v>0</v>
      </c>
      <c r="AC285" s="9"/>
      <c r="AD285" s="30">
        <f t="shared" si="947"/>
        <v>0</v>
      </c>
      <c r="AE285" s="9"/>
      <c r="AF285" s="30">
        <f t="shared" si="948"/>
        <v>0</v>
      </c>
      <c r="AG285" s="9">
        <f>5202/100</f>
        <v>52.02</v>
      </c>
      <c r="AH285" s="30">
        <v>5566</v>
      </c>
      <c r="AI285" s="9"/>
      <c r="AJ285" s="30">
        <f t="shared" ref="AJ285" si="1051">AI285*$L285</f>
        <v>0</v>
      </c>
      <c r="AK285" s="9">
        <f>3209/100</f>
        <v>32.090000000000003</v>
      </c>
      <c r="AL285" s="30">
        <v>3434</v>
      </c>
      <c r="AM285" s="9">
        <f>80682/100</f>
        <v>806.82</v>
      </c>
      <c r="AN285" s="30">
        <v>86329</v>
      </c>
      <c r="AO285" s="9"/>
      <c r="AP285" s="30">
        <f t="shared" si="953"/>
        <v>0</v>
      </c>
      <c r="AQ285" s="9"/>
      <c r="AR285" s="30">
        <f t="shared" si="954"/>
        <v>0</v>
      </c>
      <c r="AS285" s="9"/>
      <c r="AT285" s="30">
        <f t="shared" si="955"/>
        <v>0</v>
      </c>
      <c r="AU285" s="9"/>
      <c r="AV285" s="30">
        <f t="shared" si="956"/>
        <v>0</v>
      </c>
      <c r="AW285" s="9"/>
      <c r="AX285" s="30">
        <f t="shared" si="957"/>
        <v>0</v>
      </c>
      <c r="AY285" s="9"/>
      <c r="AZ285" s="30">
        <f t="shared" si="958"/>
        <v>0</v>
      </c>
      <c r="BA285" s="10">
        <f>90927/100</f>
        <v>909.27</v>
      </c>
      <c r="BB285" s="31">
        <v>97291</v>
      </c>
      <c r="BC285" s="15">
        <f t="shared" si="970"/>
        <v>97291</v>
      </c>
      <c r="BD285" s="9">
        <f t="shared" si="971"/>
        <v>0</v>
      </c>
      <c r="BE285" s="28">
        <f t="shared" si="972"/>
        <v>909.2700000000001</v>
      </c>
      <c r="BF285" s="8">
        <f t="shared" si="973"/>
        <v>0</v>
      </c>
      <c r="BG285" s="29">
        <f t="shared" si="963"/>
        <v>97291.890000000014</v>
      </c>
      <c r="BH285" s="13">
        <f t="shared" si="974"/>
        <v>-0.89000000001396984</v>
      </c>
      <c r="BI285" s="2" t="str">
        <f t="shared" si="964"/>
        <v>erreur de calcul</v>
      </c>
      <c r="BJ285" s="2"/>
    </row>
    <row r="286" spans="1:62">
      <c r="A286" s="1" t="s">
        <v>12</v>
      </c>
      <c r="B286" s="3" t="s">
        <v>23</v>
      </c>
      <c r="C286" s="3" t="s">
        <v>45</v>
      </c>
      <c r="D286" s="4">
        <v>1789</v>
      </c>
      <c r="E286" s="3" t="s">
        <v>49</v>
      </c>
      <c r="F286" s="3" t="s">
        <v>49</v>
      </c>
      <c r="G286" s="31">
        <v>25</v>
      </c>
      <c r="H286" s="31" t="s">
        <v>360</v>
      </c>
      <c r="I286" s="5"/>
      <c r="J286" s="5"/>
      <c r="K286" s="6"/>
      <c r="L286" s="11">
        <f t="shared" si="965"/>
        <v>0</v>
      </c>
      <c r="M286" s="7" t="s">
        <v>15</v>
      </c>
      <c r="N286" s="31"/>
      <c r="O286" s="9"/>
      <c r="P286" s="9" t="str">
        <f t="shared" si="979"/>
        <v/>
      </c>
      <c r="Q286" s="9"/>
      <c r="R286" s="30">
        <f t="shared" ref="R286" si="1052">Q286*$L286</f>
        <v>0</v>
      </c>
      <c r="S286" s="9"/>
      <c r="T286" s="30">
        <f t="shared" ref="T286" si="1053">S286*$L286</f>
        <v>0</v>
      </c>
      <c r="U286" s="9"/>
      <c r="V286" s="30">
        <f t="shared" si="943"/>
        <v>0</v>
      </c>
      <c r="W286" s="9">
        <v>797</v>
      </c>
      <c r="X286" s="30">
        <v>720</v>
      </c>
      <c r="Y286" s="9"/>
      <c r="Z286" s="30">
        <f t="shared" si="945"/>
        <v>0</v>
      </c>
      <c r="AA286" s="9"/>
      <c r="AB286" s="30">
        <f t="shared" si="946"/>
        <v>0</v>
      </c>
      <c r="AC286" s="9"/>
      <c r="AD286" s="30">
        <f t="shared" si="947"/>
        <v>0</v>
      </c>
      <c r="AE286" s="9"/>
      <c r="AF286" s="30">
        <f t="shared" si="948"/>
        <v>0</v>
      </c>
      <c r="AG286" s="9"/>
      <c r="AH286" s="30">
        <f t="shared" si="949"/>
        <v>0</v>
      </c>
      <c r="AI286" s="9"/>
      <c r="AJ286" s="30">
        <f t="shared" ref="AJ286" si="1054">AI286*$L286</f>
        <v>0</v>
      </c>
      <c r="AK286" s="9"/>
      <c r="AL286" s="30">
        <f t="shared" ref="AL286" si="1055">AK286*$L286</f>
        <v>0</v>
      </c>
      <c r="AM286" s="9"/>
      <c r="AN286" s="30">
        <f t="shared" si="952"/>
        <v>0</v>
      </c>
      <c r="AO286" s="9"/>
      <c r="AP286" s="30">
        <f t="shared" si="953"/>
        <v>0</v>
      </c>
      <c r="AQ286" s="9"/>
      <c r="AR286" s="30">
        <f t="shared" si="954"/>
        <v>0</v>
      </c>
      <c r="AS286" s="9"/>
      <c r="AT286" s="30">
        <f t="shared" si="955"/>
        <v>0</v>
      </c>
      <c r="AU286" s="9"/>
      <c r="AV286" s="30">
        <f t="shared" si="956"/>
        <v>0</v>
      </c>
      <c r="AW286" s="9"/>
      <c r="AX286" s="30">
        <f t="shared" si="957"/>
        <v>0</v>
      </c>
      <c r="AY286" s="9"/>
      <c r="AZ286" s="30">
        <f t="shared" si="958"/>
        <v>0</v>
      </c>
      <c r="BA286" s="10">
        <v>797</v>
      </c>
      <c r="BB286" s="31">
        <v>720</v>
      </c>
      <c r="BC286" s="15">
        <f t="shared" si="970"/>
        <v>720</v>
      </c>
      <c r="BD286" s="9">
        <f t="shared" si="971"/>
        <v>0</v>
      </c>
      <c r="BE286" s="28">
        <f t="shared" si="972"/>
        <v>797</v>
      </c>
      <c r="BF286" s="8">
        <f t="shared" si="973"/>
        <v>0</v>
      </c>
      <c r="BG286" s="29">
        <f t="shared" si="963"/>
        <v>0</v>
      </c>
      <c r="BH286" s="13">
        <f t="shared" si="974"/>
        <v>720</v>
      </c>
      <c r="BI286" s="2" t="str">
        <f t="shared" si="964"/>
        <v>pas de prix</v>
      </c>
      <c r="BJ286" s="2" t="s">
        <v>482</v>
      </c>
    </row>
    <row r="287" spans="1:62">
      <c r="A287" s="1" t="s">
        <v>12</v>
      </c>
      <c r="B287" s="3" t="s">
        <v>23</v>
      </c>
      <c r="C287" s="3" t="s">
        <v>45</v>
      </c>
      <c r="D287" s="4">
        <v>1789</v>
      </c>
      <c r="E287" s="3" t="s">
        <v>49</v>
      </c>
      <c r="F287" s="3" t="s">
        <v>49</v>
      </c>
      <c r="G287" s="31">
        <v>25</v>
      </c>
      <c r="H287" s="31" t="s">
        <v>361</v>
      </c>
      <c r="I287" s="5">
        <v>4</v>
      </c>
      <c r="J287" s="5"/>
      <c r="K287" s="6"/>
      <c r="L287" s="11">
        <f t="shared" si="965"/>
        <v>4</v>
      </c>
      <c r="M287" s="7" t="s">
        <v>14</v>
      </c>
      <c r="N287" s="31"/>
      <c r="O287" s="9"/>
      <c r="P287" s="9" t="str">
        <f t="shared" si="979"/>
        <v/>
      </c>
      <c r="Q287" s="9"/>
      <c r="R287" s="30">
        <f t="shared" ref="R287" si="1056">Q287*$L287</f>
        <v>0</v>
      </c>
      <c r="S287" s="9"/>
      <c r="T287" s="30">
        <f t="shared" ref="T287" si="1057">S287*$L287</f>
        <v>0</v>
      </c>
      <c r="U287" s="9"/>
      <c r="V287" s="30">
        <f t="shared" si="943"/>
        <v>0</v>
      </c>
      <c r="W287" s="9">
        <f>23693/100</f>
        <v>236.93</v>
      </c>
      <c r="X287" s="30">
        <v>948</v>
      </c>
      <c r="Y287" s="9"/>
      <c r="Z287" s="30">
        <f t="shared" si="945"/>
        <v>0</v>
      </c>
      <c r="AA287" s="9"/>
      <c r="AB287" s="30">
        <f t="shared" si="946"/>
        <v>0</v>
      </c>
      <c r="AC287" s="9"/>
      <c r="AD287" s="30">
        <f t="shared" si="947"/>
        <v>0</v>
      </c>
      <c r="AE287" s="9"/>
      <c r="AF287" s="30">
        <f t="shared" si="948"/>
        <v>0</v>
      </c>
      <c r="AG287" s="9"/>
      <c r="AH287" s="30">
        <f t="shared" si="949"/>
        <v>0</v>
      </c>
      <c r="AI287" s="9"/>
      <c r="AJ287" s="30">
        <f t="shared" ref="AJ287" si="1058">AI287*$L287</f>
        <v>0</v>
      </c>
      <c r="AK287" s="9"/>
      <c r="AL287" s="30">
        <f t="shared" ref="AL287" si="1059">AK287*$L287</f>
        <v>0</v>
      </c>
      <c r="AM287" s="9"/>
      <c r="AN287" s="30">
        <f t="shared" si="952"/>
        <v>0</v>
      </c>
      <c r="AO287" s="9"/>
      <c r="AP287" s="30">
        <f t="shared" si="953"/>
        <v>0</v>
      </c>
      <c r="AQ287" s="9"/>
      <c r="AR287" s="30">
        <f t="shared" si="954"/>
        <v>0</v>
      </c>
      <c r="AS287" s="9"/>
      <c r="AT287" s="30">
        <f t="shared" si="955"/>
        <v>0</v>
      </c>
      <c r="AU287" s="9"/>
      <c r="AV287" s="30">
        <f t="shared" si="956"/>
        <v>0</v>
      </c>
      <c r="AW287" s="9"/>
      <c r="AX287" s="30">
        <f t="shared" si="957"/>
        <v>0</v>
      </c>
      <c r="AY287" s="9"/>
      <c r="AZ287" s="30">
        <f t="shared" si="958"/>
        <v>0</v>
      </c>
      <c r="BA287" s="10">
        <f>23693/100</f>
        <v>236.93</v>
      </c>
      <c r="BB287" s="31">
        <v>948</v>
      </c>
      <c r="BC287" s="15">
        <f t="shared" si="970"/>
        <v>948</v>
      </c>
      <c r="BD287" s="9">
        <f t="shared" si="971"/>
        <v>0</v>
      </c>
      <c r="BE287" s="28">
        <f t="shared" si="972"/>
        <v>236.93</v>
      </c>
      <c r="BF287" s="8">
        <f t="shared" si="973"/>
        <v>0</v>
      </c>
      <c r="BG287" s="29">
        <f t="shared" si="963"/>
        <v>947.72</v>
      </c>
      <c r="BH287" s="13">
        <f t="shared" si="974"/>
        <v>0.27999999999997272</v>
      </c>
      <c r="BI287" s="2" t="str">
        <f t="shared" si="964"/>
        <v>erreur de calcul</v>
      </c>
      <c r="BJ287" s="2"/>
    </row>
    <row r="288" spans="1:62">
      <c r="A288" s="1" t="s">
        <v>12</v>
      </c>
      <c r="B288" s="3" t="s">
        <v>23</v>
      </c>
      <c r="C288" s="3" t="s">
        <v>45</v>
      </c>
      <c r="D288" s="4">
        <v>1789</v>
      </c>
      <c r="E288" s="3" t="s">
        <v>49</v>
      </c>
      <c r="F288" s="3" t="s">
        <v>49</v>
      </c>
      <c r="G288" s="31">
        <v>25</v>
      </c>
      <c r="H288" s="31" t="s">
        <v>362</v>
      </c>
      <c r="I288" s="5">
        <v>92</v>
      </c>
      <c r="J288" s="5"/>
      <c r="K288" s="6"/>
      <c r="L288" s="11">
        <f t="shared" si="965"/>
        <v>92</v>
      </c>
      <c r="M288" s="7" t="s">
        <v>14</v>
      </c>
      <c r="N288" s="31"/>
      <c r="O288" s="9"/>
      <c r="P288" s="9" t="str">
        <f t="shared" si="979"/>
        <v/>
      </c>
      <c r="Q288" s="9"/>
      <c r="R288" s="30">
        <f t="shared" ref="R288" si="1060">Q288*$L288</f>
        <v>0</v>
      </c>
      <c r="S288" s="9"/>
      <c r="T288" s="30">
        <f t="shared" ref="T288" si="1061">S288*$L288</f>
        <v>0</v>
      </c>
      <c r="U288" s="9"/>
      <c r="V288" s="30">
        <f t="shared" si="943"/>
        <v>0</v>
      </c>
      <c r="W288" s="9">
        <f>82878/100</f>
        <v>828.78</v>
      </c>
      <c r="X288" s="30">
        <v>76248</v>
      </c>
      <c r="Y288" s="9">
        <f>44264/100</f>
        <v>442.64</v>
      </c>
      <c r="Z288" s="32">
        <v>41023</v>
      </c>
      <c r="AA288" s="9"/>
      <c r="AB288" s="30">
        <f t="shared" si="946"/>
        <v>0</v>
      </c>
      <c r="AC288" s="9"/>
      <c r="AD288" s="30">
        <f t="shared" si="947"/>
        <v>0</v>
      </c>
      <c r="AE288" s="9"/>
      <c r="AF288" s="30">
        <f t="shared" si="948"/>
        <v>0</v>
      </c>
      <c r="AG288" s="9"/>
      <c r="AH288" s="30">
        <f t="shared" si="949"/>
        <v>0</v>
      </c>
      <c r="AI288" s="9"/>
      <c r="AJ288" s="30">
        <f t="shared" ref="AJ288" si="1062">AI288*$L288</f>
        <v>0</v>
      </c>
      <c r="AK288" s="9"/>
      <c r="AL288" s="30">
        <f t="shared" ref="AL288" si="1063">AK288*$L288</f>
        <v>0</v>
      </c>
      <c r="AM288" s="9"/>
      <c r="AN288" s="30">
        <f t="shared" si="952"/>
        <v>0</v>
      </c>
      <c r="AO288" s="9"/>
      <c r="AP288" s="30">
        <f t="shared" si="953"/>
        <v>0</v>
      </c>
      <c r="AQ288" s="9"/>
      <c r="AR288" s="30">
        <f t="shared" si="954"/>
        <v>0</v>
      </c>
      <c r="AS288" s="9"/>
      <c r="AT288" s="30">
        <f t="shared" si="955"/>
        <v>0</v>
      </c>
      <c r="AU288" s="9"/>
      <c r="AV288" s="30">
        <f t="shared" si="956"/>
        <v>0</v>
      </c>
      <c r="AW288" s="9"/>
      <c r="AX288" s="30">
        <f t="shared" si="957"/>
        <v>0</v>
      </c>
      <c r="AY288" s="9"/>
      <c r="AZ288" s="30">
        <f t="shared" si="958"/>
        <v>0</v>
      </c>
      <c r="BA288" s="10">
        <f>127142/100</f>
        <v>1271.42</v>
      </c>
      <c r="BB288" s="31">
        <v>117271</v>
      </c>
      <c r="BC288" s="15">
        <f t="shared" si="970"/>
        <v>117271</v>
      </c>
      <c r="BD288" s="9">
        <f t="shared" si="971"/>
        <v>0</v>
      </c>
      <c r="BE288" s="28">
        <f t="shared" si="972"/>
        <v>1271.42</v>
      </c>
      <c r="BF288" s="8">
        <f t="shared" si="973"/>
        <v>0</v>
      </c>
      <c r="BG288" s="29">
        <f t="shared" si="963"/>
        <v>116970.64000000001</v>
      </c>
      <c r="BH288" s="13">
        <f t="shared" si="974"/>
        <v>300.35999999998603</v>
      </c>
      <c r="BI288" s="2" t="str">
        <f t="shared" si="964"/>
        <v>erreur de calcul</v>
      </c>
      <c r="BJ288" s="2"/>
    </row>
    <row r="289" spans="1:62">
      <c r="A289" s="1" t="s">
        <v>12</v>
      </c>
      <c r="B289" s="3" t="s">
        <v>23</v>
      </c>
      <c r="C289" s="3" t="s">
        <v>45</v>
      </c>
      <c r="D289" s="4">
        <v>1789</v>
      </c>
      <c r="E289" s="3" t="s">
        <v>49</v>
      </c>
      <c r="F289" s="3" t="s">
        <v>49</v>
      </c>
      <c r="G289" s="31">
        <v>25</v>
      </c>
      <c r="H289" s="31" t="s">
        <v>363</v>
      </c>
      <c r="I289" s="5">
        <v>12</v>
      </c>
      <c r="J289" s="5"/>
      <c r="K289" s="6"/>
      <c r="L289" s="11">
        <f t="shared" si="965"/>
        <v>12</v>
      </c>
      <c r="M289" s="7" t="s">
        <v>14</v>
      </c>
      <c r="N289" s="31"/>
      <c r="O289" s="9"/>
      <c r="P289" s="9" t="str">
        <f t="shared" si="979"/>
        <v/>
      </c>
      <c r="Q289" s="9"/>
      <c r="R289" s="30">
        <f t="shared" ref="R289" si="1064">Q289*$L289</f>
        <v>0</v>
      </c>
      <c r="S289" s="9"/>
      <c r="T289" s="30">
        <f t="shared" ref="T289" si="1065">S289*$L289</f>
        <v>0</v>
      </c>
      <c r="U289" s="9"/>
      <c r="V289" s="30">
        <f t="shared" si="943"/>
        <v>0</v>
      </c>
      <c r="W289" s="9"/>
      <c r="X289" s="30">
        <f t="shared" si="944"/>
        <v>0</v>
      </c>
      <c r="Y289" s="9"/>
      <c r="Z289" s="30">
        <f t="shared" si="945"/>
        <v>0</v>
      </c>
      <c r="AA289" s="9"/>
      <c r="AB289" s="30">
        <f t="shared" si="946"/>
        <v>0</v>
      </c>
      <c r="AC289" s="9"/>
      <c r="AD289" s="30">
        <f t="shared" si="947"/>
        <v>0</v>
      </c>
      <c r="AE289" s="9"/>
      <c r="AF289" s="30">
        <f t="shared" si="948"/>
        <v>0</v>
      </c>
      <c r="AG289" s="9"/>
      <c r="AH289" s="30">
        <f t="shared" si="949"/>
        <v>0</v>
      </c>
      <c r="AI289" s="9">
        <f>12168/100</f>
        <v>121.68</v>
      </c>
      <c r="AJ289" s="30">
        <v>1460</v>
      </c>
      <c r="AK289" s="9"/>
      <c r="AL289" s="30">
        <f t="shared" ref="AL289" si="1066">AK289*$L289</f>
        <v>0</v>
      </c>
      <c r="AM289" s="9"/>
      <c r="AN289" s="30">
        <f t="shared" si="952"/>
        <v>0</v>
      </c>
      <c r="AO289" s="9"/>
      <c r="AP289" s="30">
        <f t="shared" si="953"/>
        <v>0</v>
      </c>
      <c r="AQ289" s="9"/>
      <c r="AR289" s="30">
        <f t="shared" si="954"/>
        <v>0</v>
      </c>
      <c r="AS289" s="9"/>
      <c r="AT289" s="30">
        <f t="shared" si="955"/>
        <v>0</v>
      </c>
      <c r="AU289" s="9"/>
      <c r="AV289" s="30">
        <f t="shared" si="956"/>
        <v>0</v>
      </c>
      <c r="AW289" s="9"/>
      <c r="AX289" s="30">
        <f t="shared" si="957"/>
        <v>0</v>
      </c>
      <c r="AY289" s="9"/>
      <c r="AZ289" s="30">
        <f t="shared" si="958"/>
        <v>0</v>
      </c>
      <c r="BA289" s="10">
        <f>12168/100</f>
        <v>121.68</v>
      </c>
      <c r="BB289" s="31">
        <v>1460</v>
      </c>
      <c r="BC289" s="15">
        <f t="shared" si="970"/>
        <v>1460</v>
      </c>
      <c r="BD289" s="9">
        <f t="shared" si="971"/>
        <v>0</v>
      </c>
      <c r="BE289" s="28">
        <f t="shared" si="972"/>
        <v>121.68</v>
      </c>
      <c r="BF289" s="8">
        <f t="shared" si="973"/>
        <v>0</v>
      </c>
      <c r="BG289" s="29">
        <f t="shared" si="963"/>
        <v>1460.16</v>
      </c>
      <c r="BH289" s="13">
        <f t="shared" si="974"/>
        <v>-0.16000000000008185</v>
      </c>
      <c r="BI289" s="2" t="str">
        <f t="shared" si="964"/>
        <v>erreur de calcul</v>
      </c>
      <c r="BJ289" s="2"/>
    </row>
    <row r="290" spans="1:62">
      <c r="A290" s="1" t="s">
        <v>12</v>
      </c>
      <c r="B290" s="3" t="s">
        <v>23</v>
      </c>
      <c r="C290" s="3" t="s">
        <v>45</v>
      </c>
      <c r="D290" s="4">
        <v>1789</v>
      </c>
      <c r="E290" s="3" t="s">
        <v>49</v>
      </c>
      <c r="F290" s="3" t="s">
        <v>49</v>
      </c>
      <c r="G290" s="31">
        <v>25</v>
      </c>
      <c r="H290" s="31" t="s">
        <v>364</v>
      </c>
      <c r="I290" s="5">
        <v>7</v>
      </c>
      <c r="J290" s="5"/>
      <c r="K290" s="6"/>
      <c r="L290" s="11">
        <f t="shared" si="965"/>
        <v>7</v>
      </c>
      <c r="M290" s="7" t="s">
        <v>14</v>
      </c>
      <c r="N290" s="31"/>
      <c r="O290" s="9"/>
      <c r="P290" s="9" t="str">
        <f t="shared" si="979"/>
        <v/>
      </c>
      <c r="Q290" s="9"/>
      <c r="R290" s="30">
        <f t="shared" ref="R290" si="1067">Q290*$L290</f>
        <v>0</v>
      </c>
      <c r="S290" s="9"/>
      <c r="T290" s="30">
        <f t="shared" ref="T290" si="1068">S290*$L290</f>
        <v>0</v>
      </c>
      <c r="U290" s="9"/>
      <c r="V290" s="30">
        <f t="shared" si="943"/>
        <v>0</v>
      </c>
      <c r="W290" s="9"/>
      <c r="X290" s="30">
        <f t="shared" si="944"/>
        <v>0</v>
      </c>
      <c r="Y290" s="9"/>
      <c r="Z290" s="30">
        <f t="shared" si="945"/>
        <v>0</v>
      </c>
      <c r="AA290" s="9"/>
      <c r="AB290" s="30">
        <f t="shared" si="946"/>
        <v>0</v>
      </c>
      <c r="AC290" s="9">
        <f>58003/100</f>
        <v>580.03</v>
      </c>
      <c r="AD290" s="30">
        <v>4060</v>
      </c>
      <c r="AE290" s="9"/>
      <c r="AF290" s="30">
        <f t="shared" si="948"/>
        <v>0</v>
      </c>
      <c r="AG290" s="9"/>
      <c r="AH290" s="30">
        <f t="shared" si="949"/>
        <v>0</v>
      </c>
      <c r="AI290" s="9"/>
      <c r="AJ290" s="30">
        <f t="shared" ref="AJ290" si="1069">AI290*$L290</f>
        <v>0</v>
      </c>
      <c r="AK290" s="9"/>
      <c r="AL290" s="30">
        <f t="shared" ref="AL290" si="1070">AK290*$L290</f>
        <v>0</v>
      </c>
      <c r="AM290" s="9"/>
      <c r="AN290" s="30">
        <f t="shared" si="952"/>
        <v>0</v>
      </c>
      <c r="AO290" s="9"/>
      <c r="AP290" s="30">
        <f t="shared" si="953"/>
        <v>0</v>
      </c>
      <c r="AQ290" s="9"/>
      <c r="AR290" s="30">
        <f t="shared" si="954"/>
        <v>0</v>
      </c>
      <c r="AS290" s="9"/>
      <c r="AT290" s="30">
        <f t="shared" si="955"/>
        <v>0</v>
      </c>
      <c r="AU290" s="9"/>
      <c r="AV290" s="30">
        <f t="shared" si="956"/>
        <v>0</v>
      </c>
      <c r="AW290" s="9"/>
      <c r="AX290" s="30">
        <f t="shared" si="957"/>
        <v>0</v>
      </c>
      <c r="AY290" s="9"/>
      <c r="AZ290" s="30">
        <f t="shared" si="958"/>
        <v>0</v>
      </c>
      <c r="BA290" s="10">
        <f>58003/100</f>
        <v>580.03</v>
      </c>
      <c r="BB290" s="31">
        <v>4060</v>
      </c>
      <c r="BC290" s="15">
        <f t="shared" si="970"/>
        <v>4060</v>
      </c>
      <c r="BD290" s="9">
        <f t="shared" si="971"/>
        <v>0</v>
      </c>
      <c r="BE290" s="28">
        <f t="shared" si="972"/>
        <v>580.03</v>
      </c>
      <c r="BF290" s="8">
        <f t="shared" si="973"/>
        <v>0</v>
      </c>
      <c r="BG290" s="29">
        <f t="shared" si="963"/>
        <v>4060.21</v>
      </c>
      <c r="BH290" s="13">
        <f t="shared" si="974"/>
        <v>-0.21000000000003638</v>
      </c>
      <c r="BI290" s="2" t="str">
        <f t="shared" si="964"/>
        <v>erreur de calcul</v>
      </c>
      <c r="BJ290" s="2"/>
    </row>
    <row r="291" spans="1:62">
      <c r="A291" s="1" t="s">
        <v>12</v>
      </c>
      <c r="B291" s="3" t="s">
        <v>23</v>
      </c>
      <c r="C291" s="3" t="s">
        <v>45</v>
      </c>
      <c r="D291" s="4">
        <v>1789</v>
      </c>
      <c r="E291" s="3" t="s">
        <v>49</v>
      </c>
      <c r="F291" s="3" t="s">
        <v>49</v>
      </c>
      <c r="G291" s="31">
        <v>26</v>
      </c>
      <c r="H291" s="31" t="s">
        <v>428</v>
      </c>
      <c r="I291" s="5">
        <v>30</v>
      </c>
      <c r="J291" s="5"/>
      <c r="K291" s="6"/>
      <c r="L291" s="11">
        <f t="shared" si="965"/>
        <v>30</v>
      </c>
      <c r="M291" s="7" t="s">
        <v>14</v>
      </c>
      <c r="N291" s="31"/>
      <c r="O291" s="9"/>
      <c r="P291" s="9" t="str">
        <f t="shared" si="979"/>
        <v/>
      </c>
      <c r="Q291" s="9"/>
      <c r="R291" s="30">
        <f t="shared" ref="R291" si="1071">Q291*$L291</f>
        <v>0</v>
      </c>
      <c r="S291" s="9"/>
      <c r="T291" s="30">
        <f t="shared" ref="T291" si="1072">S291*$L291</f>
        <v>0</v>
      </c>
      <c r="U291" s="9"/>
      <c r="V291" s="30">
        <f t="shared" si="943"/>
        <v>0</v>
      </c>
      <c r="W291" s="9">
        <f>1500/100</f>
        <v>15</v>
      </c>
      <c r="X291" s="30">
        <v>450</v>
      </c>
      <c r="Y291" s="9"/>
      <c r="Z291" s="30">
        <f t="shared" si="945"/>
        <v>0</v>
      </c>
      <c r="AA291" s="9"/>
      <c r="AB291" s="30">
        <f t="shared" si="946"/>
        <v>0</v>
      </c>
      <c r="AC291" s="9"/>
      <c r="AD291" s="30">
        <f t="shared" si="947"/>
        <v>0</v>
      </c>
      <c r="AE291" s="9"/>
      <c r="AF291" s="30">
        <f t="shared" si="948"/>
        <v>0</v>
      </c>
      <c r="AG291" s="9"/>
      <c r="AH291" s="30">
        <f t="shared" si="949"/>
        <v>0</v>
      </c>
      <c r="AI291" s="9"/>
      <c r="AJ291" s="30">
        <f t="shared" ref="AJ291" si="1073">AI291*$L291</f>
        <v>0</v>
      </c>
      <c r="AK291" s="9"/>
      <c r="AL291" s="30">
        <f t="shared" ref="AL291" si="1074">AK291*$L291</f>
        <v>0</v>
      </c>
      <c r="AM291" s="9"/>
      <c r="AN291" s="30">
        <f t="shared" si="952"/>
        <v>0</v>
      </c>
      <c r="AO291" s="9"/>
      <c r="AP291" s="30">
        <f t="shared" si="953"/>
        <v>0</v>
      </c>
      <c r="AQ291" s="9"/>
      <c r="AR291" s="30">
        <f t="shared" si="954"/>
        <v>0</v>
      </c>
      <c r="AS291" s="9"/>
      <c r="AT291" s="30">
        <f t="shared" si="955"/>
        <v>0</v>
      </c>
      <c r="AU291" s="9"/>
      <c r="AV291" s="30">
        <f t="shared" si="956"/>
        <v>0</v>
      </c>
      <c r="AW291" s="9"/>
      <c r="AX291" s="30">
        <f t="shared" si="957"/>
        <v>0</v>
      </c>
      <c r="AY291" s="9"/>
      <c r="AZ291" s="30">
        <f t="shared" si="958"/>
        <v>0</v>
      </c>
      <c r="BA291" s="10">
        <f>1500/100</f>
        <v>15</v>
      </c>
      <c r="BB291" s="31">
        <v>450</v>
      </c>
      <c r="BC291" s="15">
        <f t="shared" si="970"/>
        <v>450</v>
      </c>
      <c r="BD291" s="9">
        <f t="shared" si="971"/>
        <v>0</v>
      </c>
      <c r="BE291" s="28">
        <f t="shared" si="972"/>
        <v>15</v>
      </c>
      <c r="BF291" s="8">
        <f t="shared" si="973"/>
        <v>0</v>
      </c>
      <c r="BG291" s="29">
        <f t="shared" si="963"/>
        <v>450</v>
      </c>
      <c r="BH291" s="13">
        <f t="shared" si="974"/>
        <v>0</v>
      </c>
      <c r="BI291" s="2" t="str">
        <f t="shared" si="964"/>
        <v/>
      </c>
      <c r="BJ291" s="2"/>
    </row>
    <row r="292" spans="1:62">
      <c r="A292" s="1" t="s">
        <v>12</v>
      </c>
      <c r="B292" s="3" t="s">
        <v>23</v>
      </c>
      <c r="C292" s="3" t="s">
        <v>45</v>
      </c>
      <c r="D292" s="4">
        <v>1789</v>
      </c>
      <c r="E292" s="3" t="s">
        <v>49</v>
      </c>
      <c r="F292" s="3" t="s">
        <v>49</v>
      </c>
      <c r="G292" s="31">
        <v>26</v>
      </c>
      <c r="H292" s="31" t="s">
        <v>368</v>
      </c>
      <c r="I292" s="5">
        <v>25</v>
      </c>
      <c r="J292" s="5"/>
      <c r="K292" s="6"/>
      <c r="L292" s="11">
        <f t="shared" si="965"/>
        <v>25</v>
      </c>
      <c r="M292" s="7" t="s">
        <v>14</v>
      </c>
      <c r="N292" s="31"/>
      <c r="O292" s="9"/>
      <c r="P292" s="9" t="str">
        <f t="shared" si="979"/>
        <v/>
      </c>
      <c r="Q292" s="9"/>
      <c r="R292" s="30">
        <f t="shared" ref="R292" si="1075">Q292*$L292</f>
        <v>0</v>
      </c>
      <c r="S292" s="9"/>
      <c r="T292" s="30">
        <f t="shared" ref="T292" si="1076">S292*$L292</f>
        <v>0</v>
      </c>
      <c r="U292" s="9">
        <f>34168/100</f>
        <v>341.68</v>
      </c>
      <c r="V292" s="30">
        <v>8542</v>
      </c>
      <c r="W292" s="9">
        <f>128249/100</f>
        <v>1282.49</v>
      </c>
      <c r="X292" s="30">
        <v>32062</v>
      </c>
      <c r="Y292" s="9">
        <f>21365/100</f>
        <v>213.65</v>
      </c>
      <c r="Z292" s="30">
        <v>5341</v>
      </c>
      <c r="AA292" s="9"/>
      <c r="AB292" s="30">
        <f t="shared" si="946"/>
        <v>0</v>
      </c>
      <c r="AC292" s="9"/>
      <c r="AD292" s="30">
        <f t="shared" si="947"/>
        <v>0</v>
      </c>
      <c r="AE292" s="9"/>
      <c r="AF292" s="30">
        <f t="shared" si="948"/>
        <v>0</v>
      </c>
      <c r="AG292" s="9"/>
      <c r="AH292" s="30">
        <f t="shared" si="949"/>
        <v>0</v>
      </c>
      <c r="AI292" s="9"/>
      <c r="AJ292" s="30">
        <f t="shared" ref="AJ292" si="1077">AI292*$L292</f>
        <v>0</v>
      </c>
      <c r="AK292" s="9">
        <f>155251/100</f>
        <v>1552.51</v>
      </c>
      <c r="AL292" s="30">
        <v>38813</v>
      </c>
      <c r="AM292" s="9">
        <f>185000/100</f>
        <v>1850</v>
      </c>
      <c r="AN292" s="30">
        <v>46250</v>
      </c>
      <c r="AO292" s="9"/>
      <c r="AP292" s="30">
        <f t="shared" si="953"/>
        <v>0</v>
      </c>
      <c r="AQ292" s="9"/>
      <c r="AR292" s="30">
        <f t="shared" si="954"/>
        <v>0</v>
      </c>
      <c r="AS292" s="9"/>
      <c r="AT292" s="30">
        <f t="shared" si="955"/>
        <v>0</v>
      </c>
      <c r="AU292" s="9"/>
      <c r="AV292" s="30">
        <f t="shared" si="956"/>
        <v>0</v>
      </c>
      <c r="AW292" s="9"/>
      <c r="AX292" s="30">
        <f t="shared" si="957"/>
        <v>0</v>
      </c>
      <c r="AY292" s="9"/>
      <c r="AZ292" s="30">
        <f t="shared" si="958"/>
        <v>0</v>
      </c>
      <c r="BA292" s="10">
        <f>524033/100</f>
        <v>5240.33</v>
      </c>
      <c r="BB292" s="31">
        <v>131008</v>
      </c>
      <c r="BC292" s="15">
        <f t="shared" si="970"/>
        <v>131008</v>
      </c>
      <c r="BD292" s="9">
        <f t="shared" si="971"/>
        <v>0</v>
      </c>
      <c r="BE292" s="28">
        <f t="shared" si="972"/>
        <v>5240.33</v>
      </c>
      <c r="BF292" s="8">
        <f t="shared" si="973"/>
        <v>0</v>
      </c>
      <c r="BG292" s="29">
        <f t="shared" si="963"/>
        <v>131008.25</v>
      </c>
      <c r="BH292" s="13">
        <f t="shared" si="974"/>
        <v>-0.25</v>
      </c>
      <c r="BI292" s="2" t="str">
        <f t="shared" si="964"/>
        <v>erreur de calcul</v>
      </c>
      <c r="BJ292" s="2"/>
    </row>
    <row r="293" spans="1:62">
      <c r="A293" s="1" t="s">
        <v>12</v>
      </c>
      <c r="B293" s="3" t="s">
        <v>23</v>
      </c>
      <c r="C293" s="3" t="s">
        <v>45</v>
      </c>
      <c r="D293" s="4">
        <v>1789</v>
      </c>
      <c r="E293" s="3" t="s">
        <v>49</v>
      </c>
      <c r="F293" s="3" t="s">
        <v>49</v>
      </c>
      <c r="G293" s="31">
        <v>26</v>
      </c>
      <c r="H293" s="31" t="s">
        <v>365</v>
      </c>
      <c r="I293" s="5">
        <v>70</v>
      </c>
      <c r="J293" s="5"/>
      <c r="K293" s="6"/>
      <c r="L293" s="11">
        <f t="shared" si="965"/>
        <v>70</v>
      </c>
      <c r="M293" s="7" t="s">
        <v>14</v>
      </c>
      <c r="N293" s="31"/>
      <c r="O293" s="9"/>
      <c r="P293" s="9" t="str">
        <f t="shared" si="979"/>
        <v/>
      </c>
      <c r="Q293" s="9"/>
      <c r="R293" s="30">
        <f t="shared" ref="R293" si="1078">Q293*$L293</f>
        <v>0</v>
      </c>
      <c r="S293" s="9"/>
      <c r="T293" s="30">
        <f t="shared" ref="T293" si="1079">S293*$L293</f>
        <v>0</v>
      </c>
      <c r="U293" s="9"/>
      <c r="V293" s="30">
        <f t="shared" si="943"/>
        <v>0</v>
      </c>
      <c r="W293" s="9">
        <f>4560/100</f>
        <v>45.6</v>
      </c>
      <c r="X293" s="30">
        <v>3192</v>
      </c>
      <c r="Y293" s="9">
        <f>1115/100</f>
        <v>11.15</v>
      </c>
      <c r="Z293" s="30">
        <v>780</v>
      </c>
      <c r="AA293" s="9"/>
      <c r="AB293" s="30">
        <f t="shared" si="946"/>
        <v>0</v>
      </c>
      <c r="AC293" s="9">
        <f>9431/100</f>
        <v>94.31</v>
      </c>
      <c r="AD293" s="30">
        <v>6602</v>
      </c>
      <c r="AE293" s="9"/>
      <c r="AF293" s="30">
        <f t="shared" si="948"/>
        <v>0</v>
      </c>
      <c r="AG293" s="9"/>
      <c r="AH293" s="30">
        <f t="shared" si="949"/>
        <v>0</v>
      </c>
      <c r="AI293" s="9"/>
      <c r="AJ293" s="30">
        <f t="shared" ref="AJ293" si="1080">AI293*$L293</f>
        <v>0</v>
      </c>
      <c r="AK293" s="9"/>
      <c r="AL293" s="30">
        <f t="shared" ref="AL293" si="1081">AK293*$L293</f>
        <v>0</v>
      </c>
      <c r="AM293" s="9"/>
      <c r="AN293" s="30">
        <f t="shared" si="952"/>
        <v>0</v>
      </c>
      <c r="AO293" s="9"/>
      <c r="AP293" s="30">
        <f t="shared" si="953"/>
        <v>0</v>
      </c>
      <c r="AQ293" s="9"/>
      <c r="AR293" s="30">
        <f t="shared" si="954"/>
        <v>0</v>
      </c>
      <c r="AS293" s="9"/>
      <c r="AT293" s="30">
        <f t="shared" si="955"/>
        <v>0</v>
      </c>
      <c r="AU293" s="9"/>
      <c r="AV293" s="30">
        <f t="shared" si="956"/>
        <v>0</v>
      </c>
      <c r="AW293" s="9"/>
      <c r="AX293" s="30">
        <f t="shared" si="957"/>
        <v>0</v>
      </c>
      <c r="AY293" s="9"/>
      <c r="AZ293" s="30">
        <f t="shared" si="958"/>
        <v>0</v>
      </c>
      <c r="BA293" s="10">
        <f>15106/100</f>
        <v>151.06</v>
      </c>
      <c r="BB293" s="31">
        <v>10574</v>
      </c>
      <c r="BC293" s="15">
        <f t="shared" si="970"/>
        <v>10574</v>
      </c>
      <c r="BD293" s="9">
        <f t="shared" si="971"/>
        <v>0</v>
      </c>
      <c r="BE293" s="28">
        <f t="shared" si="972"/>
        <v>151.06</v>
      </c>
      <c r="BF293" s="8">
        <f t="shared" si="973"/>
        <v>0</v>
      </c>
      <c r="BG293" s="29">
        <f t="shared" si="963"/>
        <v>10574.2</v>
      </c>
      <c r="BH293" s="13">
        <f t="shared" si="974"/>
        <v>-0.2000000000007276</v>
      </c>
      <c r="BI293" s="2" t="str">
        <f t="shared" si="964"/>
        <v>erreur de calcul</v>
      </c>
      <c r="BJ293" s="2"/>
    </row>
    <row r="294" spans="1:62">
      <c r="A294" s="1" t="s">
        <v>12</v>
      </c>
      <c r="B294" s="3" t="s">
        <v>23</v>
      </c>
      <c r="C294" s="3" t="s">
        <v>45</v>
      </c>
      <c r="D294" s="4">
        <v>1789</v>
      </c>
      <c r="E294" s="3" t="s">
        <v>49</v>
      </c>
      <c r="F294" s="3" t="s">
        <v>49</v>
      </c>
      <c r="G294" s="31">
        <v>26</v>
      </c>
      <c r="H294" s="31" t="s">
        <v>366</v>
      </c>
      <c r="I294" s="5">
        <v>245</v>
      </c>
      <c r="J294" s="5"/>
      <c r="K294" s="6"/>
      <c r="L294" s="11">
        <f t="shared" si="965"/>
        <v>245</v>
      </c>
      <c r="M294" s="7" t="s">
        <v>14</v>
      </c>
      <c r="N294" s="31"/>
      <c r="O294" s="9"/>
      <c r="P294" s="9" t="str">
        <f t="shared" si="979"/>
        <v/>
      </c>
      <c r="Q294" s="9"/>
      <c r="R294" s="30">
        <f t="shared" ref="R294" si="1082">Q294*$L294</f>
        <v>0</v>
      </c>
      <c r="S294" s="9"/>
      <c r="T294" s="30">
        <f t="shared" ref="T294" si="1083">S294*$L294</f>
        <v>0</v>
      </c>
      <c r="U294" s="9"/>
      <c r="V294" s="30">
        <f t="shared" si="943"/>
        <v>0</v>
      </c>
      <c r="W294" s="9"/>
      <c r="X294" s="30">
        <f t="shared" si="944"/>
        <v>0</v>
      </c>
      <c r="Y294" s="9"/>
      <c r="Z294" s="30">
        <f t="shared" si="945"/>
        <v>0</v>
      </c>
      <c r="AA294" s="9"/>
      <c r="AB294" s="30">
        <f t="shared" si="946"/>
        <v>0</v>
      </c>
      <c r="AC294" s="9"/>
      <c r="AD294" s="30">
        <f t="shared" si="947"/>
        <v>0</v>
      </c>
      <c r="AE294" s="9"/>
      <c r="AF294" s="30">
        <f t="shared" si="948"/>
        <v>0</v>
      </c>
      <c r="AG294" s="9"/>
      <c r="AH294" s="30">
        <f t="shared" si="949"/>
        <v>0</v>
      </c>
      <c r="AI294" s="9">
        <f>751/100</f>
        <v>7.51</v>
      </c>
      <c r="AJ294" s="30">
        <v>1840</v>
      </c>
      <c r="AK294" s="9"/>
      <c r="AL294" s="30">
        <f t="shared" ref="AL294" si="1084">AK294*$L294</f>
        <v>0</v>
      </c>
      <c r="AM294" s="9"/>
      <c r="AN294" s="30">
        <f t="shared" si="952"/>
        <v>0</v>
      </c>
      <c r="AO294" s="9"/>
      <c r="AP294" s="30">
        <f t="shared" si="953"/>
        <v>0</v>
      </c>
      <c r="AQ294" s="9"/>
      <c r="AR294" s="30">
        <f t="shared" si="954"/>
        <v>0</v>
      </c>
      <c r="AS294" s="9"/>
      <c r="AT294" s="30">
        <f t="shared" si="955"/>
        <v>0</v>
      </c>
      <c r="AU294" s="9"/>
      <c r="AV294" s="30">
        <f t="shared" si="956"/>
        <v>0</v>
      </c>
      <c r="AW294" s="9"/>
      <c r="AX294" s="30">
        <f t="shared" si="957"/>
        <v>0</v>
      </c>
      <c r="AY294" s="9"/>
      <c r="AZ294" s="30">
        <f t="shared" si="958"/>
        <v>0</v>
      </c>
      <c r="BA294" s="10">
        <f>751/100</f>
        <v>7.51</v>
      </c>
      <c r="BB294" s="31">
        <v>1840</v>
      </c>
      <c r="BC294" s="15">
        <f t="shared" si="970"/>
        <v>1840</v>
      </c>
      <c r="BD294" s="9">
        <f t="shared" si="971"/>
        <v>0</v>
      </c>
      <c r="BE294" s="28">
        <f t="shared" si="972"/>
        <v>7.51</v>
      </c>
      <c r="BF294" s="8">
        <f t="shared" si="973"/>
        <v>0</v>
      </c>
      <c r="BG294" s="29">
        <f t="shared" si="963"/>
        <v>1839.95</v>
      </c>
      <c r="BH294" s="13">
        <f t="shared" si="974"/>
        <v>4.9999999999954525E-2</v>
      </c>
      <c r="BI294" s="2" t="str">
        <f t="shared" si="964"/>
        <v>erreur de calcul</v>
      </c>
      <c r="BJ294" s="2"/>
    </row>
    <row r="295" spans="1:62">
      <c r="A295" s="1" t="s">
        <v>12</v>
      </c>
      <c r="B295" s="3" t="s">
        <v>23</v>
      </c>
      <c r="C295" s="3" t="s">
        <v>45</v>
      </c>
      <c r="D295" s="4">
        <v>1789</v>
      </c>
      <c r="E295" s="3" t="s">
        <v>49</v>
      </c>
      <c r="F295" s="3" t="s">
        <v>49</v>
      </c>
      <c r="G295" s="31">
        <v>26</v>
      </c>
      <c r="H295" s="31" t="s">
        <v>367</v>
      </c>
      <c r="I295" s="5">
        <v>550</v>
      </c>
      <c r="J295" s="5"/>
      <c r="K295" s="6"/>
      <c r="L295" s="11">
        <f t="shared" si="965"/>
        <v>550</v>
      </c>
      <c r="M295" s="7" t="s">
        <v>14</v>
      </c>
      <c r="N295" s="31"/>
      <c r="O295" s="9"/>
      <c r="P295" s="9" t="str">
        <f t="shared" si="979"/>
        <v/>
      </c>
      <c r="Q295" s="9"/>
      <c r="R295" s="30">
        <f t="shared" ref="R295" si="1085">Q295*$L295</f>
        <v>0</v>
      </c>
      <c r="S295" s="9"/>
      <c r="T295" s="30">
        <f t="shared" ref="T295" si="1086">S295*$L295</f>
        <v>0</v>
      </c>
      <c r="U295" s="9"/>
      <c r="V295" s="30">
        <f t="shared" si="943"/>
        <v>0</v>
      </c>
      <c r="W295" s="9"/>
      <c r="X295" s="30">
        <f t="shared" si="944"/>
        <v>0</v>
      </c>
      <c r="Y295" s="9"/>
      <c r="Z295" s="30">
        <f t="shared" si="945"/>
        <v>0</v>
      </c>
      <c r="AA295" s="9"/>
      <c r="AB295" s="30">
        <f t="shared" si="946"/>
        <v>0</v>
      </c>
      <c r="AC295" s="9"/>
      <c r="AD295" s="30">
        <f t="shared" si="947"/>
        <v>0</v>
      </c>
      <c r="AE295" s="9"/>
      <c r="AF295" s="30">
        <f t="shared" si="948"/>
        <v>0</v>
      </c>
      <c r="AG295" s="9"/>
      <c r="AH295" s="30">
        <f t="shared" si="949"/>
        <v>0</v>
      </c>
      <c r="AI295" s="9">
        <f>215551/100</f>
        <v>2155.5100000000002</v>
      </c>
      <c r="AJ295" s="30">
        <v>1185530</v>
      </c>
      <c r="AK295" s="9"/>
      <c r="AL295" s="30">
        <f t="shared" ref="AL295" si="1087">AK295*$L295</f>
        <v>0</v>
      </c>
      <c r="AM295" s="9"/>
      <c r="AN295" s="30">
        <f t="shared" si="952"/>
        <v>0</v>
      </c>
      <c r="AO295" s="9"/>
      <c r="AP295" s="30">
        <f t="shared" si="953"/>
        <v>0</v>
      </c>
      <c r="AQ295" s="9"/>
      <c r="AR295" s="30">
        <f t="shared" si="954"/>
        <v>0</v>
      </c>
      <c r="AS295" s="9"/>
      <c r="AT295" s="30">
        <f t="shared" si="955"/>
        <v>0</v>
      </c>
      <c r="AU295" s="9"/>
      <c r="AV295" s="30">
        <f t="shared" si="956"/>
        <v>0</v>
      </c>
      <c r="AW295" s="9"/>
      <c r="AX295" s="30">
        <f t="shared" si="957"/>
        <v>0</v>
      </c>
      <c r="AY295" s="9"/>
      <c r="AZ295" s="30">
        <f t="shared" si="958"/>
        <v>0</v>
      </c>
      <c r="BA295" s="10">
        <f>215551/100</f>
        <v>2155.5100000000002</v>
      </c>
      <c r="BB295" s="31">
        <v>1185530</v>
      </c>
      <c r="BC295" s="15">
        <f t="shared" si="970"/>
        <v>1185530</v>
      </c>
      <c r="BD295" s="9">
        <f t="shared" si="971"/>
        <v>0</v>
      </c>
      <c r="BE295" s="28">
        <f t="shared" si="972"/>
        <v>2155.5100000000002</v>
      </c>
      <c r="BF295" s="8">
        <f t="shared" si="973"/>
        <v>0</v>
      </c>
      <c r="BG295" s="29">
        <f t="shared" si="963"/>
        <v>1185530.5000000002</v>
      </c>
      <c r="BH295" s="13">
        <f t="shared" si="974"/>
        <v>-0.50000000023283064</v>
      </c>
      <c r="BI295" s="2" t="str">
        <f t="shared" si="964"/>
        <v>erreur de calcul</v>
      </c>
      <c r="BJ295" s="2"/>
    </row>
    <row r="296" spans="1:62">
      <c r="A296" s="1" t="s">
        <v>12</v>
      </c>
      <c r="B296" s="3" t="s">
        <v>23</v>
      </c>
      <c r="C296" s="3" t="s">
        <v>45</v>
      </c>
      <c r="D296" s="4">
        <v>1789</v>
      </c>
      <c r="E296" s="3" t="s">
        <v>49</v>
      </c>
      <c r="F296" s="3" t="s">
        <v>49</v>
      </c>
      <c r="G296" s="31">
        <v>26</v>
      </c>
      <c r="H296" s="31" t="s">
        <v>369</v>
      </c>
      <c r="I296" s="5"/>
      <c r="J296" s="5"/>
      <c r="K296" s="6"/>
      <c r="L296" s="11">
        <f t="shared" si="965"/>
        <v>0</v>
      </c>
      <c r="M296" s="7"/>
      <c r="N296" s="31"/>
      <c r="O296" s="9"/>
      <c r="P296" s="9" t="str">
        <f t="shared" si="979"/>
        <v/>
      </c>
      <c r="Q296" s="9"/>
      <c r="R296" s="30">
        <f t="shared" ref="R296" si="1088">Q296*$L296</f>
        <v>0</v>
      </c>
      <c r="S296" s="9"/>
      <c r="T296" s="30">
        <f t="shared" ref="T296" si="1089">S296*$L296</f>
        <v>0</v>
      </c>
      <c r="U296" s="9"/>
      <c r="V296" s="30">
        <v>517</v>
      </c>
      <c r="W296" s="9"/>
      <c r="X296" s="30">
        <v>1243</v>
      </c>
      <c r="Y296" s="9"/>
      <c r="Z296" s="30">
        <f t="shared" si="945"/>
        <v>0</v>
      </c>
      <c r="AA296" s="9"/>
      <c r="AB296" s="30">
        <f t="shared" si="946"/>
        <v>0</v>
      </c>
      <c r="AC296" s="9"/>
      <c r="AD296" s="30">
        <v>694</v>
      </c>
      <c r="AE296" s="9"/>
      <c r="AF296" s="30">
        <f t="shared" si="948"/>
        <v>0</v>
      </c>
      <c r="AG296" s="9"/>
      <c r="AH296" s="30">
        <f t="shared" si="949"/>
        <v>0</v>
      </c>
      <c r="AI296" s="9"/>
      <c r="AJ296" s="30">
        <f t="shared" ref="AJ296" si="1090">AI296*$L296</f>
        <v>0</v>
      </c>
      <c r="AK296" s="9"/>
      <c r="AL296" s="30">
        <v>664</v>
      </c>
      <c r="AM296" s="9"/>
      <c r="AN296" s="30">
        <v>161</v>
      </c>
      <c r="AO296" s="9"/>
      <c r="AP296" s="30">
        <f t="shared" si="953"/>
        <v>0</v>
      </c>
      <c r="AQ296" s="9"/>
      <c r="AR296" s="30">
        <f t="shared" si="954"/>
        <v>0</v>
      </c>
      <c r="AS296" s="9"/>
      <c r="AT296" s="30">
        <f t="shared" si="955"/>
        <v>0</v>
      </c>
      <c r="AU296" s="9"/>
      <c r="AV296" s="30">
        <f t="shared" si="956"/>
        <v>0</v>
      </c>
      <c r="AW296" s="9"/>
      <c r="AX296" s="30">
        <f t="shared" si="957"/>
        <v>0</v>
      </c>
      <c r="AY296" s="9"/>
      <c r="AZ296" s="30">
        <f t="shared" si="958"/>
        <v>0</v>
      </c>
      <c r="BA296" s="10"/>
      <c r="BB296" s="31">
        <v>3279</v>
      </c>
      <c r="BC296" s="15">
        <f t="shared" si="970"/>
        <v>3279</v>
      </c>
      <c r="BD296" s="9">
        <f t="shared" si="971"/>
        <v>0</v>
      </c>
      <c r="BE296" s="28">
        <f t="shared" si="972"/>
        <v>0</v>
      </c>
      <c r="BF296" s="8">
        <f t="shared" si="973"/>
        <v>0</v>
      </c>
      <c r="BG296" s="29">
        <f t="shared" si="963"/>
        <v>0</v>
      </c>
      <c r="BH296" s="13">
        <f t="shared" si="974"/>
        <v>3279</v>
      </c>
      <c r="BI296" s="2" t="str">
        <f t="shared" si="964"/>
        <v>pas de prix, ni de quantité</v>
      </c>
      <c r="BJ296" s="2"/>
    </row>
    <row r="297" spans="1:62">
      <c r="A297" s="1" t="s">
        <v>12</v>
      </c>
      <c r="B297" s="3" t="s">
        <v>23</v>
      </c>
      <c r="C297" s="3" t="s">
        <v>45</v>
      </c>
      <c r="D297" s="4">
        <v>1789</v>
      </c>
      <c r="E297" s="3" t="s">
        <v>49</v>
      </c>
      <c r="F297" s="3" t="s">
        <v>49</v>
      </c>
      <c r="G297" s="31">
        <v>26</v>
      </c>
      <c r="H297" s="31" t="s">
        <v>370</v>
      </c>
      <c r="I297" s="5">
        <v>27</v>
      </c>
      <c r="J297" s="5"/>
      <c r="K297" s="6"/>
      <c r="L297" s="11">
        <f t="shared" si="965"/>
        <v>27</v>
      </c>
      <c r="M297" s="7" t="s">
        <v>375</v>
      </c>
      <c r="N297" s="31" t="s">
        <v>18</v>
      </c>
      <c r="O297" s="9">
        <v>181</v>
      </c>
      <c r="P297" s="9">
        <v>4887</v>
      </c>
      <c r="Q297" s="9"/>
      <c r="R297" s="30">
        <f t="shared" ref="R297" si="1091">Q297*$L297</f>
        <v>0</v>
      </c>
      <c r="S297" s="9"/>
      <c r="T297" s="30">
        <f t="shared" ref="T297" si="1092">S297*$L297</f>
        <v>0</v>
      </c>
      <c r="U297" s="9"/>
      <c r="V297" s="30">
        <f t="shared" si="943"/>
        <v>0</v>
      </c>
      <c r="W297" s="9"/>
      <c r="X297" s="30">
        <f t="shared" si="944"/>
        <v>0</v>
      </c>
      <c r="Y297" s="9"/>
      <c r="Z297" s="30">
        <f t="shared" si="945"/>
        <v>0</v>
      </c>
      <c r="AA297" s="9"/>
      <c r="AB297" s="30">
        <f t="shared" si="946"/>
        <v>0</v>
      </c>
      <c r="AC297" s="9"/>
      <c r="AD297" s="30">
        <f t="shared" si="947"/>
        <v>0</v>
      </c>
      <c r="AE297" s="9"/>
      <c r="AF297" s="30">
        <f t="shared" si="948"/>
        <v>0</v>
      </c>
      <c r="AG297" s="9"/>
      <c r="AH297" s="30">
        <f t="shared" si="949"/>
        <v>0</v>
      </c>
      <c r="AI297" s="9"/>
      <c r="AJ297" s="30">
        <f t="shared" ref="AJ297" si="1093">AI297*$L297</f>
        <v>0</v>
      </c>
      <c r="AK297" s="9"/>
      <c r="AL297" s="30">
        <f t="shared" ref="AL297" si="1094">AK297*$L297</f>
        <v>0</v>
      </c>
      <c r="AM297" s="9"/>
      <c r="AN297" s="30">
        <f t="shared" si="952"/>
        <v>0</v>
      </c>
      <c r="AO297" s="9"/>
      <c r="AP297" s="30">
        <f t="shared" si="953"/>
        <v>0</v>
      </c>
      <c r="AQ297" s="9"/>
      <c r="AR297" s="30">
        <f t="shared" si="954"/>
        <v>0</v>
      </c>
      <c r="AS297" s="9"/>
      <c r="AT297" s="30">
        <f t="shared" si="955"/>
        <v>0</v>
      </c>
      <c r="AU297" s="9"/>
      <c r="AV297" s="30">
        <f t="shared" si="956"/>
        <v>0</v>
      </c>
      <c r="AW297" s="9"/>
      <c r="AX297" s="30">
        <f t="shared" si="957"/>
        <v>0</v>
      </c>
      <c r="AY297" s="9"/>
      <c r="AZ297" s="30">
        <f t="shared" si="958"/>
        <v>0</v>
      </c>
      <c r="BA297" s="10"/>
      <c r="BB297" s="31"/>
      <c r="BC297" s="15">
        <f t="shared" si="970"/>
        <v>0</v>
      </c>
      <c r="BD297" s="9">
        <f t="shared" si="971"/>
        <v>0</v>
      </c>
      <c r="BE297" s="28">
        <f t="shared" si="972"/>
        <v>0</v>
      </c>
      <c r="BF297" s="8">
        <f t="shared" si="973"/>
        <v>0</v>
      </c>
      <c r="BG297" s="29">
        <f t="shared" si="963"/>
        <v>0</v>
      </c>
      <c r="BH297" s="13">
        <f t="shared" si="974"/>
        <v>0</v>
      </c>
      <c r="BI297" s="2" t="str">
        <f t="shared" si="964"/>
        <v/>
      </c>
      <c r="BJ297" s="2"/>
    </row>
    <row r="298" spans="1:62">
      <c r="A298" s="1" t="s">
        <v>12</v>
      </c>
      <c r="B298" s="3" t="s">
        <v>23</v>
      </c>
      <c r="C298" s="3" t="s">
        <v>45</v>
      </c>
      <c r="D298" s="4">
        <v>1789</v>
      </c>
      <c r="E298" s="3" t="s">
        <v>49</v>
      </c>
      <c r="F298" s="3" t="s">
        <v>49</v>
      </c>
      <c r="G298" s="31">
        <v>26</v>
      </c>
      <c r="H298" s="31" t="s">
        <v>372</v>
      </c>
      <c r="I298" s="5">
        <v>30</v>
      </c>
      <c r="J298" s="5"/>
      <c r="K298" s="6"/>
      <c r="L298" s="11">
        <f t="shared" si="965"/>
        <v>30</v>
      </c>
      <c r="M298" s="7" t="s">
        <v>14</v>
      </c>
      <c r="N298" s="31"/>
      <c r="O298" s="9"/>
      <c r="P298" s="9" t="str">
        <f t="shared" si="979"/>
        <v/>
      </c>
      <c r="Q298" s="9"/>
      <c r="R298" s="30">
        <f t="shared" ref="R298" si="1095">Q298*$L298</f>
        <v>0</v>
      </c>
      <c r="S298" s="9"/>
      <c r="T298" s="30">
        <f t="shared" ref="T298" si="1096">S298*$L298</f>
        <v>0</v>
      </c>
      <c r="U298" s="9"/>
      <c r="V298" s="30">
        <f t="shared" si="943"/>
        <v>0</v>
      </c>
      <c r="W298" s="9"/>
      <c r="X298" s="30">
        <f t="shared" si="944"/>
        <v>0</v>
      </c>
      <c r="Y298" s="9"/>
      <c r="Z298" s="30">
        <f t="shared" si="945"/>
        <v>0</v>
      </c>
      <c r="AA298" s="9"/>
      <c r="AB298" s="30">
        <f t="shared" si="946"/>
        <v>0</v>
      </c>
      <c r="AC298" s="9"/>
      <c r="AD298" s="30">
        <f t="shared" si="947"/>
        <v>0</v>
      </c>
      <c r="AE298" s="9"/>
      <c r="AF298" s="30">
        <f t="shared" si="948"/>
        <v>0</v>
      </c>
      <c r="AG298" s="9"/>
      <c r="AH298" s="30">
        <f t="shared" si="949"/>
        <v>0</v>
      </c>
      <c r="AI298" s="9"/>
      <c r="AJ298" s="30">
        <f t="shared" ref="AJ298" si="1097">AI298*$L298</f>
        <v>0</v>
      </c>
      <c r="AK298" s="9"/>
      <c r="AL298" s="30">
        <f t="shared" ref="AL298" si="1098">AK298*$L298</f>
        <v>0</v>
      </c>
      <c r="AM298" s="9"/>
      <c r="AN298" s="30">
        <f t="shared" si="952"/>
        <v>0</v>
      </c>
      <c r="AO298" s="9"/>
      <c r="AP298" s="30">
        <f t="shared" si="953"/>
        <v>0</v>
      </c>
      <c r="AQ298" s="9"/>
      <c r="AR298" s="30">
        <f t="shared" si="954"/>
        <v>0</v>
      </c>
      <c r="AS298" s="9"/>
      <c r="AT298" s="30">
        <f t="shared" si="955"/>
        <v>0</v>
      </c>
      <c r="AU298" s="9"/>
      <c r="AV298" s="30">
        <f t="shared" si="956"/>
        <v>0</v>
      </c>
      <c r="AW298" s="9">
        <f>5417/100</f>
        <v>54.17</v>
      </c>
      <c r="AX298" s="30">
        <v>1625</v>
      </c>
      <c r="AY298" s="9"/>
      <c r="AZ298" s="30">
        <f t="shared" si="958"/>
        <v>0</v>
      </c>
      <c r="BA298" s="10"/>
      <c r="BB298" s="31">
        <v>1625</v>
      </c>
      <c r="BC298" s="15">
        <f t="shared" si="970"/>
        <v>1625</v>
      </c>
      <c r="BD298" s="9">
        <f t="shared" si="971"/>
        <v>0</v>
      </c>
      <c r="BE298" s="28">
        <f t="shared" si="972"/>
        <v>54.17</v>
      </c>
      <c r="BF298" s="8">
        <f t="shared" si="973"/>
        <v>-54.17</v>
      </c>
      <c r="BG298" s="29">
        <f t="shared" si="963"/>
        <v>1625.1000000000001</v>
      </c>
      <c r="BH298" s="13">
        <f t="shared" si="974"/>
        <v>-0.10000000000013642</v>
      </c>
      <c r="BI298" s="2" t="str">
        <f t="shared" si="964"/>
        <v>erreur de calcul</v>
      </c>
      <c r="BJ298" s="2"/>
    </row>
    <row r="299" spans="1:62">
      <c r="A299" s="1" t="s">
        <v>12</v>
      </c>
      <c r="B299" s="3" t="s">
        <v>23</v>
      </c>
      <c r="C299" s="3" t="s">
        <v>45</v>
      </c>
      <c r="D299" s="4">
        <v>1789</v>
      </c>
      <c r="E299" s="3" t="s">
        <v>49</v>
      </c>
      <c r="F299" s="3" t="s">
        <v>49</v>
      </c>
      <c r="G299" s="31">
        <v>26</v>
      </c>
      <c r="H299" s="31" t="s">
        <v>373</v>
      </c>
      <c r="I299" s="5">
        <v>6</v>
      </c>
      <c r="J299" s="5"/>
      <c r="K299" s="6"/>
      <c r="L299" s="11">
        <f t="shared" si="965"/>
        <v>6</v>
      </c>
      <c r="M299" s="7" t="s">
        <v>375</v>
      </c>
      <c r="N299" s="31" t="s">
        <v>18</v>
      </c>
      <c r="O299" s="9">
        <v>3670</v>
      </c>
      <c r="P299" s="9">
        <v>22020</v>
      </c>
      <c r="Q299" s="9"/>
      <c r="R299" s="30">
        <f t="shared" ref="R299" si="1099">Q299*$L299</f>
        <v>0</v>
      </c>
      <c r="S299" s="9"/>
      <c r="T299" s="30">
        <f t="shared" ref="T299" si="1100">S299*$L299</f>
        <v>0</v>
      </c>
      <c r="U299" s="9"/>
      <c r="V299" s="30">
        <f t="shared" si="943"/>
        <v>0</v>
      </c>
      <c r="W299" s="9"/>
      <c r="X299" s="30">
        <f t="shared" si="944"/>
        <v>0</v>
      </c>
      <c r="Y299" s="9"/>
      <c r="Z299" s="30">
        <f t="shared" si="945"/>
        <v>0</v>
      </c>
      <c r="AA299" s="9"/>
      <c r="AB299" s="30">
        <f t="shared" si="946"/>
        <v>0</v>
      </c>
      <c r="AC299" s="9"/>
      <c r="AD299" s="30">
        <f t="shared" si="947"/>
        <v>0</v>
      </c>
      <c r="AE299" s="9"/>
      <c r="AF299" s="30">
        <f t="shared" si="948"/>
        <v>0</v>
      </c>
      <c r="AG299" s="9"/>
      <c r="AH299" s="30">
        <f t="shared" si="949"/>
        <v>0</v>
      </c>
      <c r="AI299" s="9"/>
      <c r="AJ299" s="30">
        <f t="shared" ref="AJ299" si="1101">AI299*$L299</f>
        <v>0</v>
      </c>
      <c r="AK299" s="9"/>
      <c r="AL299" s="30">
        <f t="shared" ref="AL299" si="1102">AK299*$L299</f>
        <v>0</v>
      </c>
      <c r="AM299" s="9"/>
      <c r="AN299" s="30">
        <f t="shared" si="952"/>
        <v>0</v>
      </c>
      <c r="AO299" s="9"/>
      <c r="AP299" s="30">
        <f t="shared" si="953"/>
        <v>0</v>
      </c>
      <c r="AQ299" s="9"/>
      <c r="AR299" s="30">
        <f t="shared" si="954"/>
        <v>0</v>
      </c>
      <c r="AS299" s="9"/>
      <c r="AT299" s="30">
        <f t="shared" si="955"/>
        <v>0</v>
      </c>
      <c r="AU299" s="9"/>
      <c r="AV299" s="30">
        <f t="shared" si="956"/>
        <v>0</v>
      </c>
      <c r="AW299" s="9"/>
      <c r="AX299" s="30">
        <f t="shared" si="957"/>
        <v>0</v>
      </c>
      <c r="AY299" s="9"/>
      <c r="AZ299" s="30">
        <f t="shared" si="958"/>
        <v>0</v>
      </c>
      <c r="BA299" s="10"/>
      <c r="BB299" s="31"/>
      <c r="BC299" s="15">
        <f t="shared" si="970"/>
        <v>0</v>
      </c>
      <c r="BD299" s="9">
        <f t="shared" si="971"/>
        <v>0</v>
      </c>
      <c r="BE299" s="28">
        <f t="shared" si="972"/>
        <v>0</v>
      </c>
      <c r="BF299" s="8">
        <f t="shared" si="973"/>
        <v>0</v>
      </c>
      <c r="BG299" s="29">
        <f t="shared" si="963"/>
        <v>0</v>
      </c>
      <c r="BH299" s="13">
        <f t="shared" si="974"/>
        <v>0</v>
      </c>
      <c r="BI299" s="2" t="str">
        <f t="shared" si="964"/>
        <v/>
      </c>
      <c r="BJ299" s="2"/>
    </row>
    <row r="300" spans="1:62">
      <c r="A300" s="1" t="s">
        <v>12</v>
      </c>
      <c r="B300" s="3" t="s">
        <v>23</v>
      </c>
      <c r="C300" s="3" t="s">
        <v>45</v>
      </c>
      <c r="D300" s="4">
        <v>1789</v>
      </c>
      <c r="E300" s="3" t="s">
        <v>49</v>
      </c>
      <c r="F300" s="3" t="s">
        <v>49</v>
      </c>
      <c r="G300" s="31">
        <v>26</v>
      </c>
      <c r="H300" s="31" t="s">
        <v>373</v>
      </c>
      <c r="I300" s="5">
        <v>40</v>
      </c>
      <c r="J300" s="5"/>
      <c r="K300" s="6"/>
      <c r="L300" s="11">
        <f t="shared" si="965"/>
        <v>40</v>
      </c>
      <c r="M300" s="7" t="s">
        <v>374</v>
      </c>
      <c r="N300" s="31" t="s">
        <v>18</v>
      </c>
      <c r="O300" s="9">
        <v>345</v>
      </c>
      <c r="P300" s="9">
        <v>13800</v>
      </c>
      <c r="Q300" s="9"/>
      <c r="R300" s="30">
        <f t="shared" ref="R300" si="1103">Q300*$L300</f>
        <v>0</v>
      </c>
      <c r="S300" s="9"/>
      <c r="T300" s="30">
        <f t="shared" ref="T300" si="1104">S300*$L300</f>
        <v>0</v>
      </c>
      <c r="U300" s="9"/>
      <c r="V300" s="30">
        <f t="shared" si="943"/>
        <v>0</v>
      </c>
      <c r="W300" s="9"/>
      <c r="X300" s="30">
        <f t="shared" si="944"/>
        <v>0</v>
      </c>
      <c r="Y300" s="9"/>
      <c r="Z300" s="30">
        <f t="shared" si="945"/>
        <v>0</v>
      </c>
      <c r="AA300" s="9"/>
      <c r="AB300" s="30">
        <f t="shared" si="946"/>
        <v>0</v>
      </c>
      <c r="AC300" s="9"/>
      <c r="AD300" s="30">
        <f t="shared" si="947"/>
        <v>0</v>
      </c>
      <c r="AE300" s="9"/>
      <c r="AF300" s="30">
        <f t="shared" si="948"/>
        <v>0</v>
      </c>
      <c r="AG300" s="9"/>
      <c r="AH300" s="30">
        <f t="shared" si="949"/>
        <v>0</v>
      </c>
      <c r="AI300" s="9"/>
      <c r="AJ300" s="30">
        <f t="shared" ref="AJ300" si="1105">AI300*$L300</f>
        <v>0</v>
      </c>
      <c r="AK300" s="9"/>
      <c r="AL300" s="30">
        <f t="shared" ref="AL300" si="1106">AK300*$L300</f>
        <v>0</v>
      </c>
      <c r="AM300" s="9"/>
      <c r="AN300" s="30">
        <f t="shared" si="952"/>
        <v>0</v>
      </c>
      <c r="AO300" s="9"/>
      <c r="AP300" s="30">
        <f t="shared" si="953"/>
        <v>0</v>
      </c>
      <c r="AQ300" s="9"/>
      <c r="AR300" s="30">
        <f t="shared" si="954"/>
        <v>0</v>
      </c>
      <c r="AS300" s="9"/>
      <c r="AT300" s="30">
        <f t="shared" si="955"/>
        <v>0</v>
      </c>
      <c r="AU300" s="9"/>
      <c r="AV300" s="30">
        <f t="shared" si="956"/>
        <v>0</v>
      </c>
      <c r="AW300" s="9"/>
      <c r="AX300" s="30">
        <f t="shared" si="957"/>
        <v>0</v>
      </c>
      <c r="AY300" s="9"/>
      <c r="AZ300" s="30">
        <f t="shared" si="958"/>
        <v>0</v>
      </c>
      <c r="BA300" s="10"/>
      <c r="BB300" s="31"/>
      <c r="BC300" s="15">
        <f t="shared" si="970"/>
        <v>0</v>
      </c>
      <c r="BD300" s="9">
        <f t="shared" si="971"/>
        <v>0</v>
      </c>
      <c r="BE300" s="28">
        <f t="shared" si="972"/>
        <v>0</v>
      </c>
      <c r="BF300" s="8">
        <f t="shared" si="973"/>
        <v>0</v>
      </c>
      <c r="BG300" s="29">
        <f t="shared" si="963"/>
        <v>0</v>
      </c>
      <c r="BH300" s="13">
        <f t="shared" si="974"/>
        <v>0</v>
      </c>
      <c r="BI300" s="2" t="str">
        <f t="shared" si="964"/>
        <v/>
      </c>
      <c r="BJ300" s="2"/>
    </row>
    <row r="301" spans="1:62">
      <c r="A301" s="1" t="s">
        <v>12</v>
      </c>
      <c r="B301" s="3" t="s">
        <v>23</v>
      </c>
      <c r="C301" s="3" t="s">
        <v>45</v>
      </c>
      <c r="D301" s="4">
        <v>1789</v>
      </c>
      <c r="E301" s="3" t="s">
        <v>49</v>
      </c>
      <c r="F301" s="3" t="s">
        <v>49</v>
      </c>
      <c r="G301" s="31">
        <v>26</v>
      </c>
      <c r="H301" s="31" t="s">
        <v>376</v>
      </c>
      <c r="I301" s="5">
        <v>50</v>
      </c>
      <c r="J301" s="5"/>
      <c r="K301" s="6"/>
      <c r="L301" s="11">
        <f t="shared" si="965"/>
        <v>50</v>
      </c>
      <c r="M301" s="7" t="s">
        <v>14</v>
      </c>
      <c r="N301" s="31"/>
      <c r="O301" s="9"/>
      <c r="P301" s="9" t="str">
        <f t="shared" si="979"/>
        <v/>
      </c>
      <c r="Q301" s="9">
        <f>54967/100</f>
        <v>549.66999999999996</v>
      </c>
      <c r="R301" s="30">
        <v>27483</v>
      </c>
      <c r="S301" s="9"/>
      <c r="T301" s="30">
        <f t="shared" ref="T301" si="1107">S301*$L301</f>
        <v>0</v>
      </c>
      <c r="U301" s="9">
        <f>74693/100</f>
        <v>746.93</v>
      </c>
      <c r="V301" s="30">
        <v>37346</v>
      </c>
      <c r="W301" s="9">
        <f>161729/100</f>
        <v>1617.29</v>
      </c>
      <c r="X301" s="30">
        <v>80864</v>
      </c>
      <c r="Y301" s="9">
        <f>106689/100</f>
        <v>1066.8900000000001</v>
      </c>
      <c r="Z301" s="30">
        <v>53344</v>
      </c>
      <c r="AA301" s="9"/>
      <c r="AB301" s="30">
        <f t="shared" si="946"/>
        <v>0</v>
      </c>
      <c r="AC301" s="9"/>
      <c r="AD301" s="30">
        <f t="shared" si="947"/>
        <v>0</v>
      </c>
      <c r="AE301" s="9"/>
      <c r="AF301" s="30">
        <f t="shared" si="948"/>
        <v>0</v>
      </c>
      <c r="AG301" s="9"/>
      <c r="AH301" s="30">
        <f t="shared" si="949"/>
        <v>0</v>
      </c>
      <c r="AI301" s="9"/>
      <c r="AJ301" s="30">
        <f t="shared" ref="AJ301" si="1108">AI301*$L301</f>
        <v>0</v>
      </c>
      <c r="AK301" s="9"/>
      <c r="AL301" s="30">
        <f t="shared" ref="AL301" si="1109">AK301*$L301</f>
        <v>0</v>
      </c>
      <c r="AM301" s="9"/>
      <c r="AN301" s="30">
        <f t="shared" si="952"/>
        <v>0</v>
      </c>
      <c r="AO301" s="9"/>
      <c r="AP301" s="30">
        <f t="shared" si="953"/>
        <v>0</v>
      </c>
      <c r="AQ301" s="9"/>
      <c r="AR301" s="30">
        <f t="shared" si="954"/>
        <v>0</v>
      </c>
      <c r="AS301" s="9"/>
      <c r="AT301" s="30">
        <f t="shared" si="955"/>
        <v>0</v>
      </c>
      <c r="AU301" s="9"/>
      <c r="AV301" s="30">
        <f t="shared" si="956"/>
        <v>0</v>
      </c>
      <c r="AW301" s="9"/>
      <c r="AX301" s="30">
        <f t="shared" si="957"/>
        <v>0</v>
      </c>
      <c r="AY301" s="9"/>
      <c r="AZ301" s="30">
        <f t="shared" si="958"/>
        <v>0</v>
      </c>
      <c r="BA301" s="10">
        <f>398078/100</f>
        <v>3980.78</v>
      </c>
      <c r="BB301" s="31">
        <v>199037</v>
      </c>
      <c r="BC301" s="15">
        <f t="shared" si="970"/>
        <v>199037</v>
      </c>
      <c r="BD301" s="9">
        <f t="shared" si="971"/>
        <v>0</v>
      </c>
      <c r="BE301" s="28">
        <f t="shared" si="972"/>
        <v>3980.7799999999997</v>
      </c>
      <c r="BF301" s="8">
        <f t="shared" si="973"/>
        <v>0</v>
      </c>
      <c r="BG301" s="29">
        <f t="shared" si="963"/>
        <v>199039</v>
      </c>
      <c r="BH301" s="13">
        <f t="shared" si="974"/>
        <v>-2</v>
      </c>
      <c r="BI301" s="2" t="str">
        <f t="shared" si="964"/>
        <v>erreur de calcul</v>
      </c>
      <c r="BJ301" s="2"/>
    </row>
    <row r="302" spans="1:62">
      <c r="A302" s="1" t="s">
        <v>12</v>
      </c>
      <c r="B302" s="3" t="s">
        <v>23</v>
      </c>
      <c r="C302" s="3" t="s">
        <v>45</v>
      </c>
      <c r="D302" s="4">
        <v>1789</v>
      </c>
      <c r="E302" s="3" t="s">
        <v>49</v>
      </c>
      <c r="F302" s="3" t="s">
        <v>49</v>
      </c>
      <c r="G302" s="31">
        <v>26</v>
      </c>
      <c r="H302" s="31" t="s">
        <v>377</v>
      </c>
      <c r="I302" s="5">
        <v>27</v>
      </c>
      <c r="J302" s="5"/>
      <c r="K302" s="6"/>
      <c r="L302" s="11">
        <f t="shared" si="965"/>
        <v>27</v>
      </c>
      <c r="M302" s="7" t="s">
        <v>14</v>
      </c>
      <c r="N302" s="31"/>
      <c r="O302" s="9"/>
      <c r="P302" s="9" t="str">
        <f t="shared" si="979"/>
        <v/>
      </c>
      <c r="Q302" s="9"/>
      <c r="R302" s="30">
        <f t="shared" ref="R302" si="1110">Q302*$L302</f>
        <v>0</v>
      </c>
      <c r="S302" s="9"/>
      <c r="T302" s="30">
        <f t="shared" ref="T302" si="1111">S302*$L302</f>
        <v>0</v>
      </c>
      <c r="U302" s="9"/>
      <c r="V302" s="30">
        <f t="shared" si="943"/>
        <v>0</v>
      </c>
      <c r="W302" s="9"/>
      <c r="X302" s="30">
        <f t="shared" si="944"/>
        <v>0</v>
      </c>
      <c r="Y302" s="9">
        <f>13334/100</f>
        <v>133.34</v>
      </c>
      <c r="Z302" s="30">
        <v>3600</v>
      </c>
      <c r="AA302" s="9"/>
      <c r="AB302" s="30">
        <f t="shared" si="946"/>
        <v>0</v>
      </c>
      <c r="AC302" s="9"/>
      <c r="AD302" s="30">
        <f t="shared" si="947"/>
        <v>0</v>
      </c>
      <c r="AE302" s="9"/>
      <c r="AF302" s="30">
        <f t="shared" si="948"/>
        <v>0</v>
      </c>
      <c r="AG302" s="9"/>
      <c r="AH302" s="30">
        <f t="shared" si="949"/>
        <v>0</v>
      </c>
      <c r="AI302" s="9"/>
      <c r="AJ302" s="30">
        <f t="shared" ref="AJ302" si="1112">AI302*$L302</f>
        <v>0</v>
      </c>
      <c r="AK302" s="9"/>
      <c r="AL302" s="30">
        <f t="shared" ref="AL302" si="1113">AK302*$L302</f>
        <v>0</v>
      </c>
      <c r="AM302" s="9"/>
      <c r="AN302" s="30">
        <f t="shared" si="952"/>
        <v>0</v>
      </c>
      <c r="AO302" s="9"/>
      <c r="AP302" s="30">
        <f t="shared" si="953"/>
        <v>0</v>
      </c>
      <c r="AQ302" s="9"/>
      <c r="AR302" s="30">
        <f t="shared" si="954"/>
        <v>0</v>
      </c>
      <c r="AS302" s="9"/>
      <c r="AT302" s="30">
        <f t="shared" si="955"/>
        <v>0</v>
      </c>
      <c r="AU302" s="9"/>
      <c r="AV302" s="30">
        <f t="shared" si="956"/>
        <v>0</v>
      </c>
      <c r="AW302" s="9"/>
      <c r="AX302" s="30">
        <f t="shared" si="957"/>
        <v>0</v>
      </c>
      <c r="AY302" s="9"/>
      <c r="AZ302" s="30">
        <f t="shared" si="958"/>
        <v>0</v>
      </c>
      <c r="BA302" s="10">
        <f>13334/100</f>
        <v>133.34</v>
      </c>
      <c r="BB302" s="31">
        <v>3600</v>
      </c>
      <c r="BC302" s="15">
        <f t="shared" si="970"/>
        <v>3600</v>
      </c>
      <c r="BD302" s="9">
        <f t="shared" si="971"/>
        <v>0</v>
      </c>
      <c r="BE302" s="28">
        <f t="shared" si="972"/>
        <v>133.34</v>
      </c>
      <c r="BF302" s="8">
        <f t="shared" si="973"/>
        <v>0</v>
      </c>
      <c r="BG302" s="29">
        <f t="shared" si="963"/>
        <v>3600.1800000000003</v>
      </c>
      <c r="BH302" s="13">
        <f t="shared" si="974"/>
        <v>-0.18000000000029104</v>
      </c>
      <c r="BI302" s="2" t="str">
        <f t="shared" si="964"/>
        <v>erreur de calcul</v>
      </c>
      <c r="BJ302" s="2"/>
    </row>
    <row r="303" spans="1:62">
      <c r="A303" s="1" t="s">
        <v>12</v>
      </c>
      <c r="B303" s="3" t="s">
        <v>23</v>
      </c>
      <c r="C303" s="3" t="s">
        <v>45</v>
      </c>
      <c r="D303" s="4">
        <v>1789</v>
      </c>
      <c r="E303" s="3" t="s">
        <v>49</v>
      </c>
      <c r="F303" s="3" t="s">
        <v>49</v>
      </c>
      <c r="G303" s="31">
        <v>26</v>
      </c>
      <c r="H303" s="31" t="s">
        <v>378</v>
      </c>
      <c r="I303" s="5">
        <v>40</v>
      </c>
      <c r="J303" s="5"/>
      <c r="K303" s="6"/>
      <c r="L303" s="11">
        <f t="shared" si="965"/>
        <v>40</v>
      </c>
      <c r="M303" s="7" t="s">
        <v>14</v>
      </c>
      <c r="N303" s="31"/>
      <c r="O303" s="9"/>
      <c r="P303" s="9" t="str">
        <f t="shared" si="979"/>
        <v/>
      </c>
      <c r="Q303" s="9"/>
      <c r="R303" s="30">
        <f t="shared" ref="R303" si="1114">Q303*$L303</f>
        <v>0</v>
      </c>
      <c r="S303" s="9"/>
      <c r="T303" s="30">
        <f t="shared" ref="T303" si="1115">S303*$L303</f>
        <v>0</v>
      </c>
      <c r="U303" s="9">
        <f>13801/100</f>
        <v>138.01</v>
      </c>
      <c r="V303" s="30">
        <v>5520</v>
      </c>
      <c r="W303" s="9"/>
      <c r="X303" s="30">
        <f t="shared" si="944"/>
        <v>0</v>
      </c>
      <c r="Y303" s="9"/>
      <c r="Z303" s="30">
        <f t="shared" si="945"/>
        <v>0</v>
      </c>
      <c r="AA303" s="9"/>
      <c r="AB303" s="30">
        <f t="shared" si="946"/>
        <v>0</v>
      </c>
      <c r="AC303" s="9"/>
      <c r="AD303" s="30">
        <f t="shared" si="947"/>
        <v>0</v>
      </c>
      <c r="AE303" s="9"/>
      <c r="AF303" s="30">
        <f t="shared" si="948"/>
        <v>0</v>
      </c>
      <c r="AG303" s="9"/>
      <c r="AH303" s="30">
        <f t="shared" si="949"/>
        <v>0</v>
      </c>
      <c r="AI303" s="9"/>
      <c r="AJ303" s="30">
        <f t="shared" ref="AJ303" si="1116">AI303*$L303</f>
        <v>0</v>
      </c>
      <c r="AK303" s="9"/>
      <c r="AL303" s="30">
        <f t="shared" ref="AL303" si="1117">AK303*$L303</f>
        <v>0</v>
      </c>
      <c r="AM303" s="9"/>
      <c r="AN303" s="30">
        <f t="shared" si="952"/>
        <v>0</v>
      </c>
      <c r="AO303" s="9"/>
      <c r="AP303" s="30">
        <f t="shared" si="953"/>
        <v>0</v>
      </c>
      <c r="AQ303" s="9"/>
      <c r="AR303" s="30">
        <f t="shared" si="954"/>
        <v>0</v>
      </c>
      <c r="AS303" s="9"/>
      <c r="AT303" s="30">
        <f t="shared" si="955"/>
        <v>0</v>
      </c>
      <c r="AU303" s="9"/>
      <c r="AV303" s="30">
        <f t="shared" si="956"/>
        <v>0</v>
      </c>
      <c r="AW303" s="9"/>
      <c r="AX303" s="30">
        <f t="shared" si="957"/>
        <v>0</v>
      </c>
      <c r="AY303" s="9"/>
      <c r="AZ303" s="30">
        <f t="shared" si="958"/>
        <v>0</v>
      </c>
      <c r="BA303" s="10">
        <f>13801/100</f>
        <v>138.01</v>
      </c>
      <c r="BB303" s="31">
        <v>5520</v>
      </c>
      <c r="BC303" s="15">
        <f t="shared" si="970"/>
        <v>5520</v>
      </c>
      <c r="BD303" s="9">
        <f t="shared" si="971"/>
        <v>0</v>
      </c>
      <c r="BE303" s="28">
        <f t="shared" si="972"/>
        <v>138.01</v>
      </c>
      <c r="BF303" s="8">
        <f t="shared" si="973"/>
        <v>0</v>
      </c>
      <c r="BG303" s="29">
        <f t="shared" si="963"/>
        <v>5520.4</v>
      </c>
      <c r="BH303" s="13">
        <f t="shared" si="974"/>
        <v>-0.3999999999996362</v>
      </c>
      <c r="BI303" s="2" t="str">
        <f t="shared" si="964"/>
        <v>erreur de calcul</v>
      </c>
      <c r="BJ303" s="2"/>
    </row>
    <row r="304" spans="1:62">
      <c r="A304" s="1" t="s">
        <v>12</v>
      </c>
      <c r="B304" s="3" t="s">
        <v>23</v>
      </c>
      <c r="C304" s="3" t="s">
        <v>45</v>
      </c>
      <c r="D304" s="4">
        <v>1789</v>
      </c>
      <c r="E304" s="3" t="s">
        <v>49</v>
      </c>
      <c r="F304" s="3" t="s">
        <v>49</v>
      </c>
      <c r="G304" s="31">
        <v>26</v>
      </c>
      <c r="H304" s="31" t="s">
        <v>379</v>
      </c>
      <c r="I304" s="5">
        <v>10</v>
      </c>
      <c r="J304" s="5"/>
      <c r="K304" s="6"/>
      <c r="L304" s="11">
        <f t="shared" si="965"/>
        <v>10</v>
      </c>
      <c r="M304" s="7" t="s">
        <v>371</v>
      </c>
      <c r="N304" s="31" t="s">
        <v>84</v>
      </c>
      <c r="O304" s="9">
        <v>282</v>
      </c>
      <c r="P304" s="9">
        <v>2820</v>
      </c>
      <c r="Q304" s="9">
        <v>30740</v>
      </c>
      <c r="R304" s="30">
        <v>307400</v>
      </c>
      <c r="S304" s="9"/>
      <c r="T304" s="30">
        <f t="shared" ref="T304" si="1118">S304*$L304</f>
        <v>0</v>
      </c>
      <c r="U304" s="9">
        <v>1357</v>
      </c>
      <c r="V304" s="30">
        <v>13570</v>
      </c>
      <c r="W304" s="9">
        <v>115</v>
      </c>
      <c r="X304" s="30">
        <v>1150</v>
      </c>
      <c r="Y304" s="9"/>
      <c r="Z304" s="30">
        <f t="shared" si="945"/>
        <v>0</v>
      </c>
      <c r="AA304" s="9"/>
      <c r="AB304" s="30">
        <f t="shared" si="946"/>
        <v>0</v>
      </c>
      <c r="AC304" s="9"/>
      <c r="AD304" s="30">
        <f t="shared" si="947"/>
        <v>0</v>
      </c>
      <c r="AE304" s="9"/>
      <c r="AF304" s="30">
        <f t="shared" si="948"/>
        <v>0</v>
      </c>
      <c r="AG304" s="9"/>
      <c r="AH304" s="30">
        <f t="shared" si="949"/>
        <v>0</v>
      </c>
      <c r="AI304" s="9"/>
      <c r="AJ304" s="30">
        <f t="shared" ref="AJ304" si="1119">AI304*$L304</f>
        <v>0</v>
      </c>
      <c r="AK304" s="9"/>
      <c r="AL304" s="30">
        <f t="shared" ref="AL304" si="1120">AK304*$L304</f>
        <v>0</v>
      </c>
      <c r="AM304" s="9"/>
      <c r="AN304" s="30">
        <f t="shared" si="952"/>
        <v>0</v>
      </c>
      <c r="AO304" s="9"/>
      <c r="AP304" s="30">
        <f t="shared" si="953"/>
        <v>0</v>
      </c>
      <c r="AQ304" s="9"/>
      <c r="AR304" s="30">
        <f t="shared" si="954"/>
        <v>0</v>
      </c>
      <c r="AS304" s="9"/>
      <c r="AT304" s="30">
        <f t="shared" si="955"/>
        <v>0</v>
      </c>
      <c r="AU304" s="9"/>
      <c r="AV304" s="30">
        <f t="shared" si="956"/>
        <v>0</v>
      </c>
      <c r="AW304" s="9"/>
      <c r="AX304" s="30">
        <f t="shared" si="957"/>
        <v>0</v>
      </c>
      <c r="AY304" s="9"/>
      <c r="AZ304" s="30">
        <f t="shared" si="958"/>
        <v>0</v>
      </c>
      <c r="BA304" s="10">
        <f>32212/100</f>
        <v>322.12</v>
      </c>
      <c r="BB304" s="31">
        <v>322120</v>
      </c>
      <c r="BC304" s="15">
        <f t="shared" si="970"/>
        <v>322120</v>
      </c>
      <c r="BD304" s="9">
        <f t="shared" si="971"/>
        <v>0</v>
      </c>
      <c r="BE304" s="28">
        <f t="shared" si="972"/>
        <v>32212</v>
      </c>
      <c r="BF304" s="8">
        <f t="shared" si="973"/>
        <v>-31889.88</v>
      </c>
      <c r="BG304" s="29">
        <f t="shared" si="963"/>
        <v>322120</v>
      </c>
      <c r="BH304" s="13">
        <f t="shared" si="974"/>
        <v>0</v>
      </c>
      <c r="BI304" s="2" t="str">
        <f t="shared" si="964"/>
        <v/>
      </c>
      <c r="BJ304" s="2"/>
    </row>
    <row r="305" spans="1:62">
      <c r="A305" s="1" t="s">
        <v>12</v>
      </c>
      <c r="B305" s="3" t="s">
        <v>23</v>
      </c>
      <c r="C305" s="3" t="s">
        <v>45</v>
      </c>
      <c r="D305" s="4">
        <v>1789</v>
      </c>
      <c r="E305" s="3" t="s">
        <v>49</v>
      </c>
      <c r="F305" s="3" t="s">
        <v>49</v>
      </c>
      <c r="G305" s="31">
        <v>26</v>
      </c>
      <c r="H305" s="31" t="s">
        <v>378</v>
      </c>
      <c r="I305" s="5">
        <v>60</v>
      </c>
      <c r="J305" s="5"/>
      <c r="K305" s="6"/>
      <c r="L305" s="11">
        <f t="shared" si="965"/>
        <v>60</v>
      </c>
      <c r="M305" s="7" t="s">
        <v>14</v>
      </c>
      <c r="N305" s="31"/>
      <c r="O305" s="9"/>
      <c r="P305" s="9" t="str">
        <f t="shared" si="979"/>
        <v/>
      </c>
      <c r="Q305" s="9"/>
      <c r="R305" s="30">
        <f t="shared" ref="R305" si="1121">Q305*$L305</f>
        <v>0</v>
      </c>
      <c r="S305" s="9"/>
      <c r="T305" s="30">
        <f t="shared" ref="T305" si="1122">S305*$L305</f>
        <v>0</v>
      </c>
      <c r="U305" s="9">
        <f>204759/100</f>
        <v>2047.59</v>
      </c>
      <c r="V305" s="30">
        <v>122855</v>
      </c>
      <c r="W305" s="9"/>
      <c r="X305" s="30">
        <f t="shared" si="944"/>
        <v>0</v>
      </c>
      <c r="Y305" s="9"/>
      <c r="Z305" s="30">
        <f t="shared" si="945"/>
        <v>0</v>
      </c>
      <c r="AA305" s="9"/>
      <c r="AB305" s="30">
        <f t="shared" si="946"/>
        <v>0</v>
      </c>
      <c r="AC305" s="9"/>
      <c r="AD305" s="30">
        <f t="shared" si="947"/>
        <v>0</v>
      </c>
      <c r="AE305" s="9"/>
      <c r="AF305" s="30">
        <f t="shared" si="948"/>
        <v>0</v>
      </c>
      <c r="AG305" s="9"/>
      <c r="AH305" s="30">
        <f t="shared" si="949"/>
        <v>0</v>
      </c>
      <c r="AI305" s="9"/>
      <c r="AJ305" s="30">
        <f t="shared" ref="AJ305" si="1123">AI305*$L305</f>
        <v>0</v>
      </c>
      <c r="AK305" s="9"/>
      <c r="AL305" s="30">
        <f t="shared" ref="AL305" si="1124">AK305*$L305</f>
        <v>0</v>
      </c>
      <c r="AM305" s="9"/>
      <c r="AN305" s="30">
        <f t="shared" si="952"/>
        <v>0</v>
      </c>
      <c r="AO305" s="9"/>
      <c r="AP305" s="30">
        <f t="shared" si="953"/>
        <v>0</v>
      </c>
      <c r="AQ305" s="9"/>
      <c r="AR305" s="30">
        <f t="shared" si="954"/>
        <v>0</v>
      </c>
      <c r="AS305" s="9"/>
      <c r="AT305" s="30">
        <f t="shared" si="955"/>
        <v>0</v>
      </c>
      <c r="AU305" s="9"/>
      <c r="AV305" s="30">
        <f t="shared" si="956"/>
        <v>0</v>
      </c>
      <c r="AW305" s="9"/>
      <c r="AX305" s="30">
        <f t="shared" si="957"/>
        <v>0</v>
      </c>
      <c r="AY305" s="9"/>
      <c r="AZ305" s="30">
        <f t="shared" si="958"/>
        <v>0</v>
      </c>
      <c r="BA305" s="10">
        <f>204759/100</f>
        <v>2047.59</v>
      </c>
      <c r="BB305" s="31">
        <v>122855</v>
      </c>
      <c r="BC305" s="15">
        <f t="shared" si="970"/>
        <v>122855</v>
      </c>
      <c r="BD305" s="9">
        <f t="shared" si="971"/>
        <v>0</v>
      </c>
      <c r="BE305" s="28">
        <f t="shared" si="972"/>
        <v>2047.59</v>
      </c>
      <c r="BF305" s="8">
        <f t="shared" si="973"/>
        <v>0</v>
      </c>
      <c r="BG305" s="29">
        <f t="shared" si="963"/>
        <v>122855.4</v>
      </c>
      <c r="BH305" s="13">
        <f t="shared" si="974"/>
        <v>-0.39999999999417923</v>
      </c>
      <c r="BI305" s="2" t="str">
        <f t="shared" si="964"/>
        <v>erreur de calcul</v>
      </c>
      <c r="BJ305" s="2"/>
    </row>
    <row r="306" spans="1:62">
      <c r="A306" s="1" t="s">
        <v>12</v>
      </c>
      <c r="B306" s="3" t="s">
        <v>23</v>
      </c>
      <c r="C306" s="3" t="s">
        <v>45</v>
      </c>
      <c r="D306" s="4">
        <v>1789</v>
      </c>
      <c r="E306" s="3" t="s">
        <v>49</v>
      </c>
      <c r="F306" s="3" t="s">
        <v>49</v>
      </c>
      <c r="G306" s="31">
        <v>26</v>
      </c>
      <c r="H306" s="31" t="s">
        <v>380</v>
      </c>
      <c r="I306" s="5">
        <v>4</v>
      </c>
      <c r="J306" s="5">
        <v>10</v>
      </c>
      <c r="K306" s="6"/>
      <c r="L306" s="11">
        <f t="shared" ref="L306:L351" si="1125">I306+(J306/20)+(K306/240)</f>
        <v>4.5</v>
      </c>
      <c r="M306" s="7" t="s">
        <v>15</v>
      </c>
      <c r="N306" s="31"/>
      <c r="O306" s="9"/>
      <c r="P306" s="9" t="str">
        <f t="shared" ref="P306:P351" si="1126">IF(N306&lt;&gt;"",O306*L306,"")</f>
        <v/>
      </c>
      <c r="Q306" s="9">
        <v>20973</v>
      </c>
      <c r="R306" s="30">
        <v>94378</v>
      </c>
      <c r="S306" s="9"/>
      <c r="T306" s="30">
        <f t="shared" ref="T306" si="1127">S306*$L306</f>
        <v>0</v>
      </c>
      <c r="U306" s="9"/>
      <c r="V306" s="30">
        <f t="shared" si="943"/>
        <v>0</v>
      </c>
      <c r="W306" s="9"/>
      <c r="X306" s="30">
        <f t="shared" si="944"/>
        <v>0</v>
      </c>
      <c r="Y306" s="9"/>
      <c r="Z306" s="30">
        <f t="shared" si="945"/>
        <v>0</v>
      </c>
      <c r="AA306" s="9"/>
      <c r="AB306" s="30">
        <f t="shared" si="946"/>
        <v>0</v>
      </c>
      <c r="AC306" s="9"/>
      <c r="AD306" s="30">
        <f t="shared" si="947"/>
        <v>0</v>
      </c>
      <c r="AE306" s="9"/>
      <c r="AF306" s="30">
        <f t="shared" si="948"/>
        <v>0</v>
      </c>
      <c r="AG306" s="9"/>
      <c r="AH306" s="30">
        <f t="shared" si="949"/>
        <v>0</v>
      </c>
      <c r="AI306" s="9"/>
      <c r="AJ306" s="30">
        <f t="shared" ref="AJ306" si="1128">AI306*$L306</f>
        <v>0</v>
      </c>
      <c r="AK306" s="9"/>
      <c r="AL306" s="30">
        <f t="shared" ref="AL306" si="1129">AK306*$L306</f>
        <v>0</v>
      </c>
      <c r="AM306" s="9"/>
      <c r="AN306" s="30">
        <f t="shared" si="952"/>
        <v>0</v>
      </c>
      <c r="AO306" s="9"/>
      <c r="AP306" s="30">
        <f t="shared" si="953"/>
        <v>0</v>
      </c>
      <c r="AQ306" s="9"/>
      <c r="AR306" s="30">
        <f t="shared" si="954"/>
        <v>0</v>
      </c>
      <c r="AS306" s="9"/>
      <c r="AT306" s="30">
        <f t="shared" si="955"/>
        <v>0</v>
      </c>
      <c r="AU306" s="9"/>
      <c r="AV306" s="30">
        <f t="shared" si="956"/>
        <v>0</v>
      </c>
      <c r="AW306" s="9"/>
      <c r="AX306" s="30">
        <f t="shared" si="957"/>
        <v>0</v>
      </c>
      <c r="AY306" s="9"/>
      <c r="AZ306" s="30">
        <f t="shared" si="958"/>
        <v>0</v>
      </c>
      <c r="BA306" s="10">
        <v>20973</v>
      </c>
      <c r="BB306" s="31">
        <v>94378</v>
      </c>
      <c r="BC306" s="15">
        <f t="shared" ref="BC306:BC351" si="1130">SUM(R306,T306,V306,X306,Z306,AB306,AD306,AF306,AH306,AJ306,AL306,AN306,AP306,AR306,AT306,AV306,AX306,AZ306)</f>
        <v>94378</v>
      </c>
      <c r="BD306" s="9">
        <f t="shared" ref="BD306:BD351" si="1131">BB306-BC306</f>
        <v>0</v>
      </c>
      <c r="BE306" s="28">
        <f t="shared" ref="BE306:BE351" si="1132">SUM(Q306,S306,U306,W306,Y306,AA306,AC306,AE306,AG306,AI306,AK306,AM306,AO306,AQ306,AS306,AU306,AW306,AY306)</f>
        <v>20973</v>
      </c>
      <c r="BF306" s="8">
        <f t="shared" ref="BF306:BF351" si="1133">BA306-BE306</f>
        <v>0</v>
      </c>
      <c r="BG306" s="29">
        <f t="shared" ref="BG306:BG351" si="1134">BE306*L306</f>
        <v>94378.5</v>
      </c>
      <c r="BH306" s="13">
        <f t="shared" ref="BH306:BH351" si="1135">BB306-BG306</f>
        <v>-0.5</v>
      </c>
      <c r="BI306" s="2" t="str">
        <f t="shared" ref="BI306:BI351" si="1136">IF(BH306=0,"",IF(BH306&lt;&gt;BB306,"erreur de calcul",IF(BE306&lt;&gt;0,"pas de prix",IF(L306&lt;&gt; 0,"pas de quantité","pas de prix, ni de quantité"))))</f>
        <v>erreur de calcul</v>
      </c>
      <c r="BJ306" s="2"/>
    </row>
    <row r="307" spans="1:62">
      <c r="A307" s="1" t="s">
        <v>12</v>
      </c>
      <c r="B307" s="3" t="s">
        <v>23</v>
      </c>
      <c r="C307" s="3" t="s">
        <v>45</v>
      </c>
      <c r="D307" s="4">
        <v>1789</v>
      </c>
      <c r="E307" s="3" t="s">
        <v>49</v>
      </c>
      <c r="F307" s="3" t="s">
        <v>49</v>
      </c>
      <c r="G307" s="31">
        <v>26</v>
      </c>
      <c r="H307" s="31" t="s">
        <v>381</v>
      </c>
      <c r="I307" s="5"/>
      <c r="J307" s="5"/>
      <c r="K307" s="6"/>
      <c r="L307" s="11">
        <f t="shared" si="1125"/>
        <v>0</v>
      </c>
      <c r="M307" s="7"/>
      <c r="N307" s="31" t="s">
        <v>16</v>
      </c>
      <c r="O307" s="9"/>
      <c r="P307" s="9">
        <v>386</v>
      </c>
      <c r="Q307" s="9"/>
      <c r="R307" s="30">
        <f t="shared" ref="R307" si="1137">Q307*$L307</f>
        <v>0</v>
      </c>
      <c r="S307" s="9"/>
      <c r="T307" s="30">
        <f t="shared" ref="T307" si="1138">S307*$L307</f>
        <v>0</v>
      </c>
      <c r="U307" s="9"/>
      <c r="V307" s="30">
        <v>189</v>
      </c>
      <c r="W307" s="9"/>
      <c r="X307" s="30">
        <v>540</v>
      </c>
      <c r="Y307" s="9"/>
      <c r="Z307" s="30">
        <f t="shared" si="945"/>
        <v>0</v>
      </c>
      <c r="AA307" s="9"/>
      <c r="AB307" s="30">
        <f t="shared" si="946"/>
        <v>0</v>
      </c>
      <c r="AC307" s="9"/>
      <c r="AD307" s="30">
        <f t="shared" si="947"/>
        <v>0</v>
      </c>
      <c r="AE307" s="9"/>
      <c r="AF307" s="30">
        <f t="shared" si="948"/>
        <v>0</v>
      </c>
      <c r="AG307" s="9"/>
      <c r="AH307" s="30">
        <f t="shared" si="949"/>
        <v>0</v>
      </c>
      <c r="AI307" s="9"/>
      <c r="AJ307" s="30">
        <f t="shared" ref="AJ307" si="1139">AI307*$L307</f>
        <v>0</v>
      </c>
      <c r="AK307" s="9"/>
      <c r="AL307" s="30">
        <v>317</v>
      </c>
      <c r="AM307" s="9"/>
      <c r="AN307" s="30">
        <f t="shared" si="952"/>
        <v>0</v>
      </c>
      <c r="AO307" s="9"/>
      <c r="AP307" s="30">
        <f t="shared" si="953"/>
        <v>0</v>
      </c>
      <c r="AQ307" s="9"/>
      <c r="AR307" s="30">
        <f t="shared" si="954"/>
        <v>0</v>
      </c>
      <c r="AS307" s="9"/>
      <c r="AT307" s="30">
        <f t="shared" si="955"/>
        <v>0</v>
      </c>
      <c r="AU307" s="9"/>
      <c r="AV307" s="30">
        <f t="shared" si="956"/>
        <v>0</v>
      </c>
      <c r="AW307" s="9"/>
      <c r="AX307" s="30">
        <f t="shared" si="957"/>
        <v>0</v>
      </c>
      <c r="AY307" s="9"/>
      <c r="AZ307" s="30">
        <f t="shared" si="958"/>
        <v>0</v>
      </c>
      <c r="BA307" s="10"/>
      <c r="BB307" s="31">
        <v>1046</v>
      </c>
      <c r="BC307" s="15">
        <f t="shared" si="1130"/>
        <v>1046</v>
      </c>
      <c r="BD307" s="9">
        <f t="shared" si="1131"/>
        <v>0</v>
      </c>
      <c r="BE307" s="28">
        <f t="shared" si="1132"/>
        <v>0</v>
      </c>
      <c r="BF307" s="8">
        <f t="shared" si="1133"/>
        <v>0</v>
      </c>
      <c r="BG307" s="29">
        <f t="shared" si="1134"/>
        <v>0</v>
      </c>
      <c r="BH307" s="13">
        <f t="shared" si="1135"/>
        <v>1046</v>
      </c>
      <c r="BI307" s="2" t="str">
        <f t="shared" si="1136"/>
        <v>pas de prix, ni de quantité</v>
      </c>
      <c r="BJ307" s="2"/>
    </row>
    <row r="308" spans="1:62">
      <c r="A308" s="1" t="s">
        <v>12</v>
      </c>
      <c r="B308" s="3" t="s">
        <v>23</v>
      </c>
      <c r="C308" s="3" t="s">
        <v>45</v>
      </c>
      <c r="D308" s="4">
        <v>1789</v>
      </c>
      <c r="E308" s="3" t="s">
        <v>49</v>
      </c>
      <c r="F308" s="3" t="s">
        <v>49</v>
      </c>
      <c r="G308" s="31">
        <v>26</v>
      </c>
      <c r="H308" s="31" t="s">
        <v>381</v>
      </c>
      <c r="I308" s="5">
        <v>90</v>
      </c>
      <c r="J308" s="5"/>
      <c r="K308" s="6"/>
      <c r="L308" s="11">
        <f t="shared" si="1125"/>
        <v>90</v>
      </c>
      <c r="M308" s="7" t="s">
        <v>14</v>
      </c>
      <c r="N308" s="31"/>
      <c r="O308" s="9"/>
      <c r="P308" s="9" t="str">
        <f t="shared" si="1126"/>
        <v/>
      </c>
      <c r="Q308" s="9"/>
      <c r="R308" s="30">
        <f t="shared" ref="R308" si="1140">Q308*$L308</f>
        <v>0</v>
      </c>
      <c r="S308" s="9"/>
      <c r="T308" s="30">
        <f t="shared" ref="T308" si="1141">S308*$L308</f>
        <v>0</v>
      </c>
      <c r="U308" s="9"/>
      <c r="V308" s="30">
        <f t="shared" si="943"/>
        <v>0</v>
      </c>
      <c r="W308" s="9">
        <f>6341/100</f>
        <v>63.41</v>
      </c>
      <c r="X308" s="30">
        <v>5707</v>
      </c>
      <c r="Y308" s="9">
        <f>10903/100</f>
        <v>109.03</v>
      </c>
      <c r="Z308" s="30">
        <v>9813</v>
      </c>
      <c r="AA308" s="9"/>
      <c r="AB308" s="30">
        <f t="shared" si="946"/>
        <v>0</v>
      </c>
      <c r="AC308" s="9"/>
      <c r="AD308" s="30">
        <f t="shared" si="947"/>
        <v>0</v>
      </c>
      <c r="AE308" s="9"/>
      <c r="AF308" s="30">
        <f t="shared" si="948"/>
        <v>0</v>
      </c>
      <c r="AG308" s="9"/>
      <c r="AH308" s="30">
        <f t="shared" si="949"/>
        <v>0</v>
      </c>
      <c r="AI308" s="9"/>
      <c r="AJ308" s="30">
        <f t="shared" ref="AJ308" si="1142">AI308*$L308</f>
        <v>0</v>
      </c>
      <c r="AK308" s="9">
        <f>127232/100</f>
        <v>1272.32</v>
      </c>
      <c r="AL308" s="30">
        <v>114509</v>
      </c>
      <c r="AM308" s="9">
        <f>1835/100</f>
        <v>18.350000000000001</v>
      </c>
      <c r="AN308" s="30">
        <v>1651</v>
      </c>
      <c r="AO308" s="9"/>
      <c r="AP308" s="30">
        <f t="shared" si="953"/>
        <v>0</v>
      </c>
      <c r="AQ308" s="9"/>
      <c r="AR308" s="30">
        <f t="shared" si="954"/>
        <v>0</v>
      </c>
      <c r="AS308" s="9"/>
      <c r="AT308" s="30">
        <f t="shared" si="955"/>
        <v>0</v>
      </c>
      <c r="AU308" s="9"/>
      <c r="AV308" s="30">
        <f t="shared" si="956"/>
        <v>0</v>
      </c>
      <c r="AW308" s="9"/>
      <c r="AX308" s="30">
        <f t="shared" si="957"/>
        <v>0</v>
      </c>
      <c r="AY308" s="9"/>
      <c r="AZ308" s="30">
        <f t="shared" si="958"/>
        <v>0</v>
      </c>
      <c r="BA308" s="10">
        <f>146311/100</f>
        <v>1463.11</v>
      </c>
      <c r="BB308" s="31">
        <v>131680</v>
      </c>
      <c r="BC308" s="15">
        <f t="shared" si="1130"/>
        <v>131680</v>
      </c>
      <c r="BD308" s="9">
        <f t="shared" si="1131"/>
        <v>0</v>
      </c>
      <c r="BE308" s="28">
        <f t="shared" si="1132"/>
        <v>1463.11</v>
      </c>
      <c r="BF308" s="8">
        <f t="shared" si="1133"/>
        <v>0</v>
      </c>
      <c r="BG308" s="29">
        <f t="shared" si="1134"/>
        <v>131679.9</v>
      </c>
      <c r="BH308" s="13">
        <f t="shared" si="1135"/>
        <v>0.10000000000582077</v>
      </c>
      <c r="BI308" s="2" t="str">
        <f t="shared" si="1136"/>
        <v>erreur de calcul</v>
      </c>
      <c r="BJ308" s="2"/>
    </row>
    <row r="309" spans="1:62">
      <c r="A309" s="1" t="s">
        <v>12</v>
      </c>
      <c r="B309" s="3" t="s">
        <v>23</v>
      </c>
      <c r="C309" s="3" t="s">
        <v>45</v>
      </c>
      <c r="D309" s="4">
        <v>1789</v>
      </c>
      <c r="E309" s="3" t="s">
        <v>49</v>
      </c>
      <c r="F309" s="3" t="s">
        <v>49</v>
      </c>
      <c r="G309" s="31">
        <v>26</v>
      </c>
      <c r="H309" s="31" t="s">
        <v>382</v>
      </c>
      <c r="I309" s="5">
        <v>25</v>
      </c>
      <c r="J309" s="5"/>
      <c r="K309" s="6"/>
      <c r="L309" s="11">
        <f t="shared" si="1125"/>
        <v>25</v>
      </c>
      <c r="M309" s="7" t="s">
        <v>14</v>
      </c>
      <c r="N309" s="31" t="s">
        <v>16</v>
      </c>
      <c r="O309" s="9">
        <f>13417/100</f>
        <v>134.16999999999999</v>
      </c>
      <c r="P309" s="9">
        <v>3354</v>
      </c>
      <c r="Q309" s="9"/>
      <c r="R309" s="30">
        <f t="shared" ref="R309" si="1143">Q309*$L309</f>
        <v>0</v>
      </c>
      <c r="S309" s="9"/>
      <c r="T309" s="30">
        <f t="shared" ref="T309" si="1144">S309*$L309</f>
        <v>0</v>
      </c>
      <c r="U309" s="9"/>
      <c r="V309" s="30">
        <f t="shared" si="943"/>
        <v>0</v>
      </c>
      <c r="W309" s="9"/>
      <c r="X309" s="30">
        <f t="shared" si="944"/>
        <v>0</v>
      </c>
      <c r="Y309" s="9"/>
      <c r="Z309" s="30">
        <f t="shared" si="945"/>
        <v>0</v>
      </c>
      <c r="AA309" s="9"/>
      <c r="AB309" s="30">
        <f t="shared" si="946"/>
        <v>0</v>
      </c>
      <c r="AC309" s="9"/>
      <c r="AD309" s="30">
        <f t="shared" si="947"/>
        <v>0</v>
      </c>
      <c r="AE309" s="9"/>
      <c r="AF309" s="30">
        <f t="shared" si="948"/>
        <v>0</v>
      </c>
      <c r="AG309" s="9"/>
      <c r="AH309" s="30">
        <f t="shared" si="949"/>
        <v>0</v>
      </c>
      <c r="AI309" s="9"/>
      <c r="AJ309" s="30">
        <f t="shared" ref="AJ309" si="1145">AI309*$L309</f>
        <v>0</v>
      </c>
      <c r="AK309" s="9"/>
      <c r="AL309" s="30">
        <f t="shared" ref="AL309" si="1146">AK309*$L309</f>
        <v>0</v>
      </c>
      <c r="AM309" s="9"/>
      <c r="AN309" s="30">
        <f t="shared" si="952"/>
        <v>0</v>
      </c>
      <c r="AO309" s="9"/>
      <c r="AP309" s="30">
        <f t="shared" si="953"/>
        <v>0</v>
      </c>
      <c r="AQ309" s="9"/>
      <c r="AR309" s="30">
        <f t="shared" si="954"/>
        <v>0</v>
      </c>
      <c r="AS309" s="9"/>
      <c r="AT309" s="30">
        <f t="shared" si="955"/>
        <v>0</v>
      </c>
      <c r="AU309" s="9"/>
      <c r="AV309" s="30">
        <f t="shared" si="956"/>
        <v>0</v>
      </c>
      <c r="AW309" s="9"/>
      <c r="AX309" s="30">
        <f t="shared" si="957"/>
        <v>0</v>
      </c>
      <c r="AY309" s="9"/>
      <c r="AZ309" s="30">
        <f t="shared" si="958"/>
        <v>0</v>
      </c>
      <c r="BA309" s="10"/>
      <c r="BB309" s="31"/>
      <c r="BC309" s="15">
        <f t="shared" si="1130"/>
        <v>0</v>
      </c>
      <c r="BD309" s="9">
        <f t="shared" si="1131"/>
        <v>0</v>
      </c>
      <c r="BE309" s="28">
        <f t="shared" si="1132"/>
        <v>0</v>
      </c>
      <c r="BF309" s="8">
        <f t="shared" si="1133"/>
        <v>0</v>
      </c>
      <c r="BG309" s="29">
        <f t="shared" si="1134"/>
        <v>0</v>
      </c>
      <c r="BH309" s="13">
        <f t="shared" si="1135"/>
        <v>0</v>
      </c>
      <c r="BI309" s="2" t="str">
        <f t="shared" si="1136"/>
        <v/>
      </c>
      <c r="BJ309" s="2"/>
    </row>
    <row r="310" spans="1:62">
      <c r="A310" s="1" t="s">
        <v>12</v>
      </c>
      <c r="B310" s="3" t="s">
        <v>23</v>
      </c>
      <c r="C310" s="3" t="s">
        <v>45</v>
      </c>
      <c r="D310" s="4">
        <v>1789</v>
      </c>
      <c r="E310" s="3" t="s">
        <v>49</v>
      </c>
      <c r="F310" s="3" t="s">
        <v>49</v>
      </c>
      <c r="G310" s="31">
        <v>26</v>
      </c>
      <c r="H310" s="31" t="s">
        <v>383</v>
      </c>
      <c r="I310" s="5">
        <v>35</v>
      </c>
      <c r="J310" s="5"/>
      <c r="K310" s="6"/>
      <c r="L310" s="11">
        <f t="shared" si="1125"/>
        <v>35</v>
      </c>
      <c r="M310" s="7" t="s">
        <v>14</v>
      </c>
      <c r="N310" s="31"/>
      <c r="O310" s="9"/>
      <c r="P310" s="9" t="str">
        <f t="shared" si="1126"/>
        <v/>
      </c>
      <c r="Q310" s="9"/>
      <c r="R310" s="30">
        <f t="shared" ref="R310" si="1147">Q310*$L310</f>
        <v>0</v>
      </c>
      <c r="S310" s="9"/>
      <c r="T310" s="30">
        <f t="shared" ref="T310" si="1148">S310*$L310</f>
        <v>0</v>
      </c>
      <c r="U310" s="9"/>
      <c r="V310" s="30">
        <f t="shared" si="943"/>
        <v>0</v>
      </c>
      <c r="W310" s="9"/>
      <c r="X310" s="30">
        <f t="shared" si="944"/>
        <v>0</v>
      </c>
      <c r="Y310" s="9"/>
      <c r="Z310" s="30">
        <f t="shared" si="945"/>
        <v>0</v>
      </c>
      <c r="AA310" s="9"/>
      <c r="AB310" s="30">
        <f t="shared" si="946"/>
        <v>0</v>
      </c>
      <c r="AC310" s="9"/>
      <c r="AD310" s="30">
        <f t="shared" si="947"/>
        <v>0</v>
      </c>
      <c r="AE310" s="9"/>
      <c r="AF310" s="30">
        <f t="shared" si="948"/>
        <v>0</v>
      </c>
      <c r="AG310" s="9"/>
      <c r="AH310" s="30">
        <f t="shared" si="949"/>
        <v>0</v>
      </c>
      <c r="AI310" s="9"/>
      <c r="AJ310" s="30">
        <f t="shared" ref="AJ310" si="1149">AI310*$L310</f>
        <v>0</v>
      </c>
      <c r="AK310" s="9">
        <f>3950/100</f>
        <v>39.5</v>
      </c>
      <c r="AL310" s="30">
        <v>1382</v>
      </c>
      <c r="AM310" s="9"/>
      <c r="AN310" s="30">
        <f t="shared" si="952"/>
        <v>0</v>
      </c>
      <c r="AO310" s="9"/>
      <c r="AP310" s="30">
        <f t="shared" si="953"/>
        <v>0</v>
      </c>
      <c r="AQ310" s="9"/>
      <c r="AR310" s="30">
        <f t="shared" si="954"/>
        <v>0</v>
      </c>
      <c r="AS310" s="9"/>
      <c r="AT310" s="30">
        <f t="shared" si="955"/>
        <v>0</v>
      </c>
      <c r="AU310" s="9"/>
      <c r="AV310" s="30">
        <f t="shared" si="956"/>
        <v>0</v>
      </c>
      <c r="AW310" s="9"/>
      <c r="AX310" s="30">
        <f t="shared" si="957"/>
        <v>0</v>
      </c>
      <c r="AY310" s="9"/>
      <c r="AZ310" s="30">
        <f t="shared" si="958"/>
        <v>0</v>
      </c>
      <c r="BA310" s="10">
        <f>3950/100</f>
        <v>39.5</v>
      </c>
      <c r="BB310" s="31">
        <v>1382</v>
      </c>
      <c r="BC310" s="15">
        <f t="shared" si="1130"/>
        <v>1382</v>
      </c>
      <c r="BD310" s="9">
        <f t="shared" si="1131"/>
        <v>0</v>
      </c>
      <c r="BE310" s="28">
        <f t="shared" si="1132"/>
        <v>39.5</v>
      </c>
      <c r="BF310" s="8">
        <f t="shared" si="1133"/>
        <v>0</v>
      </c>
      <c r="BG310" s="29">
        <f t="shared" si="1134"/>
        <v>1382.5</v>
      </c>
      <c r="BH310" s="13">
        <f t="shared" si="1135"/>
        <v>-0.5</v>
      </c>
      <c r="BI310" s="2" t="str">
        <f t="shared" si="1136"/>
        <v>erreur de calcul</v>
      </c>
      <c r="BJ310" s="2"/>
    </row>
    <row r="311" spans="1:62">
      <c r="A311" s="1" t="s">
        <v>12</v>
      </c>
      <c r="B311" s="3" t="s">
        <v>23</v>
      </c>
      <c r="C311" s="3" t="s">
        <v>45</v>
      </c>
      <c r="D311" s="4">
        <v>1789</v>
      </c>
      <c r="E311" s="3" t="s">
        <v>49</v>
      </c>
      <c r="F311" s="3" t="s">
        <v>49</v>
      </c>
      <c r="G311" s="31">
        <v>26</v>
      </c>
      <c r="H311" s="31" t="s">
        <v>384</v>
      </c>
      <c r="I311" s="5">
        <v>60</v>
      </c>
      <c r="J311" s="5"/>
      <c r="K311" s="6"/>
      <c r="L311" s="11">
        <f t="shared" si="1125"/>
        <v>60</v>
      </c>
      <c r="M311" s="7" t="s">
        <v>14</v>
      </c>
      <c r="N311" s="31"/>
      <c r="O311" s="9"/>
      <c r="P311" s="9" t="str">
        <f t="shared" si="1126"/>
        <v/>
      </c>
      <c r="Q311" s="9"/>
      <c r="R311" s="30">
        <f t="shared" ref="R311" si="1150">Q311*$L311</f>
        <v>0</v>
      </c>
      <c r="S311" s="9"/>
      <c r="T311" s="30">
        <f t="shared" ref="T311" si="1151">S311*$L311</f>
        <v>0</v>
      </c>
      <c r="U311" s="9"/>
      <c r="V311" s="30">
        <f t="shared" si="943"/>
        <v>0</v>
      </c>
      <c r="W311" s="9"/>
      <c r="X311" s="30">
        <f t="shared" si="944"/>
        <v>0</v>
      </c>
      <c r="Y311" s="9">
        <f>12306/100</f>
        <v>123.06</v>
      </c>
      <c r="Z311" s="30">
        <v>7384</v>
      </c>
      <c r="AA311" s="9"/>
      <c r="AB311" s="30">
        <f t="shared" si="946"/>
        <v>0</v>
      </c>
      <c r="AC311" s="9"/>
      <c r="AD311" s="30">
        <f t="shared" si="947"/>
        <v>0</v>
      </c>
      <c r="AE311" s="9"/>
      <c r="AF311" s="30">
        <f t="shared" si="948"/>
        <v>0</v>
      </c>
      <c r="AG311" s="9"/>
      <c r="AH311" s="30">
        <f t="shared" si="949"/>
        <v>0</v>
      </c>
      <c r="AI311" s="9"/>
      <c r="AJ311" s="30">
        <f t="shared" ref="AJ311" si="1152">AI311*$L311</f>
        <v>0</v>
      </c>
      <c r="AK311" s="9">
        <f>2557/100</f>
        <v>25.57</v>
      </c>
      <c r="AL311" s="30">
        <v>1534</v>
      </c>
      <c r="AM311" s="9"/>
      <c r="AN311" s="30">
        <f t="shared" si="952"/>
        <v>0</v>
      </c>
      <c r="AO311" s="9"/>
      <c r="AP311" s="30">
        <f t="shared" si="953"/>
        <v>0</v>
      </c>
      <c r="AQ311" s="9"/>
      <c r="AR311" s="30">
        <f t="shared" si="954"/>
        <v>0</v>
      </c>
      <c r="AS311" s="9">
        <f>7204/100</f>
        <v>72.040000000000006</v>
      </c>
      <c r="AT311" s="30">
        <v>4322</v>
      </c>
      <c r="AU311" s="9"/>
      <c r="AV311" s="30">
        <f t="shared" si="956"/>
        <v>0</v>
      </c>
      <c r="AW311" s="9"/>
      <c r="AX311" s="30">
        <f t="shared" si="957"/>
        <v>0</v>
      </c>
      <c r="AY311" s="9"/>
      <c r="AZ311" s="30">
        <f t="shared" si="958"/>
        <v>0</v>
      </c>
      <c r="BA311" s="10">
        <f>22067/100</f>
        <v>220.67</v>
      </c>
      <c r="BB311" s="31">
        <v>13240</v>
      </c>
      <c r="BC311" s="15">
        <f t="shared" si="1130"/>
        <v>13240</v>
      </c>
      <c r="BD311" s="9">
        <f t="shared" si="1131"/>
        <v>0</v>
      </c>
      <c r="BE311" s="28">
        <f t="shared" si="1132"/>
        <v>220.67000000000002</v>
      </c>
      <c r="BF311" s="8">
        <f t="shared" si="1133"/>
        <v>0</v>
      </c>
      <c r="BG311" s="29">
        <f t="shared" si="1134"/>
        <v>13240.2</v>
      </c>
      <c r="BH311" s="13">
        <f t="shared" si="1135"/>
        <v>-0.2000000000007276</v>
      </c>
      <c r="BI311" s="2" t="str">
        <f t="shared" si="1136"/>
        <v>erreur de calcul</v>
      </c>
      <c r="BJ311" s="2"/>
    </row>
    <row r="312" spans="1:62">
      <c r="A312" s="1" t="s">
        <v>12</v>
      </c>
      <c r="B312" s="3" t="s">
        <v>23</v>
      </c>
      <c r="C312" s="3" t="s">
        <v>45</v>
      </c>
      <c r="D312" s="4">
        <v>1789</v>
      </c>
      <c r="E312" s="3" t="s">
        <v>49</v>
      </c>
      <c r="F312" s="3" t="s">
        <v>49</v>
      </c>
      <c r="G312" s="31">
        <v>26</v>
      </c>
      <c r="H312" s="31" t="s">
        <v>385</v>
      </c>
      <c r="I312" s="5">
        <v>120</v>
      </c>
      <c r="J312" s="5"/>
      <c r="K312" s="6"/>
      <c r="L312" s="11">
        <f t="shared" si="1125"/>
        <v>120</v>
      </c>
      <c r="M312" s="7" t="s">
        <v>14</v>
      </c>
      <c r="N312" s="31"/>
      <c r="O312" s="9"/>
      <c r="P312" s="9" t="str">
        <f t="shared" si="1126"/>
        <v/>
      </c>
      <c r="Q312" s="9"/>
      <c r="R312" s="30">
        <f t="shared" ref="R312" si="1153">Q312*$L312</f>
        <v>0</v>
      </c>
      <c r="S312" s="9"/>
      <c r="T312" s="30">
        <f t="shared" ref="T312" si="1154">S312*$L312</f>
        <v>0</v>
      </c>
      <c r="U312" s="9"/>
      <c r="V312" s="30">
        <f t="shared" si="943"/>
        <v>0</v>
      </c>
      <c r="W312" s="9"/>
      <c r="X312" s="30">
        <f t="shared" si="944"/>
        <v>0</v>
      </c>
      <c r="Y312" s="9"/>
      <c r="Z312" s="30">
        <f t="shared" si="945"/>
        <v>0</v>
      </c>
      <c r="AA312" s="9"/>
      <c r="AB312" s="30">
        <f t="shared" si="946"/>
        <v>0</v>
      </c>
      <c r="AC312" s="9"/>
      <c r="AD312" s="30">
        <f t="shared" si="947"/>
        <v>0</v>
      </c>
      <c r="AE312" s="9"/>
      <c r="AF312" s="30">
        <f t="shared" si="948"/>
        <v>0</v>
      </c>
      <c r="AG312" s="9"/>
      <c r="AH312" s="30">
        <f t="shared" si="949"/>
        <v>0</v>
      </c>
      <c r="AI312" s="9">
        <f>1810/100</f>
        <v>18.100000000000001</v>
      </c>
      <c r="AJ312" s="30">
        <v>2172</v>
      </c>
      <c r="AK312" s="9"/>
      <c r="AL312" s="30">
        <f t="shared" ref="AL312" si="1155">AK312*$L312</f>
        <v>0</v>
      </c>
      <c r="AM312" s="9"/>
      <c r="AN312" s="30">
        <f t="shared" si="952"/>
        <v>0</v>
      </c>
      <c r="AO312" s="9"/>
      <c r="AP312" s="30">
        <f t="shared" si="953"/>
        <v>0</v>
      </c>
      <c r="AQ312" s="9"/>
      <c r="AR312" s="30">
        <f t="shared" si="954"/>
        <v>0</v>
      </c>
      <c r="AS312" s="9"/>
      <c r="AT312" s="30">
        <f t="shared" si="955"/>
        <v>0</v>
      </c>
      <c r="AU312" s="9"/>
      <c r="AV312" s="30">
        <f t="shared" si="956"/>
        <v>0</v>
      </c>
      <c r="AW312" s="9"/>
      <c r="AX312" s="30">
        <f t="shared" si="957"/>
        <v>0</v>
      </c>
      <c r="AY312" s="9"/>
      <c r="AZ312" s="30">
        <f t="shared" si="958"/>
        <v>0</v>
      </c>
      <c r="BA312" s="10">
        <f>1810/100</f>
        <v>18.100000000000001</v>
      </c>
      <c r="BB312" s="31">
        <v>2172</v>
      </c>
      <c r="BC312" s="15">
        <f t="shared" si="1130"/>
        <v>2172</v>
      </c>
      <c r="BD312" s="9">
        <f t="shared" si="1131"/>
        <v>0</v>
      </c>
      <c r="BE312" s="28">
        <f t="shared" si="1132"/>
        <v>18.100000000000001</v>
      </c>
      <c r="BF312" s="8">
        <f t="shared" si="1133"/>
        <v>0</v>
      </c>
      <c r="BG312" s="29">
        <f t="shared" si="1134"/>
        <v>2172</v>
      </c>
      <c r="BH312" s="13">
        <f t="shared" si="1135"/>
        <v>0</v>
      </c>
      <c r="BI312" s="2" t="str">
        <f t="shared" si="1136"/>
        <v/>
      </c>
      <c r="BJ312" s="2"/>
    </row>
    <row r="313" spans="1:62">
      <c r="A313" s="1" t="s">
        <v>12</v>
      </c>
      <c r="B313" s="3" t="s">
        <v>23</v>
      </c>
      <c r="C313" s="3" t="s">
        <v>45</v>
      </c>
      <c r="D313" s="4">
        <v>1789</v>
      </c>
      <c r="E313" s="3" t="s">
        <v>49</v>
      </c>
      <c r="F313" s="3" t="s">
        <v>49</v>
      </c>
      <c r="G313" s="31">
        <v>26</v>
      </c>
      <c r="H313" s="40" t="s">
        <v>386</v>
      </c>
      <c r="I313" s="5">
        <v>7</v>
      </c>
      <c r="J313" s="5"/>
      <c r="K313" s="6"/>
      <c r="L313" s="11">
        <f t="shared" si="1125"/>
        <v>7</v>
      </c>
      <c r="M313" s="7" t="s">
        <v>14</v>
      </c>
      <c r="N313" s="31"/>
      <c r="O313" s="9"/>
      <c r="P313" s="9" t="str">
        <f t="shared" si="1126"/>
        <v/>
      </c>
      <c r="Q313" s="9">
        <f>11428/100</f>
        <v>114.28</v>
      </c>
      <c r="R313" s="30">
        <v>800</v>
      </c>
      <c r="S313" s="9"/>
      <c r="T313" s="30">
        <f t="shared" ref="T313" si="1156">S313*$L313</f>
        <v>0</v>
      </c>
      <c r="U313" s="9">
        <f>2084/100</f>
        <v>20.84</v>
      </c>
      <c r="V313" s="32">
        <v>246</v>
      </c>
      <c r="W313" s="9"/>
      <c r="X313" s="30">
        <f t="shared" si="944"/>
        <v>0</v>
      </c>
      <c r="Y313" s="9"/>
      <c r="Z313" s="30">
        <f t="shared" si="945"/>
        <v>0</v>
      </c>
      <c r="AA313" s="9"/>
      <c r="AB313" s="30">
        <f t="shared" si="946"/>
        <v>0</v>
      </c>
      <c r="AC313" s="9"/>
      <c r="AD313" s="30">
        <f t="shared" si="947"/>
        <v>0</v>
      </c>
      <c r="AE313" s="9"/>
      <c r="AF313" s="30">
        <f t="shared" si="948"/>
        <v>0</v>
      </c>
      <c r="AG313" s="9">
        <f>6709/100</f>
        <v>67.09</v>
      </c>
      <c r="AH313" s="30">
        <v>470</v>
      </c>
      <c r="AI313" s="9"/>
      <c r="AJ313" s="30">
        <f t="shared" ref="AJ313" si="1157">AI313*$L313</f>
        <v>0</v>
      </c>
      <c r="AK313" s="9"/>
      <c r="AL313" s="30">
        <f t="shared" ref="AL313" si="1158">AK313*$L313</f>
        <v>0</v>
      </c>
      <c r="AM313" s="9"/>
      <c r="AN313" s="30">
        <f t="shared" si="952"/>
        <v>0</v>
      </c>
      <c r="AO313" s="9"/>
      <c r="AP313" s="30">
        <f t="shared" si="953"/>
        <v>0</v>
      </c>
      <c r="AQ313" s="9"/>
      <c r="AR313" s="30">
        <f t="shared" si="954"/>
        <v>0</v>
      </c>
      <c r="AS313" s="9"/>
      <c r="AT313" s="30">
        <f t="shared" si="955"/>
        <v>0</v>
      </c>
      <c r="AU313" s="9"/>
      <c r="AV313" s="30">
        <f t="shared" si="956"/>
        <v>0</v>
      </c>
      <c r="AW313" s="9"/>
      <c r="AX313" s="30">
        <f t="shared" si="957"/>
        <v>0</v>
      </c>
      <c r="AY313" s="9"/>
      <c r="AZ313" s="30">
        <f t="shared" si="958"/>
        <v>0</v>
      </c>
      <c r="BA313" s="10">
        <f>20221/100</f>
        <v>202.21</v>
      </c>
      <c r="BB313" s="31">
        <v>1516</v>
      </c>
      <c r="BC313" s="15">
        <f t="shared" si="1130"/>
        <v>1516</v>
      </c>
      <c r="BD313" s="9">
        <f t="shared" si="1131"/>
        <v>0</v>
      </c>
      <c r="BE313" s="28">
        <f t="shared" si="1132"/>
        <v>202.21</v>
      </c>
      <c r="BF313" s="8">
        <f t="shared" si="1133"/>
        <v>0</v>
      </c>
      <c r="BG313" s="29">
        <f t="shared" si="1134"/>
        <v>1415.47</v>
      </c>
      <c r="BH313" s="13">
        <f t="shared" si="1135"/>
        <v>100.52999999999997</v>
      </c>
      <c r="BI313" s="2" t="str">
        <f t="shared" si="1136"/>
        <v>erreur de calcul</v>
      </c>
      <c r="BJ313" s="2"/>
    </row>
    <row r="314" spans="1:62">
      <c r="A314" s="1" t="s">
        <v>12</v>
      </c>
      <c r="B314" s="3" t="s">
        <v>23</v>
      </c>
      <c r="C314" s="3" t="s">
        <v>45</v>
      </c>
      <c r="D314" s="4">
        <v>1789</v>
      </c>
      <c r="E314" s="3" t="s">
        <v>49</v>
      </c>
      <c r="F314" s="3" t="s">
        <v>49</v>
      </c>
      <c r="G314" s="31">
        <v>26</v>
      </c>
      <c r="H314" s="31" t="s">
        <v>387</v>
      </c>
      <c r="I314" s="5">
        <v>40</v>
      </c>
      <c r="J314" s="5"/>
      <c r="K314" s="6"/>
      <c r="L314" s="11">
        <f t="shared" si="1125"/>
        <v>40</v>
      </c>
      <c r="M314" s="7" t="s">
        <v>15</v>
      </c>
      <c r="N314" s="31"/>
      <c r="O314" s="9"/>
      <c r="P314" s="9" t="str">
        <f t="shared" si="1126"/>
        <v/>
      </c>
      <c r="Q314" s="9"/>
      <c r="R314" s="30">
        <f t="shared" ref="R314" si="1159">Q314*$L314</f>
        <v>0</v>
      </c>
      <c r="S314" s="9"/>
      <c r="T314" s="30">
        <f t="shared" ref="T314" si="1160">S314*$L314</f>
        <v>0</v>
      </c>
      <c r="U314" s="9">
        <v>2339</v>
      </c>
      <c r="V314" s="30">
        <v>93560</v>
      </c>
      <c r="W314" s="9">
        <v>38</v>
      </c>
      <c r="X314" s="30">
        <v>1520</v>
      </c>
      <c r="Y314" s="9"/>
      <c r="Z314" s="30">
        <f t="shared" si="945"/>
        <v>0</v>
      </c>
      <c r="AA314" s="9"/>
      <c r="AB314" s="30">
        <f t="shared" si="946"/>
        <v>0</v>
      </c>
      <c r="AC314" s="9"/>
      <c r="AD314" s="30">
        <f t="shared" si="947"/>
        <v>0</v>
      </c>
      <c r="AE314" s="9"/>
      <c r="AF314" s="30">
        <f t="shared" si="948"/>
        <v>0</v>
      </c>
      <c r="AG314" s="9"/>
      <c r="AH314" s="30">
        <f t="shared" si="949"/>
        <v>0</v>
      </c>
      <c r="AI314" s="9"/>
      <c r="AJ314" s="30">
        <f t="shared" ref="AJ314" si="1161">AI314*$L314</f>
        <v>0</v>
      </c>
      <c r="AK314" s="9"/>
      <c r="AL314" s="30">
        <f t="shared" ref="AL314" si="1162">AK314*$L314</f>
        <v>0</v>
      </c>
      <c r="AM314" s="9"/>
      <c r="AN314" s="30">
        <f t="shared" si="952"/>
        <v>0</v>
      </c>
      <c r="AO314" s="9"/>
      <c r="AP314" s="30">
        <f t="shared" si="953"/>
        <v>0</v>
      </c>
      <c r="AQ314" s="9"/>
      <c r="AR314" s="30">
        <f t="shared" si="954"/>
        <v>0</v>
      </c>
      <c r="AS314" s="9"/>
      <c r="AT314" s="30">
        <f t="shared" si="955"/>
        <v>0</v>
      </c>
      <c r="AU314" s="9"/>
      <c r="AV314" s="30">
        <f t="shared" si="956"/>
        <v>0</v>
      </c>
      <c r="AW314" s="9"/>
      <c r="AX314" s="30">
        <f t="shared" si="957"/>
        <v>0</v>
      </c>
      <c r="AY314" s="9"/>
      <c r="AZ314" s="30">
        <f t="shared" si="958"/>
        <v>0</v>
      </c>
      <c r="BA314" s="10">
        <v>2377</v>
      </c>
      <c r="BB314" s="31">
        <v>95080</v>
      </c>
      <c r="BC314" s="15">
        <f t="shared" si="1130"/>
        <v>95080</v>
      </c>
      <c r="BD314" s="9">
        <f t="shared" si="1131"/>
        <v>0</v>
      </c>
      <c r="BE314" s="28">
        <f t="shared" si="1132"/>
        <v>2377</v>
      </c>
      <c r="BF314" s="8">
        <f t="shared" si="1133"/>
        <v>0</v>
      </c>
      <c r="BG314" s="29">
        <f t="shared" si="1134"/>
        <v>95080</v>
      </c>
      <c r="BH314" s="13">
        <f t="shared" si="1135"/>
        <v>0</v>
      </c>
      <c r="BI314" s="2" t="str">
        <f t="shared" si="1136"/>
        <v/>
      </c>
      <c r="BJ314" s="2"/>
    </row>
    <row r="315" spans="1:62">
      <c r="A315" s="1" t="s">
        <v>12</v>
      </c>
      <c r="B315" s="3" t="s">
        <v>23</v>
      </c>
      <c r="C315" s="3" t="s">
        <v>45</v>
      </c>
      <c r="D315" s="4">
        <v>1789</v>
      </c>
      <c r="E315" s="3" t="s">
        <v>49</v>
      </c>
      <c r="F315" s="3" t="s">
        <v>49</v>
      </c>
      <c r="G315" s="31">
        <v>26</v>
      </c>
      <c r="H315" s="31" t="s">
        <v>388</v>
      </c>
      <c r="I315" s="5">
        <v>2</v>
      </c>
      <c r="J315" s="5">
        <v>10</v>
      </c>
      <c r="K315" s="6"/>
      <c r="L315" s="11">
        <f t="shared" si="1125"/>
        <v>2.5</v>
      </c>
      <c r="M315" s="7" t="s">
        <v>15</v>
      </c>
      <c r="N315" s="31"/>
      <c r="O315" s="9"/>
      <c r="P315" s="9" t="str">
        <f t="shared" si="1126"/>
        <v/>
      </c>
      <c r="Q315" s="9"/>
      <c r="R315" s="30">
        <f t="shared" ref="R315" si="1163">Q315*$L315</f>
        <v>0</v>
      </c>
      <c r="S315" s="9"/>
      <c r="T315" s="30">
        <f t="shared" ref="T315" si="1164">S315*$L315</f>
        <v>0</v>
      </c>
      <c r="U315" s="9"/>
      <c r="V315" s="30">
        <f t="shared" si="943"/>
        <v>0</v>
      </c>
      <c r="W315" s="9"/>
      <c r="X315" s="30">
        <f t="shared" si="944"/>
        <v>0</v>
      </c>
      <c r="Y315" s="9"/>
      <c r="Z315" s="30">
        <f t="shared" si="945"/>
        <v>0</v>
      </c>
      <c r="AA315" s="9"/>
      <c r="AB315" s="30">
        <f t="shared" si="946"/>
        <v>0</v>
      </c>
      <c r="AC315" s="9"/>
      <c r="AD315" s="30">
        <f t="shared" si="947"/>
        <v>0</v>
      </c>
      <c r="AE315" s="9"/>
      <c r="AF315" s="30">
        <f t="shared" si="948"/>
        <v>0</v>
      </c>
      <c r="AG315" s="9"/>
      <c r="AH315" s="30">
        <f t="shared" si="949"/>
        <v>0</v>
      </c>
      <c r="AI315" s="9"/>
      <c r="AJ315" s="30">
        <f t="shared" ref="AJ315" si="1165">AI315*$L315</f>
        <v>0</v>
      </c>
      <c r="AK315" s="9">
        <v>7127</v>
      </c>
      <c r="AL315" s="30">
        <v>17817</v>
      </c>
      <c r="AM315" s="9"/>
      <c r="AN315" s="30">
        <f t="shared" si="952"/>
        <v>0</v>
      </c>
      <c r="AO315" s="9"/>
      <c r="AP315" s="30">
        <f t="shared" si="953"/>
        <v>0</v>
      </c>
      <c r="AQ315" s="9"/>
      <c r="AR315" s="30">
        <f t="shared" si="954"/>
        <v>0</v>
      </c>
      <c r="AS315" s="9"/>
      <c r="AT315" s="30">
        <f t="shared" si="955"/>
        <v>0</v>
      </c>
      <c r="AU315" s="9"/>
      <c r="AV315" s="30">
        <f t="shared" si="956"/>
        <v>0</v>
      </c>
      <c r="AW315" s="9"/>
      <c r="AX315" s="30">
        <f t="shared" si="957"/>
        <v>0</v>
      </c>
      <c r="AY315" s="9"/>
      <c r="AZ315" s="30">
        <f t="shared" si="958"/>
        <v>0</v>
      </c>
      <c r="BA315" s="10">
        <v>7127</v>
      </c>
      <c r="BB315" s="31">
        <v>17817</v>
      </c>
      <c r="BC315" s="15">
        <f t="shared" si="1130"/>
        <v>17817</v>
      </c>
      <c r="BD315" s="9">
        <f t="shared" si="1131"/>
        <v>0</v>
      </c>
      <c r="BE315" s="28">
        <f t="shared" si="1132"/>
        <v>7127</v>
      </c>
      <c r="BF315" s="8">
        <f t="shared" si="1133"/>
        <v>0</v>
      </c>
      <c r="BG315" s="29">
        <f t="shared" si="1134"/>
        <v>17817.5</v>
      </c>
      <c r="BH315" s="13">
        <f t="shared" si="1135"/>
        <v>-0.5</v>
      </c>
      <c r="BI315" s="2" t="str">
        <f t="shared" si="1136"/>
        <v>erreur de calcul</v>
      </c>
      <c r="BJ315" s="2"/>
    </row>
    <row r="316" spans="1:62">
      <c r="A316" s="1" t="s">
        <v>12</v>
      </c>
      <c r="B316" s="3" t="s">
        <v>23</v>
      </c>
      <c r="C316" s="3" t="s">
        <v>45</v>
      </c>
      <c r="D316" s="4">
        <v>1789</v>
      </c>
      <c r="E316" s="3" t="s">
        <v>49</v>
      </c>
      <c r="F316" s="3" t="s">
        <v>49</v>
      </c>
      <c r="G316" s="31">
        <v>26</v>
      </c>
      <c r="H316" s="31" t="s">
        <v>389</v>
      </c>
      <c r="I316" s="5">
        <v>6</v>
      </c>
      <c r="J316" s="5">
        <v>10</v>
      </c>
      <c r="K316" s="6"/>
      <c r="L316" s="11">
        <f t="shared" si="1125"/>
        <v>6.5</v>
      </c>
      <c r="M316" s="7" t="s">
        <v>14</v>
      </c>
      <c r="N316" s="31"/>
      <c r="O316" s="9"/>
      <c r="P316" s="9" t="str">
        <f t="shared" si="1126"/>
        <v/>
      </c>
      <c r="Q316" s="9"/>
      <c r="R316" s="30">
        <f t="shared" ref="R316" si="1166">Q316*$L316</f>
        <v>0</v>
      </c>
      <c r="S316" s="9"/>
      <c r="T316" s="30">
        <f t="shared" ref="T316" si="1167">S316*$L316</f>
        <v>0</v>
      </c>
      <c r="U316" s="9"/>
      <c r="V316" s="30">
        <f t="shared" si="943"/>
        <v>0</v>
      </c>
      <c r="W316" s="9"/>
      <c r="X316" s="30">
        <f t="shared" si="944"/>
        <v>0</v>
      </c>
      <c r="Y316" s="9">
        <f>22000/100</f>
        <v>220</v>
      </c>
      <c r="Z316" s="30">
        <v>1430</v>
      </c>
      <c r="AA316" s="9"/>
      <c r="AB316" s="30">
        <f t="shared" si="946"/>
        <v>0</v>
      </c>
      <c r="AC316" s="9">
        <f>3575715/100</f>
        <v>35757.15</v>
      </c>
      <c r="AD316" s="32">
        <v>214543</v>
      </c>
      <c r="AE316" s="9"/>
      <c r="AF316" s="30">
        <f t="shared" si="948"/>
        <v>0</v>
      </c>
      <c r="AG316" s="9"/>
      <c r="AH316" s="30">
        <f t="shared" si="949"/>
        <v>0</v>
      </c>
      <c r="AI316" s="9"/>
      <c r="AJ316" s="30">
        <f t="shared" ref="AJ316" si="1168">AI316*$L316</f>
        <v>0</v>
      </c>
      <c r="AK316" s="9"/>
      <c r="AL316" s="30">
        <f t="shared" ref="AL316" si="1169">AK316*$L316</f>
        <v>0</v>
      </c>
      <c r="AM316" s="9"/>
      <c r="AN316" s="30">
        <f t="shared" si="952"/>
        <v>0</v>
      </c>
      <c r="AO316" s="9"/>
      <c r="AP316" s="30">
        <f t="shared" si="953"/>
        <v>0</v>
      </c>
      <c r="AQ316" s="9"/>
      <c r="AR316" s="30">
        <f t="shared" si="954"/>
        <v>0</v>
      </c>
      <c r="AS316" s="9"/>
      <c r="AT316" s="30">
        <f t="shared" si="955"/>
        <v>0</v>
      </c>
      <c r="AU316" s="9"/>
      <c r="AV316" s="30">
        <f t="shared" si="956"/>
        <v>0</v>
      </c>
      <c r="AW316" s="9"/>
      <c r="AX316" s="30">
        <f t="shared" si="957"/>
        <v>0</v>
      </c>
      <c r="AY316" s="9"/>
      <c r="AZ316" s="30">
        <f t="shared" si="958"/>
        <v>0</v>
      </c>
      <c r="BA316" s="10">
        <f>3597715/100</f>
        <v>35977.15</v>
      </c>
      <c r="BB316" s="31">
        <v>215973</v>
      </c>
      <c r="BC316" s="15">
        <f t="shared" si="1130"/>
        <v>215973</v>
      </c>
      <c r="BD316" s="9">
        <f t="shared" si="1131"/>
        <v>0</v>
      </c>
      <c r="BE316" s="28">
        <f t="shared" si="1132"/>
        <v>35977.15</v>
      </c>
      <c r="BF316" s="8">
        <f t="shared" si="1133"/>
        <v>0</v>
      </c>
      <c r="BG316" s="29">
        <f t="shared" si="1134"/>
        <v>233851.47500000001</v>
      </c>
      <c r="BH316" s="13">
        <f t="shared" si="1135"/>
        <v>-17878.475000000006</v>
      </c>
      <c r="BI316" s="2" t="str">
        <f t="shared" si="1136"/>
        <v>erreur de calcul</v>
      </c>
      <c r="BJ316" s="2"/>
    </row>
    <row r="317" spans="1:62">
      <c r="A317" s="1" t="s">
        <v>12</v>
      </c>
      <c r="B317" s="3" t="s">
        <v>23</v>
      </c>
      <c r="C317" s="3" t="s">
        <v>45</v>
      </c>
      <c r="D317" s="4">
        <v>1789</v>
      </c>
      <c r="E317" s="3" t="s">
        <v>49</v>
      </c>
      <c r="F317" s="3" t="s">
        <v>49</v>
      </c>
      <c r="G317" s="31">
        <v>26</v>
      </c>
      <c r="H317" s="31" t="s">
        <v>390</v>
      </c>
      <c r="I317" s="5">
        <v>11</v>
      </c>
      <c r="J317" s="5"/>
      <c r="K317" s="6"/>
      <c r="L317" s="11">
        <f t="shared" si="1125"/>
        <v>11</v>
      </c>
      <c r="M317" s="7" t="s">
        <v>14</v>
      </c>
      <c r="N317" s="31"/>
      <c r="O317" s="9"/>
      <c r="P317" s="9" t="str">
        <f t="shared" si="1126"/>
        <v/>
      </c>
      <c r="Q317" s="9">
        <f>166667/100</f>
        <v>1666.67</v>
      </c>
      <c r="R317" s="30">
        <v>18333</v>
      </c>
      <c r="S317" s="9"/>
      <c r="T317" s="30">
        <f t="shared" ref="T317" si="1170">S317*$L317</f>
        <v>0</v>
      </c>
      <c r="U317" s="9"/>
      <c r="V317" s="30">
        <f t="shared" si="943"/>
        <v>0</v>
      </c>
      <c r="W317" s="9"/>
      <c r="X317" s="30">
        <f t="shared" si="944"/>
        <v>0</v>
      </c>
      <c r="Y317" s="9"/>
      <c r="Z317" s="30">
        <f t="shared" si="945"/>
        <v>0</v>
      </c>
      <c r="AA317" s="9"/>
      <c r="AB317" s="30">
        <f t="shared" si="946"/>
        <v>0</v>
      </c>
      <c r="AC317" s="9">
        <f>3312/100</f>
        <v>33.119999999999997</v>
      </c>
      <c r="AD317" s="30">
        <v>364</v>
      </c>
      <c r="AE317" s="9"/>
      <c r="AF317" s="30">
        <f t="shared" si="948"/>
        <v>0</v>
      </c>
      <c r="AG317" s="9"/>
      <c r="AH317" s="30">
        <f t="shared" si="949"/>
        <v>0</v>
      </c>
      <c r="AI317" s="9"/>
      <c r="AJ317" s="30">
        <f t="shared" ref="AJ317" si="1171">AI317*$L317</f>
        <v>0</v>
      </c>
      <c r="AK317" s="9"/>
      <c r="AL317" s="30">
        <f t="shared" ref="AL317" si="1172">AK317*$L317</f>
        <v>0</v>
      </c>
      <c r="AM317" s="9"/>
      <c r="AN317" s="30">
        <f t="shared" si="952"/>
        <v>0</v>
      </c>
      <c r="AO317" s="9"/>
      <c r="AP317" s="30">
        <f t="shared" si="953"/>
        <v>0</v>
      </c>
      <c r="AQ317" s="9"/>
      <c r="AR317" s="30">
        <f t="shared" si="954"/>
        <v>0</v>
      </c>
      <c r="AS317" s="9"/>
      <c r="AT317" s="30">
        <f t="shared" si="955"/>
        <v>0</v>
      </c>
      <c r="AU317" s="9"/>
      <c r="AV317" s="30">
        <f t="shared" si="956"/>
        <v>0</v>
      </c>
      <c r="AW317" s="9"/>
      <c r="AX317" s="30">
        <f t="shared" si="957"/>
        <v>0</v>
      </c>
      <c r="AY317" s="9"/>
      <c r="AZ317" s="30">
        <f t="shared" si="958"/>
        <v>0</v>
      </c>
      <c r="BA317" s="10">
        <f>169979/100</f>
        <v>1699.79</v>
      </c>
      <c r="BB317" s="31">
        <v>18697</v>
      </c>
      <c r="BC317" s="15">
        <f t="shared" si="1130"/>
        <v>18697</v>
      </c>
      <c r="BD317" s="9">
        <f t="shared" si="1131"/>
        <v>0</v>
      </c>
      <c r="BE317" s="28">
        <f t="shared" si="1132"/>
        <v>1699.79</v>
      </c>
      <c r="BF317" s="8">
        <f t="shared" si="1133"/>
        <v>0</v>
      </c>
      <c r="BG317" s="29">
        <f t="shared" si="1134"/>
        <v>18697.689999999999</v>
      </c>
      <c r="BH317" s="13">
        <f t="shared" si="1135"/>
        <v>-0.68999999999869033</v>
      </c>
      <c r="BI317" s="2" t="str">
        <f t="shared" si="1136"/>
        <v>erreur de calcul</v>
      </c>
      <c r="BJ317" s="2"/>
    </row>
    <row r="318" spans="1:62">
      <c r="A318" s="1" t="s">
        <v>12</v>
      </c>
      <c r="B318" s="3" t="s">
        <v>23</v>
      </c>
      <c r="C318" s="3" t="s">
        <v>45</v>
      </c>
      <c r="D318" s="4">
        <v>1789</v>
      </c>
      <c r="E318" s="3" t="s">
        <v>49</v>
      </c>
      <c r="F318" s="3" t="s">
        <v>49</v>
      </c>
      <c r="G318" s="31">
        <v>26</v>
      </c>
      <c r="H318" s="31" t="s">
        <v>391</v>
      </c>
      <c r="I318" s="5">
        <v>18</v>
      </c>
      <c r="J318" s="5"/>
      <c r="K318" s="6"/>
      <c r="L318" s="11">
        <f t="shared" si="1125"/>
        <v>18</v>
      </c>
      <c r="M318" s="7" t="s">
        <v>15</v>
      </c>
      <c r="N318" s="31"/>
      <c r="O318" s="9"/>
      <c r="P318" s="9" t="str">
        <f t="shared" si="1126"/>
        <v/>
      </c>
      <c r="Q318" s="9"/>
      <c r="R318" s="30">
        <f t="shared" ref="R318" si="1173">Q318*$L318</f>
        <v>0</v>
      </c>
      <c r="S318" s="9"/>
      <c r="T318" s="30">
        <f t="shared" ref="T318" si="1174">S318*$L318</f>
        <v>0</v>
      </c>
      <c r="U318" s="9"/>
      <c r="V318" s="30">
        <f t="shared" si="943"/>
        <v>0</v>
      </c>
      <c r="W318" s="9"/>
      <c r="X318" s="30">
        <f t="shared" si="944"/>
        <v>0</v>
      </c>
      <c r="Y318" s="9"/>
      <c r="Z318" s="30">
        <f t="shared" si="945"/>
        <v>0</v>
      </c>
      <c r="AA318" s="9"/>
      <c r="AB318" s="30">
        <f t="shared" si="946"/>
        <v>0</v>
      </c>
      <c r="AC318" s="9"/>
      <c r="AD318" s="30">
        <f t="shared" si="947"/>
        <v>0</v>
      </c>
      <c r="AE318" s="9"/>
      <c r="AF318" s="30">
        <f t="shared" si="948"/>
        <v>0</v>
      </c>
      <c r="AG318" s="9"/>
      <c r="AH318" s="30">
        <f t="shared" si="949"/>
        <v>0</v>
      </c>
      <c r="AI318" s="9">
        <v>72036</v>
      </c>
      <c r="AJ318" s="30">
        <v>1296648</v>
      </c>
      <c r="AK318" s="9"/>
      <c r="AL318" s="30">
        <f t="shared" ref="AL318" si="1175">AK318*$L318</f>
        <v>0</v>
      </c>
      <c r="AM318" s="9"/>
      <c r="AN318" s="30">
        <f t="shared" si="952"/>
        <v>0</v>
      </c>
      <c r="AO318" s="9"/>
      <c r="AP318" s="30">
        <f t="shared" si="953"/>
        <v>0</v>
      </c>
      <c r="AQ318" s="9"/>
      <c r="AR318" s="30">
        <f t="shared" si="954"/>
        <v>0</v>
      </c>
      <c r="AS318" s="9"/>
      <c r="AT318" s="30">
        <f t="shared" si="955"/>
        <v>0</v>
      </c>
      <c r="AU318" s="9"/>
      <c r="AV318" s="30">
        <f t="shared" si="956"/>
        <v>0</v>
      </c>
      <c r="AW318" s="9"/>
      <c r="AX318" s="30">
        <f t="shared" si="957"/>
        <v>0</v>
      </c>
      <c r="AY318" s="9"/>
      <c r="AZ318" s="30">
        <f t="shared" si="958"/>
        <v>0</v>
      </c>
      <c r="BA318" s="10">
        <v>72036</v>
      </c>
      <c r="BB318" s="31">
        <v>1296648</v>
      </c>
      <c r="BC318" s="15">
        <f t="shared" si="1130"/>
        <v>1296648</v>
      </c>
      <c r="BD318" s="9">
        <f t="shared" si="1131"/>
        <v>0</v>
      </c>
      <c r="BE318" s="28">
        <f t="shared" si="1132"/>
        <v>72036</v>
      </c>
      <c r="BF318" s="8">
        <f t="shared" si="1133"/>
        <v>0</v>
      </c>
      <c r="BG318" s="29">
        <f t="shared" si="1134"/>
        <v>1296648</v>
      </c>
      <c r="BH318" s="13">
        <f t="shared" si="1135"/>
        <v>0</v>
      </c>
      <c r="BI318" s="2" t="str">
        <f t="shared" si="1136"/>
        <v/>
      </c>
      <c r="BJ318" s="2"/>
    </row>
    <row r="319" spans="1:62">
      <c r="A319" s="1" t="s">
        <v>12</v>
      </c>
      <c r="B319" s="3" t="s">
        <v>23</v>
      </c>
      <c r="C319" s="3" t="s">
        <v>45</v>
      </c>
      <c r="D319" s="4">
        <v>1789</v>
      </c>
      <c r="E319" s="3" t="s">
        <v>49</v>
      </c>
      <c r="F319" s="3" t="s">
        <v>49</v>
      </c>
      <c r="G319" s="31">
        <v>26</v>
      </c>
      <c r="H319" s="31" t="s">
        <v>392</v>
      </c>
      <c r="I319" s="5">
        <v>19</v>
      </c>
      <c r="J319" s="5"/>
      <c r="K319" s="6"/>
      <c r="L319" s="11">
        <f t="shared" si="1125"/>
        <v>19</v>
      </c>
      <c r="M319" s="7" t="s">
        <v>15</v>
      </c>
      <c r="N319" s="31"/>
      <c r="O319" s="9"/>
      <c r="P319" s="9" t="str">
        <f t="shared" si="1126"/>
        <v/>
      </c>
      <c r="Q319" s="9"/>
      <c r="R319" s="30">
        <f t="shared" ref="R319" si="1176">Q319*$L319</f>
        <v>0</v>
      </c>
      <c r="S319" s="9"/>
      <c r="T319" s="30">
        <f t="shared" ref="T319" si="1177">S319*$L319</f>
        <v>0</v>
      </c>
      <c r="U319" s="9"/>
      <c r="V319" s="30">
        <f t="shared" si="943"/>
        <v>0</v>
      </c>
      <c r="W319" s="9"/>
      <c r="X319" s="30">
        <f t="shared" si="944"/>
        <v>0</v>
      </c>
      <c r="Y319" s="9"/>
      <c r="Z319" s="30">
        <f t="shared" si="945"/>
        <v>0</v>
      </c>
      <c r="AA319" s="9"/>
      <c r="AB319" s="30">
        <f t="shared" si="946"/>
        <v>0</v>
      </c>
      <c r="AC319" s="9">
        <v>1176</v>
      </c>
      <c r="AD319" s="30">
        <v>22344</v>
      </c>
      <c r="AE319" s="9"/>
      <c r="AF319" s="30">
        <f t="shared" si="948"/>
        <v>0</v>
      </c>
      <c r="AG319" s="9"/>
      <c r="AH319" s="30">
        <f t="shared" si="949"/>
        <v>0</v>
      </c>
      <c r="AI319" s="9"/>
      <c r="AJ319" s="30">
        <f t="shared" ref="AJ319" si="1178">AI319*$L319</f>
        <v>0</v>
      </c>
      <c r="AK319" s="9"/>
      <c r="AL319" s="30">
        <f t="shared" ref="AL319" si="1179">AK319*$L319</f>
        <v>0</v>
      </c>
      <c r="AM319" s="9"/>
      <c r="AN319" s="30">
        <f t="shared" si="952"/>
        <v>0</v>
      </c>
      <c r="AO319" s="9"/>
      <c r="AP319" s="30">
        <f t="shared" si="953"/>
        <v>0</v>
      </c>
      <c r="AQ319" s="9"/>
      <c r="AR319" s="30">
        <f t="shared" si="954"/>
        <v>0</v>
      </c>
      <c r="AS319" s="9"/>
      <c r="AT319" s="30">
        <f t="shared" si="955"/>
        <v>0</v>
      </c>
      <c r="AU319" s="9"/>
      <c r="AV319" s="30">
        <f t="shared" si="956"/>
        <v>0</v>
      </c>
      <c r="AW319" s="9"/>
      <c r="AX319" s="30">
        <f t="shared" si="957"/>
        <v>0</v>
      </c>
      <c r="AY319" s="9"/>
      <c r="AZ319" s="30">
        <f t="shared" si="958"/>
        <v>0</v>
      </c>
      <c r="BA319" s="10">
        <v>1176</v>
      </c>
      <c r="BB319" s="31">
        <v>22344</v>
      </c>
      <c r="BC319" s="15">
        <f t="shared" si="1130"/>
        <v>22344</v>
      </c>
      <c r="BD319" s="9">
        <f t="shared" si="1131"/>
        <v>0</v>
      </c>
      <c r="BE319" s="28">
        <f t="shared" si="1132"/>
        <v>1176</v>
      </c>
      <c r="BF319" s="8">
        <f t="shared" si="1133"/>
        <v>0</v>
      </c>
      <c r="BG319" s="29">
        <f t="shared" si="1134"/>
        <v>22344</v>
      </c>
      <c r="BH319" s="13">
        <f t="shared" si="1135"/>
        <v>0</v>
      </c>
      <c r="BI319" s="2" t="str">
        <f t="shared" si="1136"/>
        <v/>
      </c>
      <c r="BJ319" s="2"/>
    </row>
    <row r="320" spans="1:62">
      <c r="A320" s="1" t="s">
        <v>12</v>
      </c>
      <c r="B320" s="3" t="s">
        <v>23</v>
      </c>
      <c r="C320" s="3" t="s">
        <v>45</v>
      </c>
      <c r="D320" s="4">
        <v>1789</v>
      </c>
      <c r="E320" s="3" t="s">
        <v>49</v>
      </c>
      <c r="F320" s="3" t="s">
        <v>49</v>
      </c>
      <c r="G320" s="31">
        <v>26</v>
      </c>
      <c r="H320" s="31" t="s">
        <v>393</v>
      </c>
      <c r="I320" s="5">
        <v>20</v>
      </c>
      <c r="J320" s="5"/>
      <c r="K320" s="6"/>
      <c r="L320" s="11">
        <f t="shared" si="1125"/>
        <v>20</v>
      </c>
      <c r="M320" s="7" t="s">
        <v>15</v>
      </c>
      <c r="N320" s="31"/>
      <c r="O320" s="9"/>
      <c r="P320" s="9" t="str">
        <f t="shared" si="1126"/>
        <v/>
      </c>
      <c r="Q320" s="9"/>
      <c r="R320" s="30">
        <f t="shared" ref="R320" si="1180">Q320*$L320</f>
        <v>0</v>
      </c>
      <c r="S320" s="9"/>
      <c r="T320" s="30">
        <f t="shared" ref="T320" si="1181">S320*$L320</f>
        <v>0</v>
      </c>
      <c r="U320" s="9">
        <v>7478</v>
      </c>
      <c r="V320" s="30">
        <v>149560</v>
      </c>
      <c r="W320" s="9">
        <v>3386</v>
      </c>
      <c r="X320" s="32">
        <v>66720</v>
      </c>
      <c r="Y320" s="9">
        <v>2233</v>
      </c>
      <c r="Z320" s="30">
        <v>44660</v>
      </c>
      <c r="AA320" s="9">
        <v>867</v>
      </c>
      <c r="AB320" s="30">
        <v>17340</v>
      </c>
      <c r="AC320" s="9">
        <v>32380</v>
      </c>
      <c r="AD320" s="30">
        <v>647600</v>
      </c>
      <c r="AE320" s="9"/>
      <c r="AF320" s="30">
        <f t="shared" si="948"/>
        <v>0</v>
      </c>
      <c r="AG320" s="9"/>
      <c r="AH320" s="30">
        <f t="shared" si="949"/>
        <v>0</v>
      </c>
      <c r="AI320" s="9">
        <v>12038</v>
      </c>
      <c r="AJ320" s="30">
        <v>240760</v>
      </c>
      <c r="AK320" s="9"/>
      <c r="AL320" s="30">
        <f t="shared" ref="AL320" si="1182">AK320*$L320</f>
        <v>0</v>
      </c>
      <c r="AM320" s="9"/>
      <c r="AN320" s="30">
        <f t="shared" si="952"/>
        <v>0</v>
      </c>
      <c r="AO320" s="9"/>
      <c r="AP320" s="30">
        <f t="shared" si="953"/>
        <v>0</v>
      </c>
      <c r="AQ320" s="9"/>
      <c r="AR320" s="30">
        <f t="shared" si="954"/>
        <v>0</v>
      </c>
      <c r="AS320" s="9"/>
      <c r="AT320" s="30">
        <f t="shared" si="955"/>
        <v>0</v>
      </c>
      <c r="AU320" s="9"/>
      <c r="AV320" s="30">
        <f t="shared" si="956"/>
        <v>0</v>
      </c>
      <c r="AW320" s="9"/>
      <c r="AX320" s="30">
        <f t="shared" si="957"/>
        <v>0</v>
      </c>
      <c r="AY320" s="9"/>
      <c r="AZ320" s="30">
        <f t="shared" si="958"/>
        <v>0</v>
      </c>
      <c r="BA320" s="10">
        <v>58382</v>
      </c>
      <c r="BB320" s="31">
        <v>1166640</v>
      </c>
      <c r="BC320" s="15">
        <f t="shared" si="1130"/>
        <v>1166640</v>
      </c>
      <c r="BD320" s="9">
        <f t="shared" si="1131"/>
        <v>0</v>
      </c>
      <c r="BE320" s="28">
        <f t="shared" si="1132"/>
        <v>58382</v>
      </c>
      <c r="BF320" s="8">
        <f t="shared" si="1133"/>
        <v>0</v>
      </c>
      <c r="BG320" s="29">
        <f t="shared" si="1134"/>
        <v>1167640</v>
      </c>
      <c r="BH320" s="13">
        <f t="shared" si="1135"/>
        <v>-1000</v>
      </c>
      <c r="BI320" s="2" t="str">
        <f t="shared" si="1136"/>
        <v>erreur de calcul</v>
      </c>
      <c r="BJ320" s="2"/>
    </row>
    <row r="321" spans="1:62">
      <c r="A321" s="1" t="s">
        <v>12</v>
      </c>
      <c r="B321" s="3" t="s">
        <v>23</v>
      </c>
      <c r="C321" s="3" t="s">
        <v>45</v>
      </c>
      <c r="D321" s="4">
        <v>1789</v>
      </c>
      <c r="E321" s="3" t="s">
        <v>49</v>
      </c>
      <c r="F321" s="3" t="s">
        <v>49</v>
      </c>
      <c r="G321" s="31">
        <v>26</v>
      </c>
      <c r="H321" s="31" t="s">
        <v>394</v>
      </c>
      <c r="I321" s="5">
        <v>17</v>
      </c>
      <c r="J321" s="5"/>
      <c r="K321" s="6"/>
      <c r="L321" s="11">
        <f t="shared" si="1125"/>
        <v>17</v>
      </c>
      <c r="M321" s="7" t="s">
        <v>15</v>
      </c>
      <c r="N321" s="31"/>
      <c r="O321" s="9"/>
      <c r="P321" s="9" t="str">
        <f t="shared" si="1126"/>
        <v/>
      </c>
      <c r="Q321" s="9"/>
      <c r="R321" s="30">
        <f t="shared" ref="R321" si="1183">Q321*$L321</f>
        <v>0</v>
      </c>
      <c r="S321" s="9"/>
      <c r="T321" s="30">
        <f t="shared" ref="T321" si="1184">S321*$L321</f>
        <v>0</v>
      </c>
      <c r="U321" s="9">
        <v>126481</v>
      </c>
      <c r="V321" s="30">
        <v>2150177</v>
      </c>
      <c r="W321" s="9"/>
      <c r="X321" s="30">
        <f t="shared" si="944"/>
        <v>0</v>
      </c>
      <c r="Y321" s="9"/>
      <c r="Z321" s="30">
        <f t="shared" si="945"/>
        <v>0</v>
      </c>
      <c r="AA321" s="9"/>
      <c r="AB321" s="30">
        <f t="shared" si="946"/>
        <v>0</v>
      </c>
      <c r="AC321" s="9"/>
      <c r="AD321" s="30">
        <f t="shared" si="947"/>
        <v>0</v>
      </c>
      <c r="AE321" s="9"/>
      <c r="AF321" s="30">
        <f t="shared" si="948"/>
        <v>0</v>
      </c>
      <c r="AG321" s="9"/>
      <c r="AH321" s="30">
        <f t="shared" si="949"/>
        <v>0</v>
      </c>
      <c r="AI321" s="9"/>
      <c r="AJ321" s="30">
        <f t="shared" ref="AJ321" si="1185">AI321*$L321</f>
        <v>0</v>
      </c>
      <c r="AK321" s="9"/>
      <c r="AL321" s="30">
        <f t="shared" ref="AL321" si="1186">AK321*$L321</f>
        <v>0</v>
      </c>
      <c r="AM321" s="9"/>
      <c r="AN321" s="30">
        <f t="shared" si="952"/>
        <v>0</v>
      </c>
      <c r="AO321" s="9"/>
      <c r="AP321" s="30">
        <f t="shared" si="953"/>
        <v>0</v>
      </c>
      <c r="AQ321" s="9"/>
      <c r="AR321" s="30">
        <f t="shared" si="954"/>
        <v>0</v>
      </c>
      <c r="AS321" s="9"/>
      <c r="AT321" s="30">
        <f t="shared" si="955"/>
        <v>0</v>
      </c>
      <c r="AU321" s="9"/>
      <c r="AV321" s="30">
        <f t="shared" si="956"/>
        <v>0</v>
      </c>
      <c r="AW321" s="9"/>
      <c r="AX321" s="30">
        <f t="shared" si="957"/>
        <v>0</v>
      </c>
      <c r="AY321" s="9"/>
      <c r="AZ321" s="30">
        <f t="shared" si="958"/>
        <v>0</v>
      </c>
      <c r="BA321" s="10">
        <v>126481</v>
      </c>
      <c r="BB321" s="31">
        <v>2150177</v>
      </c>
      <c r="BC321" s="15">
        <f t="shared" si="1130"/>
        <v>2150177</v>
      </c>
      <c r="BD321" s="9">
        <f t="shared" si="1131"/>
        <v>0</v>
      </c>
      <c r="BE321" s="28">
        <f t="shared" si="1132"/>
        <v>126481</v>
      </c>
      <c r="BF321" s="8">
        <f t="shared" si="1133"/>
        <v>0</v>
      </c>
      <c r="BG321" s="29">
        <f t="shared" si="1134"/>
        <v>2150177</v>
      </c>
      <c r="BH321" s="13">
        <f t="shared" si="1135"/>
        <v>0</v>
      </c>
      <c r="BI321" s="2" t="str">
        <f t="shared" si="1136"/>
        <v/>
      </c>
      <c r="BJ321" s="2"/>
    </row>
    <row r="322" spans="1:62">
      <c r="A322" s="1" t="s">
        <v>12</v>
      </c>
      <c r="B322" s="3" t="s">
        <v>23</v>
      </c>
      <c r="C322" s="3" t="s">
        <v>45</v>
      </c>
      <c r="D322" s="4">
        <v>1789</v>
      </c>
      <c r="E322" s="3" t="s">
        <v>49</v>
      </c>
      <c r="F322" s="3" t="s">
        <v>49</v>
      </c>
      <c r="G322" s="31">
        <v>26</v>
      </c>
      <c r="H322" s="31" t="s">
        <v>395</v>
      </c>
      <c r="I322" s="5">
        <v>28</v>
      </c>
      <c r="J322" s="5"/>
      <c r="K322" s="6"/>
      <c r="L322" s="11">
        <f t="shared" si="1125"/>
        <v>28</v>
      </c>
      <c r="M322" s="7" t="s">
        <v>15</v>
      </c>
      <c r="N322" s="31"/>
      <c r="O322" s="9"/>
      <c r="P322" s="9" t="str">
        <f t="shared" si="1126"/>
        <v/>
      </c>
      <c r="Q322" s="9"/>
      <c r="R322" s="30">
        <f t="shared" ref="R322" si="1187">Q322*$L322</f>
        <v>0</v>
      </c>
      <c r="S322" s="9"/>
      <c r="T322" s="30">
        <f t="shared" ref="T322" si="1188">S322*$L322</f>
        <v>0</v>
      </c>
      <c r="U322" s="9"/>
      <c r="V322" s="30">
        <f t="shared" si="943"/>
        <v>0</v>
      </c>
      <c r="W322" s="9">
        <v>1923</v>
      </c>
      <c r="X322" s="30">
        <v>53844</v>
      </c>
      <c r="Y322" s="9">
        <v>7280</v>
      </c>
      <c r="Z322" s="32">
        <v>203860</v>
      </c>
      <c r="AA322" s="9"/>
      <c r="AB322" s="30">
        <f t="shared" si="946"/>
        <v>0</v>
      </c>
      <c r="AC322" s="9">
        <v>128803</v>
      </c>
      <c r="AD322" s="30">
        <v>3606484</v>
      </c>
      <c r="AE322" s="9"/>
      <c r="AF322" s="30">
        <f t="shared" si="948"/>
        <v>0</v>
      </c>
      <c r="AG322" s="9"/>
      <c r="AH322" s="30">
        <f t="shared" si="949"/>
        <v>0</v>
      </c>
      <c r="AI322" s="9"/>
      <c r="AJ322" s="30">
        <f t="shared" ref="AJ322" si="1189">AI322*$L322</f>
        <v>0</v>
      </c>
      <c r="AK322" s="9"/>
      <c r="AL322" s="30">
        <f t="shared" ref="AL322" si="1190">AK322*$L322</f>
        <v>0</v>
      </c>
      <c r="AM322" s="9"/>
      <c r="AN322" s="30">
        <f t="shared" si="952"/>
        <v>0</v>
      </c>
      <c r="AO322" s="9"/>
      <c r="AP322" s="30">
        <f t="shared" si="953"/>
        <v>0</v>
      </c>
      <c r="AQ322" s="9"/>
      <c r="AR322" s="30">
        <f t="shared" si="954"/>
        <v>0</v>
      </c>
      <c r="AS322" s="9"/>
      <c r="AT322" s="30">
        <f t="shared" si="955"/>
        <v>0</v>
      </c>
      <c r="AU322" s="9"/>
      <c r="AV322" s="30">
        <f t="shared" si="956"/>
        <v>0</v>
      </c>
      <c r="AW322" s="9"/>
      <c r="AX322" s="30">
        <f t="shared" si="957"/>
        <v>0</v>
      </c>
      <c r="AY322" s="9"/>
      <c r="AZ322" s="30">
        <f t="shared" si="958"/>
        <v>0</v>
      </c>
      <c r="BA322" s="10">
        <v>138006</v>
      </c>
      <c r="BB322" s="31">
        <v>3864188</v>
      </c>
      <c r="BC322" s="15">
        <f t="shared" si="1130"/>
        <v>3864188</v>
      </c>
      <c r="BD322" s="9">
        <f t="shared" si="1131"/>
        <v>0</v>
      </c>
      <c r="BE322" s="28">
        <f t="shared" si="1132"/>
        <v>138006</v>
      </c>
      <c r="BF322" s="8">
        <f t="shared" si="1133"/>
        <v>0</v>
      </c>
      <c r="BG322" s="29">
        <f t="shared" si="1134"/>
        <v>3864168</v>
      </c>
      <c r="BH322" s="13">
        <f t="shared" si="1135"/>
        <v>20</v>
      </c>
      <c r="BI322" s="2" t="str">
        <f t="shared" si="1136"/>
        <v>erreur de calcul</v>
      </c>
      <c r="BJ322" s="2"/>
    </row>
    <row r="323" spans="1:62">
      <c r="A323" s="1" t="s">
        <v>12</v>
      </c>
      <c r="B323" s="3" t="s">
        <v>23</v>
      </c>
      <c r="C323" s="3" t="s">
        <v>45</v>
      </c>
      <c r="D323" s="4">
        <v>1789</v>
      </c>
      <c r="E323" s="3" t="s">
        <v>49</v>
      </c>
      <c r="F323" s="3" t="s">
        <v>49</v>
      </c>
      <c r="G323" s="31">
        <v>26</v>
      </c>
      <c r="H323" s="31" t="s">
        <v>396</v>
      </c>
      <c r="I323" s="5"/>
      <c r="J323" s="5">
        <v>30</v>
      </c>
      <c r="K323" s="6"/>
      <c r="L323" s="11">
        <f t="shared" si="1125"/>
        <v>1.5</v>
      </c>
      <c r="M323" s="7" t="s">
        <v>15</v>
      </c>
      <c r="N323" s="31"/>
      <c r="O323" s="9"/>
      <c r="P323" s="9" t="str">
        <f t="shared" si="1126"/>
        <v/>
      </c>
      <c r="Q323" s="9"/>
      <c r="R323" s="30">
        <f t="shared" ref="R323" si="1191">Q323*$L323</f>
        <v>0</v>
      </c>
      <c r="S323" s="9"/>
      <c r="T323" s="30">
        <f t="shared" ref="T323" si="1192">S323*$L323</f>
        <v>0</v>
      </c>
      <c r="U323" s="9">
        <v>11245</v>
      </c>
      <c r="V323" s="30">
        <v>16867</v>
      </c>
      <c r="W323" s="9"/>
      <c r="X323" s="30">
        <f t="shared" si="944"/>
        <v>0</v>
      </c>
      <c r="Y323" s="9"/>
      <c r="Z323" s="30">
        <f t="shared" si="945"/>
        <v>0</v>
      </c>
      <c r="AA323" s="9"/>
      <c r="AB323" s="30">
        <f t="shared" si="946"/>
        <v>0</v>
      </c>
      <c r="AC323" s="9"/>
      <c r="AD323" s="30">
        <f t="shared" si="947"/>
        <v>0</v>
      </c>
      <c r="AE323" s="9"/>
      <c r="AF323" s="30">
        <f t="shared" si="948"/>
        <v>0</v>
      </c>
      <c r="AG323" s="9"/>
      <c r="AH323" s="30">
        <f t="shared" si="949"/>
        <v>0</v>
      </c>
      <c r="AI323" s="9"/>
      <c r="AJ323" s="30">
        <f t="shared" ref="AJ323" si="1193">AI323*$L323</f>
        <v>0</v>
      </c>
      <c r="AK323" s="9"/>
      <c r="AL323" s="30">
        <f t="shared" ref="AL323" si="1194">AK323*$L323</f>
        <v>0</v>
      </c>
      <c r="AM323" s="9"/>
      <c r="AN323" s="30">
        <f t="shared" si="952"/>
        <v>0</v>
      </c>
      <c r="AO323" s="9"/>
      <c r="AP323" s="30">
        <f t="shared" si="953"/>
        <v>0</v>
      </c>
      <c r="AQ323" s="9"/>
      <c r="AR323" s="30">
        <f t="shared" si="954"/>
        <v>0</v>
      </c>
      <c r="AS323" s="9"/>
      <c r="AT323" s="30">
        <f t="shared" si="955"/>
        <v>0</v>
      </c>
      <c r="AU323" s="9"/>
      <c r="AV323" s="30">
        <f t="shared" si="956"/>
        <v>0</v>
      </c>
      <c r="AW323" s="9"/>
      <c r="AX323" s="30">
        <f t="shared" si="957"/>
        <v>0</v>
      </c>
      <c r="AY323" s="9"/>
      <c r="AZ323" s="30">
        <f t="shared" si="958"/>
        <v>0</v>
      </c>
      <c r="BA323" s="10">
        <v>11245</v>
      </c>
      <c r="BB323" s="31">
        <v>16867</v>
      </c>
      <c r="BC323" s="15">
        <f t="shared" si="1130"/>
        <v>16867</v>
      </c>
      <c r="BD323" s="9">
        <f t="shared" si="1131"/>
        <v>0</v>
      </c>
      <c r="BE323" s="28">
        <f t="shared" si="1132"/>
        <v>11245</v>
      </c>
      <c r="BF323" s="8">
        <f t="shared" si="1133"/>
        <v>0</v>
      </c>
      <c r="BG323" s="29">
        <f t="shared" si="1134"/>
        <v>16867.5</v>
      </c>
      <c r="BH323" s="13">
        <f t="shared" si="1135"/>
        <v>-0.5</v>
      </c>
      <c r="BI323" s="2" t="str">
        <f t="shared" si="1136"/>
        <v>erreur de calcul</v>
      </c>
      <c r="BJ323" s="2"/>
    </row>
    <row r="324" spans="1:62">
      <c r="A324" s="1" t="s">
        <v>12</v>
      </c>
      <c r="B324" s="3" t="s">
        <v>23</v>
      </c>
      <c r="C324" s="3" t="s">
        <v>45</v>
      </c>
      <c r="D324" s="4">
        <v>1789</v>
      </c>
      <c r="E324" s="3" t="s">
        <v>49</v>
      </c>
      <c r="F324" s="3" t="s">
        <v>49</v>
      </c>
      <c r="G324" s="31">
        <v>26</v>
      </c>
      <c r="H324" s="31" t="s">
        <v>397</v>
      </c>
      <c r="I324" s="5"/>
      <c r="J324" s="5">
        <v>40</v>
      </c>
      <c r="K324" s="6"/>
      <c r="L324" s="11">
        <f t="shared" si="1125"/>
        <v>2</v>
      </c>
      <c r="M324" s="7" t="s">
        <v>15</v>
      </c>
      <c r="N324" s="31"/>
      <c r="O324" s="9"/>
      <c r="P324" s="9" t="str">
        <f t="shared" si="1126"/>
        <v/>
      </c>
      <c r="Q324" s="9"/>
      <c r="R324" s="30">
        <f t="shared" ref="R324" si="1195">Q324*$L324</f>
        <v>0</v>
      </c>
      <c r="S324" s="9"/>
      <c r="T324" s="30">
        <f t="shared" ref="T324" si="1196">S324*$L324</f>
        <v>0</v>
      </c>
      <c r="U324" s="9"/>
      <c r="V324" s="30">
        <f t="shared" si="943"/>
        <v>0</v>
      </c>
      <c r="W324" s="9"/>
      <c r="X324" s="30">
        <f t="shared" si="944"/>
        <v>0</v>
      </c>
      <c r="Y324" s="9"/>
      <c r="Z324" s="30">
        <f t="shared" si="945"/>
        <v>0</v>
      </c>
      <c r="AA324" s="9"/>
      <c r="AB324" s="30">
        <f t="shared" si="946"/>
        <v>0</v>
      </c>
      <c r="AC324" s="9"/>
      <c r="AD324" s="30">
        <f t="shared" si="947"/>
        <v>0</v>
      </c>
      <c r="AE324" s="9"/>
      <c r="AF324" s="30">
        <f t="shared" si="948"/>
        <v>0</v>
      </c>
      <c r="AG324" s="9"/>
      <c r="AH324" s="30">
        <f t="shared" si="949"/>
        <v>0</v>
      </c>
      <c r="AI324" s="9">
        <v>9380</v>
      </c>
      <c r="AJ324" s="30">
        <v>18760</v>
      </c>
      <c r="AK324" s="9"/>
      <c r="AL324" s="30">
        <f t="shared" ref="AL324" si="1197">AK324*$L324</f>
        <v>0</v>
      </c>
      <c r="AM324" s="9"/>
      <c r="AN324" s="30">
        <f t="shared" si="952"/>
        <v>0</v>
      </c>
      <c r="AO324" s="9"/>
      <c r="AP324" s="30">
        <f t="shared" si="953"/>
        <v>0</v>
      </c>
      <c r="AQ324" s="9"/>
      <c r="AR324" s="30">
        <f t="shared" si="954"/>
        <v>0</v>
      </c>
      <c r="AS324" s="9"/>
      <c r="AT324" s="30">
        <f t="shared" si="955"/>
        <v>0</v>
      </c>
      <c r="AU324" s="9"/>
      <c r="AV324" s="30">
        <f t="shared" si="956"/>
        <v>0</v>
      </c>
      <c r="AW324" s="9"/>
      <c r="AX324" s="30">
        <f t="shared" si="957"/>
        <v>0</v>
      </c>
      <c r="AY324" s="9"/>
      <c r="AZ324" s="30">
        <f t="shared" si="958"/>
        <v>0</v>
      </c>
      <c r="BA324" s="10">
        <v>9380</v>
      </c>
      <c r="BB324" s="31">
        <v>18760</v>
      </c>
      <c r="BC324" s="15">
        <f t="shared" si="1130"/>
        <v>18760</v>
      </c>
      <c r="BD324" s="9">
        <f t="shared" si="1131"/>
        <v>0</v>
      </c>
      <c r="BE324" s="28">
        <f t="shared" si="1132"/>
        <v>9380</v>
      </c>
      <c r="BF324" s="8">
        <f t="shared" si="1133"/>
        <v>0</v>
      </c>
      <c r="BG324" s="29">
        <f t="shared" si="1134"/>
        <v>18760</v>
      </c>
      <c r="BH324" s="13">
        <f t="shared" si="1135"/>
        <v>0</v>
      </c>
      <c r="BI324" s="2" t="str">
        <f t="shared" si="1136"/>
        <v/>
      </c>
      <c r="BJ324" s="2"/>
    </row>
    <row r="325" spans="1:62">
      <c r="A325" s="1" t="s">
        <v>12</v>
      </c>
      <c r="B325" s="3" t="s">
        <v>23</v>
      </c>
      <c r="C325" s="3" t="s">
        <v>45</v>
      </c>
      <c r="D325" s="4">
        <v>1789</v>
      </c>
      <c r="E325" s="3" t="s">
        <v>49</v>
      </c>
      <c r="F325" s="3" t="s">
        <v>49</v>
      </c>
      <c r="G325" s="31">
        <v>26</v>
      </c>
      <c r="H325" s="31" t="s">
        <v>398</v>
      </c>
      <c r="I325" s="5">
        <v>55</v>
      </c>
      <c r="J325" s="5"/>
      <c r="K325" s="6"/>
      <c r="L325" s="11">
        <f t="shared" si="1125"/>
        <v>55</v>
      </c>
      <c r="M325" s="7" t="s">
        <v>14</v>
      </c>
      <c r="N325" s="31"/>
      <c r="O325" s="9"/>
      <c r="P325" s="9" t="str">
        <f t="shared" si="1126"/>
        <v/>
      </c>
      <c r="Q325" s="9">
        <f>634/100</f>
        <v>6.34</v>
      </c>
      <c r="R325" s="30">
        <v>349</v>
      </c>
      <c r="S325" s="9"/>
      <c r="T325" s="30">
        <f t="shared" ref="T325" si="1198">S325*$L325</f>
        <v>0</v>
      </c>
      <c r="U325" s="9">
        <f>2450/100</f>
        <v>24.5</v>
      </c>
      <c r="V325" s="30">
        <v>1347</v>
      </c>
      <c r="W325" s="9">
        <f>9685/100</f>
        <v>96.85</v>
      </c>
      <c r="X325" s="30">
        <v>5327</v>
      </c>
      <c r="Y325" s="9"/>
      <c r="Z325" s="30">
        <f t="shared" ref="Z325:Z351" si="1199">Y325*$L325</f>
        <v>0</v>
      </c>
      <c r="AA325" s="9"/>
      <c r="AB325" s="30">
        <f t="shared" ref="AB325:AB351" si="1200">AA325*$L325</f>
        <v>0</v>
      </c>
      <c r="AC325" s="9"/>
      <c r="AD325" s="30">
        <f t="shared" ref="AD325:AD351" si="1201">AC325*$L325</f>
        <v>0</v>
      </c>
      <c r="AE325" s="9"/>
      <c r="AF325" s="30">
        <f t="shared" ref="AF325:AF351" si="1202">AE325*$L325</f>
        <v>0</v>
      </c>
      <c r="AG325" s="9"/>
      <c r="AH325" s="30">
        <f t="shared" ref="AH325:AH351" si="1203">AG325*$L325</f>
        <v>0</v>
      </c>
      <c r="AI325" s="9"/>
      <c r="AJ325" s="30">
        <f t="shared" ref="AJ325" si="1204">AI325*$L325</f>
        <v>0</v>
      </c>
      <c r="AK325" s="9"/>
      <c r="AL325" s="30">
        <f t="shared" ref="AL325" si="1205">AK325*$L325</f>
        <v>0</v>
      </c>
      <c r="AM325" s="9"/>
      <c r="AN325" s="30">
        <f t="shared" ref="AN325:AN351" si="1206">AM325*$L325</f>
        <v>0</v>
      </c>
      <c r="AO325" s="9"/>
      <c r="AP325" s="30">
        <f t="shared" ref="AP325:AP351" si="1207">AO325*$L325</f>
        <v>0</v>
      </c>
      <c r="AQ325" s="9"/>
      <c r="AR325" s="30">
        <f t="shared" ref="AR325:AR351" si="1208">AQ325*$L325</f>
        <v>0</v>
      </c>
      <c r="AS325" s="9"/>
      <c r="AT325" s="30">
        <f t="shared" ref="AT325:AT351" si="1209">AS325*$L325</f>
        <v>0</v>
      </c>
      <c r="AU325" s="9"/>
      <c r="AV325" s="30">
        <f t="shared" ref="AV325:AV351" si="1210">AU325*$L325</f>
        <v>0</v>
      </c>
      <c r="AW325" s="9"/>
      <c r="AX325" s="30">
        <f t="shared" ref="AX325:AX351" si="1211">AW325*$L325</f>
        <v>0</v>
      </c>
      <c r="AY325" s="9"/>
      <c r="AZ325" s="30">
        <f t="shared" ref="AZ325:AZ351" si="1212">AY325*$L325</f>
        <v>0</v>
      </c>
      <c r="BA325" s="10">
        <f>12769/100</f>
        <v>127.69</v>
      </c>
      <c r="BB325" s="31">
        <v>7023</v>
      </c>
      <c r="BC325" s="15">
        <f t="shared" si="1130"/>
        <v>7023</v>
      </c>
      <c r="BD325" s="9">
        <f t="shared" si="1131"/>
        <v>0</v>
      </c>
      <c r="BE325" s="28">
        <f t="shared" si="1132"/>
        <v>127.69</v>
      </c>
      <c r="BF325" s="8">
        <f t="shared" si="1133"/>
        <v>0</v>
      </c>
      <c r="BG325" s="29">
        <f t="shared" si="1134"/>
        <v>7022.95</v>
      </c>
      <c r="BH325" s="13">
        <f t="shared" si="1135"/>
        <v>5.0000000000181899E-2</v>
      </c>
      <c r="BI325" s="2" t="str">
        <f t="shared" si="1136"/>
        <v>erreur de calcul</v>
      </c>
      <c r="BJ325" s="2"/>
    </row>
    <row r="326" spans="1:62">
      <c r="A326" s="1" t="s">
        <v>12</v>
      </c>
      <c r="B326" s="3" t="s">
        <v>23</v>
      </c>
      <c r="C326" s="3" t="s">
        <v>45</v>
      </c>
      <c r="D326" s="4">
        <v>1789</v>
      </c>
      <c r="E326" s="3" t="s">
        <v>49</v>
      </c>
      <c r="F326" s="3" t="s">
        <v>49</v>
      </c>
      <c r="G326" s="31">
        <v>26</v>
      </c>
      <c r="H326" s="31" t="s">
        <v>399</v>
      </c>
      <c r="I326" s="5">
        <v>44</v>
      </c>
      <c r="J326" s="5"/>
      <c r="K326" s="6"/>
      <c r="L326" s="11">
        <f t="shared" si="1125"/>
        <v>44</v>
      </c>
      <c r="M326" s="7" t="s">
        <v>14</v>
      </c>
      <c r="N326" s="31" t="s">
        <v>84</v>
      </c>
      <c r="O326" s="9">
        <f>1251/100</f>
        <v>12.51</v>
      </c>
      <c r="P326" s="9">
        <v>550</v>
      </c>
      <c r="Q326" s="9">
        <f>68669/100</f>
        <v>686.69</v>
      </c>
      <c r="R326" s="30">
        <v>30214</v>
      </c>
      <c r="S326" s="9"/>
      <c r="T326" s="30">
        <f t="shared" ref="T326" si="1213">S326*$L326</f>
        <v>0</v>
      </c>
      <c r="U326" s="9">
        <f>7101/100</f>
        <v>71.010000000000005</v>
      </c>
      <c r="V326" s="30">
        <v>3124</v>
      </c>
      <c r="W326" s="9">
        <f>27549/100</f>
        <v>275.49</v>
      </c>
      <c r="X326" s="30">
        <v>12121</v>
      </c>
      <c r="Y326" s="9">
        <f>947914/100</f>
        <v>9479.14</v>
      </c>
      <c r="Z326" s="30">
        <v>417082</v>
      </c>
      <c r="AA326" s="9">
        <f>183606/100</f>
        <v>1836.06</v>
      </c>
      <c r="AB326" s="30">
        <v>80787</v>
      </c>
      <c r="AC326" s="9">
        <f>36047/100</f>
        <v>360.47</v>
      </c>
      <c r="AD326" s="30">
        <v>15861</v>
      </c>
      <c r="AE326" s="9">
        <f>12322/100</f>
        <v>123.22</v>
      </c>
      <c r="AF326" s="30">
        <v>5422</v>
      </c>
      <c r="AG326" s="9"/>
      <c r="AH326" s="30">
        <f t="shared" si="1203"/>
        <v>0</v>
      </c>
      <c r="AI326" s="9">
        <f>3318/100</f>
        <v>33.18</v>
      </c>
      <c r="AJ326" s="30">
        <v>1460</v>
      </c>
      <c r="AK326" s="9"/>
      <c r="AL326" s="30">
        <f t="shared" ref="AL326" si="1214">AK326*$L326</f>
        <v>0</v>
      </c>
      <c r="AM326" s="9">
        <f>28260/100</f>
        <v>282.60000000000002</v>
      </c>
      <c r="AN326" s="30">
        <v>12434</v>
      </c>
      <c r="AO326" s="9"/>
      <c r="AP326" s="30">
        <f t="shared" si="1207"/>
        <v>0</v>
      </c>
      <c r="AQ326" s="9"/>
      <c r="AR326" s="30">
        <f t="shared" si="1208"/>
        <v>0</v>
      </c>
      <c r="AS326" s="9"/>
      <c r="AT326" s="30">
        <f t="shared" si="1209"/>
        <v>0</v>
      </c>
      <c r="AU326" s="9"/>
      <c r="AV326" s="30">
        <f t="shared" si="1210"/>
        <v>0</v>
      </c>
      <c r="AW326" s="9"/>
      <c r="AX326" s="30">
        <f t="shared" si="1211"/>
        <v>0</v>
      </c>
      <c r="AY326" s="9"/>
      <c r="AZ326" s="30">
        <f t="shared" si="1212"/>
        <v>0</v>
      </c>
      <c r="BA326" s="10">
        <f>1314786/100</f>
        <v>13147.86</v>
      </c>
      <c r="BB326" s="31">
        <v>578505</v>
      </c>
      <c r="BC326" s="15">
        <f t="shared" si="1130"/>
        <v>578505</v>
      </c>
      <c r="BD326" s="9">
        <f t="shared" si="1131"/>
        <v>0</v>
      </c>
      <c r="BE326" s="28">
        <f t="shared" si="1132"/>
        <v>13147.859999999999</v>
      </c>
      <c r="BF326" s="8">
        <f t="shared" si="1133"/>
        <v>0</v>
      </c>
      <c r="BG326" s="29">
        <f t="shared" si="1134"/>
        <v>578505.84</v>
      </c>
      <c r="BH326" s="13">
        <f t="shared" si="1135"/>
        <v>-0.83999999996740371</v>
      </c>
      <c r="BI326" s="2" t="str">
        <f t="shared" si="1136"/>
        <v>erreur de calcul</v>
      </c>
      <c r="BJ326" s="2"/>
    </row>
    <row r="327" spans="1:62">
      <c r="A327" s="1" t="s">
        <v>12</v>
      </c>
      <c r="B327" s="3" t="s">
        <v>23</v>
      </c>
      <c r="C327" s="3" t="s">
        <v>45</v>
      </c>
      <c r="D327" s="4">
        <v>1789</v>
      </c>
      <c r="E327" s="3" t="s">
        <v>49</v>
      </c>
      <c r="F327" s="3" t="s">
        <v>49</v>
      </c>
      <c r="G327" s="31">
        <v>26</v>
      </c>
      <c r="H327" s="31" t="s">
        <v>400</v>
      </c>
      <c r="I327" s="5">
        <v>40</v>
      </c>
      <c r="J327" s="5"/>
      <c r="K327" s="6"/>
      <c r="L327" s="11">
        <f t="shared" si="1125"/>
        <v>40</v>
      </c>
      <c r="M327" s="7" t="s">
        <v>14</v>
      </c>
      <c r="N327" s="31"/>
      <c r="O327" s="9"/>
      <c r="P327" s="9" t="str">
        <f t="shared" si="1126"/>
        <v/>
      </c>
      <c r="Q327" s="9"/>
      <c r="R327" s="30">
        <f t="shared" ref="R327" si="1215">Q327*$L327</f>
        <v>0</v>
      </c>
      <c r="S327" s="9"/>
      <c r="T327" s="30">
        <f t="shared" ref="T327" si="1216">S327*$L327</f>
        <v>0</v>
      </c>
      <c r="U327" s="9"/>
      <c r="V327" s="30">
        <f t="shared" ref="V327:V351" si="1217">U327*$L327</f>
        <v>0</v>
      </c>
      <c r="W327" s="9">
        <f>4827/100</f>
        <v>48.27</v>
      </c>
      <c r="X327" s="30">
        <v>1931</v>
      </c>
      <c r="Y327" s="9"/>
      <c r="Z327" s="30">
        <f t="shared" si="1199"/>
        <v>0</v>
      </c>
      <c r="AA327" s="9"/>
      <c r="AB327" s="30">
        <f t="shared" si="1200"/>
        <v>0</v>
      </c>
      <c r="AC327" s="9"/>
      <c r="AD327" s="30">
        <f t="shared" si="1201"/>
        <v>0</v>
      </c>
      <c r="AE327" s="9"/>
      <c r="AF327" s="30">
        <f t="shared" si="1202"/>
        <v>0</v>
      </c>
      <c r="AG327" s="9"/>
      <c r="AH327" s="30">
        <f t="shared" si="1203"/>
        <v>0</v>
      </c>
      <c r="AI327" s="9"/>
      <c r="AJ327" s="30">
        <f t="shared" ref="AJ327" si="1218">AI327*$L327</f>
        <v>0</v>
      </c>
      <c r="AK327" s="9"/>
      <c r="AL327" s="30">
        <f t="shared" ref="AL327" si="1219">AK327*$L327</f>
        <v>0</v>
      </c>
      <c r="AM327" s="9"/>
      <c r="AN327" s="30">
        <f t="shared" si="1206"/>
        <v>0</v>
      </c>
      <c r="AO327" s="9"/>
      <c r="AP327" s="30">
        <f t="shared" si="1207"/>
        <v>0</v>
      </c>
      <c r="AQ327" s="9"/>
      <c r="AR327" s="30">
        <f t="shared" si="1208"/>
        <v>0</v>
      </c>
      <c r="AS327" s="9"/>
      <c r="AT327" s="30">
        <f t="shared" si="1209"/>
        <v>0</v>
      </c>
      <c r="AU327" s="9"/>
      <c r="AV327" s="30">
        <f t="shared" si="1210"/>
        <v>0</v>
      </c>
      <c r="AW327" s="9"/>
      <c r="AX327" s="30">
        <f t="shared" si="1211"/>
        <v>0</v>
      </c>
      <c r="AY327" s="9">
        <f>835109/100</f>
        <v>8351.09</v>
      </c>
      <c r="AZ327" s="30">
        <v>334044</v>
      </c>
      <c r="BA327" s="10">
        <f>839936/100</f>
        <v>8399.36</v>
      </c>
      <c r="BB327" s="31">
        <v>335975</v>
      </c>
      <c r="BC327" s="15">
        <f t="shared" si="1130"/>
        <v>335975</v>
      </c>
      <c r="BD327" s="9">
        <f t="shared" si="1131"/>
        <v>0</v>
      </c>
      <c r="BE327" s="28">
        <f t="shared" si="1132"/>
        <v>8399.36</v>
      </c>
      <c r="BF327" s="8">
        <f t="shared" si="1133"/>
        <v>0</v>
      </c>
      <c r="BG327" s="29">
        <f t="shared" si="1134"/>
        <v>335974.40000000002</v>
      </c>
      <c r="BH327" s="13">
        <f t="shared" si="1135"/>
        <v>0.59999999997671694</v>
      </c>
      <c r="BI327" s="2" t="str">
        <f t="shared" si="1136"/>
        <v>erreur de calcul</v>
      </c>
      <c r="BJ327" s="2"/>
    </row>
    <row r="328" spans="1:62">
      <c r="A328" s="1" t="s">
        <v>12</v>
      </c>
      <c r="B328" s="3" t="s">
        <v>23</v>
      </c>
      <c r="C328" s="3" t="s">
        <v>45</v>
      </c>
      <c r="D328" s="4">
        <v>1789</v>
      </c>
      <c r="E328" s="3" t="s">
        <v>49</v>
      </c>
      <c r="F328" s="3" t="s">
        <v>49</v>
      </c>
      <c r="G328" s="31">
        <v>26</v>
      </c>
      <c r="H328" s="31" t="s">
        <v>401</v>
      </c>
      <c r="I328" s="5"/>
      <c r="J328" s="5">
        <v>13</v>
      </c>
      <c r="K328" s="6"/>
      <c r="L328" s="11">
        <f t="shared" si="1125"/>
        <v>0.65</v>
      </c>
      <c r="M328" s="7" t="s">
        <v>14</v>
      </c>
      <c r="N328" s="31"/>
      <c r="O328" s="9"/>
      <c r="P328" s="9" t="str">
        <f t="shared" si="1126"/>
        <v/>
      </c>
      <c r="Q328" s="9"/>
      <c r="R328" s="30">
        <f t="shared" ref="R328" si="1220">Q328*$L328</f>
        <v>0</v>
      </c>
      <c r="S328" s="9"/>
      <c r="T328" s="30">
        <f t="shared" ref="T328" si="1221">S328*$L328</f>
        <v>0</v>
      </c>
      <c r="U328" s="9"/>
      <c r="V328" s="30">
        <f t="shared" si="1217"/>
        <v>0</v>
      </c>
      <c r="W328" s="9"/>
      <c r="X328" s="30">
        <f t="shared" ref="X328:X351" si="1222">W328*$L328</f>
        <v>0</v>
      </c>
      <c r="Y328" s="9"/>
      <c r="Z328" s="30">
        <f t="shared" si="1199"/>
        <v>0</v>
      </c>
      <c r="AA328" s="9">
        <f>2471002/100</f>
        <v>24710.02</v>
      </c>
      <c r="AB328" s="30">
        <v>16061</v>
      </c>
      <c r="AC328" s="9"/>
      <c r="AD328" s="30">
        <f t="shared" si="1201"/>
        <v>0</v>
      </c>
      <c r="AE328" s="9"/>
      <c r="AF328" s="30">
        <f t="shared" si="1202"/>
        <v>0</v>
      </c>
      <c r="AG328" s="9"/>
      <c r="AH328" s="30">
        <f t="shared" si="1203"/>
        <v>0</v>
      </c>
      <c r="AI328" s="9"/>
      <c r="AJ328" s="30">
        <f t="shared" ref="AJ328" si="1223">AI328*$L328</f>
        <v>0</v>
      </c>
      <c r="AK328" s="9"/>
      <c r="AL328" s="30">
        <f t="shared" ref="AL328" si="1224">AK328*$L328</f>
        <v>0</v>
      </c>
      <c r="AM328" s="9"/>
      <c r="AN328" s="30">
        <f t="shared" si="1206"/>
        <v>0</v>
      </c>
      <c r="AO328" s="9"/>
      <c r="AP328" s="30">
        <f t="shared" si="1207"/>
        <v>0</v>
      </c>
      <c r="AQ328" s="9"/>
      <c r="AR328" s="30">
        <f t="shared" si="1208"/>
        <v>0</v>
      </c>
      <c r="AS328" s="9"/>
      <c r="AT328" s="30">
        <f t="shared" si="1209"/>
        <v>0</v>
      </c>
      <c r="AU328" s="9"/>
      <c r="AV328" s="30">
        <f t="shared" si="1210"/>
        <v>0</v>
      </c>
      <c r="AW328" s="9"/>
      <c r="AX328" s="30">
        <f t="shared" si="1211"/>
        <v>0</v>
      </c>
      <c r="AY328" s="9"/>
      <c r="AZ328" s="30">
        <f t="shared" si="1212"/>
        <v>0</v>
      </c>
      <c r="BA328" s="10">
        <f>2471002</f>
        <v>2471002</v>
      </c>
      <c r="BB328" s="31">
        <v>16061</v>
      </c>
      <c r="BC328" s="15">
        <f t="shared" si="1130"/>
        <v>16061</v>
      </c>
      <c r="BD328" s="9">
        <f t="shared" si="1131"/>
        <v>0</v>
      </c>
      <c r="BE328" s="28">
        <f t="shared" si="1132"/>
        <v>24710.02</v>
      </c>
      <c r="BF328" s="8">
        <f t="shared" si="1133"/>
        <v>2446291.98</v>
      </c>
      <c r="BG328" s="29">
        <f t="shared" si="1134"/>
        <v>16061.513000000001</v>
      </c>
      <c r="BH328" s="13">
        <f t="shared" si="1135"/>
        <v>-0.51300000000082946</v>
      </c>
      <c r="BI328" s="2" t="str">
        <f t="shared" si="1136"/>
        <v>erreur de calcul</v>
      </c>
      <c r="BJ328" s="2"/>
    </row>
    <row r="329" spans="1:62">
      <c r="A329" s="1" t="s">
        <v>12</v>
      </c>
      <c r="B329" s="3" t="s">
        <v>23</v>
      </c>
      <c r="C329" s="3" t="s">
        <v>45</v>
      </c>
      <c r="D329" s="4">
        <v>1789</v>
      </c>
      <c r="E329" s="3" t="s">
        <v>49</v>
      </c>
      <c r="F329" s="3" t="s">
        <v>49</v>
      </c>
      <c r="G329" s="31">
        <v>26</v>
      </c>
      <c r="H329" s="31" t="s">
        <v>402</v>
      </c>
      <c r="I329" s="5">
        <v>10</v>
      </c>
      <c r="J329" s="5"/>
      <c r="K329" s="6"/>
      <c r="L329" s="11">
        <f t="shared" si="1125"/>
        <v>10</v>
      </c>
      <c r="M329" s="7" t="s">
        <v>14</v>
      </c>
      <c r="N329" s="31"/>
      <c r="O329" s="9"/>
      <c r="P329" s="9" t="str">
        <f t="shared" si="1126"/>
        <v/>
      </c>
      <c r="Q329" s="9"/>
      <c r="R329" s="30">
        <f t="shared" ref="R329" si="1225">Q329*$L329</f>
        <v>0</v>
      </c>
      <c r="S329" s="9"/>
      <c r="T329" s="30">
        <f t="shared" ref="T329" si="1226">S329*$L329</f>
        <v>0</v>
      </c>
      <c r="U329" s="9"/>
      <c r="V329" s="30">
        <f t="shared" si="1217"/>
        <v>0</v>
      </c>
      <c r="W329" s="9"/>
      <c r="X329" s="30">
        <f t="shared" si="1222"/>
        <v>0</v>
      </c>
      <c r="Y329" s="9">
        <f>2481/100</f>
        <v>24.81</v>
      </c>
      <c r="Z329" s="30">
        <v>248</v>
      </c>
      <c r="AA329" s="9"/>
      <c r="AB329" s="30">
        <f t="shared" si="1200"/>
        <v>0</v>
      </c>
      <c r="AC329" s="9"/>
      <c r="AD329" s="30">
        <f t="shared" si="1201"/>
        <v>0</v>
      </c>
      <c r="AE329" s="9"/>
      <c r="AF329" s="30">
        <f t="shared" si="1202"/>
        <v>0</v>
      </c>
      <c r="AG329" s="9"/>
      <c r="AH329" s="30">
        <f t="shared" si="1203"/>
        <v>0</v>
      </c>
      <c r="AI329" s="9"/>
      <c r="AJ329" s="30">
        <f t="shared" ref="AJ329" si="1227">AI329*$L329</f>
        <v>0</v>
      </c>
      <c r="AK329" s="9"/>
      <c r="AL329" s="30">
        <f t="shared" ref="AL329" si="1228">AK329*$L329</f>
        <v>0</v>
      </c>
      <c r="AM329" s="9"/>
      <c r="AN329" s="30">
        <f t="shared" si="1206"/>
        <v>0</v>
      </c>
      <c r="AO329" s="9"/>
      <c r="AP329" s="30">
        <f t="shared" si="1207"/>
        <v>0</v>
      </c>
      <c r="AQ329" s="9"/>
      <c r="AR329" s="30">
        <f t="shared" si="1208"/>
        <v>0</v>
      </c>
      <c r="AS329" s="9"/>
      <c r="AT329" s="30">
        <f t="shared" si="1209"/>
        <v>0</v>
      </c>
      <c r="AU329" s="9"/>
      <c r="AV329" s="30">
        <f t="shared" si="1210"/>
        <v>0</v>
      </c>
      <c r="AW329" s="9"/>
      <c r="AX329" s="30">
        <f t="shared" si="1211"/>
        <v>0</v>
      </c>
      <c r="AY329" s="9"/>
      <c r="AZ329" s="30">
        <f t="shared" si="1212"/>
        <v>0</v>
      </c>
      <c r="BA329" s="10">
        <f>2481/100</f>
        <v>24.81</v>
      </c>
      <c r="BB329" s="31">
        <v>248</v>
      </c>
      <c r="BC329" s="15">
        <f t="shared" si="1130"/>
        <v>248</v>
      </c>
      <c r="BD329" s="9">
        <f t="shared" si="1131"/>
        <v>0</v>
      </c>
      <c r="BE329" s="28">
        <f t="shared" si="1132"/>
        <v>24.81</v>
      </c>
      <c r="BF329" s="8">
        <f t="shared" si="1133"/>
        <v>0</v>
      </c>
      <c r="BG329" s="29">
        <f t="shared" si="1134"/>
        <v>248.1</v>
      </c>
      <c r="BH329" s="13">
        <f t="shared" si="1135"/>
        <v>-9.9999999999994316E-2</v>
      </c>
      <c r="BI329" s="2" t="str">
        <f t="shared" si="1136"/>
        <v>erreur de calcul</v>
      </c>
      <c r="BJ329" s="2"/>
    </row>
    <row r="330" spans="1:62">
      <c r="A330" s="1" t="s">
        <v>12</v>
      </c>
      <c r="B330" s="3" t="s">
        <v>23</v>
      </c>
      <c r="C330" s="3" t="s">
        <v>45</v>
      </c>
      <c r="D330" s="4">
        <v>1789</v>
      </c>
      <c r="E330" s="3" t="s">
        <v>49</v>
      </c>
      <c r="F330" s="3" t="s">
        <v>49</v>
      </c>
      <c r="G330" s="31">
        <v>26</v>
      </c>
      <c r="H330" s="31" t="s">
        <v>42</v>
      </c>
      <c r="I330" s="5">
        <v>5</v>
      </c>
      <c r="J330" s="5"/>
      <c r="K330" s="6"/>
      <c r="L330" s="11">
        <f t="shared" si="1125"/>
        <v>5</v>
      </c>
      <c r="M330" s="7" t="s">
        <v>15</v>
      </c>
      <c r="N330" s="31" t="s">
        <v>18</v>
      </c>
      <c r="O330" s="9">
        <v>1255</v>
      </c>
      <c r="P330" s="9">
        <v>6275</v>
      </c>
      <c r="Q330" s="9"/>
      <c r="R330" s="30">
        <f t="shared" ref="R330" si="1229">Q330*$L330</f>
        <v>0</v>
      </c>
      <c r="S330" s="9"/>
      <c r="T330" s="30">
        <f t="shared" ref="T330" si="1230">S330*$L330</f>
        <v>0</v>
      </c>
      <c r="U330" s="9"/>
      <c r="V330" s="30">
        <f t="shared" si="1217"/>
        <v>0</v>
      </c>
      <c r="W330" s="9"/>
      <c r="X330" s="30">
        <f t="shared" si="1222"/>
        <v>0</v>
      </c>
      <c r="Y330" s="9"/>
      <c r="Z330" s="30">
        <f t="shared" si="1199"/>
        <v>0</v>
      </c>
      <c r="AA330" s="9"/>
      <c r="AB330" s="30">
        <f t="shared" si="1200"/>
        <v>0</v>
      </c>
      <c r="AC330" s="9"/>
      <c r="AD330" s="30">
        <f t="shared" si="1201"/>
        <v>0</v>
      </c>
      <c r="AE330" s="9"/>
      <c r="AF330" s="30">
        <f t="shared" si="1202"/>
        <v>0</v>
      </c>
      <c r="AG330" s="9">
        <v>22</v>
      </c>
      <c r="AH330" s="30">
        <v>110</v>
      </c>
      <c r="AI330" s="9">
        <v>2657</v>
      </c>
      <c r="AJ330" s="30">
        <v>13285</v>
      </c>
      <c r="AK330" s="9"/>
      <c r="AL330" s="30">
        <f t="shared" ref="AL330" si="1231">AK330*$L330</f>
        <v>0</v>
      </c>
      <c r="AM330" s="9"/>
      <c r="AN330" s="30">
        <f t="shared" si="1206"/>
        <v>0</v>
      </c>
      <c r="AO330" s="9"/>
      <c r="AP330" s="30">
        <f t="shared" si="1207"/>
        <v>0</v>
      </c>
      <c r="AQ330" s="9"/>
      <c r="AR330" s="30">
        <f t="shared" si="1208"/>
        <v>0</v>
      </c>
      <c r="AS330" s="9"/>
      <c r="AT330" s="30">
        <f t="shared" si="1209"/>
        <v>0</v>
      </c>
      <c r="AU330" s="9"/>
      <c r="AV330" s="30">
        <f t="shared" si="1210"/>
        <v>0</v>
      </c>
      <c r="AW330" s="9"/>
      <c r="AX330" s="30">
        <f t="shared" si="1211"/>
        <v>0</v>
      </c>
      <c r="AY330" s="9"/>
      <c r="AZ330" s="30">
        <f t="shared" si="1212"/>
        <v>0</v>
      </c>
      <c r="BA330" s="10">
        <v>2679</v>
      </c>
      <c r="BB330" s="31">
        <v>13395</v>
      </c>
      <c r="BC330" s="15">
        <f t="shared" si="1130"/>
        <v>13395</v>
      </c>
      <c r="BD330" s="9">
        <f t="shared" si="1131"/>
        <v>0</v>
      </c>
      <c r="BE330" s="28">
        <f t="shared" si="1132"/>
        <v>2679</v>
      </c>
      <c r="BF330" s="8">
        <f t="shared" si="1133"/>
        <v>0</v>
      </c>
      <c r="BG330" s="29">
        <f t="shared" si="1134"/>
        <v>13395</v>
      </c>
      <c r="BH330" s="13">
        <f t="shared" si="1135"/>
        <v>0</v>
      </c>
      <c r="BI330" s="2" t="str">
        <f t="shared" si="1136"/>
        <v/>
      </c>
      <c r="BJ330" s="2"/>
    </row>
    <row r="331" spans="1:62">
      <c r="A331" s="1" t="s">
        <v>12</v>
      </c>
      <c r="B331" s="3" t="s">
        <v>23</v>
      </c>
      <c r="C331" s="3" t="s">
        <v>45</v>
      </c>
      <c r="D331" s="4">
        <v>1789</v>
      </c>
      <c r="E331" s="3" t="s">
        <v>49</v>
      </c>
      <c r="F331" s="3" t="s">
        <v>49</v>
      </c>
      <c r="G331" s="31">
        <v>27</v>
      </c>
      <c r="H331" s="31" t="s">
        <v>403</v>
      </c>
      <c r="I331" s="5">
        <v>7</v>
      </c>
      <c r="J331" s="5">
        <v>10</v>
      </c>
      <c r="K331" s="6"/>
      <c r="L331" s="11">
        <f t="shared" si="1125"/>
        <v>7.5</v>
      </c>
      <c r="M331" s="7" t="s">
        <v>14</v>
      </c>
      <c r="N331" s="31"/>
      <c r="O331" s="9"/>
      <c r="P331" s="9" t="str">
        <f t="shared" si="1126"/>
        <v/>
      </c>
      <c r="Q331" s="9">
        <f>16667/100</f>
        <v>166.67</v>
      </c>
      <c r="R331" s="30">
        <v>1250</v>
      </c>
      <c r="S331" s="9"/>
      <c r="T331" s="30">
        <f t="shared" ref="T331" si="1232">S331*$L331</f>
        <v>0</v>
      </c>
      <c r="U331" s="9"/>
      <c r="V331" s="30">
        <f t="shared" si="1217"/>
        <v>0</v>
      </c>
      <c r="W331" s="9">
        <f>407887/100</f>
        <v>4078.87</v>
      </c>
      <c r="X331" s="30">
        <v>30591</v>
      </c>
      <c r="Y331" s="9">
        <f>4444/100</f>
        <v>44.44</v>
      </c>
      <c r="Z331" s="30">
        <v>333</v>
      </c>
      <c r="AA331" s="9">
        <f>16084/100</f>
        <v>160.84</v>
      </c>
      <c r="AB331" s="30">
        <v>1206</v>
      </c>
      <c r="AC331" s="9">
        <f>20834/100</f>
        <v>208.34</v>
      </c>
      <c r="AD331" s="30">
        <v>1562</v>
      </c>
      <c r="AE331" s="9"/>
      <c r="AF331" s="30">
        <f t="shared" si="1202"/>
        <v>0</v>
      </c>
      <c r="AG331" s="9"/>
      <c r="AH331" s="30">
        <f t="shared" si="1203"/>
        <v>0</v>
      </c>
      <c r="AI331" s="9"/>
      <c r="AJ331" s="30">
        <f t="shared" ref="AJ331" si="1233">AI331*$L331</f>
        <v>0</v>
      </c>
      <c r="AK331" s="9"/>
      <c r="AL331" s="30">
        <f t="shared" ref="AL331" si="1234">AK331*$L331</f>
        <v>0</v>
      </c>
      <c r="AM331" s="9"/>
      <c r="AN331" s="30">
        <f t="shared" si="1206"/>
        <v>0</v>
      </c>
      <c r="AO331" s="9"/>
      <c r="AP331" s="30">
        <f t="shared" si="1207"/>
        <v>0</v>
      </c>
      <c r="AQ331" s="9"/>
      <c r="AR331" s="30">
        <f t="shared" si="1208"/>
        <v>0</v>
      </c>
      <c r="AS331" s="9"/>
      <c r="AT331" s="30">
        <f t="shared" si="1209"/>
        <v>0</v>
      </c>
      <c r="AU331" s="9"/>
      <c r="AV331" s="30">
        <f t="shared" si="1210"/>
        <v>0</v>
      </c>
      <c r="AW331" s="9"/>
      <c r="AX331" s="30">
        <f t="shared" si="1211"/>
        <v>0</v>
      </c>
      <c r="AY331" s="9"/>
      <c r="AZ331" s="30">
        <f t="shared" si="1212"/>
        <v>0</v>
      </c>
      <c r="BA331" s="10">
        <f>465916/100</f>
        <v>4659.16</v>
      </c>
      <c r="BB331" s="31">
        <v>34942</v>
      </c>
      <c r="BC331" s="15">
        <f t="shared" si="1130"/>
        <v>34942</v>
      </c>
      <c r="BD331" s="9">
        <f t="shared" si="1131"/>
        <v>0</v>
      </c>
      <c r="BE331" s="28">
        <f t="shared" si="1132"/>
        <v>4659.16</v>
      </c>
      <c r="BF331" s="8">
        <f t="shared" si="1133"/>
        <v>0</v>
      </c>
      <c r="BG331" s="29">
        <f t="shared" si="1134"/>
        <v>34943.699999999997</v>
      </c>
      <c r="BH331" s="13">
        <f t="shared" si="1135"/>
        <v>-1.6999999999970896</v>
      </c>
      <c r="BI331" s="2" t="str">
        <f t="shared" si="1136"/>
        <v>erreur de calcul</v>
      </c>
      <c r="BJ331" s="2"/>
    </row>
    <row r="332" spans="1:62">
      <c r="A332" s="1" t="s">
        <v>12</v>
      </c>
      <c r="B332" s="3" t="s">
        <v>23</v>
      </c>
      <c r="C332" s="3" t="s">
        <v>45</v>
      </c>
      <c r="D332" s="4">
        <v>1789</v>
      </c>
      <c r="E332" s="3" t="s">
        <v>49</v>
      </c>
      <c r="F332" s="3" t="s">
        <v>49</v>
      </c>
      <c r="G332" s="31">
        <v>27</v>
      </c>
      <c r="H332" s="31" t="s">
        <v>404</v>
      </c>
      <c r="I332" s="5">
        <v>3</v>
      </c>
      <c r="J332" s="5"/>
      <c r="K332" s="6"/>
      <c r="L332" s="11">
        <f t="shared" si="1125"/>
        <v>3</v>
      </c>
      <c r="M332" s="7" t="s">
        <v>15</v>
      </c>
      <c r="N332" s="31"/>
      <c r="O332" s="9"/>
      <c r="P332" s="9" t="str">
        <f t="shared" si="1126"/>
        <v/>
      </c>
      <c r="Q332" s="9"/>
      <c r="R332" s="30">
        <f t="shared" ref="R332" si="1235">Q332*$L332</f>
        <v>0</v>
      </c>
      <c r="S332" s="9"/>
      <c r="T332" s="30">
        <f t="shared" ref="T332" si="1236">S332*$L332</f>
        <v>0</v>
      </c>
      <c r="U332" s="9"/>
      <c r="V332" s="30">
        <f t="shared" si="1217"/>
        <v>0</v>
      </c>
      <c r="W332" s="9"/>
      <c r="X332" s="30">
        <f t="shared" si="1222"/>
        <v>0</v>
      </c>
      <c r="Y332" s="9"/>
      <c r="Z332" s="30">
        <f t="shared" si="1199"/>
        <v>0</v>
      </c>
      <c r="AA332" s="9"/>
      <c r="AB332" s="30">
        <f t="shared" si="1200"/>
        <v>0</v>
      </c>
      <c r="AC332" s="9"/>
      <c r="AD332" s="30">
        <f t="shared" si="1201"/>
        <v>0</v>
      </c>
      <c r="AE332" s="9"/>
      <c r="AF332" s="30">
        <f t="shared" si="1202"/>
        <v>0</v>
      </c>
      <c r="AG332" s="9"/>
      <c r="AH332" s="30">
        <f t="shared" si="1203"/>
        <v>0</v>
      </c>
      <c r="AI332" s="9">
        <v>58272</v>
      </c>
      <c r="AJ332" s="30">
        <v>174816</v>
      </c>
      <c r="AK332" s="9"/>
      <c r="AL332" s="30">
        <f t="shared" ref="AL332" si="1237">AK332*$L332</f>
        <v>0</v>
      </c>
      <c r="AM332" s="9"/>
      <c r="AN332" s="30">
        <f t="shared" si="1206"/>
        <v>0</v>
      </c>
      <c r="AO332" s="9"/>
      <c r="AP332" s="30">
        <f t="shared" si="1207"/>
        <v>0</v>
      </c>
      <c r="AQ332" s="9"/>
      <c r="AR332" s="30">
        <f t="shared" si="1208"/>
        <v>0</v>
      </c>
      <c r="AS332" s="9"/>
      <c r="AT332" s="30">
        <f t="shared" si="1209"/>
        <v>0</v>
      </c>
      <c r="AU332" s="9"/>
      <c r="AV332" s="30">
        <f t="shared" si="1210"/>
        <v>0</v>
      </c>
      <c r="AW332" s="9"/>
      <c r="AX332" s="30">
        <f t="shared" si="1211"/>
        <v>0</v>
      </c>
      <c r="AY332" s="9"/>
      <c r="AZ332" s="30">
        <f t="shared" si="1212"/>
        <v>0</v>
      </c>
      <c r="BA332" s="10">
        <f>58272</f>
        <v>58272</v>
      </c>
      <c r="BB332" s="31">
        <v>174816</v>
      </c>
      <c r="BC332" s="15">
        <f t="shared" si="1130"/>
        <v>174816</v>
      </c>
      <c r="BD332" s="9">
        <f t="shared" si="1131"/>
        <v>0</v>
      </c>
      <c r="BE332" s="28">
        <f t="shared" si="1132"/>
        <v>58272</v>
      </c>
      <c r="BF332" s="8">
        <f t="shared" si="1133"/>
        <v>0</v>
      </c>
      <c r="BG332" s="29">
        <f t="shared" si="1134"/>
        <v>174816</v>
      </c>
      <c r="BH332" s="13">
        <f t="shared" si="1135"/>
        <v>0</v>
      </c>
      <c r="BI332" s="2" t="str">
        <f t="shared" si="1136"/>
        <v/>
      </c>
      <c r="BJ332" s="2"/>
    </row>
    <row r="333" spans="1:62">
      <c r="A333" s="1" t="s">
        <v>12</v>
      </c>
      <c r="B333" s="3" t="s">
        <v>23</v>
      </c>
      <c r="C333" s="3" t="s">
        <v>45</v>
      </c>
      <c r="D333" s="4">
        <v>1789</v>
      </c>
      <c r="E333" s="3" t="s">
        <v>49</v>
      </c>
      <c r="F333" s="3" t="s">
        <v>49</v>
      </c>
      <c r="G333" s="31">
        <v>27</v>
      </c>
      <c r="H333" s="31" t="s">
        <v>405</v>
      </c>
      <c r="I333" s="5">
        <v>3</v>
      </c>
      <c r="J333" s="5"/>
      <c r="K333" s="6"/>
      <c r="L333" s="11">
        <f t="shared" si="1125"/>
        <v>3</v>
      </c>
      <c r="M333" s="7" t="s">
        <v>15</v>
      </c>
      <c r="N333" s="31" t="s">
        <v>18</v>
      </c>
      <c r="O333" s="9">
        <v>2300</v>
      </c>
      <c r="P333" s="9">
        <v>6900</v>
      </c>
      <c r="Q333" s="9"/>
      <c r="R333" s="30">
        <f t="shared" ref="R333" si="1238">Q333*$L333</f>
        <v>0</v>
      </c>
      <c r="S333" s="9"/>
      <c r="T333" s="30">
        <f t="shared" ref="T333" si="1239">S333*$L333</f>
        <v>0</v>
      </c>
      <c r="U333" s="9"/>
      <c r="V333" s="30">
        <f t="shared" si="1217"/>
        <v>0</v>
      </c>
      <c r="W333" s="9"/>
      <c r="X333" s="30">
        <f t="shared" si="1222"/>
        <v>0</v>
      </c>
      <c r="Y333" s="9"/>
      <c r="Z333" s="30">
        <f t="shared" si="1199"/>
        <v>0</v>
      </c>
      <c r="AA333" s="9"/>
      <c r="AB333" s="30">
        <f t="shared" si="1200"/>
        <v>0</v>
      </c>
      <c r="AC333" s="9"/>
      <c r="AD333" s="30">
        <f t="shared" si="1201"/>
        <v>0</v>
      </c>
      <c r="AE333" s="9"/>
      <c r="AF333" s="30">
        <f t="shared" si="1202"/>
        <v>0</v>
      </c>
      <c r="AG333" s="9"/>
      <c r="AH333" s="30">
        <f t="shared" si="1203"/>
        <v>0</v>
      </c>
      <c r="AI333" s="9">
        <v>110560</v>
      </c>
      <c r="AJ333" s="30">
        <v>331680</v>
      </c>
      <c r="AK333" s="9"/>
      <c r="AL333" s="30">
        <f t="shared" ref="AL333" si="1240">AK333*$L333</f>
        <v>0</v>
      </c>
      <c r="AM333" s="9"/>
      <c r="AN333" s="30">
        <f t="shared" si="1206"/>
        <v>0</v>
      </c>
      <c r="AO333" s="9"/>
      <c r="AP333" s="30">
        <f t="shared" si="1207"/>
        <v>0</v>
      </c>
      <c r="AQ333" s="9"/>
      <c r="AR333" s="30">
        <f t="shared" si="1208"/>
        <v>0</v>
      </c>
      <c r="AS333" s="9"/>
      <c r="AT333" s="30">
        <f t="shared" si="1209"/>
        <v>0</v>
      </c>
      <c r="AU333" s="9"/>
      <c r="AV333" s="30">
        <f t="shared" si="1210"/>
        <v>0</v>
      </c>
      <c r="AW333" s="9"/>
      <c r="AX333" s="30">
        <f t="shared" si="1211"/>
        <v>0</v>
      </c>
      <c r="AY333" s="9"/>
      <c r="AZ333" s="30">
        <f t="shared" si="1212"/>
        <v>0</v>
      </c>
      <c r="BA333" s="10">
        <v>110560</v>
      </c>
      <c r="BB333" s="31">
        <v>331680</v>
      </c>
      <c r="BC333" s="15">
        <f t="shared" si="1130"/>
        <v>331680</v>
      </c>
      <c r="BD333" s="9">
        <f t="shared" si="1131"/>
        <v>0</v>
      </c>
      <c r="BE333" s="28">
        <f t="shared" si="1132"/>
        <v>110560</v>
      </c>
      <c r="BF333" s="8">
        <f t="shared" si="1133"/>
        <v>0</v>
      </c>
      <c r="BG333" s="29">
        <f t="shared" si="1134"/>
        <v>331680</v>
      </c>
      <c r="BH333" s="13">
        <f t="shared" si="1135"/>
        <v>0</v>
      </c>
      <c r="BI333" s="2" t="str">
        <f t="shared" si="1136"/>
        <v/>
      </c>
      <c r="BJ333" s="2"/>
    </row>
    <row r="334" spans="1:62">
      <c r="A334" s="1" t="s">
        <v>12</v>
      </c>
      <c r="B334" s="3" t="s">
        <v>23</v>
      </c>
      <c r="C334" s="3" t="s">
        <v>45</v>
      </c>
      <c r="D334" s="4">
        <v>1789</v>
      </c>
      <c r="E334" s="3" t="s">
        <v>49</v>
      </c>
      <c r="F334" s="3" t="s">
        <v>49</v>
      </c>
      <c r="G334" s="31">
        <v>27</v>
      </c>
      <c r="H334" s="31" t="s">
        <v>406</v>
      </c>
      <c r="I334" s="5">
        <v>3</v>
      </c>
      <c r="J334" s="5">
        <v>10</v>
      </c>
      <c r="K334" s="6"/>
      <c r="L334" s="11">
        <f t="shared" si="1125"/>
        <v>3.5</v>
      </c>
      <c r="M334" s="7" t="s">
        <v>15</v>
      </c>
      <c r="N334" s="31" t="s">
        <v>18</v>
      </c>
      <c r="O334" s="9">
        <v>3596</v>
      </c>
      <c r="P334" s="9">
        <v>12586</v>
      </c>
      <c r="Q334" s="9"/>
      <c r="R334" s="30">
        <f t="shared" ref="R334" si="1241">Q334*$L334</f>
        <v>0</v>
      </c>
      <c r="S334" s="9"/>
      <c r="T334" s="30">
        <f t="shared" ref="T334" si="1242">S334*$L334</f>
        <v>0</v>
      </c>
      <c r="U334" s="9"/>
      <c r="V334" s="30">
        <f t="shared" si="1217"/>
        <v>0</v>
      </c>
      <c r="W334" s="9"/>
      <c r="X334" s="30">
        <f t="shared" si="1222"/>
        <v>0</v>
      </c>
      <c r="Y334" s="9">
        <v>218</v>
      </c>
      <c r="Z334" s="30">
        <v>763</v>
      </c>
      <c r="AA334" s="9"/>
      <c r="AB334" s="30">
        <f t="shared" si="1200"/>
        <v>0</v>
      </c>
      <c r="AC334" s="9"/>
      <c r="AD334" s="30">
        <f t="shared" si="1201"/>
        <v>0</v>
      </c>
      <c r="AE334" s="9"/>
      <c r="AF334" s="30">
        <f t="shared" si="1202"/>
        <v>0</v>
      </c>
      <c r="AG334" s="9"/>
      <c r="AH334" s="30">
        <f t="shared" si="1203"/>
        <v>0</v>
      </c>
      <c r="AI334" s="9">
        <v>25905</v>
      </c>
      <c r="AJ334" s="30">
        <v>90667</v>
      </c>
      <c r="AK334" s="9"/>
      <c r="AL334" s="30">
        <f t="shared" ref="AL334" si="1243">AK334*$L334</f>
        <v>0</v>
      </c>
      <c r="AM334" s="9"/>
      <c r="AN334" s="30">
        <f t="shared" si="1206"/>
        <v>0</v>
      </c>
      <c r="AO334" s="9"/>
      <c r="AP334" s="30">
        <f t="shared" si="1207"/>
        <v>0</v>
      </c>
      <c r="AQ334" s="9"/>
      <c r="AR334" s="30">
        <f t="shared" si="1208"/>
        <v>0</v>
      </c>
      <c r="AS334" s="9"/>
      <c r="AT334" s="30">
        <f t="shared" si="1209"/>
        <v>0</v>
      </c>
      <c r="AU334" s="9"/>
      <c r="AV334" s="30">
        <f t="shared" si="1210"/>
        <v>0</v>
      </c>
      <c r="AW334" s="9"/>
      <c r="AX334" s="30">
        <f t="shared" si="1211"/>
        <v>0</v>
      </c>
      <c r="AY334" s="9"/>
      <c r="AZ334" s="30">
        <f t="shared" si="1212"/>
        <v>0</v>
      </c>
      <c r="BA334" s="10">
        <v>26123</v>
      </c>
      <c r="BB334" s="31">
        <v>91430</v>
      </c>
      <c r="BC334" s="15">
        <f t="shared" si="1130"/>
        <v>91430</v>
      </c>
      <c r="BD334" s="9">
        <f t="shared" si="1131"/>
        <v>0</v>
      </c>
      <c r="BE334" s="28">
        <f t="shared" si="1132"/>
        <v>26123</v>
      </c>
      <c r="BF334" s="8">
        <f t="shared" si="1133"/>
        <v>0</v>
      </c>
      <c r="BG334" s="29">
        <f t="shared" si="1134"/>
        <v>91430.5</v>
      </c>
      <c r="BH334" s="13">
        <f t="shared" si="1135"/>
        <v>-0.5</v>
      </c>
      <c r="BI334" s="2" t="str">
        <f t="shared" si="1136"/>
        <v>erreur de calcul</v>
      </c>
      <c r="BJ334" s="2"/>
    </row>
    <row r="335" spans="1:62">
      <c r="A335" s="1" t="s">
        <v>12</v>
      </c>
      <c r="B335" s="3" t="s">
        <v>23</v>
      </c>
      <c r="C335" s="3" t="s">
        <v>45</v>
      </c>
      <c r="D335" s="4">
        <v>1789</v>
      </c>
      <c r="E335" s="3" t="s">
        <v>49</v>
      </c>
      <c r="F335" s="3" t="s">
        <v>49</v>
      </c>
      <c r="G335" s="31">
        <v>27</v>
      </c>
      <c r="H335" s="31" t="s">
        <v>407</v>
      </c>
      <c r="I335" s="5"/>
      <c r="J335" s="5">
        <v>30</v>
      </c>
      <c r="K335" s="6"/>
      <c r="L335" s="11">
        <f t="shared" si="1125"/>
        <v>1.5</v>
      </c>
      <c r="M335" s="7" t="s">
        <v>15</v>
      </c>
      <c r="N335" s="31"/>
      <c r="O335" s="9"/>
      <c r="P335" s="9" t="str">
        <f t="shared" si="1126"/>
        <v/>
      </c>
      <c r="Q335" s="9"/>
      <c r="R335" s="30">
        <f t="shared" ref="R335" si="1244">Q335*$L335</f>
        <v>0</v>
      </c>
      <c r="S335" s="9"/>
      <c r="T335" s="30">
        <f t="shared" ref="T335" si="1245">S335*$L335</f>
        <v>0</v>
      </c>
      <c r="U335" s="9"/>
      <c r="V335" s="30">
        <f t="shared" si="1217"/>
        <v>0</v>
      </c>
      <c r="W335" s="9"/>
      <c r="X335" s="30">
        <f t="shared" si="1222"/>
        <v>0</v>
      </c>
      <c r="Y335" s="9"/>
      <c r="Z335" s="30">
        <f t="shared" si="1199"/>
        <v>0</v>
      </c>
      <c r="AA335" s="9"/>
      <c r="AB335" s="30">
        <f t="shared" si="1200"/>
        <v>0</v>
      </c>
      <c r="AC335" s="9"/>
      <c r="AD335" s="30">
        <f t="shared" si="1201"/>
        <v>0</v>
      </c>
      <c r="AE335" s="9"/>
      <c r="AF335" s="30">
        <f t="shared" si="1202"/>
        <v>0</v>
      </c>
      <c r="AG335" s="9"/>
      <c r="AH335" s="30">
        <f t="shared" si="1203"/>
        <v>0</v>
      </c>
      <c r="AI335" s="9">
        <v>75870</v>
      </c>
      <c r="AJ335" s="30">
        <v>113805</v>
      </c>
      <c r="AK335" s="9"/>
      <c r="AL335" s="30">
        <f t="shared" ref="AL335" si="1246">AK335*$L335</f>
        <v>0</v>
      </c>
      <c r="AM335" s="9"/>
      <c r="AN335" s="30">
        <f t="shared" si="1206"/>
        <v>0</v>
      </c>
      <c r="AO335" s="9"/>
      <c r="AP335" s="30">
        <f t="shared" si="1207"/>
        <v>0</v>
      </c>
      <c r="AQ335" s="9"/>
      <c r="AR335" s="30">
        <f t="shared" si="1208"/>
        <v>0</v>
      </c>
      <c r="AS335" s="9"/>
      <c r="AT335" s="30">
        <f t="shared" si="1209"/>
        <v>0</v>
      </c>
      <c r="AU335" s="9"/>
      <c r="AV335" s="30">
        <f t="shared" si="1210"/>
        <v>0</v>
      </c>
      <c r="AW335" s="9"/>
      <c r="AX335" s="30">
        <f t="shared" si="1211"/>
        <v>0</v>
      </c>
      <c r="AY335" s="9"/>
      <c r="AZ335" s="30">
        <f t="shared" si="1212"/>
        <v>0</v>
      </c>
      <c r="BA335" s="10">
        <v>75870</v>
      </c>
      <c r="BB335" s="31">
        <v>113805</v>
      </c>
      <c r="BC335" s="15">
        <f t="shared" si="1130"/>
        <v>113805</v>
      </c>
      <c r="BD335" s="9">
        <f t="shared" si="1131"/>
        <v>0</v>
      </c>
      <c r="BE335" s="28">
        <f t="shared" si="1132"/>
        <v>75870</v>
      </c>
      <c r="BF335" s="8">
        <f t="shared" si="1133"/>
        <v>0</v>
      </c>
      <c r="BG335" s="29">
        <f t="shared" si="1134"/>
        <v>113805</v>
      </c>
      <c r="BH335" s="13">
        <f t="shared" si="1135"/>
        <v>0</v>
      </c>
      <c r="BI335" s="2" t="str">
        <f t="shared" si="1136"/>
        <v/>
      </c>
      <c r="BJ335" s="2"/>
    </row>
    <row r="336" spans="1:62">
      <c r="A336" s="1" t="s">
        <v>12</v>
      </c>
      <c r="B336" s="3" t="s">
        <v>23</v>
      </c>
      <c r="C336" s="3" t="s">
        <v>45</v>
      </c>
      <c r="D336" s="4">
        <v>1789</v>
      </c>
      <c r="E336" s="3" t="s">
        <v>49</v>
      </c>
      <c r="F336" s="3" t="s">
        <v>49</v>
      </c>
      <c r="G336" s="31">
        <v>27</v>
      </c>
      <c r="H336" s="31" t="s">
        <v>408</v>
      </c>
      <c r="I336" s="5">
        <v>3</v>
      </c>
      <c r="J336" s="5"/>
      <c r="K336" s="6"/>
      <c r="L336" s="11">
        <f t="shared" si="1125"/>
        <v>3</v>
      </c>
      <c r="M336" s="7" t="s">
        <v>15</v>
      </c>
      <c r="N336" s="31"/>
      <c r="O336" s="9"/>
      <c r="P336" s="9" t="str">
        <f t="shared" si="1126"/>
        <v/>
      </c>
      <c r="Q336" s="9"/>
      <c r="R336" s="30">
        <f t="shared" ref="R336" si="1247">Q336*$L336</f>
        <v>0</v>
      </c>
      <c r="S336" s="9"/>
      <c r="T336" s="30">
        <f t="shared" ref="T336" si="1248">S336*$L336</f>
        <v>0</v>
      </c>
      <c r="U336" s="9"/>
      <c r="V336" s="30">
        <f t="shared" si="1217"/>
        <v>0</v>
      </c>
      <c r="W336" s="9"/>
      <c r="X336" s="30">
        <f t="shared" si="1222"/>
        <v>0</v>
      </c>
      <c r="Y336" s="9"/>
      <c r="Z336" s="30">
        <f t="shared" si="1199"/>
        <v>0</v>
      </c>
      <c r="AA336" s="9"/>
      <c r="AB336" s="30">
        <f t="shared" si="1200"/>
        <v>0</v>
      </c>
      <c r="AC336" s="9"/>
      <c r="AD336" s="30">
        <f t="shared" si="1201"/>
        <v>0</v>
      </c>
      <c r="AE336" s="9"/>
      <c r="AF336" s="30">
        <f t="shared" si="1202"/>
        <v>0</v>
      </c>
      <c r="AG336" s="9"/>
      <c r="AH336" s="30">
        <f t="shared" si="1203"/>
        <v>0</v>
      </c>
      <c r="AI336" s="9">
        <v>121588</v>
      </c>
      <c r="AJ336" s="30">
        <v>364764</v>
      </c>
      <c r="AK336" s="9"/>
      <c r="AL336" s="30">
        <f t="shared" ref="AL336" si="1249">AK336*$L336</f>
        <v>0</v>
      </c>
      <c r="AM336" s="9"/>
      <c r="AN336" s="30">
        <f t="shared" si="1206"/>
        <v>0</v>
      </c>
      <c r="AO336" s="9"/>
      <c r="AP336" s="30">
        <f t="shared" si="1207"/>
        <v>0</v>
      </c>
      <c r="AQ336" s="9"/>
      <c r="AR336" s="30">
        <f t="shared" si="1208"/>
        <v>0</v>
      </c>
      <c r="AS336" s="9"/>
      <c r="AT336" s="30">
        <f t="shared" si="1209"/>
        <v>0</v>
      </c>
      <c r="AU336" s="9"/>
      <c r="AV336" s="30">
        <f t="shared" si="1210"/>
        <v>0</v>
      </c>
      <c r="AW336" s="9"/>
      <c r="AX336" s="30">
        <f t="shared" si="1211"/>
        <v>0</v>
      </c>
      <c r="AY336" s="9"/>
      <c r="AZ336" s="30">
        <f t="shared" si="1212"/>
        <v>0</v>
      </c>
      <c r="BA336" s="10">
        <v>121588</v>
      </c>
      <c r="BB336" s="31">
        <v>364764</v>
      </c>
      <c r="BC336" s="15">
        <f t="shared" si="1130"/>
        <v>364764</v>
      </c>
      <c r="BD336" s="9">
        <f t="shared" si="1131"/>
        <v>0</v>
      </c>
      <c r="BE336" s="28">
        <f t="shared" si="1132"/>
        <v>121588</v>
      </c>
      <c r="BF336" s="8">
        <f t="shared" si="1133"/>
        <v>0</v>
      </c>
      <c r="BG336" s="29">
        <f t="shared" si="1134"/>
        <v>364764</v>
      </c>
      <c r="BH336" s="13">
        <f t="shared" si="1135"/>
        <v>0</v>
      </c>
      <c r="BI336" s="2" t="str">
        <f t="shared" si="1136"/>
        <v/>
      </c>
      <c r="BJ336" s="2"/>
    </row>
    <row r="337" spans="1:62">
      <c r="A337" s="1" t="s">
        <v>12</v>
      </c>
      <c r="B337" s="3" t="s">
        <v>23</v>
      </c>
      <c r="C337" s="3" t="s">
        <v>45</v>
      </c>
      <c r="D337" s="4">
        <v>1789</v>
      </c>
      <c r="E337" s="3" t="s">
        <v>49</v>
      </c>
      <c r="F337" s="3" t="s">
        <v>49</v>
      </c>
      <c r="G337" s="31">
        <v>27</v>
      </c>
      <c r="H337" s="31" t="s">
        <v>409</v>
      </c>
      <c r="I337" s="5"/>
      <c r="J337" s="5">
        <v>24</v>
      </c>
      <c r="K337" s="6"/>
      <c r="L337" s="11">
        <f t="shared" si="1125"/>
        <v>1.2</v>
      </c>
      <c r="M337" s="7" t="s">
        <v>15</v>
      </c>
      <c r="N337" s="31"/>
      <c r="O337" s="9"/>
      <c r="P337" s="9" t="str">
        <f t="shared" si="1126"/>
        <v/>
      </c>
      <c r="Q337" s="9"/>
      <c r="R337" s="30">
        <f t="shared" ref="R337" si="1250">Q337*$L337</f>
        <v>0</v>
      </c>
      <c r="S337" s="9"/>
      <c r="T337" s="30">
        <f t="shared" ref="T337" si="1251">S337*$L337</f>
        <v>0</v>
      </c>
      <c r="U337" s="9"/>
      <c r="V337" s="30">
        <f t="shared" si="1217"/>
        <v>0</v>
      </c>
      <c r="W337" s="9"/>
      <c r="X337" s="30">
        <f t="shared" si="1222"/>
        <v>0</v>
      </c>
      <c r="Y337" s="9"/>
      <c r="Z337" s="30">
        <f t="shared" si="1199"/>
        <v>0</v>
      </c>
      <c r="AA337" s="9"/>
      <c r="AB337" s="30">
        <f t="shared" si="1200"/>
        <v>0</v>
      </c>
      <c r="AC337" s="9"/>
      <c r="AD337" s="30">
        <f t="shared" si="1201"/>
        <v>0</v>
      </c>
      <c r="AE337" s="9"/>
      <c r="AF337" s="30">
        <f t="shared" si="1202"/>
        <v>0</v>
      </c>
      <c r="AG337" s="9"/>
      <c r="AH337" s="30">
        <f t="shared" si="1203"/>
        <v>0</v>
      </c>
      <c r="AI337" s="9">
        <v>50204</v>
      </c>
      <c r="AJ337" s="30">
        <v>60245</v>
      </c>
      <c r="AK337" s="9"/>
      <c r="AL337" s="30">
        <f t="shared" ref="AL337" si="1252">AK337*$L337</f>
        <v>0</v>
      </c>
      <c r="AM337" s="9"/>
      <c r="AN337" s="30">
        <f t="shared" si="1206"/>
        <v>0</v>
      </c>
      <c r="AO337" s="9"/>
      <c r="AP337" s="30">
        <f t="shared" si="1207"/>
        <v>0</v>
      </c>
      <c r="AQ337" s="9"/>
      <c r="AR337" s="30">
        <f t="shared" si="1208"/>
        <v>0</v>
      </c>
      <c r="AS337" s="9"/>
      <c r="AT337" s="30">
        <f t="shared" si="1209"/>
        <v>0</v>
      </c>
      <c r="AU337" s="9"/>
      <c r="AV337" s="30">
        <f t="shared" si="1210"/>
        <v>0</v>
      </c>
      <c r="AW337" s="9"/>
      <c r="AX337" s="30">
        <f t="shared" si="1211"/>
        <v>0</v>
      </c>
      <c r="AY337" s="9"/>
      <c r="AZ337" s="30">
        <f t="shared" si="1212"/>
        <v>0</v>
      </c>
      <c r="BA337" s="10">
        <v>50204</v>
      </c>
      <c r="BB337" s="31">
        <v>60245</v>
      </c>
      <c r="BC337" s="15">
        <f t="shared" si="1130"/>
        <v>60245</v>
      </c>
      <c r="BD337" s="9">
        <f t="shared" si="1131"/>
        <v>0</v>
      </c>
      <c r="BE337" s="28">
        <f t="shared" si="1132"/>
        <v>50204</v>
      </c>
      <c r="BF337" s="8">
        <f t="shared" si="1133"/>
        <v>0</v>
      </c>
      <c r="BG337" s="29">
        <f t="shared" si="1134"/>
        <v>60244.799999999996</v>
      </c>
      <c r="BH337" s="13">
        <f t="shared" si="1135"/>
        <v>0.20000000000436557</v>
      </c>
      <c r="BI337" s="2" t="str">
        <f t="shared" si="1136"/>
        <v>erreur de calcul</v>
      </c>
      <c r="BJ337" s="2"/>
    </row>
    <row r="338" spans="1:62">
      <c r="A338" s="1" t="s">
        <v>12</v>
      </c>
      <c r="B338" s="3" t="s">
        <v>23</v>
      </c>
      <c r="C338" s="3" t="s">
        <v>45</v>
      </c>
      <c r="D338" s="4">
        <v>1789</v>
      </c>
      <c r="E338" s="3" t="s">
        <v>49</v>
      </c>
      <c r="F338" s="3" t="s">
        <v>49</v>
      </c>
      <c r="G338" s="31">
        <v>27</v>
      </c>
      <c r="H338" s="31" t="s">
        <v>410</v>
      </c>
      <c r="I338" s="5">
        <v>40</v>
      </c>
      <c r="J338" s="5"/>
      <c r="K338" s="6"/>
      <c r="L338" s="11">
        <f t="shared" si="1125"/>
        <v>40</v>
      </c>
      <c r="M338" s="7" t="s">
        <v>15</v>
      </c>
      <c r="N338" s="31" t="s">
        <v>18</v>
      </c>
      <c r="O338" s="9">
        <v>227</v>
      </c>
      <c r="P338" s="9">
        <v>9080</v>
      </c>
      <c r="Q338" s="9"/>
      <c r="R338" s="30">
        <f t="shared" ref="R338" si="1253">Q338*$L338</f>
        <v>0</v>
      </c>
      <c r="S338" s="9"/>
      <c r="T338" s="30">
        <f t="shared" ref="T338" si="1254">S338*$L338</f>
        <v>0</v>
      </c>
      <c r="U338" s="9"/>
      <c r="V338" s="30">
        <f t="shared" si="1217"/>
        <v>0</v>
      </c>
      <c r="W338" s="9"/>
      <c r="X338" s="30">
        <f t="shared" si="1222"/>
        <v>0</v>
      </c>
      <c r="Y338" s="9"/>
      <c r="Z338" s="30">
        <f t="shared" si="1199"/>
        <v>0</v>
      </c>
      <c r="AA338" s="9"/>
      <c r="AB338" s="30">
        <f t="shared" si="1200"/>
        <v>0</v>
      </c>
      <c r="AC338" s="9"/>
      <c r="AD338" s="30">
        <f t="shared" si="1201"/>
        <v>0</v>
      </c>
      <c r="AE338" s="9"/>
      <c r="AF338" s="30">
        <f t="shared" si="1202"/>
        <v>0</v>
      </c>
      <c r="AG338" s="9"/>
      <c r="AH338" s="30">
        <f t="shared" si="1203"/>
        <v>0</v>
      </c>
      <c r="AI338" s="9"/>
      <c r="AJ338" s="30">
        <f t="shared" ref="AJ338" si="1255">AI338*$L338</f>
        <v>0</v>
      </c>
      <c r="AK338" s="9"/>
      <c r="AL338" s="30">
        <f t="shared" ref="AL338" si="1256">AK338*$L338</f>
        <v>0</v>
      </c>
      <c r="AM338" s="9"/>
      <c r="AN338" s="30">
        <f t="shared" si="1206"/>
        <v>0</v>
      </c>
      <c r="AO338" s="9"/>
      <c r="AP338" s="30">
        <f t="shared" si="1207"/>
        <v>0</v>
      </c>
      <c r="AQ338" s="9"/>
      <c r="AR338" s="30">
        <f t="shared" si="1208"/>
        <v>0</v>
      </c>
      <c r="AS338" s="9"/>
      <c r="AT338" s="30">
        <f t="shared" si="1209"/>
        <v>0</v>
      </c>
      <c r="AU338" s="9"/>
      <c r="AV338" s="30">
        <f t="shared" si="1210"/>
        <v>0</v>
      </c>
      <c r="AW338" s="9"/>
      <c r="AX338" s="30">
        <f t="shared" si="1211"/>
        <v>0</v>
      </c>
      <c r="AY338" s="9"/>
      <c r="AZ338" s="30">
        <f t="shared" si="1212"/>
        <v>0</v>
      </c>
      <c r="BA338" s="10"/>
      <c r="BB338" s="31"/>
      <c r="BC338" s="15">
        <f t="shared" si="1130"/>
        <v>0</v>
      </c>
      <c r="BD338" s="9">
        <f t="shared" si="1131"/>
        <v>0</v>
      </c>
      <c r="BE338" s="28">
        <f t="shared" si="1132"/>
        <v>0</v>
      </c>
      <c r="BF338" s="8">
        <f t="shared" si="1133"/>
        <v>0</v>
      </c>
      <c r="BG338" s="29">
        <f t="shared" si="1134"/>
        <v>0</v>
      </c>
      <c r="BH338" s="13">
        <f t="shared" si="1135"/>
        <v>0</v>
      </c>
      <c r="BI338" s="2" t="str">
        <f t="shared" si="1136"/>
        <v/>
      </c>
      <c r="BJ338" s="2"/>
    </row>
    <row r="339" spans="1:62">
      <c r="A339" s="1" t="s">
        <v>12</v>
      </c>
      <c r="B339" s="3" t="s">
        <v>23</v>
      </c>
      <c r="C339" s="3" t="s">
        <v>45</v>
      </c>
      <c r="D339" s="4">
        <v>1789</v>
      </c>
      <c r="E339" s="3" t="s">
        <v>49</v>
      </c>
      <c r="F339" s="3" t="s">
        <v>49</v>
      </c>
      <c r="G339" s="31">
        <v>27</v>
      </c>
      <c r="H339" s="31" t="s">
        <v>411</v>
      </c>
      <c r="I339" s="5">
        <v>9</v>
      </c>
      <c r="J339" s="5"/>
      <c r="K339" s="6"/>
      <c r="L339" s="11">
        <f t="shared" si="1125"/>
        <v>9</v>
      </c>
      <c r="M339" s="7" t="s">
        <v>34</v>
      </c>
      <c r="N339" s="31" t="s">
        <v>18</v>
      </c>
      <c r="O339" s="9">
        <v>2050</v>
      </c>
      <c r="P339" s="9">
        <v>18450</v>
      </c>
      <c r="Q339" s="9"/>
      <c r="R339" s="30">
        <f t="shared" ref="R339" si="1257">Q339*$L339</f>
        <v>0</v>
      </c>
      <c r="S339" s="9"/>
      <c r="T339" s="30">
        <f t="shared" ref="T339" si="1258">S339*$L339</f>
        <v>0</v>
      </c>
      <c r="U339" s="9"/>
      <c r="V339" s="30">
        <f t="shared" si="1217"/>
        <v>0</v>
      </c>
      <c r="W339" s="9"/>
      <c r="X339" s="30">
        <f t="shared" si="1222"/>
        <v>0</v>
      </c>
      <c r="Y339" s="9"/>
      <c r="Z339" s="30">
        <f t="shared" si="1199"/>
        <v>0</v>
      </c>
      <c r="AA339" s="9"/>
      <c r="AB339" s="30">
        <f t="shared" si="1200"/>
        <v>0</v>
      </c>
      <c r="AC339" s="9"/>
      <c r="AD339" s="30">
        <f t="shared" si="1201"/>
        <v>0</v>
      </c>
      <c r="AE339" s="9"/>
      <c r="AF339" s="30">
        <f t="shared" si="1202"/>
        <v>0</v>
      </c>
      <c r="AG339" s="9"/>
      <c r="AH339" s="30">
        <f t="shared" si="1203"/>
        <v>0</v>
      </c>
      <c r="AI339" s="9"/>
      <c r="AJ339" s="30">
        <f t="shared" ref="AJ339" si="1259">AI339*$L339</f>
        <v>0</v>
      </c>
      <c r="AK339" s="9"/>
      <c r="AL339" s="30">
        <f t="shared" ref="AL339" si="1260">AK339*$L339</f>
        <v>0</v>
      </c>
      <c r="AM339" s="9"/>
      <c r="AN339" s="30">
        <f t="shared" si="1206"/>
        <v>0</v>
      </c>
      <c r="AO339" s="9"/>
      <c r="AP339" s="30">
        <f t="shared" si="1207"/>
        <v>0</v>
      </c>
      <c r="AQ339" s="9"/>
      <c r="AR339" s="30">
        <f t="shared" si="1208"/>
        <v>0</v>
      </c>
      <c r="AS339" s="9"/>
      <c r="AT339" s="30">
        <f t="shared" si="1209"/>
        <v>0</v>
      </c>
      <c r="AU339" s="9"/>
      <c r="AV339" s="30">
        <f t="shared" si="1210"/>
        <v>0</v>
      </c>
      <c r="AW339" s="9"/>
      <c r="AX339" s="30">
        <f t="shared" si="1211"/>
        <v>0</v>
      </c>
      <c r="AY339" s="9"/>
      <c r="AZ339" s="30">
        <f t="shared" si="1212"/>
        <v>0</v>
      </c>
      <c r="BA339" s="10"/>
      <c r="BB339" s="31"/>
      <c r="BC339" s="15">
        <f t="shared" si="1130"/>
        <v>0</v>
      </c>
      <c r="BD339" s="9">
        <f t="shared" si="1131"/>
        <v>0</v>
      </c>
      <c r="BE339" s="28">
        <f t="shared" si="1132"/>
        <v>0</v>
      </c>
      <c r="BF339" s="8">
        <f t="shared" si="1133"/>
        <v>0</v>
      </c>
      <c r="BG339" s="29">
        <f t="shared" si="1134"/>
        <v>0</v>
      </c>
      <c r="BH339" s="13">
        <f t="shared" si="1135"/>
        <v>0</v>
      </c>
      <c r="BI339" s="2" t="str">
        <f t="shared" si="1136"/>
        <v/>
      </c>
      <c r="BJ339" s="2"/>
    </row>
    <row r="340" spans="1:62">
      <c r="A340" s="1" t="s">
        <v>12</v>
      </c>
      <c r="B340" s="3" t="s">
        <v>23</v>
      </c>
      <c r="C340" s="3" t="s">
        <v>45</v>
      </c>
      <c r="D340" s="4">
        <v>1789</v>
      </c>
      <c r="E340" s="3" t="s">
        <v>49</v>
      </c>
      <c r="F340" s="3" t="s">
        <v>49</v>
      </c>
      <c r="G340" s="31">
        <v>27</v>
      </c>
      <c r="H340" s="31" t="s">
        <v>412</v>
      </c>
      <c r="I340" s="5">
        <v>220</v>
      </c>
      <c r="J340" s="5"/>
      <c r="K340" s="6"/>
      <c r="L340" s="11">
        <f t="shared" si="1125"/>
        <v>220</v>
      </c>
      <c r="M340" s="7" t="s">
        <v>14</v>
      </c>
      <c r="N340" s="31" t="s">
        <v>16</v>
      </c>
      <c r="O340" s="9">
        <f>9378/100</f>
        <v>93.78</v>
      </c>
      <c r="P340" s="9">
        <v>20632</v>
      </c>
      <c r="Q340" s="9">
        <f>245/100</f>
        <v>2.4500000000000002</v>
      </c>
      <c r="R340" s="30">
        <v>539</v>
      </c>
      <c r="S340" s="9"/>
      <c r="T340" s="30">
        <f t="shared" ref="T340" si="1261">S340*$L340</f>
        <v>0</v>
      </c>
      <c r="U340" s="9">
        <f>40119/100</f>
        <v>401.19</v>
      </c>
      <c r="V340" s="30">
        <v>88262</v>
      </c>
      <c r="W340" s="9">
        <f>14285/100</f>
        <v>142.85</v>
      </c>
      <c r="X340" s="30">
        <v>31427</v>
      </c>
      <c r="Y340" s="9">
        <f>62608/100</f>
        <v>626.08000000000004</v>
      </c>
      <c r="Z340" s="30">
        <v>137738</v>
      </c>
      <c r="AA340" s="9">
        <f>523/100</f>
        <v>5.23</v>
      </c>
      <c r="AB340" s="30">
        <v>1151</v>
      </c>
      <c r="AC340" s="9">
        <f>56/100</f>
        <v>0.56000000000000005</v>
      </c>
      <c r="AD340" s="30">
        <v>123</v>
      </c>
      <c r="AE340" s="9"/>
      <c r="AF340" s="30">
        <f t="shared" si="1202"/>
        <v>0</v>
      </c>
      <c r="AG340" s="9"/>
      <c r="AH340" s="30">
        <f t="shared" si="1203"/>
        <v>0</v>
      </c>
      <c r="AI340" s="9"/>
      <c r="AJ340" s="30">
        <f t="shared" ref="AJ340" si="1262">AI340*$L340</f>
        <v>0</v>
      </c>
      <c r="AK340" s="9">
        <f>3845/100</f>
        <v>38.450000000000003</v>
      </c>
      <c r="AL340" s="30">
        <v>8459</v>
      </c>
      <c r="AM340" s="9">
        <f>26510/100</f>
        <v>265.10000000000002</v>
      </c>
      <c r="AN340" s="30">
        <v>58322</v>
      </c>
      <c r="AO340" s="9">
        <f>330/100</f>
        <v>3.3</v>
      </c>
      <c r="AP340" s="30">
        <v>726</v>
      </c>
      <c r="AQ340" s="9"/>
      <c r="AR340" s="30">
        <f t="shared" si="1208"/>
        <v>0</v>
      </c>
      <c r="AS340" s="9"/>
      <c r="AT340" s="30">
        <f t="shared" si="1209"/>
        <v>0</v>
      </c>
      <c r="AU340" s="9"/>
      <c r="AV340" s="30">
        <f t="shared" si="1210"/>
        <v>0</v>
      </c>
      <c r="AW340" s="9">
        <f>1487/100</f>
        <v>14.87</v>
      </c>
      <c r="AX340" s="30">
        <v>3271</v>
      </c>
      <c r="AY340" s="9"/>
      <c r="AZ340" s="30">
        <f t="shared" si="1212"/>
        <v>0</v>
      </c>
      <c r="BA340" s="10">
        <f>150008/100</f>
        <v>1500.08</v>
      </c>
      <c r="BB340" s="31">
        <v>330018</v>
      </c>
      <c r="BC340" s="15">
        <f t="shared" si="1130"/>
        <v>330018</v>
      </c>
      <c r="BD340" s="9">
        <f t="shared" si="1131"/>
        <v>0</v>
      </c>
      <c r="BE340" s="28">
        <f t="shared" si="1132"/>
        <v>1500.0800000000002</v>
      </c>
      <c r="BF340" s="8">
        <f t="shared" si="1133"/>
        <v>0</v>
      </c>
      <c r="BG340" s="29">
        <f t="shared" si="1134"/>
        <v>330017.60000000003</v>
      </c>
      <c r="BH340" s="13">
        <f t="shared" si="1135"/>
        <v>0.3999999999650754</v>
      </c>
      <c r="BI340" s="2" t="str">
        <f t="shared" si="1136"/>
        <v>erreur de calcul</v>
      </c>
      <c r="BJ340" s="2"/>
    </row>
    <row r="341" spans="1:62">
      <c r="A341" s="1" t="s">
        <v>12</v>
      </c>
      <c r="B341" s="3" t="s">
        <v>23</v>
      </c>
      <c r="C341" s="3" t="s">
        <v>45</v>
      </c>
      <c r="D341" s="4">
        <v>1789</v>
      </c>
      <c r="E341" s="3" t="s">
        <v>49</v>
      </c>
      <c r="F341" s="3" t="s">
        <v>49</v>
      </c>
      <c r="G341" s="31">
        <v>27</v>
      </c>
      <c r="H341" s="31" t="s">
        <v>413</v>
      </c>
      <c r="I341" s="5">
        <v>35</v>
      </c>
      <c r="J341" s="5"/>
      <c r="K341" s="6"/>
      <c r="L341" s="11">
        <f t="shared" si="1125"/>
        <v>35</v>
      </c>
      <c r="M341" s="7" t="s">
        <v>14</v>
      </c>
      <c r="N341" s="31"/>
      <c r="O341" s="9"/>
      <c r="P341" s="9" t="str">
        <f t="shared" si="1126"/>
        <v/>
      </c>
      <c r="Q341" s="9"/>
      <c r="R341" s="30">
        <f t="shared" ref="R341" si="1263">Q341*$L341</f>
        <v>0</v>
      </c>
      <c r="S341" s="9"/>
      <c r="T341" s="30">
        <f t="shared" ref="T341" si="1264">S341*$L341</f>
        <v>0</v>
      </c>
      <c r="U341" s="9"/>
      <c r="V341" s="30">
        <f t="shared" si="1217"/>
        <v>0</v>
      </c>
      <c r="W341" s="9"/>
      <c r="X341" s="30">
        <f t="shared" si="1222"/>
        <v>0</v>
      </c>
      <c r="Y341" s="9">
        <f>9982/100</f>
        <v>99.82</v>
      </c>
      <c r="Z341" s="30">
        <v>3494</v>
      </c>
      <c r="AA341" s="9"/>
      <c r="AB341" s="30">
        <f t="shared" si="1200"/>
        <v>0</v>
      </c>
      <c r="AC341" s="9"/>
      <c r="AD341" s="30">
        <f t="shared" si="1201"/>
        <v>0</v>
      </c>
      <c r="AE341" s="9"/>
      <c r="AF341" s="30">
        <f t="shared" si="1202"/>
        <v>0</v>
      </c>
      <c r="AG341" s="9"/>
      <c r="AH341" s="30">
        <f t="shared" si="1203"/>
        <v>0</v>
      </c>
      <c r="AI341" s="9"/>
      <c r="AJ341" s="30">
        <f t="shared" ref="AJ341" si="1265">AI341*$L341</f>
        <v>0</v>
      </c>
      <c r="AK341" s="9">
        <f>28200/100</f>
        <v>282</v>
      </c>
      <c r="AL341" s="30">
        <v>9870</v>
      </c>
      <c r="AM341" s="9">
        <f>163472/100</f>
        <v>1634.72</v>
      </c>
      <c r="AN341" s="30">
        <v>57215</v>
      </c>
      <c r="AO341" s="9"/>
      <c r="AP341" s="30">
        <f t="shared" si="1207"/>
        <v>0</v>
      </c>
      <c r="AQ341" s="9"/>
      <c r="AR341" s="30">
        <f t="shared" si="1208"/>
        <v>0</v>
      </c>
      <c r="AS341" s="9"/>
      <c r="AT341" s="30">
        <f t="shared" si="1209"/>
        <v>0</v>
      </c>
      <c r="AU341" s="9"/>
      <c r="AV341" s="30">
        <f t="shared" si="1210"/>
        <v>0</v>
      </c>
      <c r="AW341" s="9">
        <f>49250/100</f>
        <v>492.5</v>
      </c>
      <c r="AX341" s="30">
        <v>17237</v>
      </c>
      <c r="AY341" s="9"/>
      <c r="AZ341" s="30">
        <f t="shared" si="1212"/>
        <v>0</v>
      </c>
      <c r="BA341" s="10">
        <f>250904/100</f>
        <v>2509.04</v>
      </c>
      <c r="BB341" s="31">
        <v>87816</v>
      </c>
      <c r="BC341" s="15">
        <f t="shared" si="1130"/>
        <v>87816</v>
      </c>
      <c r="BD341" s="9">
        <f t="shared" si="1131"/>
        <v>0</v>
      </c>
      <c r="BE341" s="28">
        <f t="shared" si="1132"/>
        <v>2509.04</v>
      </c>
      <c r="BF341" s="8">
        <f t="shared" si="1133"/>
        <v>0</v>
      </c>
      <c r="BG341" s="29">
        <f t="shared" si="1134"/>
        <v>87816.4</v>
      </c>
      <c r="BH341" s="13">
        <f t="shared" si="1135"/>
        <v>-0.39999999999417923</v>
      </c>
      <c r="BI341" s="2" t="str">
        <f t="shared" si="1136"/>
        <v>erreur de calcul</v>
      </c>
      <c r="BJ341" s="2"/>
    </row>
    <row r="342" spans="1:62">
      <c r="A342" s="1" t="s">
        <v>12</v>
      </c>
      <c r="B342" s="3" t="s">
        <v>23</v>
      </c>
      <c r="C342" s="3" t="s">
        <v>45</v>
      </c>
      <c r="D342" s="4">
        <v>1789</v>
      </c>
      <c r="E342" s="3" t="s">
        <v>49</v>
      </c>
      <c r="F342" s="3" t="s">
        <v>49</v>
      </c>
      <c r="G342" s="31">
        <v>27</v>
      </c>
      <c r="H342" s="31" t="s">
        <v>414</v>
      </c>
      <c r="I342" s="5">
        <v>75</v>
      </c>
      <c r="J342" s="5"/>
      <c r="K342" s="6"/>
      <c r="L342" s="11">
        <f t="shared" si="1125"/>
        <v>75</v>
      </c>
      <c r="M342" s="7" t="s">
        <v>14</v>
      </c>
      <c r="N342" s="31"/>
      <c r="O342" s="9"/>
      <c r="P342" s="9" t="str">
        <f t="shared" si="1126"/>
        <v/>
      </c>
      <c r="Q342" s="9"/>
      <c r="R342" s="30">
        <f t="shared" ref="R342" si="1266">Q342*$L342</f>
        <v>0</v>
      </c>
      <c r="S342" s="9"/>
      <c r="T342" s="30">
        <f t="shared" ref="T342" si="1267">S342*$L342</f>
        <v>0</v>
      </c>
      <c r="U342" s="9"/>
      <c r="V342" s="30">
        <f t="shared" si="1217"/>
        <v>0</v>
      </c>
      <c r="W342" s="9">
        <f>1030/100</f>
        <v>10.3</v>
      </c>
      <c r="X342" s="30">
        <v>772</v>
      </c>
      <c r="Y342" s="9"/>
      <c r="Z342" s="30">
        <f t="shared" si="1199"/>
        <v>0</v>
      </c>
      <c r="AA342" s="9"/>
      <c r="AB342" s="30">
        <f t="shared" si="1200"/>
        <v>0</v>
      </c>
      <c r="AC342" s="9"/>
      <c r="AD342" s="30">
        <f t="shared" si="1201"/>
        <v>0</v>
      </c>
      <c r="AE342" s="9"/>
      <c r="AF342" s="30">
        <f t="shared" si="1202"/>
        <v>0</v>
      </c>
      <c r="AG342" s="9"/>
      <c r="AH342" s="30">
        <f t="shared" si="1203"/>
        <v>0</v>
      </c>
      <c r="AI342" s="9"/>
      <c r="AJ342" s="30">
        <f t="shared" ref="AJ342" si="1268">AI342*$L342</f>
        <v>0</v>
      </c>
      <c r="AK342" s="9"/>
      <c r="AL342" s="30">
        <f t="shared" ref="AL342" si="1269">AK342*$L342</f>
        <v>0</v>
      </c>
      <c r="AM342" s="9"/>
      <c r="AN342" s="30">
        <f t="shared" si="1206"/>
        <v>0</v>
      </c>
      <c r="AO342" s="9"/>
      <c r="AP342" s="30">
        <f t="shared" si="1207"/>
        <v>0</v>
      </c>
      <c r="AQ342" s="9"/>
      <c r="AR342" s="30">
        <f t="shared" si="1208"/>
        <v>0</v>
      </c>
      <c r="AS342" s="9"/>
      <c r="AT342" s="30">
        <f t="shared" si="1209"/>
        <v>0</v>
      </c>
      <c r="AU342" s="9"/>
      <c r="AV342" s="30">
        <f t="shared" si="1210"/>
        <v>0</v>
      </c>
      <c r="AW342" s="9"/>
      <c r="AX342" s="30">
        <f t="shared" si="1211"/>
        <v>0</v>
      </c>
      <c r="AY342" s="9"/>
      <c r="AZ342" s="30">
        <f t="shared" si="1212"/>
        <v>0</v>
      </c>
      <c r="BA342" s="10">
        <f>1030/100</f>
        <v>10.3</v>
      </c>
      <c r="BB342" s="31">
        <v>772</v>
      </c>
      <c r="BC342" s="15">
        <f t="shared" si="1130"/>
        <v>772</v>
      </c>
      <c r="BD342" s="9">
        <f t="shared" si="1131"/>
        <v>0</v>
      </c>
      <c r="BE342" s="28">
        <f t="shared" si="1132"/>
        <v>10.3</v>
      </c>
      <c r="BF342" s="8">
        <f t="shared" si="1133"/>
        <v>0</v>
      </c>
      <c r="BG342" s="29">
        <f t="shared" si="1134"/>
        <v>772.5</v>
      </c>
      <c r="BH342" s="13">
        <f t="shared" si="1135"/>
        <v>-0.5</v>
      </c>
      <c r="BI342" s="2" t="str">
        <f t="shared" si="1136"/>
        <v>erreur de calcul</v>
      </c>
      <c r="BJ342" s="2"/>
    </row>
    <row r="343" spans="1:62">
      <c r="A343" s="1" t="s">
        <v>12</v>
      </c>
      <c r="B343" s="3" t="s">
        <v>23</v>
      </c>
      <c r="C343" s="3" t="s">
        <v>45</v>
      </c>
      <c r="D343" s="4">
        <v>1789</v>
      </c>
      <c r="E343" s="3" t="s">
        <v>49</v>
      </c>
      <c r="F343" s="3" t="s">
        <v>49</v>
      </c>
      <c r="G343" s="31">
        <v>27</v>
      </c>
      <c r="H343" s="31" t="s">
        <v>415</v>
      </c>
      <c r="I343" s="5">
        <v>6</v>
      </c>
      <c r="J343" s="5"/>
      <c r="K343" s="6"/>
      <c r="L343" s="11">
        <f t="shared" si="1125"/>
        <v>6</v>
      </c>
      <c r="M343" s="7" t="s">
        <v>14</v>
      </c>
      <c r="N343" s="31" t="s">
        <v>16</v>
      </c>
      <c r="O343" s="9">
        <f>3582/100</f>
        <v>35.82</v>
      </c>
      <c r="P343" s="9">
        <v>215</v>
      </c>
      <c r="Q343" s="9"/>
      <c r="R343" s="30">
        <f t="shared" ref="R343" si="1270">Q343*$L343</f>
        <v>0</v>
      </c>
      <c r="S343" s="9"/>
      <c r="T343" s="30">
        <f t="shared" ref="T343" si="1271">S343*$L343</f>
        <v>0</v>
      </c>
      <c r="U343" s="9"/>
      <c r="V343" s="30">
        <f t="shared" si="1217"/>
        <v>0</v>
      </c>
      <c r="W343" s="9"/>
      <c r="X343" s="30">
        <f t="shared" si="1222"/>
        <v>0</v>
      </c>
      <c r="Y343" s="9"/>
      <c r="Z343" s="30">
        <f t="shared" si="1199"/>
        <v>0</v>
      </c>
      <c r="AA343" s="9"/>
      <c r="AB343" s="30">
        <f t="shared" si="1200"/>
        <v>0</v>
      </c>
      <c r="AC343" s="9"/>
      <c r="AD343" s="30">
        <f t="shared" si="1201"/>
        <v>0</v>
      </c>
      <c r="AE343" s="9"/>
      <c r="AF343" s="30">
        <f t="shared" si="1202"/>
        <v>0</v>
      </c>
      <c r="AG343" s="9"/>
      <c r="AH343" s="30">
        <f t="shared" si="1203"/>
        <v>0</v>
      </c>
      <c r="AI343" s="9">
        <f>9050/100</f>
        <v>90.5</v>
      </c>
      <c r="AJ343" s="30">
        <v>543</v>
      </c>
      <c r="AK343" s="9"/>
      <c r="AL343" s="30">
        <f t="shared" ref="AL343" si="1272">AK343*$L343</f>
        <v>0</v>
      </c>
      <c r="AM343" s="9">
        <f>48717/100</f>
        <v>487.17</v>
      </c>
      <c r="AN343" s="30">
        <v>2923</v>
      </c>
      <c r="AO343" s="9"/>
      <c r="AP343" s="30">
        <f t="shared" si="1207"/>
        <v>0</v>
      </c>
      <c r="AQ343" s="9"/>
      <c r="AR343" s="30">
        <f t="shared" si="1208"/>
        <v>0</v>
      </c>
      <c r="AS343" s="9"/>
      <c r="AT343" s="30">
        <f t="shared" si="1209"/>
        <v>0</v>
      </c>
      <c r="AU343" s="9"/>
      <c r="AV343" s="30">
        <f t="shared" si="1210"/>
        <v>0</v>
      </c>
      <c r="AW343" s="9"/>
      <c r="AX343" s="30">
        <f t="shared" si="1211"/>
        <v>0</v>
      </c>
      <c r="AY343" s="9"/>
      <c r="AZ343" s="30">
        <f t="shared" si="1212"/>
        <v>0</v>
      </c>
      <c r="BA343" s="10">
        <f>57767/100</f>
        <v>577.66999999999996</v>
      </c>
      <c r="BB343" s="31">
        <v>3466</v>
      </c>
      <c r="BC343" s="15">
        <f t="shared" si="1130"/>
        <v>3466</v>
      </c>
      <c r="BD343" s="9">
        <f t="shared" si="1131"/>
        <v>0</v>
      </c>
      <c r="BE343" s="28">
        <f t="shared" si="1132"/>
        <v>577.67000000000007</v>
      </c>
      <c r="BF343" s="8">
        <f t="shared" si="1133"/>
        <v>0</v>
      </c>
      <c r="BG343" s="29">
        <f t="shared" si="1134"/>
        <v>3466.0200000000004</v>
      </c>
      <c r="BH343" s="13">
        <f t="shared" si="1135"/>
        <v>-2.0000000000436557E-2</v>
      </c>
      <c r="BI343" s="2" t="str">
        <f t="shared" si="1136"/>
        <v>erreur de calcul</v>
      </c>
      <c r="BJ343" s="2"/>
    </row>
    <row r="344" spans="1:62">
      <c r="A344" s="1" t="s">
        <v>12</v>
      </c>
      <c r="B344" s="3" t="s">
        <v>23</v>
      </c>
      <c r="C344" s="3" t="s">
        <v>45</v>
      </c>
      <c r="D344" s="4">
        <v>1789</v>
      </c>
      <c r="E344" s="3" t="s">
        <v>49</v>
      </c>
      <c r="F344" s="3" t="s">
        <v>49</v>
      </c>
      <c r="G344" s="31">
        <v>27</v>
      </c>
      <c r="H344" s="31" t="s">
        <v>416</v>
      </c>
      <c r="I344" s="5">
        <v>25</v>
      </c>
      <c r="J344" s="5"/>
      <c r="K344" s="6"/>
      <c r="L344" s="11">
        <f t="shared" si="1125"/>
        <v>25</v>
      </c>
      <c r="M344" s="7" t="s">
        <v>14</v>
      </c>
      <c r="N344" s="31"/>
      <c r="O344" s="9"/>
      <c r="P344" s="9" t="str">
        <f t="shared" si="1126"/>
        <v/>
      </c>
      <c r="Q344" s="9"/>
      <c r="R344" s="30">
        <f t="shared" ref="R344" si="1273">Q344*$L344</f>
        <v>0</v>
      </c>
      <c r="S344" s="9"/>
      <c r="T344" s="30">
        <f t="shared" ref="T344" si="1274">S344*$L344</f>
        <v>0</v>
      </c>
      <c r="U344" s="9">
        <f>10*288*0.02+114*0.02</f>
        <v>59.88</v>
      </c>
      <c r="V344" s="30">
        <v>1497</v>
      </c>
      <c r="W344" s="9"/>
      <c r="X344" s="30">
        <f t="shared" si="1222"/>
        <v>0</v>
      </c>
      <c r="Y344" s="9"/>
      <c r="Z344" s="30">
        <f t="shared" si="1199"/>
        <v>0</v>
      </c>
      <c r="AA344" s="9"/>
      <c r="AB344" s="30">
        <f t="shared" si="1200"/>
        <v>0</v>
      </c>
      <c r="AC344" s="9"/>
      <c r="AD344" s="30">
        <f t="shared" si="1201"/>
        <v>0</v>
      </c>
      <c r="AE344" s="9"/>
      <c r="AF344" s="30">
        <f t="shared" si="1202"/>
        <v>0</v>
      </c>
      <c r="AG344" s="9"/>
      <c r="AH344" s="30">
        <f t="shared" si="1203"/>
        <v>0</v>
      </c>
      <c r="AI344" s="9"/>
      <c r="AJ344" s="30">
        <f t="shared" ref="AJ344" si="1275">AI344*$L344</f>
        <v>0</v>
      </c>
      <c r="AK344" s="9"/>
      <c r="AL344" s="30">
        <f t="shared" ref="AL344" si="1276">AK344*$L344</f>
        <v>0</v>
      </c>
      <c r="AM344" s="9"/>
      <c r="AN344" s="30">
        <f t="shared" si="1206"/>
        <v>0</v>
      </c>
      <c r="AO344" s="9"/>
      <c r="AP344" s="30">
        <f t="shared" si="1207"/>
        <v>0</v>
      </c>
      <c r="AQ344" s="9"/>
      <c r="AR344" s="30">
        <f t="shared" si="1208"/>
        <v>0</v>
      </c>
      <c r="AS344" s="9"/>
      <c r="AT344" s="30">
        <f t="shared" si="1209"/>
        <v>0</v>
      </c>
      <c r="AU344" s="9"/>
      <c r="AV344" s="30">
        <f t="shared" si="1210"/>
        <v>0</v>
      </c>
      <c r="AW344" s="9"/>
      <c r="AX344" s="30">
        <f t="shared" si="1211"/>
        <v>0</v>
      </c>
      <c r="AY344" s="9"/>
      <c r="AZ344" s="30">
        <f t="shared" si="1212"/>
        <v>0</v>
      </c>
      <c r="BA344" s="10">
        <f>10*288*0.02+114*0.02</f>
        <v>59.88</v>
      </c>
      <c r="BB344" s="31">
        <v>1497</v>
      </c>
      <c r="BC344" s="15">
        <f t="shared" si="1130"/>
        <v>1497</v>
      </c>
      <c r="BD344" s="9">
        <f t="shared" si="1131"/>
        <v>0</v>
      </c>
      <c r="BE344" s="28">
        <f t="shared" si="1132"/>
        <v>59.88</v>
      </c>
      <c r="BF344" s="8">
        <f t="shared" si="1133"/>
        <v>0</v>
      </c>
      <c r="BG344" s="29">
        <f t="shared" si="1134"/>
        <v>1497</v>
      </c>
      <c r="BH344" s="13">
        <f t="shared" si="1135"/>
        <v>0</v>
      </c>
      <c r="BI344" s="2" t="str">
        <f t="shared" si="1136"/>
        <v/>
      </c>
      <c r="BJ344" s="2"/>
    </row>
    <row r="345" spans="1:62">
      <c r="A345" s="1" t="s">
        <v>12</v>
      </c>
      <c r="B345" s="3" t="s">
        <v>23</v>
      </c>
      <c r="C345" s="3" t="s">
        <v>45</v>
      </c>
      <c r="D345" s="4">
        <v>1789</v>
      </c>
      <c r="E345" s="3" t="s">
        <v>49</v>
      </c>
      <c r="F345" s="3" t="s">
        <v>49</v>
      </c>
      <c r="G345" s="31">
        <v>27</v>
      </c>
      <c r="H345" s="31" t="s">
        <v>417</v>
      </c>
      <c r="I345" s="5">
        <v>40</v>
      </c>
      <c r="J345" s="5"/>
      <c r="K345" s="6"/>
      <c r="L345" s="11">
        <f t="shared" si="1125"/>
        <v>40</v>
      </c>
      <c r="M345" s="7" t="s">
        <v>14</v>
      </c>
      <c r="N345" s="31"/>
      <c r="O345" s="9"/>
      <c r="P345" s="9" t="str">
        <f t="shared" si="1126"/>
        <v/>
      </c>
      <c r="Q345" s="9"/>
      <c r="R345" s="30">
        <f t="shared" ref="R345" si="1277">Q345*$L345</f>
        <v>0</v>
      </c>
      <c r="S345" s="9"/>
      <c r="T345" s="30">
        <f t="shared" ref="T345" si="1278">S345*$L345</f>
        <v>0</v>
      </c>
      <c r="U345" s="9"/>
      <c r="V345" s="30">
        <f t="shared" si="1217"/>
        <v>0</v>
      </c>
      <c r="W345" s="9"/>
      <c r="X345" s="30">
        <f t="shared" si="1222"/>
        <v>0</v>
      </c>
      <c r="Y345" s="9"/>
      <c r="Z345" s="30">
        <f t="shared" si="1199"/>
        <v>0</v>
      </c>
      <c r="AA345" s="9"/>
      <c r="AB345" s="30">
        <f t="shared" si="1200"/>
        <v>0</v>
      </c>
      <c r="AC345" s="9"/>
      <c r="AD345" s="30">
        <f t="shared" si="1201"/>
        <v>0</v>
      </c>
      <c r="AE345" s="9"/>
      <c r="AF345" s="30">
        <f t="shared" si="1202"/>
        <v>0</v>
      </c>
      <c r="AG345" s="9"/>
      <c r="AH345" s="30">
        <f t="shared" si="1203"/>
        <v>0</v>
      </c>
      <c r="AI345" s="9">
        <f>1*288*0.02+59*0.02</f>
        <v>6.9399999999999995</v>
      </c>
      <c r="AJ345" s="30">
        <v>278</v>
      </c>
      <c r="AK345" s="9"/>
      <c r="AL345" s="30">
        <f t="shared" ref="AL345" si="1279">AK345*$L345</f>
        <v>0</v>
      </c>
      <c r="AM345" s="9"/>
      <c r="AN345" s="30">
        <f t="shared" si="1206"/>
        <v>0</v>
      </c>
      <c r="AO345" s="9"/>
      <c r="AP345" s="30">
        <f t="shared" si="1207"/>
        <v>0</v>
      </c>
      <c r="AQ345" s="9"/>
      <c r="AR345" s="30">
        <f t="shared" si="1208"/>
        <v>0</v>
      </c>
      <c r="AS345" s="9"/>
      <c r="AT345" s="30">
        <f t="shared" si="1209"/>
        <v>0</v>
      </c>
      <c r="AU345" s="9"/>
      <c r="AV345" s="30">
        <f t="shared" si="1210"/>
        <v>0</v>
      </c>
      <c r="AW345" s="9"/>
      <c r="AX345" s="30">
        <f t="shared" si="1211"/>
        <v>0</v>
      </c>
      <c r="AY345" s="9"/>
      <c r="AZ345" s="30">
        <f t="shared" si="1212"/>
        <v>0</v>
      </c>
      <c r="BA345" s="10">
        <f>1*288*0.02+59*0.02</f>
        <v>6.9399999999999995</v>
      </c>
      <c r="BB345" s="31">
        <v>278</v>
      </c>
      <c r="BC345" s="15">
        <f t="shared" si="1130"/>
        <v>278</v>
      </c>
      <c r="BD345" s="9">
        <f t="shared" si="1131"/>
        <v>0</v>
      </c>
      <c r="BE345" s="28">
        <f t="shared" si="1132"/>
        <v>6.9399999999999995</v>
      </c>
      <c r="BF345" s="8">
        <f t="shared" si="1133"/>
        <v>0</v>
      </c>
      <c r="BG345" s="29">
        <f t="shared" si="1134"/>
        <v>277.59999999999997</v>
      </c>
      <c r="BH345" s="13">
        <f t="shared" si="1135"/>
        <v>0.40000000000003411</v>
      </c>
      <c r="BI345" s="2" t="str">
        <f t="shared" si="1136"/>
        <v>erreur de calcul</v>
      </c>
      <c r="BJ345" s="2"/>
    </row>
    <row r="346" spans="1:62">
      <c r="A346" s="1" t="s">
        <v>12</v>
      </c>
      <c r="B346" s="3" t="s">
        <v>23</v>
      </c>
      <c r="C346" s="3" t="s">
        <v>45</v>
      </c>
      <c r="D346" s="4">
        <v>1789</v>
      </c>
      <c r="E346" s="3" t="s">
        <v>49</v>
      </c>
      <c r="F346" s="3" t="s">
        <v>49</v>
      </c>
      <c r="G346" s="31">
        <v>27</v>
      </c>
      <c r="H346" s="31" t="s">
        <v>418</v>
      </c>
      <c r="I346" s="5">
        <v>32</v>
      </c>
      <c r="J346" s="5"/>
      <c r="K346" s="6"/>
      <c r="L346" s="11">
        <f t="shared" si="1125"/>
        <v>32</v>
      </c>
      <c r="M346" s="7" t="s">
        <v>14</v>
      </c>
      <c r="N346" s="31"/>
      <c r="O346" s="9"/>
      <c r="P346" s="9" t="str">
        <f t="shared" si="1126"/>
        <v/>
      </c>
      <c r="Q346" s="9">
        <f>33*288*0.02+179*0.02</f>
        <v>193.66000000000003</v>
      </c>
      <c r="R346" s="30">
        <v>6197</v>
      </c>
      <c r="S346" s="9"/>
      <c r="T346" s="30">
        <f t="shared" ref="T346" si="1280">S346*$L346</f>
        <v>0</v>
      </c>
      <c r="U346" s="9"/>
      <c r="V346" s="30">
        <f t="shared" si="1217"/>
        <v>0</v>
      </c>
      <c r="W346" s="9"/>
      <c r="X346" s="30">
        <f t="shared" si="1222"/>
        <v>0</v>
      </c>
      <c r="Y346" s="9"/>
      <c r="Z346" s="30">
        <f t="shared" si="1199"/>
        <v>0</v>
      </c>
      <c r="AA346" s="9"/>
      <c r="AB346" s="30">
        <f t="shared" si="1200"/>
        <v>0</v>
      </c>
      <c r="AC346" s="9"/>
      <c r="AD346" s="30">
        <f t="shared" si="1201"/>
        <v>0</v>
      </c>
      <c r="AE346" s="9"/>
      <c r="AF346" s="30">
        <f t="shared" si="1202"/>
        <v>0</v>
      </c>
      <c r="AG346" s="9"/>
      <c r="AH346" s="30">
        <f t="shared" si="1203"/>
        <v>0</v>
      </c>
      <c r="AI346" s="9"/>
      <c r="AJ346" s="30">
        <f t="shared" ref="AJ346" si="1281">AI346*$L346</f>
        <v>0</v>
      </c>
      <c r="AK346" s="9"/>
      <c r="AL346" s="30">
        <f t="shared" ref="AL346" si="1282">AK346*$L346</f>
        <v>0</v>
      </c>
      <c r="AM346" s="9"/>
      <c r="AN346" s="30">
        <f t="shared" si="1206"/>
        <v>0</v>
      </c>
      <c r="AO346" s="9"/>
      <c r="AP346" s="30">
        <f t="shared" si="1207"/>
        <v>0</v>
      </c>
      <c r="AQ346" s="9"/>
      <c r="AR346" s="30">
        <f t="shared" si="1208"/>
        <v>0</v>
      </c>
      <c r="AS346" s="9"/>
      <c r="AT346" s="30">
        <f t="shared" si="1209"/>
        <v>0</v>
      </c>
      <c r="AU346" s="9"/>
      <c r="AV346" s="30">
        <f t="shared" si="1210"/>
        <v>0</v>
      </c>
      <c r="AW346" s="9"/>
      <c r="AX346" s="30">
        <f t="shared" si="1211"/>
        <v>0</v>
      </c>
      <c r="AY346" s="9"/>
      <c r="AZ346" s="30">
        <f t="shared" si="1212"/>
        <v>0</v>
      </c>
      <c r="BA346" s="10">
        <f>33*288*0.02+179*0.02</f>
        <v>193.66000000000003</v>
      </c>
      <c r="BB346" s="31">
        <v>6197</v>
      </c>
      <c r="BC346" s="15">
        <f t="shared" si="1130"/>
        <v>6197</v>
      </c>
      <c r="BD346" s="9">
        <f t="shared" si="1131"/>
        <v>0</v>
      </c>
      <c r="BE346" s="28">
        <f t="shared" si="1132"/>
        <v>193.66000000000003</v>
      </c>
      <c r="BF346" s="8">
        <f t="shared" si="1133"/>
        <v>0</v>
      </c>
      <c r="BG346" s="29">
        <f t="shared" si="1134"/>
        <v>6197.1200000000008</v>
      </c>
      <c r="BH346" s="13">
        <f t="shared" si="1135"/>
        <v>-0.12000000000080036</v>
      </c>
      <c r="BI346" s="2" t="str">
        <f t="shared" si="1136"/>
        <v>erreur de calcul</v>
      </c>
      <c r="BJ346" s="2"/>
    </row>
    <row r="347" spans="1:62">
      <c r="A347" s="1" t="s">
        <v>12</v>
      </c>
      <c r="B347" s="3" t="s">
        <v>23</v>
      </c>
      <c r="C347" s="3" t="s">
        <v>45</v>
      </c>
      <c r="D347" s="4">
        <v>1789</v>
      </c>
      <c r="E347" s="3" t="s">
        <v>49</v>
      </c>
      <c r="F347" s="3" t="s">
        <v>49</v>
      </c>
      <c r="G347" s="31">
        <v>27</v>
      </c>
      <c r="H347" s="31" t="s">
        <v>419</v>
      </c>
      <c r="I347" s="5"/>
      <c r="J347" s="5">
        <v>12</v>
      </c>
      <c r="K347" s="6"/>
      <c r="L347" s="11">
        <f t="shared" si="1125"/>
        <v>0.6</v>
      </c>
      <c r="M347" s="7" t="s">
        <v>48</v>
      </c>
      <c r="N347" s="31"/>
      <c r="O347" s="9"/>
      <c r="P347" s="9" t="str">
        <f t="shared" si="1126"/>
        <v/>
      </c>
      <c r="Q347" s="9">
        <f>620*288+173</f>
        <v>178733</v>
      </c>
      <c r="R347" s="30">
        <v>107240</v>
      </c>
      <c r="S347" s="9"/>
      <c r="T347" s="30">
        <f t="shared" ref="T347" si="1283">S347*$L347</f>
        <v>0</v>
      </c>
      <c r="U347" s="9"/>
      <c r="V347" s="30">
        <f t="shared" si="1217"/>
        <v>0</v>
      </c>
      <c r="W347" s="9">
        <f>4*288+179</f>
        <v>1331</v>
      </c>
      <c r="X347" s="30">
        <v>799</v>
      </c>
      <c r="Y347" s="9"/>
      <c r="Z347" s="30">
        <f t="shared" si="1199"/>
        <v>0</v>
      </c>
      <c r="AA347" s="9"/>
      <c r="AB347" s="30">
        <f t="shared" si="1200"/>
        <v>0</v>
      </c>
      <c r="AC347" s="9"/>
      <c r="AD347" s="30">
        <f t="shared" si="1201"/>
        <v>0</v>
      </c>
      <c r="AE347" s="9"/>
      <c r="AF347" s="30">
        <f t="shared" si="1202"/>
        <v>0</v>
      </c>
      <c r="AG347" s="9"/>
      <c r="AH347" s="30">
        <f t="shared" si="1203"/>
        <v>0</v>
      </c>
      <c r="AI347" s="9">
        <f>12*288+227</f>
        <v>3683</v>
      </c>
      <c r="AJ347" s="30">
        <v>2210</v>
      </c>
      <c r="AK347" s="9"/>
      <c r="AL347" s="30">
        <f t="shared" ref="AL347" si="1284">AK347*$L347</f>
        <v>0</v>
      </c>
      <c r="AM347" s="9"/>
      <c r="AN347" s="30">
        <f t="shared" si="1206"/>
        <v>0</v>
      </c>
      <c r="AO347" s="9"/>
      <c r="AP347" s="30">
        <f t="shared" si="1207"/>
        <v>0</v>
      </c>
      <c r="AQ347" s="9"/>
      <c r="AR347" s="30">
        <f t="shared" si="1208"/>
        <v>0</v>
      </c>
      <c r="AS347" s="9"/>
      <c r="AT347" s="30">
        <f t="shared" si="1209"/>
        <v>0</v>
      </c>
      <c r="AU347" s="9"/>
      <c r="AV347" s="30">
        <f t="shared" si="1210"/>
        <v>0</v>
      </c>
      <c r="AW347" s="9"/>
      <c r="AX347" s="30">
        <f t="shared" si="1211"/>
        <v>0</v>
      </c>
      <c r="AY347" s="9"/>
      <c r="AZ347" s="30">
        <f t="shared" si="1212"/>
        <v>0</v>
      </c>
      <c r="BA347" s="10">
        <f>638*288+3</f>
        <v>183747</v>
      </c>
      <c r="BB347" s="31">
        <v>110249</v>
      </c>
      <c r="BC347" s="15">
        <f t="shared" si="1130"/>
        <v>110249</v>
      </c>
      <c r="BD347" s="9">
        <f t="shared" si="1131"/>
        <v>0</v>
      </c>
      <c r="BE347" s="28">
        <f t="shared" si="1132"/>
        <v>183747</v>
      </c>
      <c r="BF347" s="8">
        <f t="shared" si="1133"/>
        <v>0</v>
      </c>
      <c r="BG347" s="29">
        <f t="shared" si="1134"/>
        <v>110248.2</v>
      </c>
      <c r="BH347" s="13">
        <f t="shared" si="1135"/>
        <v>0.80000000000291038</v>
      </c>
      <c r="BI347" s="2" t="str">
        <f t="shared" si="1136"/>
        <v>erreur de calcul</v>
      </c>
      <c r="BJ347" s="2"/>
    </row>
    <row r="348" spans="1:62">
      <c r="A348" s="1" t="s">
        <v>12</v>
      </c>
      <c r="B348" s="3" t="s">
        <v>23</v>
      </c>
      <c r="C348" s="3" t="s">
        <v>45</v>
      </c>
      <c r="D348" s="4">
        <v>1789</v>
      </c>
      <c r="E348" s="3" t="s">
        <v>49</v>
      </c>
      <c r="F348" s="3" t="s">
        <v>49</v>
      </c>
      <c r="G348" s="31">
        <v>27</v>
      </c>
      <c r="H348" s="31" t="s">
        <v>420</v>
      </c>
      <c r="I348" s="5">
        <v>30</v>
      </c>
      <c r="J348" s="5"/>
      <c r="K348" s="6"/>
      <c r="L348" s="11">
        <f t="shared" si="1125"/>
        <v>30</v>
      </c>
      <c r="M348" s="7" t="s">
        <v>14</v>
      </c>
      <c r="N348" s="31" t="s">
        <v>84</v>
      </c>
      <c r="O348" s="9">
        <f>34*288*0.02+48*0.02</f>
        <v>196.8</v>
      </c>
      <c r="P348" s="9">
        <v>5904</v>
      </c>
      <c r="Q348" s="9"/>
      <c r="R348" s="30">
        <f t="shared" ref="R348" si="1285">Q348*$L348</f>
        <v>0</v>
      </c>
      <c r="S348" s="9"/>
      <c r="T348" s="30">
        <f t="shared" ref="T348" si="1286">S348*$L348</f>
        <v>0</v>
      </c>
      <c r="U348" s="9">
        <f>3*288*0.02+162*0.02</f>
        <v>20.520000000000003</v>
      </c>
      <c r="V348" s="30">
        <v>616</v>
      </c>
      <c r="W348" s="9"/>
      <c r="X348" s="30">
        <f t="shared" si="1222"/>
        <v>0</v>
      </c>
      <c r="Y348" s="9">
        <f>4*288*0.02+17*0.02</f>
        <v>23.38</v>
      </c>
      <c r="Z348" s="30">
        <v>702</v>
      </c>
      <c r="AA348" s="9">
        <f>3*288*0.02+169*0.02</f>
        <v>20.66</v>
      </c>
      <c r="AB348" s="30">
        <v>620</v>
      </c>
      <c r="AC348" s="9">
        <f>10*288*0.02+224*0.02</f>
        <v>62.08</v>
      </c>
      <c r="AD348" s="30">
        <v>1863</v>
      </c>
      <c r="AE348" s="9"/>
      <c r="AF348" s="30">
        <f t="shared" si="1202"/>
        <v>0</v>
      </c>
      <c r="AG348" s="9"/>
      <c r="AH348" s="30">
        <f t="shared" si="1203"/>
        <v>0</v>
      </c>
      <c r="AI348" s="9">
        <f>200*0.02</f>
        <v>4</v>
      </c>
      <c r="AJ348" s="30">
        <v>120</v>
      </c>
      <c r="AK348" s="9"/>
      <c r="AL348" s="30">
        <f t="shared" ref="AL348" si="1287">AK348*$L348</f>
        <v>0</v>
      </c>
      <c r="AM348" s="9"/>
      <c r="AN348" s="30">
        <f t="shared" si="1206"/>
        <v>0</v>
      </c>
      <c r="AO348" s="9"/>
      <c r="AP348" s="30">
        <f t="shared" si="1207"/>
        <v>0</v>
      </c>
      <c r="AQ348" s="9"/>
      <c r="AR348" s="30">
        <f t="shared" si="1208"/>
        <v>0</v>
      </c>
      <c r="AS348" s="9"/>
      <c r="AT348" s="30">
        <f t="shared" si="1209"/>
        <v>0</v>
      </c>
      <c r="AU348" s="9"/>
      <c r="AV348" s="30">
        <f t="shared" si="1210"/>
        <v>0</v>
      </c>
      <c r="AW348" s="9"/>
      <c r="AX348" s="30">
        <f t="shared" si="1211"/>
        <v>0</v>
      </c>
      <c r="AY348" s="9"/>
      <c r="AZ348" s="30">
        <f t="shared" si="1212"/>
        <v>0</v>
      </c>
      <c r="BA348" s="10">
        <f>22*288*0.02+196*0.02</f>
        <v>130.63999999999999</v>
      </c>
      <c r="BB348" s="31">
        <v>3921</v>
      </c>
      <c r="BC348" s="15">
        <f t="shared" si="1130"/>
        <v>3921</v>
      </c>
      <c r="BD348" s="9">
        <f t="shared" si="1131"/>
        <v>0</v>
      </c>
      <c r="BE348" s="28">
        <f t="shared" si="1132"/>
        <v>130.63999999999999</v>
      </c>
      <c r="BF348" s="8">
        <f t="shared" si="1133"/>
        <v>0</v>
      </c>
      <c r="BG348" s="29">
        <f t="shared" si="1134"/>
        <v>3919.2</v>
      </c>
      <c r="BH348" s="13">
        <f t="shared" si="1135"/>
        <v>1.8000000000001819</v>
      </c>
      <c r="BI348" s="2" t="str">
        <f t="shared" si="1136"/>
        <v>erreur de calcul</v>
      </c>
      <c r="BJ348" s="2"/>
    </row>
    <row r="349" spans="1:62">
      <c r="A349" s="1" t="s">
        <v>12</v>
      </c>
      <c r="B349" s="3" t="s">
        <v>23</v>
      </c>
      <c r="C349" s="3" t="s">
        <v>45</v>
      </c>
      <c r="D349" s="4">
        <v>1789</v>
      </c>
      <c r="E349" s="3" t="s">
        <v>49</v>
      </c>
      <c r="F349" s="3" t="s">
        <v>49</v>
      </c>
      <c r="G349" s="31">
        <v>27</v>
      </c>
      <c r="H349" s="31" t="s">
        <v>421</v>
      </c>
      <c r="I349" s="5">
        <v>10</v>
      </c>
      <c r="J349" s="5"/>
      <c r="K349" s="6"/>
      <c r="L349" s="11">
        <f t="shared" si="1125"/>
        <v>10</v>
      </c>
      <c r="M349" s="7" t="s">
        <v>424</v>
      </c>
      <c r="N349" s="31" t="s">
        <v>19</v>
      </c>
      <c r="O349" s="9">
        <f>7*(288/62.5)+109/62.5</f>
        <v>34</v>
      </c>
      <c r="P349" s="9">
        <f t="shared" si="1126"/>
        <v>340</v>
      </c>
      <c r="Q349" s="9">
        <f>105*(288/62.5)+135/62.5</f>
        <v>486</v>
      </c>
      <c r="R349" s="30">
        <v>4860</v>
      </c>
      <c r="S349" s="9"/>
      <c r="T349" s="30">
        <f t="shared" ref="T349" si="1288">S349*$L349</f>
        <v>0</v>
      </c>
      <c r="U349" s="9">
        <f>8*(288/62.5)+196/62.5</f>
        <v>40</v>
      </c>
      <c r="V349" s="30">
        <v>400</v>
      </c>
      <c r="W349" s="9"/>
      <c r="X349" s="30">
        <f t="shared" si="1222"/>
        <v>0</v>
      </c>
      <c r="Y349" s="9"/>
      <c r="Z349" s="30">
        <f t="shared" si="1199"/>
        <v>0</v>
      </c>
      <c r="AA349" s="9"/>
      <c r="AB349" s="30">
        <f t="shared" si="1200"/>
        <v>0</v>
      </c>
      <c r="AC349" s="9"/>
      <c r="AD349" s="30">
        <f t="shared" si="1201"/>
        <v>0</v>
      </c>
      <c r="AE349" s="9"/>
      <c r="AF349" s="30">
        <f t="shared" si="1202"/>
        <v>0</v>
      </c>
      <c r="AG349" s="9"/>
      <c r="AH349" s="30">
        <f t="shared" si="1203"/>
        <v>0</v>
      </c>
      <c r="AI349" s="9"/>
      <c r="AJ349" s="30">
        <f t="shared" ref="AJ349" si="1289">AI349*$L349</f>
        <v>0</v>
      </c>
      <c r="AK349" s="9"/>
      <c r="AL349" s="30">
        <f t="shared" ref="AL349" si="1290">AK349*$L349</f>
        <v>0</v>
      </c>
      <c r="AM349" s="9"/>
      <c r="AN349" s="30">
        <f t="shared" si="1206"/>
        <v>0</v>
      </c>
      <c r="AO349" s="9"/>
      <c r="AP349" s="30">
        <f t="shared" si="1207"/>
        <v>0</v>
      </c>
      <c r="AQ349" s="9"/>
      <c r="AR349" s="30">
        <f t="shared" si="1208"/>
        <v>0</v>
      </c>
      <c r="AS349" s="9"/>
      <c r="AT349" s="30">
        <f t="shared" si="1209"/>
        <v>0</v>
      </c>
      <c r="AU349" s="9"/>
      <c r="AV349" s="30">
        <f t="shared" si="1210"/>
        <v>0</v>
      </c>
      <c r="AW349" s="9"/>
      <c r="AX349" s="30">
        <f t="shared" si="1211"/>
        <v>0</v>
      </c>
      <c r="AY349" s="9"/>
      <c r="AZ349" s="30">
        <f t="shared" si="1212"/>
        <v>0</v>
      </c>
      <c r="BA349" s="10">
        <f>114*(288/62.5)+43/62.5</f>
        <v>526</v>
      </c>
      <c r="BB349" s="31">
        <v>5260</v>
      </c>
      <c r="BC349" s="15">
        <f t="shared" si="1130"/>
        <v>5260</v>
      </c>
      <c r="BD349" s="9">
        <f t="shared" si="1131"/>
        <v>0</v>
      </c>
      <c r="BE349" s="28">
        <f t="shared" si="1132"/>
        <v>526</v>
      </c>
      <c r="BF349" s="8">
        <f t="shared" si="1133"/>
        <v>0</v>
      </c>
      <c r="BG349" s="29">
        <f t="shared" si="1134"/>
        <v>5260</v>
      </c>
      <c r="BH349" s="13">
        <f t="shared" si="1135"/>
        <v>0</v>
      </c>
      <c r="BI349" s="2" t="str">
        <f t="shared" si="1136"/>
        <v/>
      </c>
      <c r="BJ349" s="2"/>
    </row>
    <row r="350" spans="1:62">
      <c r="A350" s="1" t="s">
        <v>12</v>
      </c>
      <c r="B350" s="3" t="s">
        <v>23</v>
      </c>
      <c r="C350" s="3" t="s">
        <v>45</v>
      </c>
      <c r="D350" s="4">
        <v>1789</v>
      </c>
      <c r="E350" s="3" t="s">
        <v>49</v>
      </c>
      <c r="F350" s="3" t="s">
        <v>49</v>
      </c>
      <c r="G350" s="31">
        <v>27</v>
      </c>
      <c r="H350" s="31" t="s">
        <v>422</v>
      </c>
      <c r="I350" s="5"/>
      <c r="J350" s="5">
        <v>14</v>
      </c>
      <c r="K350" s="6"/>
      <c r="L350" s="11">
        <f t="shared" si="1125"/>
        <v>0.7</v>
      </c>
      <c r="M350" s="7" t="s">
        <v>48</v>
      </c>
      <c r="N350" s="31"/>
      <c r="O350" s="9"/>
      <c r="P350" s="9" t="str">
        <f t="shared" si="1126"/>
        <v/>
      </c>
      <c r="Q350" s="9">
        <f>103*288+190</f>
        <v>29854</v>
      </c>
      <c r="R350" s="30">
        <v>20898</v>
      </c>
      <c r="S350" s="9"/>
      <c r="T350" s="30">
        <f t="shared" ref="T350" si="1291">S350*$L350</f>
        <v>0</v>
      </c>
      <c r="U350" s="9"/>
      <c r="V350" s="30">
        <f t="shared" si="1217"/>
        <v>0</v>
      </c>
      <c r="W350" s="9"/>
      <c r="X350" s="30">
        <f t="shared" si="1222"/>
        <v>0</v>
      </c>
      <c r="Y350" s="9"/>
      <c r="Z350" s="30">
        <f t="shared" si="1199"/>
        <v>0</v>
      </c>
      <c r="AA350" s="9"/>
      <c r="AB350" s="30">
        <f t="shared" si="1200"/>
        <v>0</v>
      </c>
      <c r="AC350" s="9"/>
      <c r="AD350" s="30">
        <f t="shared" si="1201"/>
        <v>0</v>
      </c>
      <c r="AE350" s="9"/>
      <c r="AF350" s="30">
        <f t="shared" si="1202"/>
        <v>0</v>
      </c>
      <c r="AG350" s="9"/>
      <c r="AH350" s="30">
        <f t="shared" si="1203"/>
        <v>0</v>
      </c>
      <c r="AI350" s="9"/>
      <c r="AJ350" s="30">
        <f t="shared" ref="AJ350" si="1292">AI350*$L350</f>
        <v>0</v>
      </c>
      <c r="AK350" s="9"/>
      <c r="AL350" s="30">
        <f t="shared" ref="AL350" si="1293">AK350*$L350</f>
        <v>0</v>
      </c>
      <c r="AM350" s="9"/>
      <c r="AN350" s="30">
        <f t="shared" si="1206"/>
        <v>0</v>
      </c>
      <c r="AO350" s="9"/>
      <c r="AP350" s="30">
        <f t="shared" si="1207"/>
        <v>0</v>
      </c>
      <c r="AQ350" s="9"/>
      <c r="AR350" s="30">
        <f t="shared" si="1208"/>
        <v>0</v>
      </c>
      <c r="AS350" s="9"/>
      <c r="AT350" s="30">
        <f t="shared" si="1209"/>
        <v>0</v>
      </c>
      <c r="AU350" s="9"/>
      <c r="AV350" s="30">
        <f t="shared" si="1210"/>
        <v>0</v>
      </c>
      <c r="AW350" s="9"/>
      <c r="AX350" s="30">
        <f t="shared" si="1211"/>
        <v>0</v>
      </c>
      <c r="AY350" s="9"/>
      <c r="AZ350" s="30">
        <f t="shared" si="1212"/>
        <v>0</v>
      </c>
      <c r="BA350" s="10">
        <f>103*288+190</f>
        <v>29854</v>
      </c>
      <c r="BB350" s="31">
        <v>20898</v>
      </c>
      <c r="BC350" s="15">
        <f t="shared" si="1130"/>
        <v>20898</v>
      </c>
      <c r="BD350" s="9">
        <f t="shared" si="1131"/>
        <v>0</v>
      </c>
      <c r="BE350" s="28">
        <f t="shared" si="1132"/>
        <v>29854</v>
      </c>
      <c r="BF350" s="8">
        <f t="shared" si="1133"/>
        <v>0</v>
      </c>
      <c r="BG350" s="29">
        <f t="shared" si="1134"/>
        <v>20897.8</v>
      </c>
      <c r="BH350" s="13">
        <f t="shared" si="1135"/>
        <v>0.2000000000007276</v>
      </c>
      <c r="BI350" s="2" t="str">
        <f t="shared" si="1136"/>
        <v>erreur de calcul</v>
      </c>
      <c r="BJ350" s="2"/>
    </row>
    <row r="351" spans="1:62">
      <c r="A351" s="1" t="s">
        <v>12</v>
      </c>
      <c r="B351" s="3" t="s">
        <v>23</v>
      </c>
      <c r="C351" s="3" t="s">
        <v>45</v>
      </c>
      <c r="D351" s="4">
        <v>1789</v>
      </c>
      <c r="E351" s="3" t="s">
        <v>49</v>
      </c>
      <c r="F351" s="3" t="s">
        <v>49</v>
      </c>
      <c r="G351" s="31">
        <v>27</v>
      </c>
      <c r="H351" s="31" t="s">
        <v>423</v>
      </c>
      <c r="I351" s="5"/>
      <c r="J351" s="5">
        <v>5</v>
      </c>
      <c r="K351" s="6"/>
      <c r="L351" s="11">
        <f t="shared" si="1125"/>
        <v>0.25</v>
      </c>
      <c r="M351" s="7" t="s">
        <v>86</v>
      </c>
      <c r="N351" s="31"/>
      <c r="O351" s="9"/>
      <c r="P351" s="9" t="str">
        <f t="shared" si="1126"/>
        <v/>
      </c>
      <c r="Q351" s="9">
        <v>300402</v>
      </c>
      <c r="R351" s="30">
        <v>75100</v>
      </c>
      <c r="S351" s="9"/>
      <c r="T351" s="30">
        <f t="shared" ref="T351" si="1294">S351*$L351</f>
        <v>0</v>
      </c>
      <c r="U351" s="9"/>
      <c r="V351" s="30">
        <f t="shared" si="1217"/>
        <v>0</v>
      </c>
      <c r="W351" s="9">
        <v>448</v>
      </c>
      <c r="X351" s="30">
        <v>112</v>
      </c>
      <c r="Y351" s="9"/>
      <c r="Z351" s="30">
        <f t="shared" si="1199"/>
        <v>0</v>
      </c>
      <c r="AA351" s="9"/>
      <c r="AB351" s="30">
        <f t="shared" si="1200"/>
        <v>0</v>
      </c>
      <c r="AC351" s="9"/>
      <c r="AD351" s="30">
        <f t="shared" si="1201"/>
        <v>0</v>
      </c>
      <c r="AE351" s="9"/>
      <c r="AF351" s="30">
        <f t="shared" si="1202"/>
        <v>0</v>
      </c>
      <c r="AG351" s="9"/>
      <c r="AH351" s="30">
        <f t="shared" si="1203"/>
        <v>0</v>
      </c>
      <c r="AI351" s="9"/>
      <c r="AJ351" s="30">
        <f t="shared" ref="AJ351" si="1295">AI351*$L351</f>
        <v>0</v>
      </c>
      <c r="AK351" s="9"/>
      <c r="AL351" s="30">
        <f t="shared" ref="AL351" si="1296">AK351*$L351</f>
        <v>0</v>
      </c>
      <c r="AM351" s="9"/>
      <c r="AN351" s="30">
        <f t="shared" si="1206"/>
        <v>0</v>
      </c>
      <c r="AO351" s="9"/>
      <c r="AP351" s="30">
        <f t="shared" si="1207"/>
        <v>0</v>
      </c>
      <c r="AQ351" s="9"/>
      <c r="AR351" s="30">
        <f t="shared" si="1208"/>
        <v>0</v>
      </c>
      <c r="AS351" s="9"/>
      <c r="AT351" s="30">
        <f t="shared" si="1209"/>
        <v>0</v>
      </c>
      <c r="AU351" s="9"/>
      <c r="AV351" s="30">
        <f t="shared" si="1210"/>
        <v>0</v>
      </c>
      <c r="AW351" s="9"/>
      <c r="AX351" s="30">
        <f t="shared" si="1211"/>
        <v>0</v>
      </c>
      <c r="AY351" s="9"/>
      <c r="AZ351" s="30">
        <f t="shared" si="1212"/>
        <v>0</v>
      </c>
      <c r="BA351" s="10">
        <v>300850</v>
      </c>
      <c r="BB351" s="31">
        <v>75212</v>
      </c>
      <c r="BC351" s="15">
        <f t="shared" si="1130"/>
        <v>75212</v>
      </c>
      <c r="BD351" s="9">
        <f t="shared" si="1131"/>
        <v>0</v>
      </c>
      <c r="BE351" s="28">
        <f t="shared" si="1132"/>
        <v>300850</v>
      </c>
      <c r="BF351" s="8">
        <f t="shared" si="1133"/>
        <v>0</v>
      </c>
      <c r="BG351" s="29">
        <f t="shared" si="1134"/>
        <v>75212.5</v>
      </c>
      <c r="BH351" s="13">
        <f t="shared" si="1135"/>
        <v>-0.5</v>
      </c>
      <c r="BI351" s="2" t="str">
        <f t="shared" si="1136"/>
        <v>erreur de calcul</v>
      </c>
      <c r="BJ351" s="2"/>
    </row>
  </sheetData>
  <mergeCells count="20">
    <mergeCell ref="AS1:AT1"/>
    <mergeCell ref="AU1:AV1"/>
    <mergeCell ref="AW1:AX1"/>
    <mergeCell ref="AY1:AZ1"/>
    <mergeCell ref="BA1:BD1"/>
    <mergeCell ref="N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conditionalFormatting sqref="BH3:BH351">
    <cfRule type="cellIs" dxfId="7" priority="6" operator="equal">
      <formula>0</formula>
    </cfRule>
  </conditionalFormatting>
  <conditionalFormatting sqref="BH3:BH351">
    <cfRule type="cellIs" dxfId="6" priority="5" operator="notEqual">
      <formula>0</formula>
    </cfRule>
  </conditionalFormatting>
  <conditionalFormatting sqref="BF3:BF351">
    <cfRule type="cellIs" dxfId="5" priority="3" operator="equal">
      <formula>0</formula>
    </cfRule>
    <cfRule type="cellIs" dxfId="4" priority="4" operator="notEqual">
      <formula>"à"</formula>
    </cfRule>
  </conditionalFormatting>
  <conditionalFormatting sqref="BD3:BD351">
    <cfRule type="cellIs" dxfId="3" priority="1" operator="notEqual">
      <formula>0</formula>
    </cfRule>
    <cfRule type="cellIs" dxfId="2" priority="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workbookViewId="0">
      <selection activeCell="M9" sqref="M9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24" bestFit="1" customWidth="1"/>
    <col min="9" max="9" width="29.1640625" bestFit="1" customWidth="1"/>
    <col min="10" max="10" width="10" bestFit="1" customWidth="1"/>
    <col min="11" max="11" width="7.83203125" bestFit="1" customWidth="1"/>
    <col min="12" max="13" width="10.1640625" bestFit="1" customWidth="1"/>
    <col min="14" max="14" width="18.33203125" style="14" bestFit="1" customWidth="1"/>
    <col min="15" max="16" width="8" bestFit="1" customWidth="1"/>
    <col min="17" max="17" width="9.6640625" bestFit="1" customWidth="1"/>
    <col min="18" max="18" width="10.1640625" bestFit="1" customWidth="1"/>
    <col min="19" max="19" width="7.6640625" bestFit="1" customWidth="1"/>
    <col min="20" max="20" width="6.83203125" bestFit="1" customWidth="1"/>
    <col min="21" max="21" width="11.33203125" bestFit="1" customWidth="1"/>
    <col min="22" max="22" width="9.33203125" bestFit="1" customWidth="1"/>
    <col min="23" max="23" width="10.33203125" bestFit="1" customWidth="1"/>
    <col min="24" max="24" width="10.5" bestFit="1" customWidth="1"/>
    <col min="25" max="25" width="10.83203125" bestFit="1" customWidth="1"/>
    <col min="26" max="26" width="9.6640625" bestFit="1" customWidth="1"/>
    <col min="27" max="27" width="9.1640625" bestFit="1" customWidth="1"/>
    <col min="28" max="34" width="9.6640625" bestFit="1" customWidth="1"/>
    <col min="35" max="35" width="9.1640625" bestFit="1" customWidth="1"/>
    <col min="36" max="37" width="9.6640625" bestFit="1" customWidth="1"/>
    <col min="38" max="38" width="10.6640625" bestFit="1" customWidth="1"/>
    <col min="39" max="39" width="12.5" bestFit="1" customWidth="1"/>
    <col min="40" max="40" width="8.1640625" bestFit="1" customWidth="1"/>
    <col min="41" max="41" width="15.33203125" bestFit="1" customWidth="1"/>
    <col min="42" max="42" width="8.33203125" bestFit="1" customWidth="1"/>
    <col min="43" max="43" width="18.5" bestFit="1" customWidth="1"/>
    <col min="44" max="44" width="14" bestFit="1" customWidth="1"/>
    <col min="45" max="45" width="15.33203125" bestFit="1" customWidth="1"/>
    <col min="46" max="46" width="17.1640625" bestFit="1" customWidth="1"/>
    <col min="47" max="47" width="23.1640625" bestFit="1" customWidth="1"/>
  </cols>
  <sheetData>
    <row r="1" spans="1:25" ht="78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7" t="s">
        <v>442</v>
      </c>
      <c r="I1" s="18" t="s">
        <v>0</v>
      </c>
      <c r="J1" s="34" t="s">
        <v>66</v>
      </c>
      <c r="K1" s="34" t="s">
        <v>67</v>
      </c>
      <c r="L1" s="19" t="s">
        <v>68</v>
      </c>
      <c r="M1" s="43" t="s">
        <v>69</v>
      </c>
      <c r="N1" s="19" t="s">
        <v>2</v>
      </c>
      <c r="O1" s="19" t="s">
        <v>3</v>
      </c>
      <c r="P1" s="19" t="s">
        <v>4</v>
      </c>
      <c r="Q1" s="20" t="s">
        <v>5</v>
      </c>
      <c r="R1" s="19" t="s">
        <v>70</v>
      </c>
      <c r="S1" s="19" t="s">
        <v>71</v>
      </c>
      <c r="T1" s="19" t="s">
        <v>72</v>
      </c>
      <c r="U1" s="19" t="s">
        <v>73</v>
      </c>
      <c r="V1" s="19" t="s">
        <v>74</v>
      </c>
      <c r="W1" s="19" t="s">
        <v>75</v>
      </c>
      <c r="X1" s="43" t="s">
        <v>76</v>
      </c>
      <c r="Y1" s="43" t="s">
        <v>6</v>
      </c>
    </row>
    <row r="2" spans="1:25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49</v>
      </c>
      <c r="G2" s="3">
        <v>27</v>
      </c>
      <c r="H2" s="3" t="s">
        <v>443</v>
      </c>
      <c r="I2" s="35" t="s">
        <v>31</v>
      </c>
      <c r="J2" s="36" t="s">
        <v>429</v>
      </c>
      <c r="K2" s="36"/>
      <c r="L2" s="5">
        <v>100</v>
      </c>
      <c r="M2" s="37" t="s">
        <v>15</v>
      </c>
      <c r="N2" s="5"/>
      <c r="O2" s="5"/>
      <c r="P2" s="6"/>
      <c r="Q2" s="7">
        <f t="shared" ref="Q2:Q47" si="0">N2+(0.05*O2)+(P2/240)</f>
        <v>0</v>
      </c>
      <c r="R2" s="5">
        <v>30</v>
      </c>
      <c r="S2" s="5"/>
      <c r="T2" s="5"/>
      <c r="U2" s="5">
        <f t="shared" ref="U2:U47" si="1">R2+(S2*0.05)+(T2/240)</f>
        <v>30</v>
      </c>
      <c r="V2" s="5">
        <f t="shared" ref="V2:V47" si="2">L2*Q2</f>
        <v>0</v>
      </c>
      <c r="W2" s="38">
        <f>U2-V2</f>
        <v>30</v>
      </c>
      <c r="X2" s="2"/>
      <c r="Y2" s="2"/>
    </row>
    <row r="3" spans="1:25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49</v>
      </c>
      <c r="G3" s="3">
        <v>27</v>
      </c>
      <c r="H3" s="3" t="s">
        <v>443</v>
      </c>
      <c r="I3" s="35" t="s">
        <v>430</v>
      </c>
      <c r="J3" s="36" t="s">
        <v>429</v>
      </c>
      <c r="K3" s="36"/>
      <c r="L3" s="5">
        <v>5250</v>
      </c>
      <c r="M3" s="37" t="s">
        <v>477</v>
      </c>
      <c r="N3" s="5"/>
      <c r="O3" s="5"/>
      <c r="P3" s="6"/>
      <c r="Q3" s="7">
        <f t="shared" si="0"/>
        <v>0</v>
      </c>
      <c r="R3" s="5">
        <v>800</v>
      </c>
      <c r="S3" s="5"/>
      <c r="T3" s="5"/>
      <c r="U3" s="5">
        <f t="shared" si="1"/>
        <v>800</v>
      </c>
      <c r="V3" s="5">
        <f t="shared" si="2"/>
        <v>0</v>
      </c>
      <c r="W3" s="38">
        <f t="shared" ref="W3:W47" si="3">U3-V3</f>
        <v>800</v>
      </c>
      <c r="X3" s="2"/>
      <c r="Y3" s="2"/>
    </row>
    <row r="4" spans="1:25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49</v>
      </c>
      <c r="G4" s="3">
        <v>27</v>
      </c>
      <c r="H4" s="3" t="s">
        <v>443</v>
      </c>
      <c r="I4" s="35" t="s">
        <v>431</v>
      </c>
      <c r="J4" s="36" t="s">
        <v>429</v>
      </c>
      <c r="K4" s="36"/>
      <c r="L4" s="5">
        <v>130000</v>
      </c>
      <c r="M4" s="37" t="s">
        <v>15</v>
      </c>
      <c r="N4" s="5"/>
      <c r="O4" s="5"/>
      <c r="P4" s="6"/>
      <c r="Q4" s="7">
        <f t="shared" si="0"/>
        <v>0</v>
      </c>
      <c r="R4" s="5">
        <v>20400</v>
      </c>
      <c r="S4" s="5"/>
      <c r="T4" s="5"/>
      <c r="U4" s="5">
        <f t="shared" si="1"/>
        <v>20400</v>
      </c>
      <c r="V4" s="5">
        <f t="shared" si="2"/>
        <v>0</v>
      </c>
      <c r="W4" s="38">
        <f t="shared" si="3"/>
        <v>20400</v>
      </c>
      <c r="X4" s="2"/>
      <c r="Y4" s="2"/>
    </row>
    <row r="5" spans="1:25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49</v>
      </c>
      <c r="G5" s="3">
        <v>27</v>
      </c>
      <c r="H5" s="3" t="s">
        <v>443</v>
      </c>
      <c r="I5" s="35" t="s">
        <v>133</v>
      </c>
      <c r="J5" s="36" t="s">
        <v>429</v>
      </c>
      <c r="K5" s="36"/>
      <c r="L5" s="5"/>
      <c r="M5" s="37" t="s">
        <v>15</v>
      </c>
      <c r="N5" s="5"/>
      <c r="O5" s="5"/>
      <c r="P5" s="6"/>
      <c r="Q5" s="7">
        <f t="shared" si="0"/>
        <v>0</v>
      </c>
      <c r="R5" s="5">
        <v>10250</v>
      </c>
      <c r="S5" s="5"/>
      <c r="T5" s="5"/>
      <c r="U5" s="5">
        <f t="shared" si="1"/>
        <v>10250</v>
      </c>
      <c r="V5" s="5">
        <f t="shared" si="2"/>
        <v>0</v>
      </c>
      <c r="W5" s="38">
        <f t="shared" si="3"/>
        <v>10250</v>
      </c>
      <c r="X5" s="2"/>
      <c r="Y5" s="2"/>
    </row>
    <row r="6" spans="1:25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49</v>
      </c>
      <c r="G6" s="3">
        <v>27</v>
      </c>
      <c r="H6" s="3" t="s">
        <v>443</v>
      </c>
      <c r="I6" s="35" t="s">
        <v>149</v>
      </c>
      <c r="J6" s="36" t="s">
        <v>429</v>
      </c>
      <c r="K6" s="36"/>
      <c r="L6" s="5">
        <v>377773</v>
      </c>
      <c r="M6" s="37" t="s">
        <v>15</v>
      </c>
      <c r="N6" s="5"/>
      <c r="O6" s="5"/>
      <c r="P6" s="6"/>
      <c r="Q6" s="7">
        <f t="shared" si="0"/>
        <v>0</v>
      </c>
      <c r="R6" s="49">
        <v>301260</v>
      </c>
      <c r="S6" s="5"/>
      <c r="T6" s="5"/>
      <c r="U6" s="5">
        <f t="shared" si="1"/>
        <v>301260</v>
      </c>
      <c r="V6" s="5">
        <f t="shared" si="2"/>
        <v>0</v>
      </c>
      <c r="W6" s="38">
        <f t="shared" si="3"/>
        <v>301260</v>
      </c>
      <c r="X6" s="2"/>
      <c r="Y6" s="2"/>
    </row>
    <row r="7" spans="1:25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49</v>
      </c>
      <c r="G7" s="3">
        <v>27</v>
      </c>
      <c r="H7" s="3" t="s">
        <v>443</v>
      </c>
      <c r="I7" s="35" t="s">
        <v>432</v>
      </c>
      <c r="J7" s="36" t="s">
        <v>429</v>
      </c>
      <c r="K7" s="36"/>
      <c r="L7" s="5">
        <v>172600</v>
      </c>
      <c r="M7" s="37" t="s">
        <v>15</v>
      </c>
      <c r="N7" s="5"/>
      <c r="O7" s="5"/>
      <c r="P7" s="6"/>
      <c r="Q7" s="7">
        <f t="shared" si="0"/>
        <v>0</v>
      </c>
      <c r="R7" s="5">
        <v>98260</v>
      </c>
      <c r="S7" s="5"/>
      <c r="T7" s="5"/>
      <c r="U7" s="5">
        <f t="shared" si="1"/>
        <v>98260</v>
      </c>
      <c r="V7" s="5">
        <f t="shared" si="2"/>
        <v>0</v>
      </c>
      <c r="W7" s="38">
        <f t="shared" si="3"/>
        <v>98260</v>
      </c>
      <c r="X7" s="2"/>
      <c r="Y7" s="2"/>
    </row>
    <row r="8" spans="1:25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49</v>
      </c>
      <c r="G8" s="3">
        <v>27</v>
      </c>
      <c r="H8" s="3" t="s">
        <v>443</v>
      </c>
      <c r="I8" s="35" t="s">
        <v>433</v>
      </c>
      <c r="J8" s="36" t="s">
        <v>429</v>
      </c>
      <c r="K8" s="36"/>
      <c r="L8" s="5">
        <v>52580</v>
      </c>
      <c r="M8" s="37" t="s">
        <v>15</v>
      </c>
      <c r="N8" s="5"/>
      <c r="O8" s="5"/>
      <c r="P8" s="6"/>
      <c r="Q8" s="7">
        <f t="shared" si="0"/>
        <v>0</v>
      </c>
      <c r="R8" s="5">
        <v>37984</v>
      </c>
      <c r="S8" s="5"/>
      <c r="T8" s="5"/>
      <c r="U8" s="5">
        <f t="shared" si="1"/>
        <v>37984</v>
      </c>
      <c r="V8" s="5">
        <f t="shared" si="2"/>
        <v>0</v>
      </c>
      <c r="W8" s="38">
        <f t="shared" si="3"/>
        <v>37984</v>
      </c>
      <c r="X8" s="2"/>
      <c r="Y8" s="2"/>
    </row>
    <row r="9" spans="1:25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49</v>
      </c>
      <c r="G9" s="3">
        <v>27</v>
      </c>
      <c r="H9" s="3" t="s">
        <v>443</v>
      </c>
      <c r="I9" s="35" t="s">
        <v>434</v>
      </c>
      <c r="J9" s="36" t="s">
        <v>429</v>
      </c>
      <c r="K9" s="36"/>
      <c r="L9" s="5">
        <v>192513</v>
      </c>
      <c r="M9" s="37" t="s">
        <v>15</v>
      </c>
      <c r="N9" s="5"/>
      <c r="O9" s="5"/>
      <c r="P9" s="6"/>
      <c r="Q9" s="7">
        <f t="shared" si="0"/>
        <v>0</v>
      </c>
      <c r="R9" s="5">
        <v>140316</v>
      </c>
      <c r="S9" s="5"/>
      <c r="T9" s="5"/>
      <c r="U9" s="5">
        <f t="shared" si="1"/>
        <v>140316</v>
      </c>
      <c r="V9" s="5">
        <f t="shared" si="2"/>
        <v>0</v>
      </c>
      <c r="W9" s="38">
        <f t="shared" si="3"/>
        <v>140316</v>
      </c>
      <c r="X9" s="2"/>
      <c r="Y9" s="2"/>
    </row>
    <row r="10" spans="1:25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49</v>
      </c>
      <c r="G10" s="3">
        <v>27</v>
      </c>
      <c r="H10" s="3" t="s">
        <v>443</v>
      </c>
      <c r="I10" s="35" t="s">
        <v>435</v>
      </c>
      <c r="J10" s="36" t="s">
        <v>429</v>
      </c>
      <c r="K10" s="36"/>
      <c r="L10" s="5">
        <v>301200</v>
      </c>
      <c r="M10" s="37" t="s">
        <v>15</v>
      </c>
      <c r="N10" s="5"/>
      <c r="O10" s="5"/>
      <c r="P10" s="6"/>
      <c r="Q10" s="7">
        <f t="shared" si="0"/>
        <v>0</v>
      </c>
      <c r="R10" s="5">
        <v>39640</v>
      </c>
      <c r="S10" s="5"/>
      <c r="T10" s="5"/>
      <c r="U10" s="5">
        <f t="shared" si="1"/>
        <v>39640</v>
      </c>
      <c r="V10" s="5">
        <f t="shared" si="2"/>
        <v>0</v>
      </c>
      <c r="W10" s="38">
        <f t="shared" si="3"/>
        <v>39640</v>
      </c>
      <c r="X10" s="2"/>
      <c r="Y10" s="2"/>
    </row>
    <row r="11" spans="1:25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49</v>
      </c>
      <c r="G11" s="3">
        <v>27</v>
      </c>
      <c r="H11" s="3" t="s">
        <v>443</v>
      </c>
      <c r="I11" s="35" t="s">
        <v>436</v>
      </c>
      <c r="J11" s="36" t="s">
        <v>429</v>
      </c>
      <c r="K11" s="36"/>
      <c r="L11" s="5">
        <v>17500</v>
      </c>
      <c r="M11" s="37" t="s">
        <v>15</v>
      </c>
      <c r="N11" s="5"/>
      <c r="O11" s="5"/>
      <c r="P11" s="6"/>
      <c r="Q11" s="7">
        <f t="shared" si="0"/>
        <v>0</v>
      </c>
      <c r="R11" s="5">
        <v>1990</v>
      </c>
      <c r="S11" s="5"/>
      <c r="T11" s="5"/>
      <c r="U11" s="5">
        <f t="shared" si="1"/>
        <v>1990</v>
      </c>
      <c r="V11" s="5">
        <f t="shared" si="2"/>
        <v>0</v>
      </c>
      <c r="W11" s="38">
        <f t="shared" si="3"/>
        <v>1990</v>
      </c>
      <c r="X11" s="2"/>
      <c r="Y11" s="2"/>
    </row>
    <row r="12" spans="1:25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49</v>
      </c>
      <c r="G12" s="3">
        <v>27</v>
      </c>
      <c r="H12" s="3" t="s">
        <v>443</v>
      </c>
      <c r="I12" s="35" t="s">
        <v>437</v>
      </c>
      <c r="J12" s="36" t="s">
        <v>429</v>
      </c>
      <c r="K12" s="36"/>
      <c r="L12" s="5">
        <v>900</v>
      </c>
      <c r="M12" s="37" t="s">
        <v>15</v>
      </c>
      <c r="N12" s="5"/>
      <c r="O12" s="5"/>
      <c r="P12" s="6"/>
      <c r="Q12" s="7">
        <f t="shared" si="0"/>
        <v>0</v>
      </c>
      <c r="R12" s="5">
        <v>720</v>
      </c>
      <c r="S12" s="5"/>
      <c r="T12" s="5"/>
      <c r="U12" s="5">
        <f t="shared" si="1"/>
        <v>720</v>
      </c>
      <c r="V12" s="5">
        <f t="shared" si="2"/>
        <v>0</v>
      </c>
      <c r="W12" s="38">
        <f t="shared" si="3"/>
        <v>720</v>
      </c>
      <c r="X12" s="2"/>
      <c r="Y12" s="2"/>
    </row>
    <row r="13" spans="1:25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49</v>
      </c>
      <c r="G13" s="3">
        <v>27</v>
      </c>
      <c r="H13" s="3" t="s">
        <v>443</v>
      </c>
      <c r="I13" s="35" t="s">
        <v>438</v>
      </c>
      <c r="J13" s="36" t="s">
        <v>429</v>
      </c>
      <c r="K13" s="36"/>
      <c r="L13" s="5">
        <v>27000</v>
      </c>
      <c r="M13" s="37" t="s">
        <v>15</v>
      </c>
      <c r="N13" s="5"/>
      <c r="O13" s="5"/>
      <c r="P13" s="6"/>
      <c r="Q13" s="7">
        <f t="shared" si="0"/>
        <v>0</v>
      </c>
      <c r="R13" s="5">
        <v>6210</v>
      </c>
      <c r="S13" s="5"/>
      <c r="T13" s="5"/>
      <c r="U13" s="5">
        <f t="shared" si="1"/>
        <v>6210</v>
      </c>
      <c r="V13" s="5">
        <f t="shared" si="2"/>
        <v>0</v>
      </c>
      <c r="W13" s="38">
        <f t="shared" si="3"/>
        <v>6210</v>
      </c>
      <c r="X13" s="2"/>
      <c r="Y13" s="2"/>
    </row>
    <row r="14" spans="1:25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49</v>
      </c>
      <c r="G14" s="3">
        <v>27</v>
      </c>
      <c r="H14" s="3" t="s">
        <v>443</v>
      </c>
      <c r="I14" s="35" t="s">
        <v>439</v>
      </c>
      <c r="J14" s="36" t="s">
        <v>429</v>
      </c>
      <c r="K14" s="36"/>
      <c r="L14" s="5">
        <v>329555</v>
      </c>
      <c r="M14" s="37" t="s">
        <v>15</v>
      </c>
      <c r="N14" s="5"/>
      <c r="O14" s="5"/>
      <c r="P14" s="6"/>
      <c r="Q14" s="7">
        <f t="shared" si="0"/>
        <v>0</v>
      </c>
      <c r="R14" s="5">
        <v>65348</v>
      </c>
      <c r="S14" s="5"/>
      <c r="T14" s="5"/>
      <c r="U14" s="5">
        <f t="shared" si="1"/>
        <v>65348</v>
      </c>
      <c r="V14" s="5">
        <f t="shared" si="2"/>
        <v>0</v>
      </c>
      <c r="W14" s="38">
        <f t="shared" si="3"/>
        <v>65348</v>
      </c>
      <c r="X14" s="2"/>
      <c r="Y14" s="2"/>
    </row>
    <row r="15" spans="1:25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49</v>
      </c>
      <c r="G15" s="3">
        <v>27</v>
      </c>
      <c r="H15" s="3" t="s">
        <v>443</v>
      </c>
      <c r="I15" s="35" t="s">
        <v>440</v>
      </c>
      <c r="J15" s="36" t="s">
        <v>429</v>
      </c>
      <c r="K15" s="36"/>
      <c r="L15" s="5">
        <v>27880</v>
      </c>
      <c r="M15" s="37" t="s">
        <v>15</v>
      </c>
      <c r="N15" s="5"/>
      <c r="O15" s="5"/>
      <c r="P15" s="6"/>
      <c r="Q15" s="7">
        <f t="shared" si="0"/>
        <v>0</v>
      </c>
      <c r="R15" s="5">
        <v>12267</v>
      </c>
      <c r="S15" s="5"/>
      <c r="T15" s="5"/>
      <c r="U15" s="5">
        <f t="shared" si="1"/>
        <v>12267</v>
      </c>
      <c r="V15" s="5">
        <f t="shared" si="2"/>
        <v>0</v>
      </c>
      <c r="W15" s="38">
        <f t="shared" si="3"/>
        <v>12267</v>
      </c>
      <c r="X15" s="2"/>
      <c r="Y15" s="2"/>
    </row>
    <row r="16" spans="1:25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49</v>
      </c>
      <c r="G16" s="3">
        <v>27</v>
      </c>
      <c r="H16" s="3" t="s">
        <v>444</v>
      </c>
      <c r="I16" s="35" t="s">
        <v>35</v>
      </c>
      <c r="J16" s="36" t="s">
        <v>429</v>
      </c>
      <c r="K16" s="36"/>
      <c r="L16" s="5">
        <v>97500</v>
      </c>
      <c r="M16" s="37" t="s">
        <v>15</v>
      </c>
      <c r="N16" s="5"/>
      <c r="O16" s="5"/>
      <c r="P16" s="6"/>
      <c r="Q16" s="7">
        <f t="shared" si="0"/>
        <v>0</v>
      </c>
      <c r="R16" s="5">
        <v>19470</v>
      </c>
      <c r="S16" s="5"/>
      <c r="T16" s="5"/>
      <c r="U16" s="5">
        <f t="shared" si="1"/>
        <v>19470</v>
      </c>
      <c r="V16" s="5">
        <f t="shared" si="2"/>
        <v>0</v>
      </c>
      <c r="W16" s="38">
        <f t="shared" si="3"/>
        <v>19470</v>
      </c>
      <c r="X16" s="2"/>
      <c r="Y16" s="2"/>
    </row>
    <row r="17" spans="1:25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49</v>
      </c>
      <c r="G17" s="3">
        <v>27</v>
      </c>
      <c r="H17" s="3" t="s">
        <v>444</v>
      </c>
      <c r="I17" s="35" t="s">
        <v>441</v>
      </c>
      <c r="J17" s="36" t="s">
        <v>429</v>
      </c>
      <c r="K17" s="36"/>
      <c r="L17" s="5">
        <v>363</v>
      </c>
      <c r="M17" s="37" t="s">
        <v>15</v>
      </c>
      <c r="N17" s="5"/>
      <c r="O17" s="5"/>
      <c r="P17" s="6"/>
      <c r="Q17" s="7">
        <f t="shared" si="0"/>
        <v>0</v>
      </c>
      <c r="R17" s="5">
        <v>84</v>
      </c>
      <c r="S17" s="5"/>
      <c r="T17" s="5"/>
      <c r="U17" s="5">
        <f t="shared" si="1"/>
        <v>84</v>
      </c>
      <c r="V17" s="5">
        <f t="shared" si="2"/>
        <v>0</v>
      </c>
      <c r="W17" s="38">
        <f t="shared" si="3"/>
        <v>84</v>
      </c>
      <c r="X17" s="2"/>
      <c r="Y17" s="2"/>
    </row>
    <row r="18" spans="1:25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49</v>
      </c>
      <c r="G18" s="3">
        <v>27</v>
      </c>
      <c r="H18" s="3" t="s">
        <v>445</v>
      </c>
      <c r="I18" s="35" t="s">
        <v>446</v>
      </c>
      <c r="J18" s="36" t="s">
        <v>429</v>
      </c>
      <c r="K18" s="36"/>
      <c r="L18" s="5">
        <v>250969</v>
      </c>
      <c r="M18" s="37" t="s">
        <v>15</v>
      </c>
      <c r="N18" s="5"/>
      <c r="O18" s="5"/>
      <c r="P18" s="6"/>
      <c r="Q18" s="7">
        <f t="shared" si="0"/>
        <v>0</v>
      </c>
      <c r="R18" s="5">
        <v>50210</v>
      </c>
      <c r="S18" s="5"/>
      <c r="T18" s="5"/>
      <c r="U18" s="5">
        <f t="shared" si="1"/>
        <v>50210</v>
      </c>
      <c r="V18" s="5">
        <f t="shared" si="2"/>
        <v>0</v>
      </c>
      <c r="W18" s="38">
        <f t="shared" si="3"/>
        <v>50210</v>
      </c>
      <c r="X18" s="2"/>
      <c r="Y18" s="2"/>
    </row>
    <row r="19" spans="1:25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49</v>
      </c>
      <c r="G19" s="3">
        <v>27</v>
      </c>
      <c r="H19" s="3" t="s">
        <v>445</v>
      </c>
      <c r="I19" s="35" t="s">
        <v>447</v>
      </c>
      <c r="J19" s="36" t="s">
        <v>429</v>
      </c>
      <c r="K19" s="36"/>
      <c r="L19" s="5">
        <v>744</v>
      </c>
      <c r="M19" s="37" t="s">
        <v>15</v>
      </c>
      <c r="N19" s="5"/>
      <c r="O19" s="5"/>
      <c r="P19" s="6"/>
      <c r="Q19" s="7">
        <f t="shared" si="0"/>
        <v>0</v>
      </c>
      <c r="R19" s="5">
        <v>890</v>
      </c>
      <c r="S19" s="5"/>
      <c r="T19" s="5"/>
      <c r="U19" s="5">
        <f t="shared" si="1"/>
        <v>890</v>
      </c>
      <c r="V19" s="5">
        <f t="shared" si="2"/>
        <v>0</v>
      </c>
      <c r="W19" s="38">
        <f t="shared" si="3"/>
        <v>890</v>
      </c>
      <c r="X19" s="2"/>
      <c r="Y19" s="2"/>
    </row>
    <row r="20" spans="1:25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49</v>
      </c>
      <c r="G20" s="3">
        <v>27</v>
      </c>
      <c r="H20" s="3" t="s">
        <v>445</v>
      </c>
      <c r="I20" s="35" t="s">
        <v>448</v>
      </c>
      <c r="J20" s="36" t="s">
        <v>429</v>
      </c>
      <c r="K20" s="36"/>
      <c r="L20" s="5">
        <v>1624</v>
      </c>
      <c r="M20" s="37" t="s">
        <v>15</v>
      </c>
      <c r="N20" s="5"/>
      <c r="O20" s="5"/>
      <c r="P20" s="6"/>
      <c r="Q20" s="7">
        <f t="shared" si="0"/>
        <v>0</v>
      </c>
      <c r="R20" s="5">
        <v>3995</v>
      </c>
      <c r="S20" s="5"/>
      <c r="T20" s="5"/>
      <c r="U20" s="5">
        <f t="shared" si="1"/>
        <v>3995</v>
      </c>
      <c r="V20" s="5">
        <f t="shared" si="2"/>
        <v>0</v>
      </c>
      <c r="W20" s="38">
        <f t="shared" si="3"/>
        <v>3995</v>
      </c>
      <c r="X20" s="2"/>
      <c r="Y20" s="2"/>
    </row>
    <row r="21" spans="1:25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49</v>
      </c>
      <c r="G21" s="3">
        <v>27</v>
      </c>
      <c r="H21" s="3" t="s">
        <v>445</v>
      </c>
      <c r="I21" s="35" t="s">
        <v>456</v>
      </c>
      <c r="J21" s="36" t="s">
        <v>429</v>
      </c>
      <c r="K21" s="36"/>
      <c r="L21" s="5">
        <v>2300</v>
      </c>
      <c r="M21" s="37" t="s">
        <v>15</v>
      </c>
      <c r="N21" s="5"/>
      <c r="O21" s="5"/>
      <c r="P21" s="6"/>
      <c r="Q21" s="7">
        <f t="shared" si="0"/>
        <v>0</v>
      </c>
      <c r="R21" s="5">
        <v>3030</v>
      </c>
      <c r="S21" s="5"/>
      <c r="T21" s="5"/>
      <c r="U21" s="5">
        <f t="shared" si="1"/>
        <v>3030</v>
      </c>
      <c r="V21" s="5">
        <f t="shared" si="2"/>
        <v>0</v>
      </c>
      <c r="W21" s="38">
        <f t="shared" si="3"/>
        <v>3030</v>
      </c>
      <c r="X21" s="2"/>
      <c r="Y21" s="2"/>
    </row>
    <row r="22" spans="1:25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49</v>
      </c>
      <c r="G22" s="3">
        <v>27</v>
      </c>
      <c r="H22" s="3" t="s">
        <v>445</v>
      </c>
      <c r="I22" s="35" t="s">
        <v>449</v>
      </c>
      <c r="J22" s="36" t="s">
        <v>429</v>
      </c>
      <c r="K22" s="36"/>
      <c r="L22" s="5">
        <v>60</v>
      </c>
      <c r="M22" s="37" t="s">
        <v>15</v>
      </c>
      <c r="N22" s="5"/>
      <c r="O22" s="5"/>
      <c r="P22" s="6"/>
      <c r="Q22" s="7">
        <f t="shared" si="0"/>
        <v>0</v>
      </c>
      <c r="R22" s="5">
        <v>900</v>
      </c>
      <c r="S22" s="5"/>
      <c r="T22" s="5"/>
      <c r="U22" s="5">
        <f t="shared" si="1"/>
        <v>900</v>
      </c>
      <c r="V22" s="5">
        <f t="shared" si="2"/>
        <v>0</v>
      </c>
      <c r="W22" s="38">
        <f t="shared" si="3"/>
        <v>900</v>
      </c>
      <c r="X22" s="2"/>
      <c r="Y22" s="2"/>
    </row>
    <row r="23" spans="1:25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49</v>
      </c>
      <c r="G23" s="3">
        <v>27</v>
      </c>
      <c r="H23" s="3" t="s">
        <v>445</v>
      </c>
      <c r="I23" s="35" t="s">
        <v>450</v>
      </c>
      <c r="J23" s="36" t="s">
        <v>429</v>
      </c>
      <c r="K23" s="36"/>
      <c r="L23" s="5">
        <v>5574</v>
      </c>
      <c r="M23" s="37" t="s">
        <v>15</v>
      </c>
      <c r="N23" s="5"/>
      <c r="O23" s="5"/>
      <c r="P23" s="6"/>
      <c r="Q23" s="7">
        <f t="shared" si="0"/>
        <v>0</v>
      </c>
      <c r="R23" s="5">
        <v>39014</v>
      </c>
      <c r="S23" s="5"/>
      <c r="T23" s="5"/>
      <c r="U23" s="5">
        <f t="shared" si="1"/>
        <v>39014</v>
      </c>
      <c r="V23" s="5">
        <f t="shared" si="2"/>
        <v>0</v>
      </c>
      <c r="W23" s="38">
        <f t="shared" si="3"/>
        <v>39014</v>
      </c>
      <c r="X23" s="2"/>
      <c r="Y23" s="2"/>
    </row>
    <row r="24" spans="1:25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49</v>
      </c>
      <c r="G24" s="3">
        <v>27</v>
      </c>
      <c r="H24" s="3" t="s">
        <v>445</v>
      </c>
      <c r="I24" s="35" t="s">
        <v>451</v>
      </c>
      <c r="J24" s="36" t="s">
        <v>429</v>
      </c>
      <c r="K24" s="36"/>
      <c r="L24" s="5">
        <v>20000</v>
      </c>
      <c r="M24" s="37" t="s">
        <v>15</v>
      </c>
      <c r="N24" s="5"/>
      <c r="O24" s="5"/>
      <c r="P24" s="6"/>
      <c r="Q24" s="7">
        <f t="shared" si="0"/>
        <v>0</v>
      </c>
      <c r="R24" s="5">
        <v>3400</v>
      </c>
      <c r="S24" s="5"/>
      <c r="T24" s="5"/>
      <c r="U24" s="5">
        <f t="shared" si="1"/>
        <v>3400</v>
      </c>
      <c r="V24" s="5">
        <f t="shared" si="2"/>
        <v>0</v>
      </c>
      <c r="W24" s="38">
        <f t="shared" si="3"/>
        <v>3400</v>
      </c>
      <c r="X24" s="2"/>
      <c r="Y24" s="2"/>
    </row>
    <row r="25" spans="1:25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49</v>
      </c>
      <c r="G25" s="3">
        <v>27</v>
      </c>
      <c r="H25" s="3" t="s">
        <v>445</v>
      </c>
      <c r="I25" s="35" t="s">
        <v>452</v>
      </c>
      <c r="J25" s="36" t="s">
        <v>429</v>
      </c>
      <c r="K25" s="36"/>
      <c r="L25" s="5">
        <v>4195</v>
      </c>
      <c r="M25" s="37" t="s">
        <v>15</v>
      </c>
      <c r="N25" s="5"/>
      <c r="O25" s="5"/>
      <c r="P25" s="6"/>
      <c r="Q25" s="7">
        <f t="shared" si="0"/>
        <v>0</v>
      </c>
      <c r="R25" s="5">
        <v>924</v>
      </c>
      <c r="S25" s="5"/>
      <c r="T25" s="5"/>
      <c r="U25" s="5">
        <f t="shared" si="1"/>
        <v>924</v>
      </c>
      <c r="V25" s="5">
        <f t="shared" si="2"/>
        <v>0</v>
      </c>
      <c r="W25" s="38">
        <f t="shared" si="3"/>
        <v>924</v>
      </c>
      <c r="X25" s="2"/>
      <c r="Y25" s="2"/>
    </row>
    <row r="26" spans="1:25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49</v>
      </c>
      <c r="G26" s="3">
        <v>27</v>
      </c>
      <c r="H26" s="3" t="s">
        <v>445</v>
      </c>
      <c r="I26" s="35" t="s">
        <v>453</v>
      </c>
      <c r="J26" s="36" t="s">
        <v>429</v>
      </c>
      <c r="K26" s="36"/>
      <c r="L26" s="5">
        <v>640</v>
      </c>
      <c r="M26" s="37" t="s">
        <v>15</v>
      </c>
      <c r="N26" s="5"/>
      <c r="O26" s="5"/>
      <c r="P26" s="6"/>
      <c r="Q26" s="7">
        <f t="shared" si="0"/>
        <v>0</v>
      </c>
      <c r="R26" s="5">
        <v>640</v>
      </c>
      <c r="S26" s="5"/>
      <c r="T26" s="5"/>
      <c r="U26" s="5">
        <f t="shared" si="1"/>
        <v>640</v>
      </c>
      <c r="V26" s="5">
        <f t="shared" si="2"/>
        <v>0</v>
      </c>
      <c r="W26" s="38">
        <f t="shared" si="3"/>
        <v>640</v>
      </c>
      <c r="X26" s="2"/>
      <c r="Y26" s="2"/>
    </row>
    <row r="27" spans="1:25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49</v>
      </c>
      <c r="G27" s="3">
        <v>27</v>
      </c>
      <c r="H27" s="3" t="s">
        <v>445</v>
      </c>
      <c r="I27" s="35" t="s">
        <v>454</v>
      </c>
      <c r="J27" s="36" t="s">
        <v>429</v>
      </c>
      <c r="K27" s="36"/>
      <c r="L27" s="5">
        <v>19000</v>
      </c>
      <c r="M27" s="37" t="s">
        <v>15</v>
      </c>
      <c r="N27" s="5"/>
      <c r="O27" s="5"/>
      <c r="P27" s="6"/>
      <c r="Q27" s="7">
        <f t="shared" si="0"/>
        <v>0</v>
      </c>
      <c r="R27" s="5">
        <v>24800</v>
      </c>
      <c r="S27" s="5"/>
      <c r="T27" s="5"/>
      <c r="U27" s="5">
        <f t="shared" si="1"/>
        <v>24800</v>
      </c>
      <c r="V27" s="5">
        <f t="shared" si="2"/>
        <v>0</v>
      </c>
      <c r="W27" s="38">
        <f t="shared" si="3"/>
        <v>24800</v>
      </c>
      <c r="X27" s="2"/>
      <c r="Y27" s="2"/>
    </row>
    <row r="28" spans="1:25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49</v>
      </c>
      <c r="G28" s="3">
        <v>27</v>
      </c>
      <c r="H28" s="3" t="s">
        <v>445</v>
      </c>
      <c r="I28" s="35" t="s">
        <v>455</v>
      </c>
      <c r="J28" s="36" t="s">
        <v>429</v>
      </c>
      <c r="K28" s="36"/>
      <c r="L28" s="5">
        <v>8780</v>
      </c>
      <c r="M28" s="37" t="s">
        <v>15</v>
      </c>
      <c r="N28" s="5"/>
      <c r="O28" s="5"/>
      <c r="P28" s="6"/>
      <c r="Q28" s="7">
        <f t="shared" si="0"/>
        <v>0</v>
      </c>
      <c r="R28" s="5">
        <v>5528</v>
      </c>
      <c r="S28" s="5"/>
      <c r="T28" s="5"/>
      <c r="U28" s="5">
        <f t="shared" si="1"/>
        <v>5528</v>
      </c>
      <c r="V28" s="5">
        <f t="shared" si="2"/>
        <v>0</v>
      </c>
      <c r="W28" s="38">
        <f t="shared" si="3"/>
        <v>5528</v>
      </c>
      <c r="X28" s="2"/>
      <c r="Y28" s="2"/>
    </row>
    <row r="29" spans="1:25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49</v>
      </c>
      <c r="G29" s="3">
        <v>28</v>
      </c>
      <c r="H29" s="3" t="s">
        <v>457</v>
      </c>
      <c r="I29" s="35" t="s">
        <v>458</v>
      </c>
      <c r="J29" s="36" t="s">
        <v>429</v>
      </c>
      <c r="K29" s="36"/>
      <c r="L29" s="5"/>
      <c r="M29" s="37" t="s">
        <v>15</v>
      </c>
      <c r="N29" s="5"/>
      <c r="O29" s="5"/>
      <c r="P29" s="6"/>
      <c r="Q29" s="7">
        <f t="shared" si="0"/>
        <v>0</v>
      </c>
      <c r="R29" s="5">
        <v>2698</v>
      </c>
      <c r="S29" s="5"/>
      <c r="T29" s="5"/>
      <c r="U29" s="5">
        <f t="shared" si="1"/>
        <v>2698</v>
      </c>
      <c r="V29" s="5">
        <f t="shared" si="2"/>
        <v>0</v>
      </c>
      <c r="W29" s="38">
        <f t="shared" si="3"/>
        <v>2698</v>
      </c>
      <c r="X29" s="2"/>
      <c r="Y29" s="2"/>
    </row>
    <row r="30" spans="1:25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49</v>
      </c>
      <c r="G30" s="3">
        <v>28</v>
      </c>
      <c r="H30" s="3" t="s">
        <v>457</v>
      </c>
      <c r="I30" s="35" t="s">
        <v>459</v>
      </c>
      <c r="J30" s="36" t="s">
        <v>429</v>
      </c>
      <c r="K30" s="36"/>
      <c r="L30" s="5"/>
      <c r="M30" s="37" t="s">
        <v>15</v>
      </c>
      <c r="N30" s="5"/>
      <c r="O30" s="5"/>
      <c r="P30" s="6"/>
      <c r="Q30" s="7">
        <f t="shared" si="0"/>
        <v>0</v>
      </c>
      <c r="R30" s="5">
        <v>624</v>
      </c>
      <c r="S30" s="5"/>
      <c r="T30" s="5"/>
      <c r="U30" s="5">
        <f t="shared" si="1"/>
        <v>624</v>
      </c>
      <c r="V30" s="5">
        <f t="shared" si="2"/>
        <v>0</v>
      </c>
      <c r="W30" s="38">
        <f t="shared" si="3"/>
        <v>624</v>
      </c>
      <c r="X30" s="2"/>
      <c r="Y30" s="2"/>
    </row>
    <row r="31" spans="1:25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49</v>
      </c>
      <c r="G31" s="3">
        <v>28</v>
      </c>
      <c r="H31" s="3" t="s">
        <v>457</v>
      </c>
      <c r="I31" s="35" t="s">
        <v>460</v>
      </c>
      <c r="J31" s="36" t="s">
        <v>429</v>
      </c>
      <c r="K31" s="36"/>
      <c r="L31" s="5"/>
      <c r="M31" s="37" t="s">
        <v>15</v>
      </c>
      <c r="N31" s="5"/>
      <c r="O31" s="5"/>
      <c r="P31" s="6"/>
      <c r="Q31" s="7">
        <f t="shared" si="0"/>
        <v>0</v>
      </c>
      <c r="R31" s="5">
        <v>11371</v>
      </c>
      <c r="S31" s="5"/>
      <c r="T31" s="5"/>
      <c r="U31" s="5">
        <f t="shared" si="1"/>
        <v>11371</v>
      </c>
      <c r="V31" s="5">
        <f t="shared" si="2"/>
        <v>0</v>
      </c>
      <c r="W31" s="38">
        <f t="shared" si="3"/>
        <v>11371</v>
      </c>
      <c r="X31" s="2"/>
      <c r="Y31" s="2"/>
    </row>
    <row r="32" spans="1:25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49</v>
      </c>
      <c r="G32" s="3">
        <v>28</v>
      </c>
      <c r="H32" s="3" t="s">
        <v>457</v>
      </c>
      <c r="I32" s="35" t="s">
        <v>461</v>
      </c>
      <c r="J32" s="36" t="s">
        <v>429</v>
      </c>
      <c r="K32" s="36"/>
      <c r="L32" s="5"/>
      <c r="M32" s="37" t="s">
        <v>15</v>
      </c>
      <c r="N32" s="5"/>
      <c r="O32" s="5"/>
      <c r="P32" s="6"/>
      <c r="Q32" s="7">
        <f t="shared" si="0"/>
        <v>0</v>
      </c>
      <c r="R32" s="5">
        <v>17012</v>
      </c>
      <c r="S32" s="5"/>
      <c r="T32" s="5"/>
      <c r="U32" s="5">
        <f t="shared" si="1"/>
        <v>17012</v>
      </c>
      <c r="V32" s="5">
        <f t="shared" si="2"/>
        <v>0</v>
      </c>
      <c r="W32" s="38">
        <f t="shared" si="3"/>
        <v>17012</v>
      </c>
      <c r="X32" s="2"/>
      <c r="Y32" s="2"/>
    </row>
    <row r="33" spans="1:25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49</v>
      </c>
      <c r="G33" s="3">
        <v>28</v>
      </c>
      <c r="H33" s="3" t="s">
        <v>457</v>
      </c>
      <c r="I33" s="35" t="s">
        <v>462</v>
      </c>
      <c r="J33" s="36" t="s">
        <v>429</v>
      </c>
      <c r="K33" s="36"/>
      <c r="L33" s="5"/>
      <c r="M33" s="37" t="s">
        <v>15</v>
      </c>
      <c r="N33" s="5"/>
      <c r="O33" s="5"/>
      <c r="P33" s="6"/>
      <c r="Q33" s="7">
        <f t="shared" si="0"/>
        <v>0</v>
      </c>
      <c r="R33" s="5">
        <v>5442</v>
      </c>
      <c r="S33" s="5"/>
      <c r="T33" s="5"/>
      <c r="U33" s="5">
        <f t="shared" si="1"/>
        <v>5442</v>
      </c>
      <c r="V33" s="5">
        <f t="shared" si="2"/>
        <v>0</v>
      </c>
      <c r="W33" s="38">
        <f t="shared" si="3"/>
        <v>5442</v>
      </c>
      <c r="X33" s="2"/>
      <c r="Y33" s="2"/>
    </row>
    <row r="34" spans="1:25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49</v>
      </c>
      <c r="G34" s="3">
        <v>28</v>
      </c>
      <c r="H34" s="3" t="s">
        <v>463</v>
      </c>
      <c r="I34" s="35" t="s">
        <v>464</v>
      </c>
      <c r="J34" s="36" t="s">
        <v>429</v>
      </c>
      <c r="K34" s="36"/>
      <c r="L34" s="5">
        <v>160</v>
      </c>
      <c r="M34" s="37" t="s">
        <v>15</v>
      </c>
      <c r="N34" s="5"/>
      <c r="O34" s="5"/>
      <c r="P34" s="6"/>
      <c r="Q34" s="7">
        <f t="shared" si="0"/>
        <v>0</v>
      </c>
      <c r="R34" s="5">
        <v>800</v>
      </c>
      <c r="S34" s="5"/>
      <c r="T34" s="5"/>
      <c r="U34" s="5">
        <f t="shared" si="1"/>
        <v>800</v>
      </c>
      <c r="V34" s="5">
        <f t="shared" si="2"/>
        <v>0</v>
      </c>
      <c r="W34" s="38">
        <f t="shared" si="3"/>
        <v>800</v>
      </c>
      <c r="X34" s="2"/>
      <c r="Y34" s="2"/>
    </row>
    <row r="35" spans="1:25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49</v>
      </c>
      <c r="G35" s="3">
        <v>28</v>
      </c>
      <c r="H35" s="3" t="s">
        <v>463</v>
      </c>
      <c r="I35" s="3" t="s">
        <v>237</v>
      </c>
      <c r="J35" s="36" t="s">
        <v>429</v>
      </c>
      <c r="K35" s="36"/>
      <c r="L35" s="5"/>
      <c r="M35" s="37" t="s">
        <v>15</v>
      </c>
      <c r="N35" s="5"/>
      <c r="O35" s="5"/>
      <c r="P35" s="6"/>
      <c r="Q35" s="7">
        <f t="shared" si="0"/>
        <v>0</v>
      </c>
      <c r="R35" s="5">
        <v>11175</v>
      </c>
      <c r="S35" s="5"/>
      <c r="T35" s="5"/>
      <c r="U35" s="5">
        <f t="shared" si="1"/>
        <v>11175</v>
      </c>
      <c r="V35" s="5">
        <f t="shared" si="2"/>
        <v>0</v>
      </c>
      <c r="W35" s="38">
        <f t="shared" si="3"/>
        <v>11175</v>
      </c>
      <c r="X35" s="2"/>
      <c r="Y35" s="2"/>
    </row>
    <row r="36" spans="1:25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49</v>
      </c>
      <c r="G36" s="3">
        <v>28</v>
      </c>
      <c r="H36" s="3" t="s">
        <v>463</v>
      </c>
      <c r="I36" s="3" t="s">
        <v>465</v>
      </c>
      <c r="J36" s="36" t="s">
        <v>429</v>
      </c>
      <c r="K36" s="36"/>
      <c r="L36" s="5"/>
      <c r="M36" s="37" t="s">
        <v>15</v>
      </c>
      <c r="N36" s="5"/>
      <c r="O36" s="5"/>
      <c r="P36" s="6"/>
      <c r="Q36" s="7">
        <f t="shared" si="0"/>
        <v>0</v>
      </c>
      <c r="R36" s="5">
        <v>60</v>
      </c>
      <c r="S36" s="5"/>
      <c r="T36" s="5"/>
      <c r="U36" s="5">
        <f t="shared" si="1"/>
        <v>60</v>
      </c>
      <c r="V36" s="5">
        <f t="shared" si="2"/>
        <v>0</v>
      </c>
      <c r="W36" s="38">
        <f t="shared" si="3"/>
        <v>60</v>
      </c>
      <c r="X36" s="2"/>
      <c r="Y36" s="2"/>
    </row>
    <row r="37" spans="1:25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49</v>
      </c>
      <c r="G37" s="3">
        <v>28</v>
      </c>
      <c r="H37" s="3" t="s">
        <v>463</v>
      </c>
      <c r="I37" s="35" t="s">
        <v>466</v>
      </c>
      <c r="J37" s="36" t="s">
        <v>429</v>
      </c>
      <c r="K37" s="36"/>
      <c r="L37" s="5">
        <v>680</v>
      </c>
      <c r="M37" s="37" t="s">
        <v>15</v>
      </c>
      <c r="N37" s="5"/>
      <c r="O37" s="5"/>
      <c r="P37" s="6"/>
      <c r="Q37" s="7">
        <f t="shared" si="0"/>
        <v>0</v>
      </c>
      <c r="R37" s="5">
        <v>126</v>
      </c>
      <c r="S37" s="5"/>
      <c r="T37" s="5"/>
      <c r="U37" s="5">
        <f t="shared" si="1"/>
        <v>126</v>
      </c>
      <c r="V37" s="5">
        <f t="shared" si="2"/>
        <v>0</v>
      </c>
      <c r="W37" s="38">
        <f t="shared" si="3"/>
        <v>126</v>
      </c>
      <c r="X37" s="2"/>
      <c r="Y37" s="2"/>
    </row>
    <row r="38" spans="1:25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49</v>
      </c>
      <c r="G38" s="3">
        <v>28</v>
      </c>
      <c r="H38" s="3" t="s">
        <v>463</v>
      </c>
      <c r="I38" s="35" t="s">
        <v>467</v>
      </c>
      <c r="J38" s="36" t="s">
        <v>429</v>
      </c>
      <c r="K38" s="36"/>
      <c r="L38" s="5"/>
      <c r="M38" s="37" t="s">
        <v>15</v>
      </c>
      <c r="N38" s="5"/>
      <c r="O38" s="5"/>
      <c r="P38" s="6"/>
      <c r="Q38" s="7">
        <f t="shared" si="0"/>
        <v>0</v>
      </c>
      <c r="R38" s="5">
        <v>1500</v>
      </c>
      <c r="S38" s="5"/>
      <c r="T38" s="5"/>
      <c r="U38" s="5">
        <f t="shared" si="1"/>
        <v>1500</v>
      </c>
      <c r="V38" s="5">
        <f t="shared" si="2"/>
        <v>0</v>
      </c>
      <c r="W38" s="38">
        <f t="shared" si="3"/>
        <v>1500</v>
      </c>
      <c r="X38" s="2"/>
      <c r="Y38" s="2"/>
    </row>
    <row r="39" spans="1:25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49</v>
      </c>
      <c r="G39" s="3">
        <v>28</v>
      </c>
      <c r="H39" s="3" t="s">
        <v>463</v>
      </c>
      <c r="I39" s="35" t="s">
        <v>284</v>
      </c>
      <c r="J39" s="36" t="s">
        <v>429</v>
      </c>
      <c r="K39" s="36"/>
      <c r="L39" s="5"/>
      <c r="M39" s="37" t="s">
        <v>15</v>
      </c>
      <c r="N39" s="5"/>
      <c r="O39" s="5"/>
      <c r="P39" s="6"/>
      <c r="Q39" s="7">
        <f t="shared" si="0"/>
        <v>0</v>
      </c>
      <c r="R39" s="5">
        <v>50000</v>
      </c>
      <c r="S39" s="5"/>
      <c r="T39" s="5"/>
      <c r="U39" s="5">
        <f t="shared" si="1"/>
        <v>50000</v>
      </c>
      <c r="V39" s="5">
        <f t="shared" si="2"/>
        <v>0</v>
      </c>
      <c r="W39" s="38">
        <f t="shared" si="3"/>
        <v>50000</v>
      </c>
      <c r="X39" s="2"/>
      <c r="Y39" s="2"/>
    </row>
    <row r="40" spans="1:25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49</v>
      </c>
      <c r="G40" s="3">
        <v>28</v>
      </c>
      <c r="H40" s="3" t="s">
        <v>463</v>
      </c>
      <c r="I40" s="35" t="s">
        <v>468</v>
      </c>
      <c r="J40" s="36" t="s">
        <v>429</v>
      </c>
      <c r="K40" s="36"/>
      <c r="L40" s="5">
        <v>3398</v>
      </c>
      <c r="M40" s="37" t="s">
        <v>15</v>
      </c>
      <c r="N40" s="5"/>
      <c r="O40" s="5"/>
      <c r="P40" s="6"/>
      <c r="Q40" s="7">
        <f t="shared" si="0"/>
        <v>0</v>
      </c>
      <c r="R40" s="5">
        <v>13538</v>
      </c>
      <c r="S40" s="5"/>
      <c r="T40" s="5"/>
      <c r="U40" s="5">
        <f t="shared" si="1"/>
        <v>13538</v>
      </c>
      <c r="V40" s="5">
        <f t="shared" si="2"/>
        <v>0</v>
      </c>
      <c r="W40" s="38">
        <f t="shared" si="3"/>
        <v>13538</v>
      </c>
      <c r="X40" s="2"/>
      <c r="Y40" s="2"/>
    </row>
    <row r="41" spans="1:25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49</v>
      </c>
      <c r="G41" s="3">
        <v>28</v>
      </c>
      <c r="H41" s="3" t="s">
        <v>463</v>
      </c>
      <c r="I41" s="35" t="s">
        <v>469</v>
      </c>
      <c r="J41" s="36" t="s">
        <v>429</v>
      </c>
      <c r="K41" s="36"/>
      <c r="L41" s="5"/>
      <c r="M41" s="37" t="s">
        <v>15</v>
      </c>
      <c r="N41" s="5"/>
      <c r="O41" s="5"/>
      <c r="P41" s="6"/>
      <c r="Q41" s="7">
        <f t="shared" si="0"/>
        <v>0</v>
      </c>
      <c r="R41" s="5">
        <v>549</v>
      </c>
      <c r="S41" s="5"/>
      <c r="T41" s="5"/>
      <c r="U41" s="5">
        <f t="shared" si="1"/>
        <v>549</v>
      </c>
      <c r="V41" s="5">
        <f t="shared" si="2"/>
        <v>0</v>
      </c>
      <c r="W41" s="38">
        <f t="shared" si="3"/>
        <v>549</v>
      </c>
      <c r="X41" s="2"/>
      <c r="Y41" s="2"/>
    </row>
    <row r="42" spans="1:25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49</v>
      </c>
      <c r="G42" s="3">
        <v>28</v>
      </c>
      <c r="H42" s="3" t="s">
        <v>463</v>
      </c>
      <c r="I42" s="35" t="s">
        <v>470</v>
      </c>
      <c r="J42" s="36" t="s">
        <v>429</v>
      </c>
      <c r="K42" s="36"/>
      <c r="L42" s="5">
        <v>300</v>
      </c>
      <c r="M42" s="37" t="s">
        <v>15</v>
      </c>
      <c r="N42" s="5"/>
      <c r="O42" s="5"/>
      <c r="P42" s="6"/>
      <c r="Q42" s="7">
        <f t="shared" si="0"/>
        <v>0</v>
      </c>
      <c r="R42" s="5">
        <v>3000</v>
      </c>
      <c r="S42" s="5"/>
      <c r="T42" s="5"/>
      <c r="U42" s="5">
        <f t="shared" si="1"/>
        <v>3000</v>
      </c>
      <c r="V42" s="5">
        <f t="shared" si="2"/>
        <v>0</v>
      </c>
      <c r="W42" s="38">
        <f t="shared" si="3"/>
        <v>3000</v>
      </c>
      <c r="X42" s="2"/>
      <c r="Y42" s="2"/>
    </row>
    <row r="43" spans="1:25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49</v>
      </c>
      <c r="G43" s="3">
        <v>28</v>
      </c>
      <c r="H43" s="3" t="s">
        <v>463</v>
      </c>
      <c r="I43" s="35" t="s">
        <v>471</v>
      </c>
      <c r="J43" s="36" t="s">
        <v>429</v>
      </c>
      <c r="K43" s="36"/>
      <c r="L43" s="5">
        <v>18896</v>
      </c>
      <c r="M43" s="37" t="s">
        <v>15</v>
      </c>
      <c r="N43" s="5"/>
      <c r="O43" s="5"/>
      <c r="P43" s="6"/>
      <c r="Q43" s="7">
        <f t="shared" si="0"/>
        <v>0</v>
      </c>
      <c r="R43" s="5">
        <v>3428</v>
      </c>
      <c r="S43" s="5"/>
      <c r="T43" s="5"/>
      <c r="U43" s="5">
        <f t="shared" si="1"/>
        <v>3428</v>
      </c>
      <c r="V43" s="5">
        <f t="shared" si="2"/>
        <v>0</v>
      </c>
      <c r="W43" s="38">
        <f t="shared" si="3"/>
        <v>3428</v>
      </c>
      <c r="X43" s="2"/>
      <c r="Y43" s="2"/>
    </row>
    <row r="44" spans="1:25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49</v>
      </c>
      <c r="G44" s="3">
        <v>28</v>
      </c>
      <c r="H44" s="3" t="s">
        <v>463</v>
      </c>
      <c r="I44" s="35" t="s">
        <v>472</v>
      </c>
      <c r="J44" s="36" t="s">
        <v>429</v>
      </c>
      <c r="K44" s="36"/>
      <c r="L44" s="5">
        <v>38469</v>
      </c>
      <c r="M44" s="37" t="s">
        <v>15</v>
      </c>
      <c r="N44" s="5"/>
      <c r="O44" s="5"/>
      <c r="P44" s="6"/>
      <c r="Q44" s="7">
        <f t="shared" si="0"/>
        <v>0</v>
      </c>
      <c r="R44" s="5">
        <v>34582</v>
      </c>
      <c r="S44" s="5"/>
      <c r="T44" s="5"/>
      <c r="U44" s="5">
        <f t="shared" si="1"/>
        <v>34582</v>
      </c>
      <c r="V44" s="5">
        <f t="shared" si="2"/>
        <v>0</v>
      </c>
      <c r="W44" s="38">
        <f t="shared" si="3"/>
        <v>34582</v>
      </c>
      <c r="X44" s="2"/>
      <c r="Y44" s="2"/>
    </row>
    <row r="45" spans="1:25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49</v>
      </c>
      <c r="G45" s="3">
        <v>28</v>
      </c>
      <c r="H45" s="3" t="s">
        <v>463</v>
      </c>
      <c r="I45" s="35" t="s">
        <v>473</v>
      </c>
      <c r="J45" s="36" t="s">
        <v>429</v>
      </c>
      <c r="K45" s="36"/>
      <c r="L45" s="5"/>
      <c r="M45" s="37" t="s">
        <v>15</v>
      </c>
      <c r="N45" s="5"/>
      <c r="O45" s="5"/>
      <c r="P45" s="6"/>
      <c r="Q45" s="7">
        <f t="shared" si="0"/>
        <v>0</v>
      </c>
      <c r="R45" s="5">
        <v>1022</v>
      </c>
      <c r="S45" s="5"/>
      <c r="T45" s="5"/>
      <c r="U45" s="5">
        <f t="shared" si="1"/>
        <v>1022</v>
      </c>
      <c r="V45" s="5">
        <f t="shared" si="2"/>
        <v>0</v>
      </c>
      <c r="W45" s="38">
        <f t="shared" si="3"/>
        <v>1022</v>
      </c>
      <c r="X45" s="2"/>
      <c r="Y45" s="2"/>
    </row>
    <row r="46" spans="1:25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49</v>
      </c>
      <c r="G46" s="3">
        <v>28</v>
      </c>
      <c r="H46" s="3" t="s">
        <v>474</v>
      </c>
      <c r="I46" s="35" t="s">
        <v>33</v>
      </c>
      <c r="J46" s="36" t="s">
        <v>429</v>
      </c>
      <c r="K46" s="36"/>
      <c r="L46" s="5">
        <v>856</v>
      </c>
      <c r="M46" s="37" t="s">
        <v>15</v>
      </c>
      <c r="N46" s="5"/>
      <c r="O46" s="5"/>
      <c r="P46" s="6"/>
      <c r="Q46" s="7">
        <f t="shared" si="0"/>
        <v>0</v>
      </c>
      <c r="R46" s="5">
        <v>146</v>
      </c>
      <c r="S46" s="5"/>
      <c r="T46" s="5"/>
      <c r="U46" s="5">
        <f t="shared" si="1"/>
        <v>146</v>
      </c>
      <c r="V46" s="5">
        <f t="shared" si="2"/>
        <v>0</v>
      </c>
      <c r="W46" s="38">
        <f t="shared" si="3"/>
        <v>146</v>
      </c>
      <c r="X46" s="2"/>
      <c r="Y46" s="2"/>
    </row>
    <row r="47" spans="1:25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49</v>
      </c>
      <c r="G47" s="3">
        <v>28</v>
      </c>
      <c r="H47" s="3" t="s">
        <v>476</v>
      </c>
      <c r="I47" s="35" t="s">
        <v>475</v>
      </c>
      <c r="J47" s="36" t="s">
        <v>429</v>
      </c>
      <c r="K47" s="36"/>
      <c r="L47" s="5"/>
      <c r="M47" s="37" t="s">
        <v>15</v>
      </c>
      <c r="N47" s="5"/>
      <c r="O47" s="5"/>
      <c r="P47" s="6"/>
      <c r="Q47" s="7">
        <f t="shared" si="0"/>
        <v>0</v>
      </c>
      <c r="R47" s="5">
        <v>900</v>
      </c>
      <c r="S47" s="5"/>
      <c r="T47" s="5"/>
      <c r="U47" s="5">
        <f t="shared" si="1"/>
        <v>900</v>
      </c>
      <c r="V47" s="5">
        <f t="shared" si="2"/>
        <v>0</v>
      </c>
      <c r="W47" s="38">
        <f t="shared" si="3"/>
        <v>900</v>
      </c>
      <c r="X47" s="2"/>
      <c r="Y47" s="2"/>
    </row>
  </sheetData>
  <conditionalFormatting sqref="W2:W47">
    <cfRule type="cellIs" dxfId="1" priority="2" stopIfTrue="1" operator="greaterThan">
      <formula>0</formula>
    </cfRule>
  </conditionalFormatting>
  <conditionalFormatting sqref="W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Penne</vt:lpstr>
      <vt:lpstr>Septeme</vt:lpstr>
      <vt:lpstr>Arles</vt:lpstr>
      <vt:lpstr>Marseille</vt:lpstr>
      <vt:lpstr>Marseille avec Angleterre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Utilisateur de Microsoft Office</cp:lastModifiedBy>
  <dcterms:created xsi:type="dcterms:W3CDTF">2014-05-20T06:34:57Z</dcterms:created>
  <dcterms:modified xsi:type="dcterms:W3CDTF">2014-07-31T13:00:05Z</dcterms:modified>
</cp:coreProperties>
</file>