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 activeTab="1"/>
  </bookViews>
  <sheets>
    <sheet name="Bitrate" sheetId="1" r:id="rId1"/>
    <sheet name="BRP" sheetId="2" r:id="rId2"/>
    <sheet name="CiA DS-102" sheetId="3" r:id="rId3"/>
  </sheets>
  <definedNames>
    <definedName name="BITRATE">BRP!$E$6</definedName>
    <definedName name="BITRATE_DESIRED">BRP!$E$2</definedName>
    <definedName name="BRP">BRP!$B$10</definedName>
    <definedName name="BUS_PROPAGATION_DELAY">BRP!$E$22</definedName>
    <definedName name="FREQUENCY">BRP!$E$1</definedName>
    <definedName name="LENGTH">BRP!$B$3</definedName>
    <definedName name="OSC_TOLERANCE">BRP!#REF!</definedName>
    <definedName name="_xlnm.Print_Area" localSheetId="0">Bitrate!$A$1:$C$14</definedName>
    <definedName name="_xlnm.Print_Area" localSheetId="1">BRP!$A$1:$C$14</definedName>
    <definedName name="_xlnm.Print_Area" localSheetId="2">'CiA DS-102'!$A$1:$I$8</definedName>
    <definedName name="PROPAGATION_TIME">BRP!$E$18</definedName>
    <definedName name="PROPAGATION_TIME_DESIRED">BRP!$E$3</definedName>
    <definedName name="PRSEG_TQ">BRP!$E$11</definedName>
    <definedName name="SEG1PH_TQ">BRP!$E$12</definedName>
    <definedName name="SEG2PH_TQ">BRP!$E$13</definedName>
    <definedName name="SJW_TQ">BRP!$E$14</definedName>
    <definedName name="TBIT_TIME">BRP!$E$17</definedName>
    <definedName name="TQ">BRP!$B$4</definedName>
    <definedName name="TQ_TIME">BRP!$E$16</definedName>
    <definedName name="TRANSCEIVER_DELAY">BRP!$E$23</definedName>
    <definedName name="VRP">BRP!$B$10</definedName>
  </definedNames>
  <calcPr calcId="145621"/>
</workbook>
</file>

<file path=xl/calcChain.xml><?xml version="1.0" encoding="utf-8"?>
<calcChain xmlns="http://schemas.openxmlformats.org/spreadsheetml/2006/main">
  <c r="E3" i="2" l="1"/>
  <c r="F8" i="1"/>
  <c r="G8" i="1"/>
  <c r="E8" i="1" s="1"/>
  <c r="B8" i="1" s="1"/>
  <c r="E12" i="1" l="1"/>
  <c r="F11" i="1" s="1"/>
  <c r="E3" i="1"/>
  <c r="G11" i="1" s="1"/>
  <c r="E12" i="2"/>
  <c r="E11" i="1" l="1"/>
  <c r="B12" i="1"/>
  <c r="C12" i="1" s="1"/>
  <c r="E18" i="1" l="1"/>
  <c r="E13" i="1"/>
  <c r="F14" i="1"/>
  <c r="E14" i="1" s="1"/>
  <c r="B13" i="1"/>
  <c r="C13" i="1" s="1"/>
  <c r="F11" i="2"/>
  <c r="B12" i="2"/>
  <c r="C12" i="2" s="1"/>
  <c r="B1" i="1"/>
  <c r="E7" i="1" l="1"/>
  <c r="B7" i="1" s="1"/>
  <c r="B18" i="1"/>
  <c r="B11" i="1"/>
  <c r="C11" i="1" s="1"/>
  <c r="B10" i="1"/>
  <c r="E2" i="2" l="1"/>
  <c r="E1" i="2"/>
  <c r="E10" i="2" l="1"/>
  <c r="B10" i="2" s="1"/>
  <c r="E1" i="1"/>
  <c r="E16" i="2" l="1"/>
  <c r="G11" i="2" s="1"/>
  <c r="E16" i="1"/>
  <c r="E11" i="2" l="1"/>
  <c r="E17" i="2"/>
  <c r="B16" i="2"/>
  <c r="B16" i="1"/>
  <c r="E17" i="1"/>
  <c r="E6" i="1" s="1"/>
  <c r="B6" i="1" l="1"/>
  <c r="B14" i="1"/>
  <c r="C14" i="1" s="1"/>
  <c r="E6" i="2"/>
  <c r="B6" i="2" s="1"/>
  <c r="B17" i="2"/>
  <c r="E18" i="2"/>
  <c r="E7" i="2" s="1"/>
  <c r="B11" i="2"/>
  <c r="C11" i="2" s="1"/>
  <c r="E13" i="2"/>
  <c r="G8" i="2" s="1"/>
  <c r="B17" i="1"/>
  <c r="F14" i="2"/>
  <c r="B13" i="2" l="1"/>
  <c r="C13" i="2" s="1"/>
  <c r="B18" i="2"/>
  <c r="B7" i="2"/>
  <c r="E14" i="2"/>
  <c r="B14" i="2" l="1"/>
  <c r="C14" i="2" s="1"/>
  <c r="F8" i="2"/>
  <c r="E8" i="2" s="1"/>
  <c r="B8" i="2" s="1"/>
</calcChain>
</file>

<file path=xl/sharedStrings.xml><?xml version="1.0" encoding="utf-8"?>
<sst xmlns="http://schemas.openxmlformats.org/spreadsheetml/2006/main" count="53" uniqueCount="26">
  <si>
    <t>BRP:</t>
  </si>
  <si>
    <t>Frequency:</t>
  </si>
  <si>
    <r>
      <t>T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:</t>
    </r>
  </si>
  <si>
    <t>SEG2PH:</t>
  </si>
  <si>
    <t>PRSEG:</t>
  </si>
  <si>
    <t>SEG1PH:</t>
  </si>
  <si>
    <r>
      <t>1 T</t>
    </r>
    <r>
      <rPr>
        <vertAlign val="subscript"/>
        <sz val="11"/>
        <color theme="1"/>
        <rFont val="Calibri"/>
        <family val="2"/>
        <scheme val="minor"/>
      </rPr>
      <t>Q</t>
    </r>
  </si>
  <si>
    <r>
      <t>2 T</t>
    </r>
    <r>
      <rPr>
        <vertAlign val="subscript"/>
        <sz val="11"/>
        <color theme="1"/>
        <rFont val="Calibri"/>
        <family val="2"/>
        <scheme val="minor"/>
      </rPr>
      <t>Q</t>
    </r>
  </si>
  <si>
    <r>
      <t>3 T</t>
    </r>
    <r>
      <rPr>
        <vertAlign val="subscript"/>
        <sz val="11"/>
        <color theme="1"/>
        <rFont val="Calibri"/>
        <family val="2"/>
        <scheme val="minor"/>
      </rPr>
      <t>Q</t>
    </r>
  </si>
  <si>
    <r>
      <t>4 T</t>
    </r>
    <r>
      <rPr>
        <vertAlign val="subscript"/>
        <sz val="11"/>
        <color theme="1"/>
        <rFont val="Calibri"/>
        <family val="2"/>
        <scheme val="minor"/>
      </rPr>
      <t>Q</t>
    </r>
  </si>
  <si>
    <r>
      <t>5 T</t>
    </r>
    <r>
      <rPr>
        <vertAlign val="subscript"/>
        <sz val="11"/>
        <color theme="1"/>
        <rFont val="Calibri"/>
        <family val="2"/>
        <scheme val="minor"/>
      </rPr>
      <t>Q</t>
    </r>
  </si>
  <si>
    <r>
      <t>6 T</t>
    </r>
    <r>
      <rPr>
        <vertAlign val="subscript"/>
        <sz val="11"/>
        <color theme="1"/>
        <rFont val="Calibri"/>
        <family val="2"/>
        <scheme val="minor"/>
      </rPr>
      <t>Q</t>
    </r>
  </si>
  <si>
    <r>
      <t>7 T</t>
    </r>
    <r>
      <rPr>
        <vertAlign val="subscript"/>
        <sz val="11"/>
        <color theme="1"/>
        <rFont val="Calibri"/>
        <family val="2"/>
        <scheme val="minor"/>
      </rPr>
      <t>Q</t>
    </r>
  </si>
  <si>
    <r>
      <t>8 T</t>
    </r>
    <r>
      <rPr>
        <vertAlign val="subscript"/>
        <sz val="11"/>
        <color theme="1"/>
        <rFont val="Calibri"/>
        <family val="2"/>
        <scheme val="minor"/>
      </rPr>
      <t>Q</t>
    </r>
  </si>
  <si>
    <t>SJW</t>
  </si>
  <si>
    <r>
      <t>T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time:</t>
    </r>
  </si>
  <si>
    <r>
      <t>T</t>
    </r>
    <r>
      <rPr>
        <vertAlign val="subscript"/>
        <sz val="11"/>
        <color theme="1"/>
        <rFont val="Calibri"/>
        <family val="2"/>
        <scheme val="minor"/>
      </rPr>
      <t>BIT</t>
    </r>
    <r>
      <rPr>
        <sz val="11"/>
        <color theme="1"/>
        <rFont val="Calibri"/>
        <family val="2"/>
        <scheme val="minor"/>
      </rPr>
      <t xml:space="preserve"> time:</t>
    </r>
  </si>
  <si>
    <t>Desired bit rate: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</si>
  <si>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Q</t>
    </r>
  </si>
  <si>
    <t>SJW:</t>
  </si>
  <si>
    <t>Bus length:</t>
  </si>
  <si>
    <t>Max. bus length:</t>
  </si>
  <si>
    <t>Propagation time:</t>
  </si>
  <si>
    <t>Nominal bit rate:</t>
  </si>
  <si>
    <t>@ 48 MHz</t>
  </si>
  <si>
    <t>Freq. tolerance: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</si>
</sst>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\ &quot;us&quot;"/>
    <numFmt numFmtId="165" formatCode="0\ &quot;MHz&quot;"/>
    <numFmt numFmtId="166" formatCode="#,##0\ &quot;kbps&quot;"/>
    <numFmt numFmtId="167" formatCode="0\ &quot;kbps&quot;"/>
    <numFmt numFmtId="168" formatCode="0\ &quot;m&quot;"/>
    <numFmt numFmtId="169" formatCode="#,##0\ &quot;m&quot;"/>
  </numFmts>
  <fonts count="6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3" fontId="0" fillId="3" borderId="0" xfId="0" applyNumberForma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167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11" fontId="0" fillId="0" borderId="0" xfId="0" applyNumberFormat="1" applyAlignment="1">
      <alignment vertical="center"/>
    </xf>
    <xf numFmtId="168" fontId="2" fillId="0" borderId="1" xfId="0" applyNumberFormat="1" applyFont="1" applyBorder="1" applyAlignment="1">
      <alignment horizontal="center" vertical="center"/>
    </xf>
    <xf numFmtId="11" fontId="0" fillId="0" borderId="0" xfId="0" applyNumberFormat="1" applyAlignment="1"/>
    <xf numFmtId="3" fontId="5" fillId="3" borderId="0" xfId="0" applyNumberFormat="1" applyFon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166" fontId="0" fillId="3" borderId="0" xfId="0" applyNumberFormat="1" applyFont="1" applyFill="1" applyAlignment="1">
      <alignment horizontal="center" vertical="center"/>
    </xf>
    <xf numFmtId="165" fontId="0" fillId="2" borderId="0" xfId="0" applyNumberFormat="1" applyFill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168" fontId="0" fillId="2" borderId="0" xfId="0" applyNumberFormat="1" applyFill="1" applyAlignment="1" applyProtection="1">
      <alignment horizontal="center" vertical="center"/>
      <protection locked="0"/>
    </xf>
    <xf numFmtId="169" fontId="0" fillId="3" borderId="0" xfId="0" applyNumberFormat="1" applyFont="1" applyFill="1" applyAlignment="1">
      <alignment horizontal="center" vertical="center"/>
    </xf>
    <xf numFmtId="0" fontId="0" fillId="3" borderId="0" xfId="0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center" vertical="center"/>
      <protection locked="0"/>
    </xf>
    <xf numFmtId="167" fontId="0" fillId="2" borderId="0" xfId="0" applyNumberFormat="1" applyFill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10" fontId="0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2" sqref="B2:C2"/>
    </sheetView>
  </sheetViews>
  <sheetFormatPr defaultRowHeight="14.4" x14ac:dyDescent="0.3"/>
  <cols>
    <col min="1" max="1" width="15.77734375" style="1" customWidth="1"/>
    <col min="2" max="3" width="5.77734375" style="1" customWidth="1"/>
    <col min="4" max="4" width="8.88671875" style="1"/>
    <col min="5" max="7" width="10.77734375" style="1" hidden="1" customWidth="1"/>
    <col min="8" max="16384" width="8.88671875" style="1"/>
  </cols>
  <sheetData>
    <row r="1" spans="1:7" ht="16.2" customHeight="1" x14ac:dyDescent="0.3">
      <c r="A1" s="1" t="s">
        <v>1</v>
      </c>
      <c r="B1" s="19">
        <f>4*12</f>
        <v>48</v>
      </c>
      <c r="C1" s="19"/>
      <c r="E1" s="1">
        <f>B1*1000000</f>
        <v>48000000</v>
      </c>
    </row>
    <row r="2" spans="1:7" ht="16.2" customHeight="1" x14ac:dyDescent="0.3">
      <c r="A2" s="1" t="s">
        <v>0</v>
      </c>
      <c r="B2" s="20">
        <v>11</v>
      </c>
      <c r="C2" s="20"/>
    </row>
    <row r="3" spans="1:7" ht="16.2" customHeight="1" x14ac:dyDescent="0.3">
      <c r="A3" s="1" t="s">
        <v>20</v>
      </c>
      <c r="B3" s="21">
        <v>100</v>
      </c>
      <c r="C3" s="21"/>
      <c r="E3" s="12">
        <f>B3 * BUS_PROPAGATION_DELAY + TRANSCEIVER_DELAY</f>
        <v>7.5000000000000002E-7</v>
      </c>
      <c r="F3" s="10"/>
      <c r="G3" s="2"/>
    </row>
    <row r="4" spans="1:7" ht="16.2" customHeight="1" x14ac:dyDescent="0.3">
      <c r="A4" s="1" t="s">
        <v>2</v>
      </c>
      <c r="B4" s="20">
        <v>16</v>
      </c>
      <c r="C4" s="20"/>
    </row>
    <row r="5" spans="1:7" ht="16.2" customHeight="1" x14ac:dyDescent="0.3"/>
    <row r="6" spans="1:7" ht="16.2" customHeight="1" x14ac:dyDescent="0.3">
      <c r="A6" s="1" t="s">
        <v>23</v>
      </c>
      <c r="B6" s="18">
        <f>E6/1000</f>
        <v>125</v>
      </c>
      <c r="C6" s="18"/>
      <c r="E6" s="1">
        <f>1/E17</f>
        <v>125000</v>
      </c>
    </row>
    <row r="7" spans="1:7" ht="16.2" customHeight="1" x14ac:dyDescent="0.3">
      <c r="A7" s="1" t="s">
        <v>21</v>
      </c>
      <c r="B7" s="22">
        <f>E7</f>
        <v>650</v>
      </c>
      <c r="C7" s="22"/>
      <c r="E7" s="10">
        <f>ROUND((E18-TRANSCEIVER_DELAY)/BUS_PROPAGATION_DELAY,0)</f>
        <v>650</v>
      </c>
      <c r="F7" s="10"/>
    </row>
    <row r="8" spans="1:7" ht="16.2" customHeight="1" x14ac:dyDescent="0.3">
      <c r="A8" s="1" t="s">
        <v>25</v>
      </c>
      <c r="B8" s="28">
        <f>E8</f>
        <v>4.8543689320388345E-3</v>
      </c>
      <c r="C8" s="28"/>
      <c r="E8" s="10">
        <f>MIN(F8,G8)</f>
        <v>4.8543689320388345E-3</v>
      </c>
      <c r="F8" s="10">
        <f>E14/(20*B4)</f>
        <v>6.2500000000000003E-3</v>
      </c>
      <c r="G8" s="1">
        <f>MIN(E12, E13)/(2*(13*B4-E13))</f>
        <v>4.8543689320388345E-3</v>
      </c>
    </row>
    <row r="9" spans="1:7" ht="16.2" customHeight="1" x14ac:dyDescent="0.3"/>
    <row r="10" spans="1:7" ht="16.2" customHeight="1" x14ac:dyDescent="0.3">
      <c r="A10" s="1" t="s">
        <v>0</v>
      </c>
      <c r="B10" s="17">
        <f>B2</f>
        <v>11</v>
      </c>
      <c r="C10" s="17"/>
    </row>
    <row r="11" spans="1:7" ht="16.2" customHeight="1" x14ac:dyDescent="0.3">
      <c r="A11" s="1" t="s">
        <v>4</v>
      </c>
      <c r="B11" s="4">
        <f>E11-1</f>
        <v>6</v>
      </c>
      <c r="C11" s="15" t="str">
        <f>VLOOKUP(B11,E22:F29,2)</f>
        <v>7 TQ</v>
      </c>
      <c r="E11" s="1">
        <f>MAX(F11,G11)</f>
        <v>7</v>
      </c>
      <c r="F11" s="10">
        <f>B4-1-E12-MIN(MAX(E12-8-1,2),8)</f>
        <v>7</v>
      </c>
      <c r="G11" s="10">
        <f>MIN(MAX(ROUNDUP(E3 / E16, 0), 1), 8)</f>
        <v>2</v>
      </c>
    </row>
    <row r="12" spans="1:7" ht="16.2" customHeight="1" x14ac:dyDescent="0.3">
      <c r="A12" s="1" t="s">
        <v>5</v>
      </c>
      <c r="B12" s="4">
        <f>E12-1</f>
        <v>5</v>
      </c>
      <c r="C12" s="15" t="str">
        <f>VLOOKUP(B12,E22:F29,2)</f>
        <v>6 TQ</v>
      </c>
      <c r="E12" s="1">
        <f>MIN(MAX(FLOOR(B4/2,1)-2,1),8)</f>
        <v>6</v>
      </c>
    </row>
    <row r="13" spans="1:7" ht="16.2" customHeight="1" x14ac:dyDescent="0.3">
      <c r="A13" s="1" t="s">
        <v>3</v>
      </c>
      <c r="B13" s="4">
        <f>E13-1</f>
        <v>1</v>
      </c>
      <c r="C13" s="15" t="str">
        <f>VLOOKUP(B13,E22:F29,2)</f>
        <v>2 TQ</v>
      </c>
      <c r="E13" s="1">
        <f>MIN(MAX(B4-E12-E11-1,1),8)</f>
        <v>2</v>
      </c>
    </row>
    <row r="14" spans="1:7" ht="16.2" customHeight="1" x14ac:dyDescent="0.3">
      <c r="A14" s="1" t="s">
        <v>14</v>
      </c>
      <c r="B14" s="4">
        <f>E14-1</f>
        <v>1</v>
      </c>
      <c r="C14" s="15" t="str">
        <f>VLOOKUP(B14,E22:F29,2)</f>
        <v>2 TQ</v>
      </c>
      <c r="E14" s="1">
        <f>MIN(F14,E12,E13)</f>
        <v>2</v>
      </c>
      <c r="F14" s="1">
        <f>MIN(MAX(FLOOR(E11/2,1),1),4)</f>
        <v>3</v>
      </c>
    </row>
    <row r="16" spans="1:7" ht="16.2" customHeight="1" x14ac:dyDescent="0.3">
      <c r="A16" s="1" t="s">
        <v>15</v>
      </c>
      <c r="B16" s="16">
        <f>E16*1000000</f>
        <v>0.5</v>
      </c>
      <c r="C16" s="16"/>
      <c r="E16" s="12">
        <f>2 * (B2 + 1) / E1</f>
        <v>4.9999999999999998E-7</v>
      </c>
    </row>
    <row r="17" spans="1:6" ht="16.2" customHeight="1" x14ac:dyDescent="0.3">
      <c r="A17" s="1" t="s">
        <v>16</v>
      </c>
      <c r="B17" s="16">
        <f>E17*1000000</f>
        <v>8</v>
      </c>
      <c r="C17" s="16"/>
      <c r="E17" s="12">
        <f>B4*E16</f>
        <v>7.9999999999999996E-6</v>
      </c>
    </row>
    <row r="18" spans="1:6" ht="16.2" customHeight="1" x14ac:dyDescent="0.3">
      <c r="A18" s="1" t="s">
        <v>22</v>
      </c>
      <c r="B18" s="16">
        <f>E18*1000000</f>
        <v>3.5</v>
      </c>
      <c r="C18" s="16"/>
      <c r="E18" s="12">
        <f>E11*E16</f>
        <v>3.4999999999999999E-6</v>
      </c>
      <c r="F18" s="10"/>
    </row>
    <row r="22" spans="1:6" ht="15.6" x14ac:dyDescent="0.3">
      <c r="E22" s="1">
        <v>0</v>
      </c>
      <c r="F22" s="1" t="s">
        <v>6</v>
      </c>
    </row>
    <row r="23" spans="1:6" ht="15.6" x14ac:dyDescent="0.3">
      <c r="E23" s="1">
        <v>1</v>
      </c>
      <c r="F23" s="1" t="s">
        <v>7</v>
      </c>
    </row>
    <row r="24" spans="1:6" ht="15.6" x14ac:dyDescent="0.3">
      <c r="E24" s="1">
        <v>2</v>
      </c>
      <c r="F24" s="1" t="s">
        <v>8</v>
      </c>
    </row>
    <row r="25" spans="1:6" ht="15.6" x14ac:dyDescent="0.3">
      <c r="E25" s="1">
        <v>3</v>
      </c>
      <c r="F25" s="1" t="s">
        <v>9</v>
      </c>
    </row>
    <row r="26" spans="1:6" ht="15.6" x14ac:dyDescent="0.3">
      <c r="E26" s="1">
        <v>4</v>
      </c>
      <c r="F26" s="1" t="s">
        <v>10</v>
      </c>
    </row>
    <row r="27" spans="1:6" ht="15.6" x14ac:dyDescent="0.3">
      <c r="E27" s="1">
        <v>5</v>
      </c>
      <c r="F27" s="1" t="s">
        <v>11</v>
      </c>
    </row>
    <row r="28" spans="1:6" ht="15.6" x14ac:dyDescent="0.3">
      <c r="E28" s="1">
        <v>6</v>
      </c>
      <c r="F28" s="1" t="s">
        <v>12</v>
      </c>
    </row>
    <row r="29" spans="1:6" ht="15.6" x14ac:dyDescent="0.3">
      <c r="E29" s="1">
        <v>7</v>
      </c>
      <c r="F29" s="1" t="s">
        <v>13</v>
      </c>
    </row>
  </sheetData>
  <sheetProtection sheet="1" objects="1" scenarios="1"/>
  <mergeCells count="11">
    <mergeCell ref="B18:C18"/>
    <mergeCell ref="B10:C10"/>
    <mergeCell ref="B6:C6"/>
    <mergeCell ref="B1:C1"/>
    <mergeCell ref="B2:C2"/>
    <mergeCell ref="B4:C4"/>
    <mergeCell ref="B16:C16"/>
    <mergeCell ref="B17:C17"/>
    <mergeCell ref="B3:C3"/>
    <mergeCell ref="B7:C7"/>
    <mergeCell ref="B8:C8"/>
  </mergeCells>
  <dataValidations count="4">
    <dataValidation type="whole" allowBlank="1" showInputMessage="1" showErrorMessage="1" sqref="B2:C2">
      <formula1>0</formula1>
      <formula2>63</formula2>
    </dataValidation>
    <dataValidation type="whole" allowBlank="1" showInputMessage="1" showErrorMessage="1" sqref="B1:C1">
      <formula1>16</formula1>
      <formula2>64</formula2>
    </dataValidation>
    <dataValidation type="whole" allowBlank="1" showInputMessage="1" showErrorMessage="1" sqref="B4:C4">
      <formula1>5</formula1>
      <formula2>25</formula2>
    </dataValidation>
    <dataValidation type="whole" allowBlank="1" showInputMessage="1" showErrorMessage="1" sqref="B3:C3">
      <formula1>1</formula1>
      <formula2>20000</formula2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2" sqref="B2:C2"/>
    </sheetView>
  </sheetViews>
  <sheetFormatPr defaultRowHeight="14.4" x14ac:dyDescent="0.3"/>
  <cols>
    <col min="1" max="1" width="15.77734375" customWidth="1"/>
    <col min="2" max="3" width="5.77734375" customWidth="1"/>
    <col min="5" max="6" width="10.77734375" style="11" hidden="1" customWidth="1"/>
    <col min="7" max="7" width="10.77734375" hidden="1" customWidth="1"/>
  </cols>
  <sheetData>
    <row r="1" spans="1:7" s="1" customFormat="1" ht="16.2" customHeight="1" x14ac:dyDescent="0.3">
      <c r="A1" s="1" t="s">
        <v>1</v>
      </c>
      <c r="B1" s="19">
        <v>8</v>
      </c>
      <c r="C1" s="19"/>
      <c r="E1" s="10">
        <f>B1*1000000</f>
        <v>8000000</v>
      </c>
      <c r="F1" s="10"/>
    </row>
    <row r="2" spans="1:7" s="1" customFormat="1" ht="16.2" customHeight="1" x14ac:dyDescent="0.3">
      <c r="A2" s="1" t="s">
        <v>17</v>
      </c>
      <c r="B2" s="25">
        <v>125</v>
      </c>
      <c r="C2" s="25"/>
      <c r="E2" s="10">
        <f>B2*1000</f>
        <v>125000</v>
      </c>
      <c r="F2" s="10"/>
    </row>
    <row r="3" spans="1:7" s="1" customFormat="1" ht="16.2" customHeight="1" x14ac:dyDescent="0.3">
      <c r="A3" s="1" t="s">
        <v>20</v>
      </c>
      <c r="B3" s="21">
        <v>100</v>
      </c>
      <c r="C3" s="21"/>
      <c r="E3" s="12">
        <f>LENGTH * BUS_PROPAGATION_DELAY + TRANSCEIVER_DELAY</f>
        <v>7.5000000000000002E-7</v>
      </c>
      <c r="F3" s="10"/>
      <c r="G3" s="2"/>
    </row>
    <row r="4" spans="1:7" s="1" customFormat="1" ht="16.2" customHeight="1" x14ac:dyDescent="0.3">
      <c r="A4" s="1" t="s">
        <v>2</v>
      </c>
      <c r="B4" s="24">
        <v>16</v>
      </c>
      <c r="C4" s="24"/>
      <c r="E4" s="10"/>
      <c r="F4" s="10"/>
      <c r="G4" s="2"/>
    </row>
    <row r="5" spans="1:7" s="1" customFormat="1" ht="16.2" customHeight="1" x14ac:dyDescent="0.3">
      <c r="E5" s="10"/>
      <c r="F5" s="10"/>
    </row>
    <row r="6" spans="1:7" s="1" customFormat="1" ht="16.2" customHeight="1" x14ac:dyDescent="0.3">
      <c r="A6" s="1" t="s">
        <v>23</v>
      </c>
      <c r="B6" s="18">
        <f>E6/1000</f>
        <v>125</v>
      </c>
      <c r="C6" s="18"/>
      <c r="E6" s="10">
        <f>1/TBIT_TIME</f>
        <v>125000</v>
      </c>
      <c r="F6" s="10"/>
    </row>
    <row r="7" spans="1:7" s="1" customFormat="1" ht="16.2" customHeight="1" x14ac:dyDescent="0.3">
      <c r="A7" s="1" t="s">
        <v>21</v>
      </c>
      <c r="B7" s="22">
        <f>E7</f>
        <v>650</v>
      </c>
      <c r="C7" s="22"/>
      <c r="E7" s="10">
        <f>ROUND((PROPAGATION_TIME-TRANSCEIVER_DELAY)/BUS_PROPAGATION_DELAY,0)</f>
        <v>650</v>
      </c>
      <c r="F7" s="10"/>
    </row>
    <row r="8" spans="1:7" s="1" customFormat="1" ht="16.2" customHeight="1" x14ac:dyDescent="0.3">
      <c r="A8" s="1" t="s">
        <v>25</v>
      </c>
      <c r="B8" s="28">
        <f>E8</f>
        <v>4.8543689320388345E-3</v>
      </c>
      <c r="C8" s="28"/>
      <c r="E8" s="10">
        <f>MIN(F8,G8)</f>
        <v>4.8543689320388345E-3</v>
      </c>
      <c r="F8" s="10">
        <f>SJW_TQ/(20*TQ)</f>
        <v>6.2500000000000003E-3</v>
      </c>
      <c r="G8" s="1">
        <f>MIN(SEG1PH_TQ, SEG2PH_TQ) / (2*(13*TQ-SEG2PH_TQ))</f>
        <v>4.8543689320388345E-3</v>
      </c>
    </row>
    <row r="9" spans="1:7" s="1" customFormat="1" ht="16.2" customHeight="1" x14ac:dyDescent="0.3">
      <c r="E9" s="10"/>
      <c r="F9" s="10"/>
    </row>
    <row r="10" spans="1:7" s="1" customFormat="1" ht="16.2" customHeight="1" x14ac:dyDescent="0.3">
      <c r="A10" s="1" t="s">
        <v>0</v>
      </c>
      <c r="B10" s="23">
        <f>CEILING(E10,1)</f>
        <v>1</v>
      </c>
      <c r="C10" s="23"/>
      <c r="E10" s="10">
        <f>FREQUENCY/(2*TQ*BITRATE_DESIRED)-1</f>
        <v>1</v>
      </c>
      <c r="F10" s="10"/>
    </row>
    <row r="11" spans="1:7" s="1" customFormat="1" ht="16.2" customHeight="1" x14ac:dyDescent="0.3">
      <c r="A11" s="1" t="s">
        <v>4</v>
      </c>
      <c r="B11" s="4">
        <f>PRSEG_TQ-1</f>
        <v>6</v>
      </c>
      <c r="C11" s="8" t="str">
        <f>VLOOKUP(B11,E25:F32,2)</f>
        <v>7 TQ</v>
      </c>
      <c r="E11" s="1">
        <f>MAX(F11,G11)</f>
        <v>7</v>
      </c>
      <c r="F11" s="10">
        <f>TQ-1-SEG1PH_TQ-MIN(MAX(TQ-SEG1PH_TQ-8-1,2),8)</f>
        <v>7</v>
      </c>
      <c r="G11" s="10">
        <f>MIN(MAX(ROUNDUP(PROPAGATION_TIME_DESIRED / TQ_TIME, 0), 1), 8)</f>
        <v>2</v>
      </c>
    </row>
    <row r="12" spans="1:7" s="1" customFormat="1" ht="16.2" customHeight="1" x14ac:dyDescent="0.3">
      <c r="A12" s="1" t="s">
        <v>5</v>
      </c>
      <c r="B12" s="4">
        <f>E12-1</f>
        <v>5</v>
      </c>
      <c r="C12" s="8" t="str">
        <f>VLOOKUP(B12,E25:F32,2)</f>
        <v>6 TQ</v>
      </c>
      <c r="E12" s="10">
        <f>MIN(MAX(FLOOR(TQ/2,1)-2,1),8)</f>
        <v>6</v>
      </c>
      <c r="F12" s="10"/>
    </row>
    <row r="13" spans="1:7" s="1" customFormat="1" ht="16.2" customHeight="1" x14ac:dyDescent="0.3">
      <c r="A13" s="1" t="s">
        <v>3</v>
      </c>
      <c r="B13" s="4">
        <f>E13-1</f>
        <v>1</v>
      </c>
      <c r="C13" s="8" t="str">
        <f>VLOOKUP(B13,E25:F32,2)</f>
        <v>2 TQ</v>
      </c>
      <c r="E13" s="10">
        <f>MIN(MAX(TQ-SEG1PH_TQ-PRSEG_TQ-1,1),8)</f>
        <v>2</v>
      </c>
      <c r="F13" s="10"/>
    </row>
    <row r="14" spans="1:7" s="1" customFormat="1" ht="16.2" customHeight="1" x14ac:dyDescent="0.3">
      <c r="A14" s="1" t="s">
        <v>14</v>
      </c>
      <c r="B14" s="4">
        <f>E14-1</f>
        <v>1</v>
      </c>
      <c r="C14" s="8" t="str">
        <f>VLOOKUP(B14,E25:F32,2)</f>
        <v>2 TQ</v>
      </c>
      <c r="E14" s="10">
        <f>MIN(F14,SEG1PH_TQ,SEG2PH_TQ)</f>
        <v>2</v>
      </c>
      <c r="F14" s="10">
        <f>MIN(MAX(FLOOR(PRSEG_TQ/2,1),1),4)</f>
        <v>3</v>
      </c>
    </row>
    <row r="16" spans="1:7" s="1" customFormat="1" ht="16.2" customHeight="1" x14ac:dyDescent="0.3">
      <c r="A16" s="1" t="s">
        <v>15</v>
      </c>
      <c r="B16" s="16">
        <f>E16*1000000</f>
        <v>0.5</v>
      </c>
      <c r="C16" s="16"/>
      <c r="E16" s="12">
        <f>2 * (BRP + 1) / FREQUENCY</f>
        <v>4.9999999999999998E-7</v>
      </c>
      <c r="F16" s="10"/>
    </row>
    <row r="17" spans="1:6" s="1" customFormat="1" ht="16.2" customHeight="1" x14ac:dyDescent="0.3">
      <c r="A17" s="1" t="s">
        <v>16</v>
      </c>
      <c r="B17" s="16">
        <f>E17*1000000</f>
        <v>8</v>
      </c>
      <c r="C17" s="16"/>
      <c r="E17" s="12">
        <f>TQ*TQ_TIME</f>
        <v>7.9999999999999996E-6</v>
      </c>
      <c r="F17" s="10"/>
    </row>
    <row r="18" spans="1:6" s="1" customFormat="1" ht="16.2" customHeight="1" x14ac:dyDescent="0.3">
      <c r="A18" s="1" t="s">
        <v>22</v>
      </c>
      <c r="B18" s="16">
        <f>E18*1000000</f>
        <v>3.5</v>
      </c>
      <c r="C18" s="16"/>
      <c r="E18" s="12">
        <f>PRSEG_TQ*TQ_TIME</f>
        <v>3.4999999999999999E-6</v>
      </c>
      <c r="F18" s="10"/>
    </row>
    <row r="19" spans="1:6" s="1" customFormat="1" ht="16.2" customHeight="1" x14ac:dyDescent="0.3">
      <c r="E19" s="10"/>
      <c r="F19" s="10"/>
    </row>
    <row r="20" spans="1:6" s="1" customFormat="1" ht="16.2" customHeight="1" x14ac:dyDescent="0.3">
      <c r="E20" s="10"/>
      <c r="F20" s="10"/>
    </row>
    <row r="21" spans="1:6" s="1" customFormat="1" ht="16.2" customHeight="1" x14ac:dyDescent="0.3">
      <c r="E21" s="10"/>
      <c r="F21" s="10"/>
    </row>
    <row r="22" spans="1:6" x14ac:dyDescent="0.3">
      <c r="E22" s="14">
        <v>5.0000000000000001E-9</v>
      </c>
    </row>
    <row r="23" spans="1:6" x14ac:dyDescent="0.3">
      <c r="E23" s="14">
        <v>2.4999999999999999E-7</v>
      </c>
    </row>
    <row r="25" spans="1:6" ht="15.6" x14ac:dyDescent="0.35">
      <c r="E25" s="11">
        <v>0</v>
      </c>
      <c r="F25" s="11" t="s">
        <v>6</v>
      </c>
    </row>
    <row r="26" spans="1:6" ht="15.6" x14ac:dyDescent="0.35">
      <c r="E26" s="11">
        <v>1</v>
      </c>
      <c r="F26" s="11" t="s">
        <v>7</v>
      </c>
    </row>
    <row r="27" spans="1:6" ht="15.6" x14ac:dyDescent="0.35">
      <c r="E27" s="11">
        <v>2</v>
      </c>
      <c r="F27" s="11" t="s">
        <v>8</v>
      </c>
    </row>
    <row r="28" spans="1:6" ht="15.6" x14ac:dyDescent="0.35">
      <c r="E28" s="11">
        <v>3</v>
      </c>
      <c r="F28" s="11" t="s">
        <v>9</v>
      </c>
    </row>
    <row r="29" spans="1:6" ht="15.6" x14ac:dyDescent="0.35">
      <c r="E29" s="11">
        <v>4</v>
      </c>
      <c r="F29" s="11" t="s">
        <v>10</v>
      </c>
    </row>
    <row r="30" spans="1:6" ht="15.6" x14ac:dyDescent="0.35">
      <c r="E30" s="11">
        <v>5</v>
      </c>
      <c r="F30" s="11" t="s">
        <v>11</v>
      </c>
    </row>
    <row r="31" spans="1:6" ht="15.6" x14ac:dyDescent="0.35">
      <c r="E31" s="11">
        <v>6</v>
      </c>
      <c r="F31" s="11" t="s">
        <v>12</v>
      </c>
    </row>
    <row r="32" spans="1:6" ht="15.6" x14ac:dyDescent="0.35">
      <c r="E32" s="11">
        <v>7</v>
      </c>
      <c r="F32" s="11" t="s">
        <v>13</v>
      </c>
    </row>
  </sheetData>
  <mergeCells count="11">
    <mergeCell ref="B16:C16"/>
    <mergeCell ref="B17:C17"/>
    <mergeCell ref="B18:C18"/>
    <mergeCell ref="B3:C3"/>
    <mergeCell ref="B7:C7"/>
    <mergeCell ref="B8:C8"/>
    <mergeCell ref="B10:C10"/>
    <mergeCell ref="B6:C6"/>
    <mergeCell ref="B4:C4"/>
    <mergeCell ref="B1:C1"/>
    <mergeCell ref="B2:C2"/>
  </mergeCells>
  <dataValidations count="5">
    <dataValidation type="whole" allowBlank="1" showInputMessage="1" showErrorMessage="1" sqref="B10">
      <formula1>0</formula1>
      <formula2>31</formula2>
    </dataValidation>
    <dataValidation type="whole" allowBlank="1" showInputMessage="1" showErrorMessage="1" sqref="B4:C4">
      <formula1>5</formula1>
      <formula2>25</formula2>
    </dataValidation>
    <dataValidation type="whole" allowBlank="1" showInputMessage="1" showErrorMessage="1" sqref="B1:C1">
      <formula1>4</formula1>
      <formula2>256</formula2>
    </dataValidation>
    <dataValidation type="whole" allowBlank="1" showInputMessage="1" showErrorMessage="1" sqref="B2:C2">
      <formula1>10</formula1>
      <formula2>2000</formula2>
    </dataValidation>
    <dataValidation type="whole" allowBlank="1" showInputMessage="1" showErrorMessage="1" sqref="B3:C3">
      <formula1>1</formula1>
      <formula2>20000</formula2>
    </dataValidation>
  </dataValidation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A2"/>
    </sheetView>
  </sheetViews>
  <sheetFormatPr defaultRowHeight="14.4" x14ac:dyDescent="0.3"/>
  <cols>
    <col min="1" max="1" width="10.77734375" style="3" customWidth="1"/>
    <col min="2" max="9" width="10.77734375" style="2" customWidth="1"/>
    <col min="10" max="16384" width="8.88671875" style="1"/>
  </cols>
  <sheetData>
    <row r="1" spans="1:9" s="3" customFormat="1" ht="16.2" customHeight="1" x14ac:dyDescent="0.3">
      <c r="A1" s="27" t="s">
        <v>24</v>
      </c>
      <c r="B1" s="6">
        <v>10</v>
      </c>
      <c r="C1" s="6">
        <v>20</v>
      </c>
      <c r="D1" s="6">
        <v>50</v>
      </c>
      <c r="E1" s="6">
        <v>125</v>
      </c>
      <c r="F1" s="6">
        <v>250</v>
      </c>
      <c r="G1" s="6">
        <v>500</v>
      </c>
      <c r="H1" s="6">
        <v>800</v>
      </c>
      <c r="I1" s="6">
        <v>1000</v>
      </c>
    </row>
    <row r="2" spans="1:9" s="3" customFormat="1" ht="16.2" customHeight="1" x14ac:dyDescent="0.3">
      <c r="A2" s="26"/>
      <c r="B2" s="13">
        <v>5000</v>
      </c>
      <c r="C2" s="13">
        <v>2500</v>
      </c>
      <c r="D2" s="13">
        <v>1000</v>
      </c>
      <c r="E2" s="13">
        <v>500</v>
      </c>
      <c r="F2" s="13">
        <v>250</v>
      </c>
      <c r="G2" s="13">
        <v>100</v>
      </c>
      <c r="H2" s="13">
        <v>50</v>
      </c>
      <c r="I2" s="13">
        <v>25</v>
      </c>
    </row>
    <row r="3" spans="1:9" ht="16.2" customHeight="1" x14ac:dyDescent="0.3">
      <c r="A3" s="5" t="s">
        <v>18</v>
      </c>
      <c r="B3" s="7"/>
      <c r="C3" s="9">
        <v>20</v>
      </c>
      <c r="D3" s="7">
        <v>16</v>
      </c>
      <c r="E3" s="7">
        <v>16</v>
      </c>
      <c r="F3" s="7">
        <v>16</v>
      </c>
      <c r="G3" s="7">
        <v>16</v>
      </c>
      <c r="H3" s="7">
        <v>10</v>
      </c>
      <c r="I3" s="7">
        <v>8</v>
      </c>
    </row>
    <row r="4" spans="1:9" ht="16.2" customHeight="1" x14ac:dyDescent="0.3">
      <c r="A4" s="5" t="s">
        <v>0</v>
      </c>
      <c r="B4" s="7"/>
      <c r="C4" s="9">
        <v>59</v>
      </c>
      <c r="D4" s="7">
        <v>29</v>
      </c>
      <c r="E4" s="7">
        <v>11</v>
      </c>
      <c r="F4" s="7">
        <v>5</v>
      </c>
      <c r="G4" s="7">
        <v>2</v>
      </c>
      <c r="H4" s="7">
        <v>2</v>
      </c>
      <c r="I4" s="7">
        <v>2</v>
      </c>
    </row>
    <row r="5" spans="1:9" ht="16.2" customHeight="1" x14ac:dyDescent="0.3">
      <c r="A5" s="5" t="s">
        <v>4</v>
      </c>
      <c r="B5" s="7"/>
      <c r="C5" s="9">
        <v>7</v>
      </c>
      <c r="D5" s="7">
        <v>6</v>
      </c>
      <c r="E5" s="7">
        <v>6</v>
      </c>
      <c r="F5" s="7">
        <v>6</v>
      </c>
      <c r="G5" s="7">
        <v>6</v>
      </c>
      <c r="H5" s="7">
        <v>3</v>
      </c>
      <c r="I5" s="7">
        <v>2</v>
      </c>
    </row>
    <row r="6" spans="1:9" ht="16.2" customHeight="1" x14ac:dyDescent="0.3">
      <c r="A6" s="5" t="s">
        <v>5</v>
      </c>
      <c r="B6" s="7"/>
      <c r="C6" s="9">
        <v>7</v>
      </c>
      <c r="D6" s="7">
        <v>5</v>
      </c>
      <c r="E6" s="7">
        <v>5</v>
      </c>
      <c r="F6" s="7">
        <v>5</v>
      </c>
      <c r="G6" s="7">
        <v>5</v>
      </c>
      <c r="H6" s="7">
        <v>2</v>
      </c>
      <c r="I6" s="7">
        <v>1</v>
      </c>
    </row>
    <row r="7" spans="1:9" ht="16.2" customHeight="1" x14ac:dyDescent="0.3">
      <c r="A7" s="5" t="s">
        <v>3</v>
      </c>
      <c r="B7" s="7"/>
      <c r="C7" s="9">
        <v>2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</row>
    <row r="8" spans="1:9" ht="16.2" customHeight="1" x14ac:dyDescent="0.3">
      <c r="A8" s="5" t="s">
        <v>19</v>
      </c>
      <c r="B8" s="9"/>
      <c r="C8" s="9">
        <v>2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0</v>
      </c>
    </row>
  </sheetData>
  <sheetProtection sheet="1" objects="1" scenarios="1"/>
  <mergeCells count="1">
    <mergeCell ref="A1:A2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Bitrate</vt:lpstr>
      <vt:lpstr>BRP</vt:lpstr>
      <vt:lpstr>CiA DS-102</vt:lpstr>
      <vt:lpstr>BITRATE</vt:lpstr>
      <vt:lpstr>BITRATE_DESIRED</vt:lpstr>
      <vt:lpstr>BRP</vt:lpstr>
      <vt:lpstr>BUS_PROPAGATION_DELAY</vt:lpstr>
      <vt:lpstr>FREQUENCY</vt:lpstr>
      <vt:lpstr>LENGTH</vt:lpstr>
      <vt:lpstr>Bitrate!Print_Area</vt:lpstr>
      <vt:lpstr>BRP!Print_Area</vt:lpstr>
      <vt:lpstr>'CiA DS-102'!Print_Area</vt:lpstr>
      <vt:lpstr>PROPAGATION_TIME</vt:lpstr>
      <vt:lpstr>PROPAGATION_TIME_DESIRED</vt:lpstr>
      <vt:lpstr>PRSEG_TQ</vt:lpstr>
      <vt:lpstr>SEG1PH_TQ</vt:lpstr>
      <vt:lpstr>SEG2PH_TQ</vt:lpstr>
      <vt:lpstr>SJW_TQ</vt:lpstr>
      <vt:lpstr>TBIT_TIME</vt:lpstr>
      <vt:lpstr>TQ</vt:lpstr>
      <vt:lpstr>TQ_TIME</vt:lpstr>
      <vt:lpstr>TRANSCEIVER_DELAY</vt:lpstr>
      <vt:lpstr>VRP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</dc:creator>
  <cp:lastModifiedBy>Josip Medved</cp:lastModifiedBy>
  <dcterms:created xsi:type="dcterms:W3CDTF">2014-05-02T01:40:41Z</dcterms:created>
  <dcterms:modified xsi:type="dcterms:W3CDTF">2014-05-16T08:39:45Z</dcterms:modified>
</cp:coreProperties>
</file>